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slicers/slicer2.xml" ContentType="application/vnd.ms-excel.slicer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eur\AppData\Local\Temp\Rar$DIa10600.9150.rartemp\"/>
    </mc:Choice>
  </mc:AlternateContent>
  <xr:revisionPtr revIDLastSave="0" documentId="13_ncr:1_{62D82697-FB04-4A60-B962-E745757A9E80}" xr6:coauthVersionLast="47" xr6:coauthVersionMax="47" xr10:uidLastSave="{00000000-0000-0000-0000-000000000000}"/>
  <bookViews>
    <workbookView xWindow="-120" yWindow="-120" windowWidth="19440" windowHeight="11040" tabRatio="989" firstSheet="19" activeTab="22" xr2:uid="{00000000-000D-0000-FFFF-FFFF00000000}"/>
  </bookViews>
  <sheets>
    <sheet name="FORT DAUPHIN" sheetId="1" state="hidden" r:id="rId1"/>
    <sheet name="BL" sheetId="68" r:id="rId2"/>
    <sheet name="Données SOMIDA" sheetId="56" r:id="rId3"/>
    <sheet name="Stat" sheetId="78" state="hidden" r:id="rId4"/>
    <sheet name="Org" sheetId="58" r:id="rId5"/>
    <sheet name=" OKB TRA ABR" sheetId="64" state="hidden" r:id="rId6"/>
    <sheet name="OKB FP1" sheetId="65" state="hidden" r:id="rId7"/>
    <sheet name="Goodeis" sheetId="63" state="hidden" r:id="rId8"/>
    <sheet name="Org (2)" sheetId="59" state="hidden" r:id="rId9"/>
    <sheet name="Organigramme" sheetId="6" state="hidden" r:id="rId10"/>
    <sheet name="Recap coupeuses FD" sheetId="3" state="hidden" r:id="rId11"/>
    <sheet name="AMPANDRANDAVA" sheetId="4" state="hidden" r:id="rId12"/>
    <sheet name="Recap coupeuses Ampandra" sheetId="5" state="hidden" r:id="rId13"/>
    <sheet name="Commande à honorer" sheetId="26" state="hidden" r:id="rId14"/>
    <sheet name="Détails" sheetId="8" state="hidden" r:id="rId15"/>
    <sheet name="Commandes" sheetId="33" r:id="rId16"/>
    <sheet name="Production" sheetId="7" r:id="rId17"/>
    <sheet name="Traitement" sheetId="81" r:id="rId18"/>
    <sheet name="Calcul" sheetId="74" r:id="rId19"/>
    <sheet name="Tableau de bord" sheetId="80" r:id="rId20"/>
    <sheet name="Besoins en micas" sheetId="57" r:id="rId21"/>
    <sheet name="Feuil3" sheetId="60" state="hidden" r:id="rId22"/>
    <sheet name="CA" sheetId="10" r:id="rId23"/>
    <sheet name="Sal" sheetId="11" r:id="rId24"/>
    <sheet name="Détails Achats direct" sheetId="55" r:id="rId25"/>
    <sheet name="Primes" sheetId="66" r:id="rId26"/>
    <sheet name="Achat" sheetId="14" r:id="rId27"/>
    <sheet name="Prestation" sheetId="15" r:id="rId28"/>
    <sheet name="Feuil1 (2)" sheetId="34" state="hidden" r:id="rId29"/>
    <sheet name="I&amp;T" sheetId="16" r:id="rId30"/>
    <sheet name="Autres" sheetId="17" r:id="rId31"/>
    <sheet name="Amort" sheetId="18" r:id="rId32"/>
    <sheet name="Frais financier" sheetId="21" r:id="rId33"/>
    <sheet name="CR Nature FD" sheetId="19" r:id="rId34"/>
    <sheet name="Etat_Trésorerie FD" sheetId="23" r:id="rId35"/>
    <sheet name="Invest FD" sheetId="32" r:id="rId36"/>
    <sheet name="Feuil1" sheetId="31" state="hidden" r:id="rId37"/>
    <sheet name="AN" sheetId="22" r:id="rId38"/>
    <sheet name="Emprunts FD" sheetId="52" r:id="rId39"/>
    <sheet name="Détails FF FD" sheetId="53" r:id="rId40"/>
  </sheets>
  <definedNames>
    <definedName name="\0" localSheetId="5">#REF!</definedName>
    <definedName name="\0" localSheetId="7">#REF!</definedName>
    <definedName name="\0" localSheetId="8">#REF!</definedName>
    <definedName name="\a" localSheetId="5">#REF!</definedName>
    <definedName name="\a" localSheetId="7">#REF!</definedName>
    <definedName name="\a" localSheetId="8">#REF!</definedName>
    <definedName name="\b" localSheetId="5">#REF!</definedName>
    <definedName name="\b" localSheetId="7">#REF!</definedName>
    <definedName name="\b" localSheetId="8">#REF!</definedName>
    <definedName name="\c" localSheetId="5">#REF!</definedName>
    <definedName name="\c" localSheetId="7">#REF!</definedName>
    <definedName name="\c" localSheetId="8">#REF!</definedName>
    <definedName name="\d" localSheetId="5">#REF!</definedName>
    <definedName name="\d" localSheetId="7">#REF!</definedName>
    <definedName name="\d" localSheetId="8">#REF!</definedName>
    <definedName name="\e" localSheetId="5">#REF!</definedName>
    <definedName name="\e" localSheetId="7">#REF!</definedName>
    <definedName name="\l" localSheetId="5">#REF!</definedName>
    <definedName name="\l" localSheetId="7">#REF!</definedName>
    <definedName name="\m" localSheetId="5">#REF!</definedName>
    <definedName name="\m" localSheetId="7">#REF!</definedName>
    <definedName name="\r" localSheetId="5">#REF!</definedName>
    <definedName name="\r" localSheetId="7">#REF!</definedName>
    <definedName name="\s" localSheetId="5">#REF!</definedName>
    <definedName name="\s" localSheetId="7">#REF!</definedName>
    <definedName name="\x" localSheetId="5">#REF!</definedName>
    <definedName name="\x" localSheetId="7">#REF!</definedName>
    <definedName name="_" localSheetId="5">#REF!</definedName>
    <definedName name="_" localSheetId="7">#REF!</definedName>
    <definedName name="________________A200519" localSheetId="5">#REF!</definedName>
    <definedName name="________________A200519" localSheetId="7">#REF!</definedName>
    <definedName name="_______________A200519" localSheetId="5">#REF!</definedName>
    <definedName name="_______________A200519" localSheetId="7">#REF!</definedName>
    <definedName name="______________A200519" localSheetId="5">#REF!</definedName>
    <definedName name="______________A200519" localSheetId="7">#REF!</definedName>
    <definedName name="_____________A200519" localSheetId="5">#REF!</definedName>
    <definedName name="_____________A200519" localSheetId="7">#REF!</definedName>
    <definedName name="____________A200519" localSheetId="5">#REF!</definedName>
    <definedName name="____________A200519" localSheetId="7">#REF!</definedName>
    <definedName name="___________A200519" localSheetId="5">#REF!</definedName>
    <definedName name="___________A200519" localSheetId="7">#REF!</definedName>
    <definedName name="___________A200519" localSheetId="8">#REF!</definedName>
    <definedName name="__________A200519" localSheetId="5">#REF!</definedName>
    <definedName name="__________A200519" localSheetId="7">#REF!</definedName>
    <definedName name="__________A200519" localSheetId="8">#REF!</definedName>
    <definedName name="_________A200519" localSheetId="5">#REF!</definedName>
    <definedName name="_________A200519" localSheetId="7">#REF!</definedName>
    <definedName name="_________A200519" localSheetId="8">#REF!</definedName>
    <definedName name="_________BQ98" localSheetId="5">#REF!</definedName>
    <definedName name="_________BQ98" localSheetId="7">#REF!</definedName>
    <definedName name="_________BQ98" localSheetId="8">#REF!</definedName>
    <definedName name="_________IV586932" localSheetId="5">#REF!</definedName>
    <definedName name="_________IV586932" localSheetId="7">#REF!</definedName>
    <definedName name="_________R" localSheetId="5">#REF!</definedName>
    <definedName name="_________R" localSheetId="7">#REF!</definedName>
    <definedName name="_________R" localSheetId="8">#REF!</definedName>
    <definedName name="________A200519" localSheetId="5">#REF!</definedName>
    <definedName name="________A200519" localSheetId="7">#REF!</definedName>
    <definedName name="________A200519" localSheetId="8">#REF!</definedName>
    <definedName name="________BQ98" localSheetId="5">#REF!</definedName>
    <definedName name="________BQ98" localSheetId="7">#REF!</definedName>
    <definedName name="________BQ98" localSheetId="8">#REF!</definedName>
    <definedName name="________IV586932" localSheetId="5">#REF!</definedName>
    <definedName name="________IV586932" localSheetId="7">#REF!</definedName>
    <definedName name="________R" localSheetId="5">#REF!</definedName>
    <definedName name="________R" localSheetId="7">#REF!</definedName>
    <definedName name="________R" localSheetId="8">#REF!</definedName>
    <definedName name="_______A200519" localSheetId="5">#REF!</definedName>
    <definedName name="_______A200519" localSheetId="7">#REF!</definedName>
    <definedName name="_______A200519" localSheetId="8">#REF!</definedName>
    <definedName name="_______BQ98" localSheetId="5">#REF!</definedName>
    <definedName name="_______BQ98" localSheetId="7">#REF!</definedName>
    <definedName name="_______BQ98" localSheetId="8">#REF!</definedName>
    <definedName name="_______IV586932" localSheetId="5">#REF!</definedName>
    <definedName name="_______IV586932" localSheetId="7">#REF!</definedName>
    <definedName name="_______R" localSheetId="5">#REF!</definedName>
    <definedName name="_______R" localSheetId="7">#REF!</definedName>
    <definedName name="_______R" localSheetId="8">#REF!</definedName>
    <definedName name="______A200519" localSheetId="5">#REF!</definedName>
    <definedName name="______A200519" localSheetId="7">#REF!</definedName>
    <definedName name="______A200519" localSheetId="8">#REF!</definedName>
    <definedName name="______BQ98" localSheetId="5">#REF!</definedName>
    <definedName name="______BQ98" localSheetId="7">#REF!</definedName>
    <definedName name="______BQ98" localSheetId="8">#REF!</definedName>
    <definedName name="______dre1" localSheetId="26" hidden="1">{#N/A,#N/A,FALSE,"Bilan";"CR Pcg",#N/A,FALSE,"Compte de Resultat";"TGCG Pcg",#N/A,FALSE,"TGCG";#N/A,#N/A,FALSE,"Tab. de Fin.";#N/A,#N/A,FALSE,"EF-Synth."}</definedName>
    <definedName name="______dre1" localSheetId="1" hidden="1">{#N/A,#N/A,FALSE,"Bilan";"CR Pcg",#N/A,FALSE,"Compte de Resultat";"TGCG Pcg",#N/A,FALSE,"TGCG";#N/A,#N/A,FALSE,"Tab. de Fin.";#N/A,#N/A,FALSE,"EF-Synth."}</definedName>
    <definedName name="______dre1" localSheetId="33" hidden="1">{#N/A,#N/A,FALSE,"Bilan";"CR Pcg",#N/A,FALSE,"Compte de Resultat";"TGCG Pcg",#N/A,FALSE,"TGCG";#N/A,#N/A,FALSE,"Tab. de Fin.";#N/A,#N/A,FALSE,"EF-Synth."}</definedName>
    <definedName name="______dre1" localSheetId="24" hidden="1">{#N/A,#N/A,FALSE,"Bilan";"CR Pcg",#N/A,FALSE,"Compte de Resultat";"TGCG Pcg",#N/A,FALSE,"TGCG";#N/A,#N/A,FALSE,"Tab. de Fin.";#N/A,#N/A,FALSE,"EF-Synth."}</definedName>
    <definedName name="______dre1" localSheetId="39" hidden="1">{#N/A,#N/A,FALSE,"Bilan";"CR Pcg",#N/A,FALSE,"Compte de Resultat";"TGCG Pcg",#N/A,FALSE,"TGCG";#N/A,#N/A,FALSE,"Tab. de Fin.";#N/A,#N/A,FALSE,"EF-Synth."}</definedName>
    <definedName name="______dre1" localSheetId="2" hidden="1">{#N/A,#N/A,FALSE,"Bilan";"CR Pcg",#N/A,FALSE,"Compte de Resultat";"TGCG Pcg",#N/A,FALSE,"TGCG";#N/A,#N/A,FALSE,"Tab. de Fin.";#N/A,#N/A,FALSE,"EF-Synth."}</definedName>
    <definedName name="______dre1" localSheetId="38" hidden="1">{#N/A,#N/A,FALSE,"Bilan";"CR Pcg",#N/A,FALSE,"Compte de Resultat";"TGCG Pcg",#N/A,FALSE,"TGCG";#N/A,#N/A,FALSE,"Tab. de Fin.";#N/A,#N/A,FALSE,"EF-Synth."}</definedName>
    <definedName name="______dre1" localSheetId="34" hidden="1">{#N/A,#N/A,FALSE,"Bilan";"CR Pcg",#N/A,FALSE,"Compte de Resultat";"TGCG Pcg",#N/A,FALSE,"TGCG";#N/A,#N/A,FALSE,"Tab. de Fin.";#N/A,#N/A,FALSE,"EF-Synth."}</definedName>
    <definedName name="______dre1" localSheetId="7" hidden="1">{#N/A,#N/A,FALSE,"Bilan";"CR Pcg",#N/A,FALSE,"Compte de Resultat";"TGCG Pcg",#N/A,FALSE,"TGCG";#N/A,#N/A,FALSE,"Tab. de Fin.";#N/A,#N/A,FALSE,"EF-Synth."}</definedName>
    <definedName name="______dre1" localSheetId="4" hidden="1">{#N/A,#N/A,FALSE,"Bilan";"CR Pcg",#N/A,FALSE,"Compte de Resultat";"TGCG Pcg",#N/A,FALSE,"TGCG";#N/A,#N/A,FALSE,"Tab. de Fin.";#N/A,#N/A,FALSE,"EF-Synth."}</definedName>
    <definedName name="______dre1" localSheetId="8" hidden="1">{#N/A,#N/A,FALSE,"Bilan";"CR Pcg",#N/A,FALSE,"Compte de Resultat";"TGCG Pcg",#N/A,FALSE,"TGCG";#N/A,#N/A,FALSE,"Tab. de Fin.";#N/A,#N/A,FALSE,"EF-Synth."}</definedName>
    <definedName name="______dre1" localSheetId="27" hidden="1">{#N/A,#N/A,FALSE,"Bilan";"CR Pcg",#N/A,FALSE,"Compte de Resultat";"TGCG Pcg",#N/A,FALSE,"TGCG";#N/A,#N/A,FALSE,"Tab. de Fin.";#N/A,#N/A,FALSE,"EF-Synth."}</definedName>
    <definedName name="______dre1" localSheetId="16" hidden="1">{#N/A,#N/A,FALSE,"Bilan";"CR Pcg",#N/A,FALSE,"Compte de Resultat";"TGCG Pcg",#N/A,FALSE,"TGCG";#N/A,#N/A,FALSE,"Tab. de Fin.";#N/A,#N/A,FALSE,"EF-Synth."}</definedName>
    <definedName name="______dre1" localSheetId="23" hidden="1">{#N/A,#N/A,FALSE,"Bilan";"CR Pcg",#N/A,FALSE,"Compte de Resultat";"TGCG Pcg",#N/A,FALSE,"TGCG";#N/A,#N/A,FALSE,"Tab. de Fin.";#N/A,#N/A,FALSE,"EF-Synth."}</definedName>
    <definedName name="______dre1" hidden="1">{#N/A,#N/A,FALSE,"Bilan";"CR Pcg",#N/A,FALSE,"Compte de Resultat";"TGCG Pcg",#N/A,FALSE,"TGCG";#N/A,#N/A,FALSE,"Tab. de Fin.";#N/A,#N/A,FALSE,"EF-Synth."}</definedName>
    <definedName name="______IV586932" localSheetId="5">#REF!</definedName>
    <definedName name="______IV586932" localSheetId="7">#REF!</definedName>
    <definedName name="______R" localSheetId="5">#REF!</definedName>
    <definedName name="______R" localSheetId="7">#REF!</definedName>
    <definedName name="______R" localSheetId="8">#REF!</definedName>
    <definedName name="______TAB1" localSheetId="5">#REF!</definedName>
    <definedName name="______TAB1" localSheetId="7">#REF!</definedName>
    <definedName name="______TAB1" localSheetId="8">#REF!</definedName>
    <definedName name="______TAB2" localSheetId="5">#REF!</definedName>
    <definedName name="______TAB2" localSheetId="7">#REF!</definedName>
    <definedName name="______TAB2" localSheetId="8">#REF!</definedName>
    <definedName name="______TAB3" localSheetId="5">#REF!</definedName>
    <definedName name="______TAB3" localSheetId="7">#REF!</definedName>
    <definedName name="______TAB3" localSheetId="8">#REF!</definedName>
    <definedName name="______TAB4" localSheetId="5">#REF!</definedName>
    <definedName name="______TAB4" localSheetId="7">#REF!</definedName>
    <definedName name="______TAB4" localSheetId="8">#REF!</definedName>
    <definedName name="______TAB5" localSheetId="5">#REF!</definedName>
    <definedName name="______TAB5" localSheetId="7">#REF!</definedName>
    <definedName name="______TAB5" localSheetId="8">#REF!</definedName>
    <definedName name="_____A200519" localSheetId="5">#REF!</definedName>
    <definedName name="_____A200519" localSheetId="7">#REF!</definedName>
    <definedName name="_____A200519" localSheetId="8">#REF!</definedName>
    <definedName name="_____BQ98" localSheetId="5">#REF!</definedName>
    <definedName name="_____BQ98" localSheetId="7">#REF!</definedName>
    <definedName name="_____BQ98" localSheetId="8">#REF!</definedName>
    <definedName name="_____dre1" localSheetId="26" hidden="1">{#N/A,#N/A,FALSE,"Bilan";"CR Pcg",#N/A,FALSE,"Compte de Resultat";"TGCG Pcg",#N/A,FALSE,"TGCG";#N/A,#N/A,FALSE,"Tab. de Fin.";#N/A,#N/A,FALSE,"EF-Synth."}</definedName>
    <definedName name="_____dre1" localSheetId="1" hidden="1">{#N/A,#N/A,FALSE,"Bilan";"CR Pcg",#N/A,FALSE,"Compte de Resultat";"TGCG Pcg",#N/A,FALSE,"TGCG";#N/A,#N/A,FALSE,"Tab. de Fin.";#N/A,#N/A,FALSE,"EF-Synth."}</definedName>
    <definedName name="_____dre1" localSheetId="33" hidden="1">{#N/A,#N/A,FALSE,"Bilan";"CR Pcg",#N/A,FALSE,"Compte de Resultat";"TGCG Pcg",#N/A,FALSE,"TGCG";#N/A,#N/A,FALSE,"Tab. de Fin.";#N/A,#N/A,FALSE,"EF-Synth."}</definedName>
    <definedName name="_____dre1" localSheetId="24" hidden="1">{#N/A,#N/A,FALSE,"Bilan";"CR Pcg",#N/A,FALSE,"Compte de Resultat";"TGCG Pcg",#N/A,FALSE,"TGCG";#N/A,#N/A,FALSE,"Tab. de Fin.";#N/A,#N/A,FALSE,"EF-Synth."}</definedName>
    <definedName name="_____dre1" localSheetId="39" hidden="1">{#N/A,#N/A,FALSE,"Bilan";"CR Pcg",#N/A,FALSE,"Compte de Resultat";"TGCG Pcg",#N/A,FALSE,"TGCG";#N/A,#N/A,FALSE,"Tab. de Fin.";#N/A,#N/A,FALSE,"EF-Synth."}</definedName>
    <definedName name="_____dre1" localSheetId="2" hidden="1">{#N/A,#N/A,FALSE,"Bilan";"CR Pcg",#N/A,FALSE,"Compte de Resultat";"TGCG Pcg",#N/A,FALSE,"TGCG";#N/A,#N/A,FALSE,"Tab. de Fin.";#N/A,#N/A,FALSE,"EF-Synth."}</definedName>
    <definedName name="_____dre1" localSheetId="38" hidden="1">{#N/A,#N/A,FALSE,"Bilan";"CR Pcg",#N/A,FALSE,"Compte de Resultat";"TGCG Pcg",#N/A,FALSE,"TGCG";#N/A,#N/A,FALSE,"Tab. de Fin.";#N/A,#N/A,FALSE,"EF-Synth."}</definedName>
    <definedName name="_____dre1" localSheetId="34" hidden="1">{#N/A,#N/A,FALSE,"Bilan";"CR Pcg",#N/A,FALSE,"Compte de Resultat";"TGCG Pcg",#N/A,FALSE,"TGCG";#N/A,#N/A,FALSE,"Tab. de Fin.";#N/A,#N/A,FALSE,"EF-Synth."}</definedName>
    <definedName name="_____dre1" localSheetId="7" hidden="1">{#N/A,#N/A,FALSE,"Bilan";"CR Pcg",#N/A,FALSE,"Compte de Resultat";"TGCG Pcg",#N/A,FALSE,"TGCG";#N/A,#N/A,FALSE,"Tab. de Fin.";#N/A,#N/A,FALSE,"EF-Synth."}</definedName>
    <definedName name="_____dre1" localSheetId="4" hidden="1">{#N/A,#N/A,FALSE,"Bilan";"CR Pcg",#N/A,FALSE,"Compte de Resultat";"TGCG Pcg",#N/A,FALSE,"TGCG";#N/A,#N/A,FALSE,"Tab. de Fin.";#N/A,#N/A,FALSE,"EF-Synth."}</definedName>
    <definedName name="_____dre1" localSheetId="8" hidden="1">{#N/A,#N/A,FALSE,"Bilan";"CR Pcg",#N/A,FALSE,"Compte de Resultat";"TGCG Pcg",#N/A,FALSE,"TGCG";#N/A,#N/A,FALSE,"Tab. de Fin.";#N/A,#N/A,FALSE,"EF-Synth."}</definedName>
    <definedName name="_____dre1" localSheetId="27" hidden="1">{#N/A,#N/A,FALSE,"Bilan";"CR Pcg",#N/A,FALSE,"Compte de Resultat";"TGCG Pcg",#N/A,FALSE,"TGCG";#N/A,#N/A,FALSE,"Tab. de Fin.";#N/A,#N/A,FALSE,"EF-Synth."}</definedName>
    <definedName name="_____dre1" localSheetId="16" hidden="1">{#N/A,#N/A,FALSE,"Bilan";"CR Pcg",#N/A,FALSE,"Compte de Resultat";"TGCG Pcg",#N/A,FALSE,"TGCG";#N/A,#N/A,FALSE,"Tab. de Fin.";#N/A,#N/A,FALSE,"EF-Synth."}</definedName>
    <definedName name="_____dre1" localSheetId="23" hidden="1">{#N/A,#N/A,FALSE,"Bilan";"CR Pcg",#N/A,FALSE,"Compte de Resultat";"TGCG Pcg",#N/A,FALSE,"TGCG";#N/A,#N/A,FALSE,"Tab. de Fin.";#N/A,#N/A,FALSE,"EF-Synth."}</definedName>
    <definedName name="_____dre1" hidden="1">{#N/A,#N/A,FALSE,"Bilan";"CR Pcg",#N/A,FALSE,"Compte de Resultat";"TGCG Pcg",#N/A,FALSE,"TGCG";#N/A,#N/A,FALSE,"Tab. de Fin.";#N/A,#N/A,FALSE,"EF-Synth."}</definedName>
    <definedName name="_____IV586932" localSheetId="5">#REF!</definedName>
    <definedName name="_____IV586932" localSheetId="7">#REF!</definedName>
    <definedName name="_____IV586932" localSheetId="8">#REF!</definedName>
    <definedName name="_____R" localSheetId="5">#REF!</definedName>
    <definedName name="_____R" localSheetId="7">#REF!</definedName>
    <definedName name="_____R" localSheetId="8">#REF!</definedName>
    <definedName name="_____TAB1" localSheetId="5">#REF!</definedName>
    <definedName name="_____TAB1" localSheetId="7">#REF!</definedName>
    <definedName name="_____TAB1" localSheetId="8">#REF!</definedName>
    <definedName name="_____TAB2" localSheetId="5">#REF!</definedName>
    <definedName name="_____TAB2" localSheetId="7">#REF!</definedName>
    <definedName name="_____TAB2" localSheetId="8">#REF!</definedName>
    <definedName name="_____TAB3" localSheetId="5">#REF!</definedName>
    <definedName name="_____TAB3" localSheetId="7">#REF!</definedName>
    <definedName name="_____TAB3" localSheetId="8">#REF!</definedName>
    <definedName name="_____TAB4" localSheetId="5">#REF!</definedName>
    <definedName name="_____TAB4" localSheetId="7">#REF!</definedName>
    <definedName name="_____TAB4" localSheetId="8">#REF!</definedName>
    <definedName name="_____TAB5" localSheetId="5">#REF!</definedName>
    <definedName name="_____TAB5" localSheetId="7">#REF!</definedName>
    <definedName name="_____TAB5" localSheetId="8">#REF!</definedName>
    <definedName name="____A200519" localSheetId="5">#REF!</definedName>
    <definedName name="____A200519" localSheetId="7">#REF!</definedName>
    <definedName name="____A200519" localSheetId="8">#REF!</definedName>
    <definedName name="____BQ98" localSheetId="5">#REF!</definedName>
    <definedName name="____BQ98" localSheetId="7">#REF!</definedName>
    <definedName name="____BQ98" localSheetId="8">#REF!</definedName>
    <definedName name="____dre1" localSheetId="26" hidden="1">{#N/A,#N/A,FALSE,"Bilan";"CR Pcg",#N/A,FALSE,"Compte de Resultat";"TGCG Pcg",#N/A,FALSE,"TGCG";#N/A,#N/A,FALSE,"Tab. de Fin.";#N/A,#N/A,FALSE,"EF-Synth."}</definedName>
    <definedName name="____dre1" localSheetId="1" hidden="1">{#N/A,#N/A,FALSE,"Bilan";"CR Pcg",#N/A,FALSE,"Compte de Resultat";"TGCG Pcg",#N/A,FALSE,"TGCG";#N/A,#N/A,FALSE,"Tab. de Fin.";#N/A,#N/A,FALSE,"EF-Synth."}</definedName>
    <definedName name="____dre1" localSheetId="33" hidden="1">{#N/A,#N/A,FALSE,"Bilan";"CR Pcg",#N/A,FALSE,"Compte de Resultat";"TGCG Pcg",#N/A,FALSE,"TGCG";#N/A,#N/A,FALSE,"Tab. de Fin.";#N/A,#N/A,FALSE,"EF-Synth."}</definedName>
    <definedName name="____dre1" localSheetId="24" hidden="1">{#N/A,#N/A,FALSE,"Bilan";"CR Pcg",#N/A,FALSE,"Compte de Resultat";"TGCG Pcg",#N/A,FALSE,"TGCG";#N/A,#N/A,FALSE,"Tab. de Fin.";#N/A,#N/A,FALSE,"EF-Synth."}</definedName>
    <definedName name="____dre1" localSheetId="39" hidden="1">{#N/A,#N/A,FALSE,"Bilan";"CR Pcg",#N/A,FALSE,"Compte de Resultat";"TGCG Pcg",#N/A,FALSE,"TGCG";#N/A,#N/A,FALSE,"Tab. de Fin.";#N/A,#N/A,FALSE,"EF-Synth."}</definedName>
    <definedName name="____dre1" localSheetId="2" hidden="1">{#N/A,#N/A,FALSE,"Bilan";"CR Pcg",#N/A,FALSE,"Compte de Resultat";"TGCG Pcg",#N/A,FALSE,"TGCG";#N/A,#N/A,FALSE,"Tab. de Fin.";#N/A,#N/A,FALSE,"EF-Synth."}</definedName>
    <definedName name="____dre1" localSheetId="38" hidden="1">{#N/A,#N/A,FALSE,"Bilan";"CR Pcg",#N/A,FALSE,"Compte de Resultat";"TGCG Pcg",#N/A,FALSE,"TGCG";#N/A,#N/A,FALSE,"Tab. de Fin.";#N/A,#N/A,FALSE,"EF-Synth."}</definedName>
    <definedName name="____dre1" localSheetId="34" hidden="1">{#N/A,#N/A,FALSE,"Bilan";"CR Pcg",#N/A,FALSE,"Compte de Resultat";"TGCG Pcg",#N/A,FALSE,"TGCG";#N/A,#N/A,FALSE,"Tab. de Fin.";#N/A,#N/A,FALSE,"EF-Synth."}</definedName>
    <definedName name="____dre1" localSheetId="7" hidden="1">{#N/A,#N/A,FALSE,"Bilan";"CR Pcg",#N/A,FALSE,"Compte de Resultat";"TGCG Pcg",#N/A,FALSE,"TGCG";#N/A,#N/A,FALSE,"Tab. de Fin.";#N/A,#N/A,FALSE,"EF-Synth."}</definedName>
    <definedName name="____dre1" localSheetId="4" hidden="1">{#N/A,#N/A,FALSE,"Bilan";"CR Pcg",#N/A,FALSE,"Compte de Resultat";"TGCG Pcg",#N/A,FALSE,"TGCG";#N/A,#N/A,FALSE,"Tab. de Fin.";#N/A,#N/A,FALSE,"EF-Synth."}</definedName>
    <definedName name="____dre1" localSheetId="8" hidden="1">{#N/A,#N/A,FALSE,"Bilan";"CR Pcg",#N/A,FALSE,"Compte de Resultat";"TGCG Pcg",#N/A,FALSE,"TGCG";#N/A,#N/A,FALSE,"Tab. de Fin.";#N/A,#N/A,FALSE,"EF-Synth."}</definedName>
    <definedName name="____dre1" localSheetId="27" hidden="1">{#N/A,#N/A,FALSE,"Bilan";"CR Pcg",#N/A,FALSE,"Compte de Resultat";"TGCG Pcg",#N/A,FALSE,"TGCG";#N/A,#N/A,FALSE,"Tab. de Fin.";#N/A,#N/A,FALSE,"EF-Synth."}</definedName>
    <definedName name="____dre1" localSheetId="16" hidden="1">{#N/A,#N/A,FALSE,"Bilan";"CR Pcg",#N/A,FALSE,"Compte de Resultat";"TGCG Pcg",#N/A,FALSE,"TGCG";#N/A,#N/A,FALSE,"Tab. de Fin.";#N/A,#N/A,FALSE,"EF-Synth."}</definedName>
    <definedName name="____dre1" localSheetId="23" hidden="1">{#N/A,#N/A,FALSE,"Bilan";"CR Pcg",#N/A,FALSE,"Compte de Resultat";"TGCG Pcg",#N/A,FALSE,"TGCG";#N/A,#N/A,FALSE,"Tab. de Fin.";#N/A,#N/A,FALSE,"EF-Synth."}</definedName>
    <definedName name="____dre1" hidden="1">{#N/A,#N/A,FALSE,"Bilan";"CR Pcg",#N/A,FALSE,"Compte de Resultat";"TGCG Pcg",#N/A,FALSE,"TGCG";#N/A,#N/A,FALSE,"Tab. de Fin.";#N/A,#N/A,FALSE,"EF-Synth."}</definedName>
    <definedName name="____IV586932" localSheetId="5">#REF!</definedName>
    <definedName name="____IV586932" localSheetId="7">#REF!</definedName>
    <definedName name="____IV586932" localSheetId="8">#REF!</definedName>
    <definedName name="____R" localSheetId="5">#REF!</definedName>
    <definedName name="____R" localSheetId="7">#REF!</definedName>
    <definedName name="____R" localSheetId="8">#REF!</definedName>
    <definedName name="____TAB1" localSheetId="5">#REF!</definedName>
    <definedName name="____TAB1" localSheetId="7">#REF!</definedName>
    <definedName name="____TAB1" localSheetId="8">#REF!</definedName>
    <definedName name="____TAB2" localSheetId="5">#REF!</definedName>
    <definedName name="____TAB2" localSheetId="7">#REF!</definedName>
    <definedName name="____TAB2" localSheetId="8">#REF!</definedName>
    <definedName name="____TAB3" localSheetId="5">#REF!</definedName>
    <definedName name="____TAB3" localSheetId="7">#REF!</definedName>
    <definedName name="____TAB3" localSheetId="8">#REF!</definedName>
    <definedName name="____TAB4" localSheetId="5">#REF!</definedName>
    <definedName name="____TAB4" localSheetId="7">#REF!</definedName>
    <definedName name="____TAB4" localSheetId="8">#REF!</definedName>
    <definedName name="____TAB5" localSheetId="5">#REF!</definedName>
    <definedName name="____TAB5" localSheetId="7">#REF!</definedName>
    <definedName name="____TAB5" localSheetId="8">#REF!</definedName>
    <definedName name="___A200519" localSheetId="5">#REF!</definedName>
    <definedName name="___A200519" localSheetId="7">#REF!</definedName>
    <definedName name="___A200519" localSheetId="8">#REF!</definedName>
    <definedName name="___APR2006" localSheetId="5">#REF!</definedName>
    <definedName name="___APR2006" localSheetId="7">#REF!</definedName>
    <definedName name="___APR2006" localSheetId="8">#REF!</definedName>
    <definedName name="___APR2008" localSheetId="5">#REF!</definedName>
    <definedName name="___APR2008" localSheetId="7">#REF!</definedName>
    <definedName name="___APR2008" localSheetId="8">#REF!</definedName>
    <definedName name="___BQ98" localSheetId="5">#REF!</definedName>
    <definedName name="___BQ98" localSheetId="7">#REF!</definedName>
    <definedName name="___dd1" localSheetId="7">#N/A</definedName>
    <definedName name="___dd1" localSheetId="8">IF(#REF!&lt;&gt;"",DATE(YEAR('Org (2)'!First_payment_due),MONTH('Org (2)'!First_payment_due)+(#REF!-1)*12/'Org (2)'!Payments_per_year,DAY('Org (2)'!First_payment_due)),"")</definedName>
    <definedName name="___Det1" localSheetId="7">#REF!</definedName>
    <definedName name="___Det1" localSheetId="8">#REF!</definedName>
    <definedName name="___Det10" localSheetId="7">#REF!</definedName>
    <definedName name="___Det10" localSheetId="8">#REF!</definedName>
    <definedName name="___Det11" localSheetId="7">#REF!</definedName>
    <definedName name="___Det11" localSheetId="8">#REF!</definedName>
    <definedName name="___Det12" localSheetId="7">#REF!</definedName>
    <definedName name="___Det12" localSheetId="8">#REF!</definedName>
    <definedName name="___Det13" localSheetId="7">#REF!</definedName>
    <definedName name="___Det13" localSheetId="8">#REF!</definedName>
    <definedName name="___Det14" localSheetId="7">#REF!</definedName>
    <definedName name="___Det14" localSheetId="8">#REF!</definedName>
    <definedName name="___Det15" localSheetId="7">#REF!</definedName>
    <definedName name="___Det15" localSheetId="8">#REF!</definedName>
    <definedName name="___Det16" localSheetId="7">#REF!</definedName>
    <definedName name="___Det16" localSheetId="8">#REF!</definedName>
    <definedName name="___Det2" localSheetId="7">#REF!</definedName>
    <definedName name="___Det2" localSheetId="8">#REF!</definedName>
    <definedName name="___Det3" localSheetId="7">#REF!</definedName>
    <definedName name="___Det3" localSheetId="8">#REF!</definedName>
    <definedName name="___Det4" localSheetId="7">#REF!</definedName>
    <definedName name="___Det4" localSheetId="8">#REF!</definedName>
    <definedName name="___Det5" localSheetId="7">#REF!</definedName>
    <definedName name="___Det5" localSheetId="8">#REF!</definedName>
    <definedName name="___Det6" localSheetId="7">#REF!</definedName>
    <definedName name="___Det6" localSheetId="8">#REF!</definedName>
    <definedName name="___Det7" localSheetId="7">#REF!</definedName>
    <definedName name="___Det7" localSheetId="8">#REF!</definedName>
    <definedName name="___Det8" localSheetId="7">#REF!</definedName>
    <definedName name="___Det8" localSheetId="8">#REF!</definedName>
    <definedName name="___Det9" localSheetId="7">#REF!</definedName>
    <definedName name="___Det9" localSheetId="8">#REF!</definedName>
    <definedName name="___DGE1" localSheetId="7">#REF!</definedName>
    <definedName name="___DGE1" localSheetId="8">#REF!</definedName>
    <definedName name="___DGE10" localSheetId="7">#REF!</definedName>
    <definedName name="___DGE10" localSheetId="8">#REF!</definedName>
    <definedName name="___DGE11" localSheetId="7">#REF!</definedName>
    <definedName name="___DGE11" localSheetId="8">#REF!</definedName>
    <definedName name="___DGE12" localSheetId="7">#REF!</definedName>
    <definedName name="___DGE12" localSheetId="8">#REF!</definedName>
    <definedName name="___DGE13" localSheetId="7">#REF!</definedName>
    <definedName name="___DGE13" localSheetId="8">#REF!</definedName>
    <definedName name="___DGE14" localSheetId="7">#REF!</definedName>
    <definedName name="___DGE14" localSheetId="8">#REF!</definedName>
    <definedName name="___DGE2" localSheetId="7">#REF!</definedName>
    <definedName name="___DGE2" localSheetId="8">#REF!</definedName>
    <definedName name="___DGE3" localSheetId="7">#REF!</definedName>
    <definedName name="___DGE3" localSheetId="8">#REF!</definedName>
    <definedName name="___DGE4" localSheetId="7">#REF!</definedName>
    <definedName name="___DGE4" localSheetId="8">#REF!</definedName>
    <definedName name="___DGE5" localSheetId="7">#REF!</definedName>
    <definedName name="___DGE5" localSheetId="8">#REF!</definedName>
    <definedName name="___DGE6" localSheetId="7">#REF!</definedName>
    <definedName name="___DGE6" localSheetId="8">#REF!</definedName>
    <definedName name="___DGE7" localSheetId="7">#REF!</definedName>
    <definedName name="___DGE7" localSheetId="8">#REF!</definedName>
    <definedName name="___DGE8" localSheetId="7">#REF!</definedName>
    <definedName name="___DGE8" localSheetId="8">#REF!</definedName>
    <definedName name="___DGE9" localSheetId="7">#REF!</definedName>
    <definedName name="___DGE9" localSheetId="8">#REF!</definedName>
    <definedName name="___dre1" localSheetId="26" hidden="1">{#N/A,#N/A,FALSE,"Bilan";"CR Pcg",#N/A,FALSE,"Compte de Resultat";"TGCG Pcg",#N/A,FALSE,"TGCG";#N/A,#N/A,FALSE,"Tab. de Fin.";#N/A,#N/A,FALSE,"EF-Synth."}</definedName>
    <definedName name="___dre1" localSheetId="1" hidden="1">{#N/A,#N/A,FALSE,"Bilan";"CR Pcg",#N/A,FALSE,"Compte de Resultat";"TGCG Pcg",#N/A,FALSE,"TGCG";#N/A,#N/A,FALSE,"Tab. de Fin.";#N/A,#N/A,FALSE,"EF-Synth."}</definedName>
    <definedName name="___dre1" localSheetId="33" hidden="1">{#N/A,#N/A,FALSE,"Bilan";"CR Pcg",#N/A,FALSE,"Compte de Resultat";"TGCG Pcg",#N/A,FALSE,"TGCG";#N/A,#N/A,FALSE,"Tab. de Fin.";#N/A,#N/A,FALSE,"EF-Synth."}</definedName>
    <definedName name="___dre1" localSheetId="24" hidden="1">{#N/A,#N/A,FALSE,"Bilan";"CR Pcg",#N/A,FALSE,"Compte de Resultat";"TGCG Pcg",#N/A,FALSE,"TGCG";#N/A,#N/A,FALSE,"Tab. de Fin.";#N/A,#N/A,FALSE,"EF-Synth."}</definedName>
    <definedName name="___dre1" localSheetId="39" hidden="1">{#N/A,#N/A,FALSE,"Bilan";"CR Pcg",#N/A,FALSE,"Compte de Resultat";"TGCG Pcg",#N/A,FALSE,"TGCG";#N/A,#N/A,FALSE,"Tab. de Fin.";#N/A,#N/A,FALSE,"EF-Synth."}</definedName>
    <definedName name="___dre1" localSheetId="2" hidden="1">{#N/A,#N/A,FALSE,"Bilan";"CR Pcg",#N/A,FALSE,"Compte de Resultat";"TGCG Pcg",#N/A,FALSE,"TGCG";#N/A,#N/A,FALSE,"Tab. de Fin.";#N/A,#N/A,FALSE,"EF-Synth."}</definedName>
    <definedName name="___dre1" localSheetId="38" hidden="1">{#N/A,#N/A,FALSE,"Bilan";"CR Pcg",#N/A,FALSE,"Compte de Resultat";"TGCG Pcg",#N/A,FALSE,"TGCG";#N/A,#N/A,FALSE,"Tab. de Fin.";#N/A,#N/A,FALSE,"EF-Synth."}</definedName>
    <definedName name="___dre1" localSheetId="34" hidden="1">{#N/A,#N/A,FALSE,"Bilan";"CR Pcg",#N/A,FALSE,"Compte de Resultat";"TGCG Pcg",#N/A,FALSE,"TGCG";#N/A,#N/A,FALSE,"Tab. de Fin.";#N/A,#N/A,FALSE,"EF-Synth."}</definedName>
    <definedName name="___dre1" localSheetId="7" hidden="1">{#N/A,#N/A,FALSE,"Bilan";"CR Pcg",#N/A,FALSE,"Compte de Resultat";"TGCG Pcg",#N/A,FALSE,"TGCG";#N/A,#N/A,FALSE,"Tab. de Fin.";#N/A,#N/A,FALSE,"EF-Synth."}</definedName>
    <definedName name="___dre1" localSheetId="4" hidden="1">{#N/A,#N/A,FALSE,"Bilan";"CR Pcg",#N/A,FALSE,"Compte de Resultat";"TGCG Pcg",#N/A,FALSE,"TGCG";#N/A,#N/A,FALSE,"Tab. de Fin.";#N/A,#N/A,FALSE,"EF-Synth."}</definedName>
    <definedName name="___dre1" localSheetId="8" hidden="1">{#N/A,#N/A,FALSE,"Bilan";"CR Pcg",#N/A,FALSE,"Compte de Resultat";"TGCG Pcg",#N/A,FALSE,"TGCG";#N/A,#N/A,FALSE,"Tab. de Fin.";#N/A,#N/A,FALSE,"EF-Synth."}</definedName>
    <definedName name="___dre1" localSheetId="27" hidden="1">{#N/A,#N/A,FALSE,"Bilan";"CR Pcg",#N/A,FALSE,"Compte de Resultat";"TGCG Pcg",#N/A,FALSE,"TGCG";#N/A,#N/A,FALSE,"Tab. de Fin.";#N/A,#N/A,FALSE,"EF-Synth."}</definedName>
    <definedName name="___dre1" localSheetId="16" hidden="1">{#N/A,#N/A,FALSE,"Bilan";"CR Pcg",#N/A,FALSE,"Compte de Resultat";"TGCG Pcg",#N/A,FALSE,"TGCG";#N/A,#N/A,FALSE,"Tab. de Fin.";#N/A,#N/A,FALSE,"EF-Synth."}</definedName>
    <definedName name="___dre1" localSheetId="23" hidden="1">{#N/A,#N/A,FALSE,"Bilan";"CR Pcg",#N/A,FALSE,"Compte de Resultat";"TGCG Pcg",#N/A,FALSE,"TGCG";#N/A,#N/A,FALSE,"Tab. de Fin.";#N/A,#N/A,FALSE,"EF-Synth."}</definedName>
    <definedName name="___dre1" hidden="1">{#N/A,#N/A,FALSE,"Bilan";"CR Pcg",#N/A,FALSE,"Compte de Resultat";"TGCG Pcg",#N/A,FALSE,"TGCG";#N/A,#N/A,FALSE,"Tab. de Fin.";#N/A,#N/A,FALSE,"EF-Synth."}</definedName>
    <definedName name="___IV586932" localSheetId="5">#REF!</definedName>
    <definedName name="___IV586932" localSheetId="7">#REF!</definedName>
    <definedName name="___IV586932" localSheetId="8">#REF!</definedName>
    <definedName name="___R" localSheetId="5">#REF!</definedName>
    <definedName name="___R" localSheetId="7">#REF!</definedName>
    <definedName name="___R" localSheetId="8">#REF!</definedName>
    <definedName name="___SRH1" localSheetId="7">#REF!</definedName>
    <definedName name="___SRH1" localSheetId="8">#REF!</definedName>
    <definedName name="___SRH2" localSheetId="7">#REF!</definedName>
    <definedName name="___SRH2" localSheetId="8">#REF!</definedName>
    <definedName name="___SRH3" localSheetId="7">#REF!</definedName>
    <definedName name="___SRH3" localSheetId="8">#REF!</definedName>
    <definedName name="___SRH4" localSheetId="7">#REF!</definedName>
    <definedName name="___SRH4" localSheetId="8">#REF!</definedName>
    <definedName name="___TAB1" localSheetId="5">#REF!</definedName>
    <definedName name="___TAB1" localSheetId="7">#REF!</definedName>
    <definedName name="___TAB1" localSheetId="8">#REF!</definedName>
    <definedName name="___TAB2" localSheetId="5">#REF!</definedName>
    <definedName name="___TAB2" localSheetId="7">#REF!</definedName>
    <definedName name="___TAB2" localSheetId="8">#REF!</definedName>
    <definedName name="___TAB3" localSheetId="5">#REF!</definedName>
    <definedName name="___TAB3" localSheetId="7">#REF!</definedName>
    <definedName name="___TAB3" localSheetId="8">#REF!</definedName>
    <definedName name="___TAB4" localSheetId="5">#REF!</definedName>
    <definedName name="___TAB4" localSheetId="7">#REF!</definedName>
    <definedName name="___TAB4" localSheetId="8">#REF!</definedName>
    <definedName name="___TAB5" localSheetId="5">#REF!</definedName>
    <definedName name="___TAB5" localSheetId="7">#REF!</definedName>
    <definedName name="___TAB5" localSheetId="8">#REF!</definedName>
    <definedName name="__A200519" localSheetId="5">#REF!</definedName>
    <definedName name="__A200519" localSheetId="7">#REF!</definedName>
    <definedName name="__A200519" localSheetId="8">#REF!</definedName>
    <definedName name="__BQ98" localSheetId="5">#REF!</definedName>
    <definedName name="__BQ98" localSheetId="7">#REF!</definedName>
    <definedName name="__Det1" localSheetId="7">#REF!</definedName>
    <definedName name="__Det1" localSheetId="8">#REF!</definedName>
    <definedName name="__Det10" localSheetId="7">#REF!</definedName>
    <definedName name="__Det10" localSheetId="8">#REF!</definedName>
    <definedName name="__Det11" localSheetId="7">#REF!</definedName>
    <definedName name="__Det11" localSheetId="8">#REF!</definedName>
    <definedName name="__Det12" localSheetId="7">#REF!</definedName>
    <definedName name="__Det12" localSheetId="8">#REF!</definedName>
    <definedName name="__Det13" localSheetId="7">#REF!</definedName>
    <definedName name="__Det13" localSheetId="8">#REF!</definedName>
    <definedName name="__Det14" localSheetId="7">#REF!</definedName>
    <definedName name="__Det14" localSheetId="8">#REF!</definedName>
    <definedName name="__Det15" localSheetId="7">#REF!</definedName>
    <definedName name="__Det15" localSheetId="8">#REF!</definedName>
    <definedName name="__Det16" localSheetId="7">#REF!</definedName>
    <definedName name="__Det16" localSheetId="8">#REF!</definedName>
    <definedName name="__Det2" localSheetId="7">#REF!</definedName>
    <definedName name="__Det2" localSheetId="8">#REF!</definedName>
    <definedName name="__Det3" localSheetId="7">#REF!</definedName>
    <definedName name="__Det3" localSheetId="8">#REF!</definedName>
    <definedName name="__Det4" localSheetId="7">#REF!</definedName>
    <definedName name="__Det4" localSheetId="8">#REF!</definedName>
    <definedName name="__Det5" localSheetId="7">#REF!</definedName>
    <definedName name="__Det5" localSheetId="8">#REF!</definedName>
    <definedName name="__Det6" localSheetId="7">#REF!</definedName>
    <definedName name="__Det6" localSheetId="8">#REF!</definedName>
    <definedName name="__Det7" localSheetId="7">#REF!</definedName>
    <definedName name="__Det7" localSheetId="8">#REF!</definedName>
    <definedName name="__Det8" localSheetId="7">#REF!</definedName>
    <definedName name="__Det8" localSheetId="8">#REF!</definedName>
    <definedName name="__Det9" localSheetId="7">#REF!</definedName>
    <definedName name="__Det9" localSheetId="8">#REF!</definedName>
    <definedName name="__DGE1" localSheetId="7">#REF!</definedName>
    <definedName name="__DGE1" localSheetId="8">#REF!</definedName>
    <definedName name="__DGE10" localSheetId="7">#REF!</definedName>
    <definedName name="__DGE10" localSheetId="8">#REF!</definedName>
    <definedName name="__DGE11" localSheetId="7">#REF!</definedName>
    <definedName name="__DGE11" localSheetId="8">#REF!</definedName>
    <definedName name="__DGE12" localSheetId="7">#REF!</definedName>
    <definedName name="__DGE12" localSheetId="8">#REF!</definedName>
    <definedName name="__DGE13" localSheetId="7">#REF!</definedName>
    <definedName name="__DGE13" localSheetId="8">#REF!</definedName>
    <definedName name="__DGE14" localSheetId="7">#REF!</definedName>
    <definedName name="__DGE14" localSheetId="8">#REF!</definedName>
    <definedName name="__DGE2" localSheetId="7">#REF!</definedName>
    <definedName name="__DGE2" localSheetId="8">#REF!</definedName>
    <definedName name="__DGE3" localSheetId="7">#REF!</definedName>
    <definedName name="__DGE3" localSheetId="8">#REF!</definedName>
    <definedName name="__DGE4" localSheetId="7">#REF!</definedName>
    <definedName name="__DGE4" localSheetId="8">#REF!</definedName>
    <definedName name="__DGE5" localSheetId="7">#REF!</definedName>
    <definedName name="__DGE5" localSheetId="8">#REF!</definedName>
    <definedName name="__DGE6" localSheetId="7">#REF!</definedName>
    <definedName name="__DGE6" localSheetId="8">#REF!</definedName>
    <definedName name="__DGE7" localSheetId="7">#REF!</definedName>
    <definedName name="__DGE7" localSheetId="8">#REF!</definedName>
    <definedName name="__DGE8" localSheetId="7">#REF!</definedName>
    <definedName name="__DGE8" localSheetId="8">#REF!</definedName>
    <definedName name="__DGE9" localSheetId="7">#REF!</definedName>
    <definedName name="__DGE9" localSheetId="8">#REF!</definedName>
    <definedName name="__DNO1" localSheetId="7">#REF!</definedName>
    <definedName name="__DNO1" localSheetId="8">#REF!</definedName>
    <definedName name="__DNO10" localSheetId="7">#REF!</definedName>
    <definedName name="__DNO10" localSheetId="8">#REF!</definedName>
    <definedName name="__DNO11" localSheetId="7">#REF!</definedName>
    <definedName name="__DNO11" localSheetId="8">#REF!</definedName>
    <definedName name="__DNO12" localSheetId="7">#REF!</definedName>
    <definedName name="__DNO12" localSheetId="8">#REF!</definedName>
    <definedName name="__DNO13" localSheetId="7">#REF!</definedName>
    <definedName name="__DNO13" localSheetId="8">#REF!</definedName>
    <definedName name="__DNO14" localSheetId="7">#REF!</definedName>
    <definedName name="__DNO14" localSheetId="8">#REF!</definedName>
    <definedName name="__DNO2" localSheetId="7">#REF!</definedName>
    <definedName name="__DNO2" localSheetId="8">#REF!</definedName>
    <definedName name="__DNO3" localSheetId="7">#REF!</definedName>
    <definedName name="__DNO3" localSheetId="8">#REF!</definedName>
    <definedName name="__DNO4" localSheetId="7">#REF!</definedName>
    <definedName name="__DNO4" localSheetId="8">#REF!</definedName>
    <definedName name="__DNO5" localSheetId="7">#REF!</definedName>
    <definedName name="__DNO5" localSheetId="8">#REF!</definedName>
    <definedName name="__DNO6" localSheetId="7">#REF!</definedName>
    <definedName name="__DNO6" localSheetId="8">#REF!</definedName>
    <definedName name="__DNO7" localSheetId="7">#REF!</definedName>
    <definedName name="__DNO7" localSheetId="8">#REF!</definedName>
    <definedName name="__DNO8" localSheetId="7">#REF!</definedName>
    <definedName name="__DNO8" localSheetId="8">#REF!</definedName>
    <definedName name="__DNO9" localSheetId="7">#REF!</definedName>
    <definedName name="__DNO9" localSheetId="8">#REF!</definedName>
    <definedName name="__dre1" localSheetId="26" hidden="1">{#N/A,#N/A,FALSE,"Bilan";"CR Pcg",#N/A,FALSE,"Compte de Resultat";"TGCG Pcg",#N/A,FALSE,"TGCG";#N/A,#N/A,FALSE,"Tab. de Fin.";#N/A,#N/A,FALSE,"EF-Synth."}</definedName>
    <definedName name="__dre1" localSheetId="1" hidden="1">{#N/A,#N/A,FALSE,"Bilan";"CR Pcg",#N/A,FALSE,"Compte de Resultat";"TGCG Pcg",#N/A,FALSE,"TGCG";#N/A,#N/A,FALSE,"Tab. de Fin.";#N/A,#N/A,FALSE,"EF-Synth."}</definedName>
    <definedName name="__dre1" localSheetId="33" hidden="1">{#N/A,#N/A,FALSE,"Bilan";"CR Pcg",#N/A,FALSE,"Compte de Resultat";"TGCG Pcg",#N/A,FALSE,"TGCG";#N/A,#N/A,FALSE,"Tab. de Fin.";#N/A,#N/A,FALSE,"EF-Synth."}</definedName>
    <definedName name="__dre1" localSheetId="24" hidden="1">{#N/A,#N/A,FALSE,"Bilan";"CR Pcg",#N/A,FALSE,"Compte de Resultat";"TGCG Pcg",#N/A,FALSE,"TGCG";#N/A,#N/A,FALSE,"Tab. de Fin.";#N/A,#N/A,FALSE,"EF-Synth."}</definedName>
    <definedName name="__dre1" localSheetId="39" hidden="1">{#N/A,#N/A,FALSE,"Bilan";"CR Pcg",#N/A,FALSE,"Compte de Resultat";"TGCG Pcg",#N/A,FALSE,"TGCG";#N/A,#N/A,FALSE,"Tab. de Fin.";#N/A,#N/A,FALSE,"EF-Synth."}</definedName>
    <definedName name="__dre1" localSheetId="2" hidden="1">{#N/A,#N/A,FALSE,"Bilan";"CR Pcg",#N/A,FALSE,"Compte de Resultat";"TGCG Pcg",#N/A,FALSE,"TGCG";#N/A,#N/A,FALSE,"Tab. de Fin.";#N/A,#N/A,FALSE,"EF-Synth."}</definedName>
    <definedName name="__dre1" localSheetId="38" hidden="1">{#N/A,#N/A,FALSE,"Bilan";"CR Pcg",#N/A,FALSE,"Compte de Resultat";"TGCG Pcg",#N/A,FALSE,"TGCG";#N/A,#N/A,FALSE,"Tab. de Fin.";#N/A,#N/A,FALSE,"EF-Synth."}</definedName>
    <definedName name="__dre1" localSheetId="34" hidden="1">{#N/A,#N/A,FALSE,"Bilan";"CR Pcg",#N/A,FALSE,"Compte de Resultat";"TGCG Pcg",#N/A,FALSE,"TGCG";#N/A,#N/A,FALSE,"Tab. de Fin.";#N/A,#N/A,FALSE,"EF-Synth."}</definedName>
    <definedName name="__dre1" localSheetId="7" hidden="1">{#N/A,#N/A,FALSE,"Bilan";"CR Pcg",#N/A,FALSE,"Compte de Resultat";"TGCG Pcg",#N/A,FALSE,"TGCG";#N/A,#N/A,FALSE,"Tab. de Fin.";#N/A,#N/A,FALSE,"EF-Synth."}</definedName>
    <definedName name="__dre1" localSheetId="4" hidden="1">{#N/A,#N/A,FALSE,"Bilan";"CR Pcg",#N/A,FALSE,"Compte de Resultat";"TGCG Pcg",#N/A,FALSE,"TGCG";#N/A,#N/A,FALSE,"Tab. de Fin.";#N/A,#N/A,FALSE,"EF-Synth."}</definedName>
    <definedName name="__dre1" localSheetId="8" hidden="1">{#N/A,#N/A,FALSE,"Bilan";"CR Pcg",#N/A,FALSE,"Compte de Resultat";"TGCG Pcg",#N/A,FALSE,"TGCG";#N/A,#N/A,FALSE,"Tab. de Fin.";#N/A,#N/A,FALSE,"EF-Synth."}</definedName>
    <definedName name="__dre1" localSheetId="27" hidden="1">{#N/A,#N/A,FALSE,"Bilan";"CR Pcg",#N/A,FALSE,"Compte de Resultat";"TGCG Pcg",#N/A,FALSE,"TGCG";#N/A,#N/A,FALSE,"Tab. de Fin.";#N/A,#N/A,FALSE,"EF-Synth."}</definedName>
    <definedName name="__dre1" localSheetId="16" hidden="1">{#N/A,#N/A,FALSE,"Bilan";"CR Pcg",#N/A,FALSE,"Compte de Resultat";"TGCG Pcg",#N/A,FALSE,"TGCG";#N/A,#N/A,FALSE,"Tab. de Fin.";#N/A,#N/A,FALSE,"EF-Synth."}</definedName>
    <definedName name="__dre1" localSheetId="23" hidden="1">{#N/A,#N/A,FALSE,"Bilan";"CR Pcg",#N/A,FALSE,"Compte de Resultat";"TGCG Pcg",#N/A,FALSE,"TGCG";#N/A,#N/A,FALSE,"Tab. de Fin.";#N/A,#N/A,FALSE,"EF-Synth."}</definedName>
    <definedName name="__dre1" hidden="1">{#N/A,#N/A,FALSE,"Bilan";"CR Pcg",#N/A,FALSE,"Compte de Resultat";"TGCG Pcg",#N/A,FALSE,"TGCG";#N/A,#N/A,FALSE,"Tab. de Fin.";#N/A,#N/A,FALSE,"EF-Synth."}</definedName>
    <definedName name="__IV586932" localSheetId="5">#REF!</definedName>
    <definedName name="__IV586932" localSheetId="7">#REF!</definedName>
    <definedName name="__IV586932" localSheetId="8">#REF!</definedName>
    <definedName name="__PL03" localSheetId="5">#REF!</definedName>
    <definedName name="__PL03" localSheetId="7">#REF!</definedName>
    <definedName name="__PL03" localSheetId="8">#REF!</definedName>
    <definedName name="__PL2003" localSheetId="5">#REF!</definedName>
    <definedName name="__PL2003" localSheetId="7">#REF!</definedName>
    <definedName name="__PL2003" localSheetId="8">#REF!</definedName>
    <definedName name="__PY1" localSheetId="5">#REF!</definedName>
    <definedName name="__PY1" localSheetId="7">#REF!</definedName>
    <definedName name="__PY1" localSheetId="8">#REF!</definedName>
    <definedName name="__R" localSheetId="5">#REF!</definedName>
    <definedName name="__R" localSheetId="7">#REF!</definedName>
    <definedName name="__R" localSheetId="8">#REF!</definedName>
    <definedName name="__SRH1" localSheetId="7">#REF!</definedName>
    <definedName name="__SRH1" localSheetId="8">#REF!</definedName>
    <definedName name="__SRH2" localSheetId="7">#REF!</definedName>
    <definedName name="__SRH2" localSheetId="8">#REF!</definedName>
    <definedName name="__SRH3" localSheetId="7">#REF!</definedName>
    <definedName name="__SRH3" localSheetId="8">#REF!</definedName>
    <definedName name="__SRH4" localSheetId="7">#REF!</definedName>
    <definedName name="__SRH4" localSheetId="8">#REF!</definedName>
    <definedName name="__TAB1" localSheetId="5">#REF!</definedName>
    <definedName name="__TAB1" localSheetId="7">#REF!</definedName>
    <definedName name="__TAB1" localSheetId="8">#REF!</definedName>
    <definedName name="__TAB2" localSheetId="5">#REF!</definedName>
    <definedName name="__TAB2" localSheetId="7">#REF!</definedName>
    <definedName name="__TAB2" localSheetId="8">#REF!</definedName>
    <definedName name="__TAB3" localSheetId="5">#REF!</definedName>
    <definedName name="__TAB3" localSheetId="7">#REF!</definedName>
    <definedName name="__TAB3" localSheetId="8">#REF!</definedName>
    <definedName name="__TAB4" localSheetId="5">#REF!</definedName>
    <definedName name="__TAB4" localSheetId="7">#REF!</definedName>
    <definedName name="__TAB4" localSheetId="8">#REF!</definedName>
    <definedName name="__TAB5" localSheetId="5">#REF!</definedName>
    <definedName name="__TAB5" localSheetId="7">#REF!</definedName>
    <definedName name="__TAB5" localSheetId="8">#REF!</definedName>
    <definedName name="_08_12_97" localSheetId="5">#REF!</definedName>
    <definedName name="_08_12_97" localSheetId="7">#REF!</definedName>
    <definedName name="_08_12_97" localSheetId="8">#REF!</definedName>
    <definedName name="_1___MARGE_COMMERCIALE" localSheetId="5">#REF!</definedName>
    <definedName name="_1___MARGE_COMMERCIALE" localSheetId="7">#REF!</definedName>
    <definedName name="_1___MARGE_COMMERCIALE" localSheetId="8">#REF!</definedName>
    <definedName name="_10___RESULTAT_NET_DE_L_EXERCICE" localSheetId="5">#REF!</definedName>
    <definedName name="_10___RESULTAT_NET_DE_L_EXERCICE" localSheetId="7">#REF!</definedName>
    <definedName name="_10___RESULTAT_NET_DE_L_EXERCICE" localSheetId="8">#REF!</definedName>
    <definedName name="_2___PRODUCTION_DE_L_EXERCICE" localSheetId="5">#REF!</definedName>
    <definedName name="_2___PRODUCTION_DE_L_EXERCICE" localSheetId="7">#REF!</definedName>
    <definedName name="_2___PRODUCTION_DE_L_EXERCICE" localSheetId="8">#REF!</definedName>
    <definedName name="_3___CONSOMMATIONS_INTERMEDIAIRES" localSheetId="5">#REF!</definedName>
    <definedName name="_3___CONSOMMATIONS_INTERMEDIAIRES" localSheetId="7">#REF!</definedName>
    <definedName name="_3___CONSOMMATIONS_INTERMEDIAIRES" localSheetId="8">#REF!</definedName>
    <definedName name="_4___VALEUR_AJOUTEE" localSheetId="5">#REF!</definedName>
    <definedName name="_4___VALEUR_AJOUTEE" localSheetId="7">#REF!</definedName>
    <definedName name="_4___VALEUR_AJOUTEE" localSheetId="8">#REF!</definedName>
    <definedName name="_5___EXCEDENT_BRUT_D_EXPLOITATION" localSheetId="5">#REF!</definedName>
    <definedName name="_5___EXCEDENT_BRUT_D_EXPLOITATION" localSheetId="7">#REF!</definedName>
    <definedName name="_5___EXCEDENT_BRUT_D_EXPLOITATION" localSheetId="8">#REF!</definedName>
    <definedName name="_6___RESULTAT_D_EXPLOITATION" localSheetId="5">#REF!</definedName>
    <definedName name="_6___RESULTAT_D_EXPLOITATION" localSheetId="7">#REF!</definedName>
    <definedName name="_6___RESULTAT_D_EXPLOITATION" localSheetId="8">#REF!</definedName>
    <definedName name="_7___RESULTAT_FINANCIER" localSheetId="5">#REF!</definedName>
    <definedName name="_7___RESULTAT_FINANCIER" localSheetId="7">#REF!</definedName>
    <definedName name="_7___RESULTAT_FINANCIER" localSheetId="8">#REF!</definedName>
    <definedName name="_8___RESULTAT_EXCEPTIONNEL" localSheetId="5">#REF!</definedName>
    <definedName name="_8___RESULTAT_EXCEPTIONNEL" localSheetId="7">#REF!</definedName>
    <definedName name="_8___RESULTAT_EXCEPTIONNEL" localSheetId="8">#REF!</definedName>
    <definedName name="_9___RESULTAT_AVANT_IMPOT" localSheetId="5">#REF!</definedName>
    <definedName name="_9___RESULTAT_AVANT_IMPOT" localSheetId="7">#REF!</definedName>
    <definedName name="_9___RESULTAT_AVANT_IMPOT" localSheetId="8">#REF!</definedName>
    <definedName name="_A200519" localSheetId="5">#REF!</definedName>
    <definedName name="_A200519" localSheetId="7">#REF!</definedName>
    <definedName name="_A200519" localSheetId="8">#REF!</definedName>
    <definedName name="_APR2006" localSheetId="5">#REF!</definedName>
    <definedName name="_APR2006" localSheetId="7">#REF!</definedName>
    <definedName name="_APR2006" localSheetId="8">#REF!</definedName>
    <definedName name="_APR2008" localSheetId="5">#REF!</definedName>
    <definedName name="_APR2008" localSheetId="7">#REF!</definedName>
    <definedName name="_APR2008" localSheetId="8">#REF!</definedName>
    <definedName name="_bal1" localSheetId="5">#REF!</definedName>
    <definedName name="_bal1" localSheetId="7">#REF!</definedName>
    <definedName name="_BQ98" localSheetId="5">#REF!</definedName>
    <definedName name="_BQ98" localSheetId="7">#REF!</definedName>
    <definedName name="_BQ98" localSheetId="8">#REF!</definedName>
    <definedName name="_dd1" localSheetId="7">#N/A</definedName>
    <definedName name="_dd1" localSheetId="8">IF(#REF!&lt;&gt;"",DATE(YEAR('Org (2)'!First_payment_due),MONTH('Org (2)'!First_payment_due)+(#REF!-1)*12/'Org (2)'!Payments_per_year,DAY('Org (2)'!First_payment_due)),"")</definedName>
    <definedName name="_Det1" localSheetId="7">#REF!</definedName>
    <definedName name="_Det1" localSheetId="8">#REF!</definedName>
    <definedName name="_Det10" localSheetId="7">#REF!</definedName>
    <definedName name="_Det10" localSheetId="8">#REF!</definedName>
    <definedName name="_Det11" localSheetId="7">#REF!</definedName>
    <definedName name="_Det11" localSheetId="8">#REF!</definedName>
    <definedName name="_Det12" localSheetId="7">#REF!</definedName>
    <definedName name="_Det12" localSheetId="8">#REF!</definedName>
    <definedName name="_Det13" localSheetId="7">#REF!</definedName>
    <definedName name="_Det13" localSheetId="8">#REF!</definedName>
    <definedName name="_Det14" localSheetId="7">#REF!</definedName>
    <definedName name="_Det14" localSheetId="8">#REF!</definedName>
    <definedName name="_Det15" localSheetId="7">#REF!</definedName>
    <definedName name="_Det15" localSheetId="8">#REF!</definedName>
    <definedName name="_Det16" localSheetId="7">#REF!</definedName>
    <definedName name="_Det16" localSheetId="8">#REF!</definedName>
    <definedName name="_Det2" localSheetId="7">#REF!</definedName>
    <definedName name="_Det2" localSheetId="8">#REF!</definedName>
    <definedName name="_Det3" localSheetId="7">#REF!</definedName>
    <definedName name="_Det3" localSheetId="8">#REF!</definedName>
    <definedName name="_Det4" localSheetId="7">#REF!</definedName>
    <definedName name="_Det4" localSheetId="8">#REF!</definedName>
    <definedName name="_Det5" localSheetId="7">#REF!</definedName>
    <definedName name="_Det5" localSheetId="8">#REF!</definedName>
    <definedName name="_Det6" localSheetId="7">#REF!</definedName>
    <definedName name="_Det6" localSheetId="8">#REF!</definedName>
    <definedName name="_Det7" localSheetId="7">#REF!</definedName>
    <definedName name="_Det7" localSheetId="8">#REF!</definedName>
    <definedName name="_Det8" localSheetId="7">#REF!</definedName>
    <definedName name="_Det8" localSheetId="8">#REF!</definedName>
    <definedName name="_Det9" localSheetId="7">#REF!</definedName>
    <definedName name="_Det9" localSheetId="8">#REF!</definedName>
    <definedName name="_DGE1" localSheetId="7">#REF!</definedName>
    <definedName name="_DGE1" localSheetId="8">#REF!</definedName>
    <definedName name="_DGE10" localSheetId="7">#REF!</definedName>
    <definedName name="_DGE10" localSheetId="8">#REF!</definedName>
    <definedName name="_DGE11" localSheetId="7">#REF!</definedName>
    <definedName name="_DGE11" localSheetId="8">#REF!</definedName>
    <definedName name="_DGE12" localSheetId="7">#REF!</definedName>
    <definedName name="_DGE12" localSheetId="8">#REF!</definedName>
    <definedName name="_DGE13" localSheetId="7">#REF!</definedName>
    <definedName name="_DGE13" localSheetId="8">#REF!</definedName>
    <definedName name="_DGE14" localSheetId="7">#REF!</definedName>
    <definedName name="_DGE14" localSheetId="8">#REF!</definedName>
    <definedName name="_DGE2" localSheetId="7">#REF!</definedName>
    <definedName name="_DGE2" localSheetId="8">#REF!</definedName>
    <definedName name="_DGE3" localSheetId="7">#REF!</definedName>
    <definedName name="_DGE3" localSheetId="8">#REF!</definedName>
    <definedName name="_DGE4" localSheetId="7">#REF!</definedName>
    <definedName name="_DGE4" localSheetId="8">#REF!</definedName>
    <definedName name="_DGE5" localSheetId="7">#REF!</definedName>
    <definedName name="_DGE5" localSheetId="8">#REF!</definedName>
    <definedName name="_DGE6" localSheetId="7">#REF!</definedName>
    <definedName name="_DGE6" localSheetId="8">#REF!</definedName>
    <definedName name="_DGE7" localSheetId="7">#REF!</definedName>
    <definedName name="_DGE7" localSheetId="8">#REF!</definedName>
    <definedName name="_DGE8" localSheetId="7">#REF!</definedName>
    <definedName name="_DGE8" localSheetId="8">#REF!</definedName>
    <definedName name="_DGE9" localSheetId="7">#REF!</definedName>
    <definedName name="_DGE9" localSheetId="8">#REF!</definedName>
    <definedName name="_DNO1" localSheetId="7">#REF!</definedName>
    <definedName name="_DNO1" localSheetId="8">#REF!</definedName>
    <definedName name="_DNO10" localSheetId="7">#REF!</definedName>
    <definedName name="_DNO10" localSheetId="8">#REF!</definedName>
    <definedName name="_DNO11" localSheetId="7">#REF!</definedName>
    <definedName name="_DNO11" localSheetId="8">#REF!</definedName>
    <definedName name="_DNO12" localSheetId="7">#REF!</definedName>
    <definedName name="_DNO12" localSheetId="8">#REF!</definedName>
    <definedName name="_DNO13" localSheetId="7">#REF!</definedName>
    <definedName name="_DNO13" localSheetId="8">#REF!</definedName>
    <definedName name="_DNO14" localSheetId="7">#REF!</definedName>
    <definedName name="_DNO14" localSheetId="8">#REF!</definedName>
    <definedName name="_DNO2" localSheetId="7">#REF!</definedName>
    <definedName name="_DNO2" localSheetId="8">#REF!</definedName>
    <definedName name="_DNO3" localSheetId="7">#REF!</definedName>
    <definedName name="_DNO3" localSheetId="8">#REF!</definedName>
    <definedName name="_DNO4" localSheetId="7">#REF!</definedName>
    <definedName name="_DNO4" localSheetId="8">#REF!</definedName>
    <definedName name="_DNO5" localSheetId="7">#REF!</definedName>
    <definedName name="_DNO5" localSheetId="8">#REF!</definedName>
    <definedName name="_DNO6" localSheetId="7">#REF!</definedName>
    <definedName name="_DNO6" localSheetId="8">#REF!</definedName>
    <definedName name="_DNO7" localSheetId="7">#REF!</definedName>
    <definedName name="_DNO7" localSheetId="8">#REF!</definedName>
    <definedName name="_DNO8" localSheetId="7">#REF!</definedName>
    <definedName name="_DNO8" localSheetId="8">#REF!</definedName>
    <definedName name="_DNO9" localSheetId="7">#REF!</definedName>
    <definedName name="_DNO9" localSheetId="8">#REF!</definedName>
    <definedName name="_dre1" localSheetId="26" hidden="1">{#N/A,#N/A,FALSE,"Bilan";"CR Pcg",#N/A,FALSE,"Compte de Resultat";"TGCG Pcg",#N/A,FALSE,"TGCG";#N/A,#N/A,FALSE,"Tab. de Fin.";#N/A,#N/A,FALSE,"EF-Synth."}</definedName>
    <definedName name="_dre1" localSheetId="1" hidden="1">{#N/A,#N/A,FALSE,"Bilan";"CR Pcg",#N/A,FALSE,"Compte de Resultat";"TGCG Pcg",#N/A,FALSE,"TGCG";#N/A,#N/A,FALSE,"Tab. de Fin.";#N/A,#N/A,FALSE,"EF-Synth."}</definedName>
    <definedName name="_dre1" localSheetId="33" hidden="1">{#N/A,#N/A,FALSE,"Bilan";"CR Pcg",#N/A,FALSE,"Compte de Resultat";"TGCG Pcg",#N/A,FALSE,"TGCG";#N/A,#N/A,FALSE,"Tab. de Fin.";#N/A,#N/A,FALSE,"EF-Synth."}</definedName>
    <definedName name="_dre1" localSheetId="24" hidden="1">{#N/A,#N/A,FALSE,"Bilan";"CR Pcg",#N/A,FALSE,"Compte de Resultat";"TGCG Pcg",#N/A,FALSE,"TGCG";#N/A,#N/A,FALSE,"Tab. de Fin.";#N/A,#N/A,FALSE,"EF-Synth."}</definedName>
    <definedName name="_dre1" localSheetId="39" hidden="1">{#N/A,#N/A,FALSE,"Bilan";"CR Pcg",#N/A,FALSE,"Compte de Resultat";"TGCG Pcg",#N/A,FALSE,"TGCG";#N/A,#N/A,FALSE,"Tab. de Fin.";#N/A,#N/A,FALSE,"EF-Synth."}</definedName>
    <definedName name="_dre1" localSheetId="2" hidden="1">{#N/A,#N/A,FALSE,"Bilan";"CR Pcg",#N/A,FALSE,"Compte de Resultat";"TGCG Pcg",#N/A,FALSE,"TGCG";#N/A,#N/A,FALSE,"Tab. de Fin.";#N/A,#N/A,FALSE,"EF-Synth."}</definedName>
    <definedName name="_dre1" localSheetId="38" hidden="1">{#N/A,#N/A,FALSE,"Bilan";"CR Pcg",#N/A,FALSE,"Compte de Resultat";"TGCG Pcg",#N/A,FALSE,"TGCG";#N/A,#N/A,FALSE,"Tab. de Fin.";#N/A,#N/A,FALSE,"EF-Synth."}</definedName>
    <definedName name="_dre1" localSheetId="34" hidden="1">{#N/A,#N/A,FALSE,"Bilan";"CR Pcg",#N/A,FALSE,"Compte de Resultat";"TGCG Pcg",#N/A,FALSE,"TGCG";#N/A,#N/A,FALSE,"Tab. de Fin.";#N/A,#N/A,FALSE,"EF-Synth."}</definedName>
    <definedName name="_dre1" localSheetId="7" hidden="1">{#N/A,#N/A,FALSE,"Bilan";"CR Pcg",#N/A,FALSE,"Compte de Resultat";"TGCG Pcg",#N/A,FALSE,"TGCG";#N/A,#N/A,FALSE,"Tab. de Fin.";#N/A,#N/A,FALSE,"EF-Synth."}</definedName>
    <definedName name="_dre1" localSheetId="4" hidden="1">{#N/A,#N/A,FALSE,"Bilan";"CR Pcg",#N/A,FALSE,"Compte de Resultat";"TGCG Pcg",#N/A,FALSE,"TGCG";#N/A,#N/A,FALSE,"Tab. de Fin.";#N/A,#N/A,FALSE,"EF-Synth."}</definedName>
    <definedName name="_dre1" localSheetId="8" hidden="1">{#N/A,#N/A,FALSE,"Bilan";"CR Pcg",#N/A,FALSE,"Compte de Resultat";"TGCG Pcg",#N/A,FALSE,"TGCG";#N/A,#N/A,FALSE,"Tab. de Fin.";#N/A,#N/A,FALSE,"EF-Synth."}</definedName>
    <definedName name="_dre1" localSheetId="27" hidden="1">{#N/A,#N/A,FALSE,"Bilan";"CR Pcg",#N/A,FALSE,"Compte de Resultat";"TGCG Pcg",#N/A,FALSE,"TGCG";#N/A,#N/A,FALSE,"Tab. de Fin.";#N/A,#N/A,FALSE,"EF-Synth."}</definedName>
    <definedName name="_dre1" localSheetId="16" hidden="1">{#N/A,#N/A,FALSE,"Bilan";"CR Pcg",#N/A,FALSE,"Compte de Resultat";"TGCG Pcg",#N/A,FALSE,"TGCG";#N/A,#N/A,FALSE,"Tab. de Fin.";#N/A,#N/A,FALSE,"EF-Synth."}</definedName>
    <definedName name="_dre1" localSheetId="23" hidden="1">{#N/A,#N/A,FALSE,"Bilan";"CR Pcg",#N/A,FALSE,"Compte de Resultat";"TGCG Pcg",#N/A,FALSE,"TGCG";#N/A,#N/A,FALSE,"Tab. de Fin.";#N/A,#N/A,FALSE,"EF-Synth."}</definedName>
    <definedName name="_dre1" hidden="1">{#N/A,#N/A,FALSE,"Bilan";"CR Pcg",#N/A,FALSE,"Compte de Resultat";"TGCG Pcg",#N/A,FALSE,"TGCG";#N/A,#N/A,FALSE,"Tab. de Fin.";#N/A,#N/A,FALSE,"EF-Synth."}</definedName>
    <definedName name="_xlnm._FilterDatabase" localSheetId="20" hidden="1">'Besoins en micas'!$B$141:$L$251</definedName>
    <definedName name="_xlnm._FilterDatabase" localSheetId="1" hidden="1">BL!$A$4:$U$202</definedName>
    <definedName name="_xlnm._FilterDatabase" localSheetId="22" hidden="1">CA!$B$58:$K$195</definedName>
    <definedName name="_xlnm._FilterDatabase" localSheetId="13" hidden="1">'Commande à honorer'!$A$2:$G$17</definedName>
    <definedName name="_xlnm._FilterDatabase" localSheetId="28" hidden="1">'Feuil1 (2)'!$A$3:$Y$28</definedName>
    <definedName name="_xlnm._FilterDatabase" localSheetId="0" hidden="1">'FORT DAUPHIN'!$A$6:$Z$135</definedName>
    <definedName name="_IV586932" localSheetId="5">#REF!</definedName>
    <definedName name="_IV586932" localSheetId="7">#REF!</definedName>
    <definedName name="_IV586932" localSheetId="8">#REF!</definedName>
    <definedName name="_PL03" localSheetId="5">#REF!</definedName>
    <definedName name="_PL03" localSheetId="7">#REF!</definedName>
    <definedName name="_PL03" localSheetId="8">#REF!</definedName>
    <definedName name="_PL2003" localSheetId="5">#REF!</definedName>
    <definedName name="_PL2003" localSheetId="7">#REF!</definedName>
    <definedName name="_PL2003" localSheetId="8">#REF!</definedName>
    <definedName name="_Pr70" localSheetId="5">#REF!</definedName>
    <definedName name="_Pr70" localSheetId="7">#REF!</definedName>
    <definedName name="_PY1" localSheetId="5">#REF!</definedName>
    <definedName name="_PY1" localSheetId="7">#REF!</definedName>
    <definedName name="_PY1" localSheetId="8">#REF!</definedName>
    <definedName name="_R" localSheetId="5">#REF!</definedName>
    <definedName name="_R" localSheetId="7">#REF!</definedName>
    <definedName name="_R" localSheetId="8">#REF!</definedName>
    <definedName name="_SRH1" localSheetId="7">#REF!</definedName>
    <definedName name="_SRH1" localSheetId="8">#REF!</definedName>
    <definedName name="_SRH2" localSheetId="7">#REF!</definedName>
    <definedName name="_SRH2" localSheetId="8">#REF!</definedName>
    <definedName name="_SRH3" localSheetId="7">#REF!</definedName>
    <definedName name="_SRH3" localSheetId="8">#REF!</definedName>
    <definedName name="_SRH4" localSheetId="7">#REF!</definedName>
    <definedName name="_SRH4" localSheetId="8">#REF!</definedName>
    <definedName name="_stk11" localSheetId="7">#REF!</definedName>
    <definedName name="_stk11" localSheetId="8">#REF!</definedName>
    <definedName name="_TAB1" localSheetId="5">#REF!</definedName>
    <definedName name="_TAB1" localSheetId="7">#REF!</definedName>
    <definedName name="_TAB1" localSheetId="8">#REF!</definedName>
    <definedName name="_TAB2" localSheetId="5">#REF!</definedName>
    <definedName name="_TAB2" localSheetId="7">#REF!</definedName>
    <definedName name="_TAB2" localSheetId="8">#REF!</definedName>
    <definedName name="_TAB3" localSheetId="5">#REF!</definedName>
    <definedName name="_TAB3" localSheetId="7">#REF!</definedName>
    <definedName name="_TAB3" localSheetId="8">#REF!</definedName>
    <definedName name="_TAB4" localSheetId="5">#REF!</definedName>
    <definedName name="_TAB4" localSheetId="7">#REF!</definedName>
    <definedName name="_TAB4" localSheetId="8">#REF!</definedName>
    <definedName name="_TAB5" localSheetId="5">#REF!</definedName>
    <definedName name="_TAB5" localSheetId="7">#REF!</definedName>
    <definedName name="_TAB5" localSheetId="8">#REF!</definedName>
    <definedName name="_xlcn.WorksheetConnection_BPSIMULATION2024.xlsmTableau10" hidden="1">Tableau10</definedName>
    <definedName name="_xlcn.WorksheetConnection_BPSIMULATION2024.xlsmTAchats" hidden="1">TAchats[]</definedName>
    <definedName name="_xlcn.WorksheetConnection_BPSIMULATION2024.xlsmTDate" hidden="1">TDate[]</definedName>
    <definedName name="_xlcn.WorksheetConnection_BPSIMULATION2024.xlsmTLieuxAppro" hidden="1">TLieuxAppro[]</definedName>
    <definedName name="_xlcn.WorksheetConnection_BPSIMULATION2024.xlsmTProd" hidden="1">TProd[]</definedName>
    <definedName name="_xlcn.WorksheetConnection_BPSIMULATION2024.xlsmTTypes" hidden="1">TTypes[]</definedName>
    <definedName name="_xlcn.WorksheetConnection_BPSIMULATION2024.xlsmTVentes" hidden="1">TVentes[]</definedName>
    <definedName name="A" localSheetId="5">#REF!</definedName>
    <definedName name="a" localSheetId="26" hidden="1">{#N/A,#N/A,FALSE,"Bilan";"CR Pcg",#N/A,FALSE,"Compte de Resultat";"TGCG Pcg",#N/A,FALSE,"TGCG";#N/A,#N/A,FALSE,"Tab. de Fin.";#N/A,#N/A,FALSE,"EF-Synth."}</definedName>
    <definedName name="a" localSheetId="1" hidden="1">#REF!</definedName>
    <definedName name="a" localSheetId="33" hidden="1">{#N/A,#N/A,FALSE,"Bilan";"CR Pcg",#N/A,FALSE,"Compte de Resultat";"TGCG Pcg",#N/A,FALSE,"TGCG";#N/A,#N/A,FALSE,"Tab. de Fin.";#N/A,#N/A,FALSE,"EF-Synth."}</definedName>
    <definedName name="a" localSheetId="24" hidden="1">{#N/A,#N/A,FALSE,"Bilan";"CR Pcg",#N/A,FALSE,"Compte de Resultat";"TGCG Pcg",#N/A,FALSE,"TGCG";#N/A,#N/A,FALSE,"Tab. de Fin.";#N/A,#N/A,FALSE,"EF-Synth."}</definedName>
    <definedName name="a" localSheetId="39" hidden="1">{#N/A,#N/A,FALSE,"Bilan";"CR Pcg",#N/A,FALSE,"Compte de Resultat";"TGCG Pcg",#N/A,FALSE,"TGCG";#N/A,#N/A,FALSE,"Tab. de Fin.";#N/A,#N/A,FALSE,"EF-Synth."}</definedName>
    <definedName name="a" localSheetId="2" hidden="1">{#N/A,#N/A,FALSE,"Bilan";"CR Pcg",#N/A,FALSE,"Compte de Resultat";"TGCG Pcg",#N/A,FALSE,"TGCG";#N/A,#N/A,FALSE,"Tab. de Fin.";#N/A,#N/A,FALSE,"EF-Synth."}</definedName>
    <definedName name="a" localSheetId="38" hidden="1">{#N/A,#N/A,FALSE,"Bilan";"CR Pcg",#N/A,FALSE,"Compte de Resultat";"TGCG Pcg",#N/A,FALSE,"TGCG";#N/A,#N/A,FALSE,"Tab. de Fin.";#N/A,#N/A,FALSE,"EF-Synth."}</definedName>
    <definedName name="A" localSheetId="7">#REF!</definedName>
    <definedName name="a" localSheetId="4" hidden="1">#REF!</definedName>
    <definedName name="a" localSheetId="8" hidden="1">#REF!</definedName>
    <definedName name="a" localSheetId="27" hidden="1">{#N/A,#N/A,FALSE,"Bilan";"CR Pcg",#N/A,FALSE,"Compte de Resultat";"TGCG Pcg",#N/A,FALSE,"TGCG";#N/A,#N/A,FALSE,"Tab. de Fin.";#N/A,#N/A,FALSE,"EF-Synth."}</definedName>
    <definedName name="a" localSheetId="16" hidden="1">{#N/A,#N/A,FALSE,"Bilan";"CR Pcg",#N/A,FALSE,"Compte de Resultat";"TGCG Pcg",#N/A,FALSE,"TGCG";#N/A,#N/A,FALSE,"Tab. de Fin.";#N/A,#N/A,FALSE,"EF-Synth."}</definedName>
    <definedName name="a" localSheetId="23" hidden="1">{#N/A,#N/A,FALSE,"Bilan";"CR Pcg",#N/A,FALSE,"Compte de Resultat";"TGCG Pcg",#N/A,FALSE,"TGCG";#N/A,#N/A,FALSE,"Tab. de Fin.";#N/A,#N/A,FALSE,"EF-Synth."}</definedName>
    <definedName name="a" hidden="1">{#N/A,#N/A,FALSE,"Bilan";"CR Pcg",#N/A,FALSE,"Compte de Resultat";"TGCG Pcg",#N/A,FALSE,"TGCG";#N/A,#N/A,FALSE,"Tab. de Fin.";#N/A,#N/A,FALSE,"EF-Synth."}</definedName>
    <definedName name="a_2" localSheetId="5">#REF!</definedName>
    <definedName name="a_2" localSheetId="7">#REF!</definedName>
    <definedName name="a_2" localSheetId="8">#REF!</definedName>
    <definedName name="A_297_013" localSheetId="5">#REF!</definedName>
    <definedName name="A_297_013" localSheetId="7">#REF!</definedName>
    <definedName name="A_297_013" localSheetId="8">#REF!</definedName>
    <definedName name="aa" localSheetId="26" hidden="1">{#N/A,#N/A,FALSE,"Bilan";"CR Ana",#N/A,FALSE,"Compte de Resultat";"TGCG Ana",#N/A,FALSE,"TGCG";#N/A,#N/A,FALSE,"Tab. de Fin.";#N/A,#N/A,FALSE,"EF-Synth."}</definedName>
    <definedName name="aa" localSheetId="1" hidden="1">{#N/A,#N/A,FALSE,"Bilan";"CR Ana",#N/A,FALSE,"Compte de Resultat";"TGCG Ana",#N/A,FALSE,"TGCG";#N/A,#N/A,FALSE,"Tab. de Fin.";#N/A,#N/A,FALSE,"EF-Synth."}</definedName>
    <definedName name="aa" localSheetId="33" hidden="1">{#N/A,#N/A,FALSE,"Bilan";"CR Ana",#N/A,FALSE,"Compte de Resultat";"TGCG Ana",#N/A,FALSE,"TGCG";#N/A,#N/A,FALSE,"Tab. de Fin.";#N/A,#N/A,FALSE,"EF-Synth."}</definedName>
    <definedName name="aa" localSheetId="24" hidden="1">{#N/A,#N/A,FALSE,"Bilan";"CR Ana",#N/A,FALSE,"Compte de Resultat";"TGCG Ana",#N/A,FALSE,"TGCG";#N/A,#N/A,FALSE,"Tab. de Fin.";#N/A,#N/A,FALSE,"EF-Synth."}</definedName>
    <definedName name="aa" localSheetId="39" hidden="1">{#N/A,#N/A,FALSE,"Bilan";"CR Ana",#N/A,FALSE,"Compte de Resultat";"TGCG Ana",#N/A,FALSE,"TGCG";#N/A,#N/A,FALSE,"Tab. de Fin.";#N/A,#N/A,FALSE,"EF-Synth."}</definedName>
    <definedName name="aa" localSheetId="2" hidden="1">{#N/A,#N/A,FALSE,"Bilan";"CR Ana",#N/A,FALSE,"Compte de Resultat";"TGCG Ana",#N/A,FALSE,"TGCG";#N/A,#N/A,FALSE,"Tab. de Fin.";#N/A,#N/A,FALSE,"EF-Synth."}</definedName>
    <definedName name="aa" localSheetId="38" hidden="1">{#N/A,#N/A,FALSE,"Bilan";"CR Ana",#N/A,FALSE,"Compte de Resultat";"TGCG Ana",#N/A,FALSE,"TGCG";#N/A,#N/A,FALSE,"Tab. de Fin.";#N/A,#N/A,FALSE,"EF-Synth."}</definedName>
    <definedName name="aa" localSheetId="7" hidden="1">{#N/A,#N/A,FALSE,"Bilan";"CR Ana",#N/A,FALSE,"Compte de Resultat";"TGCG Ana",#N/A,FALSE,"TGCG";#N/A,#N/A,FALSE,"Tab. de Fin.";#N/A,#N/A,FALSE,"EF-Synth."}</definedName>
    <definedName name="aa" localSheetId="4" hidden="1">{#N/A,#N/A,FALSE,"Bilan";"CR Ana",#N/A,FALSE,"Compte de Resultat";"TGCG Ana",#N/A,FALSE,"TGCG";#N/A,#N/A,FALSE,"Tab. de Fin.";#N/A,#N/A,FALSE,"EF-Synth."}</definedName>
    <definedName name="aa" localSheetId="8" hidden="1">{#N/A,#N/A,FALSE,"Bilan";"CR Ana",#N/A,FALSE,"Compte de Resultat";"TGCG Ana",#N/A,FALSE,"TGCG";#N/A,#N/A,FALSE,"Tab. de Fin.";#N/A,#N/A,FALSE,"EF-Synth."}</definedName>
    <definedName name="aa" localSheetId="27" hidden="1">{#N/A,#N/A,FALSE,"Bilan";"CR Ana",#N/A,FALSE,"Compte de Resultat";"TGCG Ana",#N/A,FALSE,"TGCG";#N/A,#N/A,FALSE,"Tab. de Fin.";#N/A,#N/A,FALSE,"EF-Synth."}</definedName>
    <definedName name="aa" localSheetId="16" hidden="1">{#N/A,#N/A,FALSE,"Bilan";"CR Ana",#N/A,FALSE,"Compte de Resultat";"TGCG Ana",#N/A,FALSE,"TGCG";#N/A,#N/A,FALSE,"Tab. de Fin.";#N/A,#N/A,FALSE,"EF-Synth."}</definedName>
    <definedName name="aa" localSheetId="23" hidden="1">{#N/A,#N/A,FALSE,"Bilan";"CR Ana",#N/A,FALSE,"Compte de Resultat";"TGCG Ana",#N/A,FALSE,"TGCG";#N/A,#N/A,FALSE,"Tab. de Fin.";#N/A,#N/A,FALSE,"EF-Synth."}</definedName>
    <definedName name="aa" hidden="1">{#N/A,#N/A,FALSE,"Bilan";"CR Ana",#N/A,FALSE,"Compte de Resultat";"TGCG Ana",#N/A,FALSE,"TGCG";#N/A,#N/A,FALSE,"Tab. de Fin.";#N/A,#N/A,FALSE,"EF-Synth."}</definedName>
    <definedName name="AAA" localSheetId="5">IF(#REF!&lt;&gt;"",DATE(YEAR(#REF!),MONTH(#REF!)+(#REF!-1)*12/#REF!,DAY(#REF!)),"")</definedName>
    <definedName name="AAA" localSheetId="7">IF(#REF!&lt;&gt;"",DATE(YEAR(#REF!),MONTH(#REF!)+(#REF!-1)*12/#REF!,DAY(#REF!)),"")</definedName>
    <definedName name="AAA" localSheetId="8">IF(#REF!&lt;&gt;"",DATE(YEAR(#REF!),MONTH(#REF!)+(#REF!-1)*12/#REF!,DAY(#REF!)),"")</definedName>
    <definedName name="AAI" localSheetId="5">#REF!</definedName>
    <definedName name="AAI" localSheetId="7">#REF!</definedName>
    <definedName name="AAI" localSheetId="8">#REF!</definedName>
    <definedName name="acconts" localSheetId="5">#REF!</definedName>
    <definedName name="acconts" localSheetId="7">#REF!</definedName>
    <definedName name="acconts" localSheetId="8">#REF!</definedName>
    <definedName name="ade" localSheetId="26" hidden="1">{#N/A,#N/A,FALSE,"Bilan";"CR Ana",#N/A,FALSE,"Compte de Resultat";"TGCG Ana",#N/A,FALSE,"TGCG";#N/A,#N/A,FALSE,"Tab. de Fin.";#N/A,#N/A,FALSE,"EF-Synth."}</definedName>
    <definedName name="ade" localSheetId="1" hidden="1">{#N/A,#N/A,FALSE,"Bilan";"CR Ana",#N/A,FALSE,"Compte de Resultat";"TGCG Ana",#N/A,FALSE,"TGCG";#N/A,#N/A,FALSE,"Tab. de Fin.";#N/A,#N/A,FALSE,"EF-Synth."}</definedName>
    <definedName name="ade" localSheetId="33" hidden="1">{#N/A,#N/A,FALSE,"Bilan";"CR Ana",#N/A,FALSE,"Compte de Resultat";"TGCG Ana",#N/A,FALSE,"TGCG";#N/A,#N/A,FALSE,"Tab. de Fin.";#N/A,#N/A,FALSE,"EF-Synth."}</definedName>
    <definedName name="ade" localSheetId="24" hidden="1">{#N/A,#N/A,FALSE,"Bilan";"CR Ana",#N/A,FALSE,"Compte de Resultat";"TGCG Ana",#N/A,FALSE,"TGCG";#N/A,#N/A,FALSE,"Tab. de Fin.";#N/A,#N/A,FALSE,"EF-Synth."}</definedName>
    <definedName name="ade" localSheetId="39" hidden="1">{#N/A,#N/A,FALSE,"Bilan";"CR Ana",#N/A,FALSE,"Compte de Resultat";"TGCG Ana",#N/A,FALSE,"TGCG";#N/A,#N/A,FALSE,"Tab. de Fin.";#N/A,#N/A,FALSE,"EF-Synth."}</definedName>
    <definedName name="ade" localSheetId="2" hidden="1">{#N/A,#N/A,FALSE,"Bilan";"CR Ana",#N/A,FALSE,"Compte de Resultat";"TGCG Ana",#N/A,FALSE,"TGCG";#N/A,#N/A,FALSE,"Tab. de Fin.";#N/A,#N/A,FALSE,"EF-Synth."}</definedName>
    <definedName name="ade" localSheetId="38" hidden="1">{#N/A,#N/A,FALSE,"Bilan";"CR Ana",#N/A,FALSE,"Compte de Resultat";"TGCG Ana",#N/A,FALSE,"TGCG";#N/A,#N/A,FALSE,"Tab. de Fin.";#N/A,#N/A,FALSE,"EF-Synth."}</definedName>
    <definedName name="ade" localSheetId="34" hidden="1">{#N/A,#N/A,FALSE,"Bilan";"CR Ana",#N/A,FALSE,"Compte de Resultat";"TGCG Ana",#N/A,FALSE,"TGCG";#N/A,#N/A,FALSE,"Tab. de Fin.";#N/A,#N/A,FALSE,"EF-Synth."}</definedName>
    <definedName name="ade" localSheetId="7" hidden="1">{#N/A,#N/A,FALSE,"Bilan";"CR Ana",#N/A,FALSE,"Compte de Resultat";"TGCG Ana",#N/A,FALSE,"TGCG";#N/A,#N/A,FALSE,"Tab. de Fin.";#N/A,#N/A,FALSE,"EF-Synth."}</definedName>
    <definedName name="ade" localSheetId="4" hidden="1">{#N/A,#N/A,FALSE,"Bilan";"CR Ana",#N/A,FALSE,"Compte de Resultat";"TGCG Ana",#N/A,FALSE,"TGCG";#N/A,#N/A,FALSE,"Tab. de Fin.";#N/A,#N/A,FALSE,"EF-Synth."}</definedName>
    <definedName name="ade" localSheetId="8" hidden="1">{#N/A,#N/A,FALSE,"Bilan";"CR Ana",#N/A,FALSE,"Compte de Resultat";"TGCG Ana",#N/A,FALSE,"TGCG";#N/A,#N/A,FALSE,"Tab. de Fin.";#N/A,#N/A,FALSE,"EF-Synth."}</definedName>
    <definedName name="ade" localSheetId="27" hidden="1">{#N/A,#N/A,FALSE,"Bilan";"CR Ana",#N/A,FALSE,"Compte de Resultat";"TGCG Ana",#N/A,FALSE,"TGCG";#N/A,#N/A,FALSE,"Tab. de Fin.";#N/A,#N/A,FALSE,"EF-Synth."}</definedName>
    <definedName name="ade" localSheetId="16" hidden="1">{#N/A,#N/A,FALSE,"Bilan";"CR Ana",#N/A,FALSE,"Compte de Resultat";"TGCG Ana",#N/A,FALSE,"TGCG";#N/A,#N/A,FALSE,"Tab. de Fin.";#N/A,#N/A,FALSE,"EF-Synth."}</definedName>
    <definedName name="ade" localSheetId="23" hidden="1">{#N/A,#N/A,FALSE,"Bilan";"CR Ana",#N/A,FALSE,"Compte de Resultat";"TGCG Ana",#N/A,FALSE,"TGCG";#N/A,#N/A,FALSE,"Tab. de Fin.";#N/A,#N/A,FALSE,"EF-Synth."}</definedName>
    <definedName name="ade" hidden="1">{#N/A,#N/A,FALSE,"Bilan";"CR Ana",#N/A,FALSE,"Compte de Resultat";"TGCG Ana",#N/A,FALSE,"TGCG";#N/A,#N/A,FALSE,"Tab. de Fin.";#N/A,#N/A,FALSE,"EF-Synth."}</definedName>
    <definedName name="adolphe" localSheetId="5">#REF!</definedName>
    <definedName name="adolphe" localSheetId="7">#REF!</definedName>
    <definedName name="Adresse" localSheetId="7">#REF!</definedName>
    <definedName name="Adresse" localSheetId="8">#REF!</definedName>
    <definedName name="AFF" localSheetId="5">#REF!</definedName>
    <definedName name="AFF" localSheetId="7">#REF!</definedName>
    <definedName name="affectation" localSheetId="5">#REF!</definedName>
    <definedName name="affectation" localSheetId="7">#REF!</definedName>
    <definedName name="affectation" localSheetId="8">#REF!</definedName>
    <definedName name="afff" localSheetId="5">#REF!</definedName>
    <definedName name="afff" localSheetId="7">#REF!</definedName>
    <definedName name="affin" localSheetId="5">#REF!</definedName>
    <definedName name="affin" localSheetId="7">#REF!</definedName>
    <definedName name="affin" localSheetId="8">#REF!</definedName>
    <definedName name="AFH" localSheetId="5">#REF!</definedName>
    <definedName name="AFH" localSheetId="7">#REF!</definedName>
    <definedName name="AFH" localSheetId="8">#REF!</definedName>
    <definedName name="afterallowanceA" localSheetId="5">#REF!</definedName>
    <definedName name="afterallowanceA" localSheetId="7">#REF!</definedName>
    <definedName name="afterallowanceA" localSheetId="8">#REF!</definedName>
    <definedName name="afterallowanceB" localSheetId="5">#REF!</definedName>
    <definedName name="afterallowanceB" localSheetId="7">#REF!</definedName>
    <definedName name="afterallowanceB" localSheetId="8">#REF!</definedName>
    <definedName name="AGENCEM.__AMENA" localSheetId="5">#REF!</definedName>
    <definedName name="AGENCEM.__AMENA" localSheetId="7">#REF!</definedName>
    <definedName name="AGENCEM.__AMENA" localSheetId="8">#REF!</definedName>
    <definedName name="ALABE_50_ED0502" localSheetId="5">#REF!</definedName>
    <definedName name="ALABE_50_ED0502" localSheetId="7">#REF!</definedName>
    <definedName name="ALABE_50_ED0502" localSheetId="8">#REF!</definedName>
    <definedName name="ALABE_50_ED0502_MOD170602" localSheetId="5">#REF!</definedName>
    <definedName name="ALABE_50_ED0502_MOD170602" localSheetId="7">#REF!</definedName>
    <definedName name="ALABE_50_ED0502_MOD170602" localSheetId="8">#REF!</definedName>
    <definedName name="ALANT_40_ED0502" localSheetId="5">#REF!</definedName>
    <definedName name="ALANT_40_ED0502" localSheetId="7">#REF!</definedName>
    <definedName name="ALANT_40_ED0502" localSheetId="8">#REF!</definedName>
    <definedName name="ALANT_40_ED0502_MOD170602" localSheetId="5">#REF!</definedName>
    <definedName name="ALANT_40_ED0502_MOD170602" localSheetId="7">#REF!</definedName>
    <definedName name="ALANT_40_ED0502_MOD170602" localSheetId="8">#REF!</definedName>
    <definedName name="ALIX" localSheetId="5">#REF!/#REF!</definedName>
    <definedName name="ALIX" localSheetId="7">#REF!/#REF!</definedName>
    <definedName name="allowcy" localSheetId="5">#REF!</definedName>
    <definedName name="allowcy" localSheetId="7">#REF!</definedName>
    <definedName name="allowcy" localSheetId="8">#REF!</definedName>
    <definedName name="allowly" localSheetId="5">#REF!</definedName>
    <definedName name="allowly" localSheetId="7">#REF!</definedName>
    <definedName name="allowly" localSheetId="8">#REF!</definedName>
    <definedName name="ALMGA_70_ED0502" localSheetId="5">#REF!</definedName>
    <definedName name="ALMGA_70_ED0502" localSheetId="7">#REF!</definedName>
    <definedName name="ALMGA_70_ED0502" localSheetId="8">#REF!</definedName>
    <definedName name="ALMGA_70_ED0502_MOD170602" localSheetId="5">#REF!</definedName>
    <definedName name="ALMGA_70_ED0502_MOD170602" localSheetId="7">#REF!</definedName>
    <definedName name="ALMGA_70_ED0502_MOD170602" localSheetId="8">#REF!</definedName>
    <definedName name="ALTAN_10_ED0502" localSheetId="5">#REF!</definedName>
    <definedName name="ALTAN_10_ED0502" localSheetId="7">#REF!</definedName>
    <definedName name="ALTAN_10_ED0502" localSheetId="8">#REF!</definedName>
    <definedName name="ALTAN_10_ED0502_MOD170602" localSheetId="5">#REF!</definedName>
    <definedName name="ALTAN_10_ED0502_MOD170602" localSheetId="7">#REF!</definedName>
    <definedName name="ALTAN_10_ED0502_MOD170602" localSheetId="8">#REF!</definedName>
    <definedName name="ALTOA_60_ED0502" localSheetId="5">#REF!</definedName>
    <definedName name="ALTOA_60_ED0502" localSheetId="7">#REF!</definedName>
    <definedName name="ALTOA_60_ED0502" localSheetId="8">#REF!</definedName>
    <definedName name="ALTOA_60_ED0502_MOD170602" localSheetId="5">#REF!</definedName>
    <definedName name="ALTOA_60_ED0502_MOD170602" localSheetId="7">#REF!</definedName>
    <definedName name="ALTOA_60_ED0502_MOD170602" localSheetId="8">#REF!</definedName>
    <definedName name="amin" localSheetId="5">#REF!</definedName>
    <definedName name="amin" localSheetId="7">#REF!</definedName>
    <definedName name="amin" localSheetId="8">#REF!</definedName>
    <definedName name="AMORT" localSheetId="5">#REF!</definedName>
    <definedName name="AMORT" localSheetId="7">#REF!</definedName>
    <definedName name="AMORT" localSheetId="8">#REF!</definedName>
    <definedName name="AMORTISSEMENTS" localSheetId="5">#REF!</definedName>
    <definedName name="AMORTISSEMENTS" localSheetId="7">#REF!</definedName>
    <definedName name="AMORTISSEMENTS" localSheetId="8">#REF!</definedName>
    <definedName name="AN_C" localSheetId="5">#REF!</definedName>
    <definedName name="AN_C" localSheetId="7">#REF!</definedName>
    <definedName name="AN_C" localSheetId="8">#REF!</definedName>
    <definedName name="AN_D" localSheetId="5">#REF!</definedName>
    <definedName name="AN_D" localSheetId="7">#REF!</definedName>
    <definedName name="AN_D" localSheetId="8">#REF!</definedName>
    <definedName name="ANCT" localSheetId="5">#REF!</definedName>
    <definedName name="ANCT" localSheetId="7">#REF!</definedName>
    <definedName name="ANCT" localSheetId="8">#REF!</definedName>
    <definedName name="ANDT" localSheetId="5">#REF!</definedName>
    <definedName name="ANDT" localSheetId="7">#REF!</definedName>
    <definedName name="ANDT" localSheetId="8">#REF!</definedName>
    <definedName name="anne" localSheetId="7">#N/A</definedName>
    <definedName name="AnneeEncour" localSheetId="7">#REF!</definedName>
    <definedName name="AnneeEncour" localSheetId="8">#REF!</definedName>
    <definedName name="AnneePre" localSheetId="7">#REF!</definedName>
    <definedName name="AnneePre" localSheetId="8">#REF!</definedName>
    <definedName name="Annual_interest_rate" localSheetId="7">#REF!</definedName>
    <definedName name="Annual_interest_rate" localSheetId="8">#REF!</definedName>
    <definedName name="AOUT" localSheetId="5">#REF!</definedName>
    <definedName name="AOUT" localSheetId="7">#REF!</definedName>
    <definedName name="apr" localSheetId="5">#REF!</definedName>
    <definedName name="apr" localSheetId="7">#REF!</definedName>
    <definedName name="apr" localSheetId="8">#REF!</definedName>
    <definedName name="APRAUDIT08" localSheetId="5">#REF!</definedName>
    <definedName name="APRAUDIT08" localSheetId="7">#REF!</definedName>
    <definedName name="APRES2007" localSheetId="5">#REF!</definedName>
    <definedName name="APRES2007" localSheetId="7">#REF!</definedName>
    <definedName name="ar" localSheetId="7" hidden="1">{#N/A,#N/A,FALSE,"Bilan";"CR Ana",#N/A,FALSE,"Compte de Resultat";"TGCG Ana",#N/A,FALSE,"TGCG";#N/A,#N/A,FALSE,"Tab. de Fin.";#N/A,#N/A,FALSE,"EF-Synth."}</definedName>
    <definedName name="AR" localSheetId="8">{#N/A,#N/A,FALSE,"Bilan";"CR Ana",#N/A,FALSE,"Compte de Resultat";"TGCG Ana",#N/A,FALSE,"TGCG";#N/A,#N/A,FALSE,"Tab. de Fin.";#N/A,#N/A,FALSE,"EF-Synth."}</definedName>
    <definedName name="ar" hidden="1">{#N/A,#N/A,FALSE,"Bilan";"CR Ana",#N/A,FALSE,"Compte de Resultat";"TGCG Ana",#N/A,FALSE,"TGCG";#N/A,#N/A,FALSE,"Tab. de Fin.";#N/A,#N/A,FALSE,"EF-Synth."}</definedName>
    <definedName name="ARA_Threshold" localSheetId="5">#REF!</definedName>
    <definedName name="ARA_Threshold" localSheetId="7">#REF!</definedName>
    <definedName name="ARC" localSheetId="5">#REF!</definedName>
    <definedName name="ARC" localSheetId="7">#REF!</definedName>
    <definedName name="ARC" localSheetId="8">#REF!</definedName>
    <definedName name="ARMAND" localSheetId="5">#REF!</definedName>
    <definedName name="ARMAND" localSheetId="7">#REF!</definedName>
    <definedName name="ARMAND" localSheetId="8">#REF!</definedName>
    <definedName name="ARP_Threshold" localSheetId="5">#REF!</definedName>
    <definedName name="ARP_Threshold" localSheetId="7">#REF!</definedName>
    <definedName name="ARP_Threshold" localSheetId="8">#REF!</definedName>
    <definedName name="as" localSheetId="1" hidden="1">{#N/A,#N/A,FALSE,"Bilan";"CR Ana",#N/A,FALSE,"Compte de Resultat";"TGCG Ana",#N/A,FALSE,"TGCG";#N/A,#N/A,FALSE,"Tab. de Fin.";#N/A,#N/A,FALSE,"EF-Synth."}</definedName>
    <definedName name="as" localSheetId="7" hidden="1">{#N/A,#N/A,FALSE,"Bilan";"CR Ana",#N/A,FALSE,"Compte de Resultat";"TGCG Ana",#N/A,FALSE,"TGCG";#N/A,#N/A,FALSE,"Tab. de Fin.";#N/A,#N/A,FALSE,"EF-Synth."}</definedName>
    <definedName name="as" localSheetId="4" hidden="1">{#N/A,#N/A,FALSE,"Bilan";"CR Ana",#N/A,FALSE,"Compte de Resultat";"TGCG Ana",#N/A,FALSE,"TGCG";#N/A,#N/A,FALSE,"Tab. de Fin.";#N/A,#N/A,FALSE,"EF-Synth."}</definedName>
    <definedName name="as" localSheetId="8" hidden="1">{#N/A,#N/A,FALSE,"Bilan";"CR Ana",#N/A,FALSE,"Compte de Resultat";"TGCG Ana",#N/A,FALSE,"TGCG";#N/A,#N/A,FALSE,"Tab. de Fin.";#N/A,#N/A,FALSE,"EF-Synth."}</definedName>
    <definedName name="as" hidden="1">{#N/A,#N/A,FALSE,"Bilan";"CR Ana",#N/A,FALSE,"Compte de Resultat";"TGCG Ana",#N/A,FALSE,"TGCG";#N/A,#N/A,FALSE,"Tab. de Fin.";#N/A,#N/A,FALSE,"EF-Synth."}</definedName>
    <definedName name="AS2DocOpenMode" hidden="1">"AS2DocumentEdit"</definedName>
    <definedName name="aug" localSheetId="5">#REF!</definedName>
    <definedName name="aug" localSheetId="7">#REF!</definedName>
    <definedName name="av" localSheetId="7">#REF!</definedName>
    <definedName name="AVANT" localSheetId="5">#REF!</definedName>
    <definedName name="AVANT" localSheetId="7">#REF!</definedName>
    <definedName name="AVOTRA" localSheetId="5">#REF!</definedName>
    <definedName name="AVOTRA" localSheetId="7">#REF!</definedName>
    <definedName name="AVRIL" localSheetId="5">#REF!</definedName>
    <definedName name="AVRIL" localSheetId="7">#REF!</definedName>
    <definedName name="AZD" localSheetId="5">IF(#REF!&lt;&gt;"",#REF!*#REF!,"")</definedName>
    <definedName name="AZD" localSheetId="7">IF(#REF!&lt;&gt;"",#REF!*#REF!,"")</definedName>
    <definedName name="AZD" localSheetId="8">IF(#REF!&lt;&gt;"",#REF!*#REF!,"")</definedName>
    <definedName name="AZERTYUIOPMLKJNHVBGFCDXSQWXS" localSheetId="5">#REF!</definedName>
    <definedName name="AZERTYUIOPMLKJNHVBGFCDXSQWXS" localSheetId="7">#REF!</definedName>
    <definedName name="AZERTYUIOPMLKJNHVBGFCDXSQWXS" localSheetId="8">#REF!</definedName>
    <definedName name="AZERTYUIOPMQLKKSHJDFGGFBNVCCXXNW" localSheetId="5">#REF!</definedName>
    <definedName name="AZERTYUIOPMQLKKSHJDFGGFBNVCCXXNW" localSheetId="7">#REF!</definedName>
    <definedName name="AZERTYUIOPMQLKKSHJDFGGFBNVCCXXNW" localSheetId="8">#REF!</definedName>
    <definedName name="B" localSheetId="5">#REF!</definedName>
    <definedName name="B" localSheetId="7">#REF!</definedName>
    <definedName name="B" localSheetId="8">#REF!</definedName>
    <definedName name="b_2" localSheetId="5">#REF!</definedName>
    <definedName name="b_2" localSheetId="7">#REF!</definedName>
    <definedName name="b_2" localSheetId="8">#REF!</definedName>
    <definedName name="Bal" localSheetId="7">#REF!</definedName>
    <definedName name="Bal" localSheetId="8">#REF!</definedName>
    <definedName name="BALANCE" localSheetId="5">#REF!</definedName>
    <definedName name="BALANCE" localSheetId="7">#REF!</definedName>
    <definedName name="BALANCE" localSheetId="8">#REF!</definedName>
    <definedName name="balance1" localSheetId="5">#REF!</definedName>
    <definedName name="balance1" localSheetId="7">#REF!</definedName>
    <definedName name="balance1" localSheetId="8">#REF!</definedName>
    <definedName name="balance2" localSheetId="5">#REF!</definedName>
    <definedName name="balance2" localSheetId="7">#REF!</definedName>
    <definedName name="balance2" localSheetId="8">#REF!</definedName>
    <definedName name="BALGENE" localSheetId="5">#REF!</definedName>
    <definedName name="BALGENE" localSheetId="7">#REF!</definedName>
    <definedName name="bas" localSheetId="5">#REF!</definedName>
    <definedName name="bas" localSheetId="7">#REF!</definedName>
    <definedName name="bas" localSheetId="8">#REF!</definedName>
    <definedName name="base" localSheetId="5">#REF!</definedName>
    <definedName name="base" localSheetId="7">#REF!</definedName>
    <definedName name="BASE" localSheetId="8">#REF!</definedName>
    <definedName name="_xlnm.Database" localSheetId="5">#REF!</definedName>
    <definedName name="_xlnm.Database" localSheetId="7">#REF!</definedName>
    <definedName name="_xlnm.Database" localSheetId="8">#REF!</definedName>
    <definedName name="base2004" localSheetId="5">#REF!</definedName>
    <definedName name="base2004" localSheetId="7">#REF!</definedName>
    <definedName name="base2004" localSheetId="8">#REF!</definedName>
    <definedName name="base2005" localSheetId="5">#REF!</definedName>
    <definedName name="base2005" localSheetId="7">#REF!</definedName>
    <definedName name="base2005" localSheetId="8">#REF!</definedName>
    <definedName name="base2006" localSheetId="5">#REF!</definedName>
    <definedName name="base2006" localSheetId="7">#REF!</definedName>
    <definedName name="base2006" localSheetId="8">#REF!</definedName>
    <definedName name="base2007" localSheetId="5">#REF!</definedName>
    <definedName name="base2007" localSheetId="7">#REF!</definedName>
    <definedName name="base2007" localSheetId="8">#REF!</definedName>
    <definedName name="base2008" localSheetId="5">#REF!</definedName>
    <definedName name="base2008" localSheetId="7">#REF!</definedName>
    <definedName name="base2008" localSheetId="8">#REF!</definedName>
    <definedName name="base2009" localSheetId="5">#REF!</definedName>
    <definedName name="base2009" localSheetId="7">#REF!</definedName>
    <definedName name="base2009" localSheetId="8">#REF!</definedName>
    <definedName name="base2010" localSheetId="5">#REF!</definedName>
    <definedName name="base2010" localSheetId="7">#REF!</definedName>
    <definedName name="base2010" localSheetId="8">#REF!</definedName>
    <definedName name="BaseGP" localSheetId="5">#REF!</definedName>
    <definedName name="BaseGP" localSheetId="7">#REF!</definedName>
    <definedName name="BaseGP" localSheetId="8">#REF!</definedName>
    <definedName name="BaseGP_1" localSheetId="5">#REF!</definedName>
    <definedName name="BaseGP_1" localSheetId="7">#REF!</definedName>
    <definedName name="BaseGP_1" localSheetId="8">#REF!</definedName>
    <definedName name="BD" localSheetId="7">#REF!</definedName>
    <definedName name="BD" localSheetId="8">#REF!</definedName>
    <definedName name="bd_2" localSheetId="5">#REF!</definedName>
    <definedName name="bd_2" localSheetId="7">#REF!</definedName>
    <definedName name="Beg.Bal" localSheetId="7">IF(#REF!&lt;&gt;"",#REF!,"")</definedName>
    <definedName name="Beg.Bal" localSheetId="8">IF(#REF!&lt;&gt;"",#REF!,"")</definedName>
    <definedName name="Beg_Bal" localSheetId="5">#REF!</definedName>
    <definedName name="Beg_Bal" localSheetId="7">#REF!</definedName>
    <definedName name="BILAN" localSheetId="5">#REF!</definedName>
    <definedName name="BILAN" localSheetId="7">#REF!</definedName>
    <definedName name="BILAN" localSheetId="8">#REF!</definedName>
    <definedName name="BILANPASSIF" localSheetId="5">#REF!</definedName>
    <definedName name="BILANPASSIF" localSheetId="7">#REF!</definedName>
    <definedName name="BILANPASSIF" localSheetId="8">#REF!</definedName>
    <definedName name="BN" localSheetId="7">#REF!</definedName>
    <definedName name="BN" localSheetId="8">#REF!</definedName>
    <definedName name="BN_1" localSheetId="7">#REF!</definedName>
    <definedName name="BN_1" localSheetId="8">#REF!</definedName>
    <definedName name="BR" localSheetId="5">#REF!</definedName>
    <definedName name="BR" localSheetId="7">#REF!</definedName>
    <definedName name="BR" localSheetId="8">#REF!</definedName>
    <definedName name="BRFAIDA" localSheetId="5">#REF!</definedName>
    <definedName name="BRFAIDA" localSheetId="7">#REF!</definedName>
    <definedName name="BRFAIDA" localSheetId="8">#REF!</definedName>
    <definedName name="Bulk_Customer_Installations" localSheetId="5">#REF!</definedName>
    <definedName name="Bulk_Customer_Installations" localSheetId="7">#REF!</definedName>
    <definedName name="Bulk_Customer_Installations" localSheetId="8">#REF!</definedName>
    <definedName name="Bulk_Industrial_IT" localSheetId="5">#REF!</definedName>
    <definedName name="Bulk_Industrial_IT" localSheetId="7">#REF!</definedName>
    <definedName name="Bulk_Industrial_IT" localSheetId="8">#REF!</definedName>
    <definedName name="Bulk_Transport_and_Distribution" localSheetId="5">#REF!</definedName>
    <definedName name="Bulk_Transport_and_Distribution" localSheetId="7">#REF!</definedName>
    <definedName name="Bulk_Transport_and_Distribution" localSheetId="8">#REF!</definedName>
    <definedName name="buta2c" localSheetId="5">#REF!</definedName>
    <definedName name="buta2c" localSheetId="7">#REF!</definedName>
    <definedName name="buta2c" localSheetId="8">#REF!</definedName>
    <definedName name="BV" localSheetId="5">#REF!</definedName>
    <definedName name="BV" localSheetId="7">#REF!</definedName>
    <definedName name="BV" localSheetId="8">#REF!</definedName>
    <definedName name="bvibs" localSheetId="5">#REF!</definedName>
    <definedName name="bvibs" localSheetId="7">#REF!</definedName>
    <definedName name="bvibs" localSheetId="8">#REF!</definedName>
    <definedName name="C_G" localSheetId="7">#REF!</definedName>
    <definedName name="C_G" localSheetId="8">#REF!</definedName>
    <definedName name="ca" localSheetId="5">#REF!</definedName>
    <definedName name="ca" localSheetId="7">#REF!</definedName>
    <definedName name="ca" localSheetId="8">#REF!</definedName>
    <definedName name="CA_03" localSheetId="5">#REF!</definedName>
    <definedName name="CA_03" localSheetId="7">#REF!</definedName>
    <definedName name="CA_03" localSheetId="8">#REF!</definedName>
    <definedName name="CAA" localSheetId="5">#REF!</definedName>
    <definedName name="CAA" localSheetId="7">#REF!</definedName>
    <definedName name="CAA" localSheetId="8">#REF!</definedName>
    <definedName name="CAF" localSheetId="5">#REF!</definedName>
    <definedName name="CAF" localSheetId="7">#REF!</definedName>
    <definedName name="CAF" localSheetId="8">#REF!</definedName>
    <definedName name="cal" localSheetId="5">#REF!</definedName>
    <definedName name="cal" localSheetId="7">#REF!</definedName>
    <definedName name="cal" localSheetId="8">#REF!</definedName>
    <definedName name="calcibs" localSheetId="5">#REF!</definedName>
    <definedName name="calcibs" localSheetId="7">#REF!</definedName>
    <definedName name="Calculated_payment" localSheetId="5">#REF!</definedName>
    <definedName name="Calculated_payment" localSheetId="7">#REF!</definedName>
    <definedName name="Calculated_payment" localSheetId="8">#REF!</definedName>
    <definedName name="Capitaux" localSheetId="5">#REF!</definedName>
    <definedName name="Capitaux" localSheetId="7">#REF!</definedName>
    <definedName name="Capitaux" localSheetId="8">#REF!</definedName>
    <definedName name="CapitFIXE" localSheetId="5">#REF!</definedName>
    <definedName name="CapitFIXE" localSheetId="7">#REF!</definedName>
    <definedName name="CC" localSheetId="7" hidden="1">{#N/A,#N/A,FALSE,"Cover_Page";#N/A,#N/A,FALSE,"P&amp;L";#N/A,#N/A,FALSE,"p&amp;l by month";#N/A,#N/A,FALSE,"Profit_centres";#N/A,#N/A,FALSE,"balance";#N/A,#N/A,FALSE,"Group";#N/A,#N/A,FALSE,"Sales";#N/A,#N/A,FALSE,"Markets";#N/A,#N/A,FALSE,"Pr_Salesrep";#N/A,#N/A,FALSE,"bookings";#N/A,#N/A,FALSE,"Personnel ";#N/A,#N/A,FALSE,"Investm.";#N/A,#N/A,FALSE,"Key Fig"}</definedName>
    <definedName name="cc" localSheetId="8">{#N/A,#N/A,FALSE,"Cover_Page";#N/A,#N/A,FALSE,"P&amp;L";#N/A,#N/A,FALSE,"p&amp;l by month";#N/A,#N/A,FALSE,"Profit_centres";#N/A,#N/A,FALSE,"balance";#N/A,#N/A,FALSE,"Group";#N/A,#N/A,FALSE,"Sales";#N/A,#N/A,FALSE,"Markets";#N/A,#N/A,FALSE,"Pr_Salesrep";#N/A,#N/A,FALSE,"bookings";#N/A,#N/A,FALSE,"Personnel ";#N/A,#N/A,FALSE,"Investm.";#N/A,#N/A,FALSE,"Key Fig"}</definedName>
    <definedName name="CCA" localSheetId="5">#REF!</definedName>
    <definedName name="CCA" localSheetId="7">#REF!</definedName>
    <definedName name="cclana" localSheetId="5">#REF!</definedName>
    <definedName name="cclana" localSheetId="7">#REF!</definedName>
    <definedName name="cclana" localSheetId="8">#REF!</definedName>
    <definedName name="cclanal" localSheetId="5">#REF!</definedName>
    <definedName name="cclanal" localSheetId="7">#REF!</definedName>
    <definedName name="cclanal" localSheetId="8">#REF!</definedName>
    <definedName name="CDAI" localSheetId="5">#REF!</definedName>
    <definedName name="CDAI" localSheetId="7">#REF!</definedName>
    <definedName name="CDAI" localSheetId="8">#REF!</definedName>
    <definedName name="CFCINQ" localSheetId="5">#REF!</definedName>
    <definedName name="CFCINQ" localSheetId="7">#REF!</definedName>
    <definedName name="CFCINQ" localSheetId="8">#REF!</definedName>
    <definedName name="CHAN" localSheetId="5">#REF!</definedName>
    <definedName name="CHAN" localSheetId="7">#REF!</definedName>
    <definedName name="CHAN" localSheetId="8">#REF!</definedName>
    <definedName name="change" localSheetId="5">#REF!</definedName>
    <definedName name="change" localSheetId="7">#REF!</definedName>
    <definedName name="change" localSheetId="8">#REF!</definedName>
    <definedName name="CHARGE_ded" localSheetId="7">#REF!</definedName>
    <definedName name="CHARGE_ded" localSheetId="8">#REF!</definedName>
    <definedName name="CIT" localSheetId="5">#REF!</definedName>
    <definedName name="CIT" localSheetId="7">#REF!</definedName>
    <definedName name="CIT" localSheetId="8">#REF!</definedName>
    <definedName name="Clé2N" localSheetId="5">#REF!</definedName>
    <definedName name="Clé2N" localSheetId="7">#REF!</definedName>
    <definedName name="Clé2N" localSheetId="8">#REF!</definedName>
    <definedName name="Clé3N" localSheetId="7">#REF!</definedName>
    <definedName name="Clé3N" localSheetId="8">#REF!</definedName>
    <definedName name="Clé4N" localSheetId="5">#REF!</definedName>
    <definedName name="Clé4N" localSheetId="7">#REF!</definedName>
    <definedName name="Clé4N" localSheetId="8">#REF!</definedName>
    <definedName name="Clé5N" localSheetId="5">#REF!</definedName>
    <definedName name="Clé5N" localSheetId="7">#REF!</definedName>
    <definedName name="Clé5N" localSheetId="8">#REF!</definedName>
    <definedName name="CléN" localSheetId="7">#REF!</definedName>
    <definedName name="CléN" localSheetId="8">#REF!</definedName>
    <definedName name="CléN_1" localSheetId="7">#REF!</definedName>
    <definedName name="CléN_1" localSheetId="8">#REF!</definedName>
    <definedName name="Client" localSheetId="5">#REF!</definedName>
    <definedName name="Client" localSheetId="7">#REF!</definedName>
    <definedName name="Client" localSheetId="8">#REF!</definedName>
    <definedName name="Clients" localSheetId="5">#REF!</definedName>
    <definedName name="Clients" localSheetId="7">#REF!</definedName>
    <definedName name="Clients" localSheetId="8">#REF!</definedName>
    <definedName name="CLOT_C" localSheetId="5">#REF!</definedName>
    <definedName name="CLOT_C" localSheetId="7">#REF!</definedName>
    <definedName name="CLOT_C" localSheetId="8">#REF!</definedName>
    <definedName name="CLOT_D" localSheetId="5">#REF!</definedName>
    <definedName name="CLOT_D" localSheetId="7">#REF!</definedName>
    <definedName name="CLOT_D" localSheetId="8">#REF!</definedName>
    <definedName name="Cloture" localSheetId="7">#REF!</definedName>
    <definedName name="Cloture" localSheetId="8">#REF!</definedName>
    <definedName name="CMSEIZE" localSheetId="5">#REF!</definedName>
    <definedName name="CMSEIZE" localSheetId="7">#REF!</definedName>
    <definedName name="CMSEIZE" localSheetId="8">#REF!</definedName>
    <definedName name="cod" localSheetId="5">#REF!</definedName>
    <definedName name="cod" localSheetId="7">#REF!</definedName>
    <definedName name="cod" localSheetId="8">#REF!</definedName>
    <definedName name="Code" localSheetId="5">#REF!</definedName>
    <definedName name="Code" localSheetId="7">#REF!</definedName>
    <definedName name="Code" localSheetId="8">#REF!</definedName>
    <definedName name="CODE00" localSheetId="5">#REF!</definedName>
    <definedName name="CODE00" localSheetId="7">#REF!</definedName>
    <definedName name="CODE00" localSheetId="8">#REF!</definedName>
    <definedName name="codelieu" localSheetId="5">#REF!</definedName>
    <definedName name="codelieu" localSheetId="7">#REF!</definedName>
    <definedName name="codelieu" localSheetId="8">#REF!</definedName>
    <definedName name="Col_inventaires" localSheetId="7">#REF!</definedName>
    <definedName name="Col_inventaires" localSheetId="8">#REF!</definedName>
    <definedName name="Col_reclassement" localSheetId="7">#REF!</definedName>
    <definedName name="Col_reclassement" localSheetId="8">#REF!</definedName>
    <definedName name="Col_régularisations" localSheetId="7">#REF!</definedName>
    <definedName name="Col_régularisations" localSheetId="8">#REF!</definedName>
    <definedName name="ColAjustN" localSheetId="5">#REF!</definedName>
    <definedName name="ColAjustN" localSheetId="7">#REF!</definedName>
    <definedName name="ColAjustN" localSheetId="8">#REF!</definedName>
    <definedName name="ColAjustN_1" localSheetId="5">#REF!</definedName>
    <definedName name="ColAjustN_1" localSheetId="7">#REF!</definedName>
    <definedName name="ColAjustN_1" localSheetId="8">#REF!</definedName>
    <definedName name="COLBFN" localSheetId="7">#REF!</definedName>
    <definedName name="COLBFN" localSheetId="8">#REF!</definedName>
    <definedName name="COLBFN_1" localSheetId="5">#REF!</definedName>
    <definedName name="COLBFN_1" localSheetId="7">#REF!</definedName>
    <definedName name="COLBFN_1" localSheetId="8">#REF!</definedName>
    <definedName name="COMPBAL" localSheetId="5">#REF!</definedName>
    <definedName name="COMPBAL" localSheetId="7">#REF!</definedName>
    <definedName name="COMPBAL" localSheetId="8">#REF!</definedName>
    <definedName name="compte256111" localSheetId="5">#REF!</definedName>
    <definedName name="compte256111" localSheetId="7">#REF!</definedName>
    <definedName name="compte256111" localSheetId="8">#REF!</definedName>
    <definedName name="compte401311" localSheetId="5">#REF!</definedName>
    <definedName name="compte401311" localSheetId="7">#REF!</definedName>
    <definedName name="compte401311" localSheetId="8">#REF!</definedName>
    <definedName name="compte402111" localSheetId="5">#REF!</definedName>
    <definedName name="compte402111" localSheetId="7">#REF!</definedName>
    <definedName name="compte402111" localSheetId="8">#REF!</definedName>
    <definedName name="compte404111" localSheetId="5">#REF!</definedName>
    <definedName name="compte404111" localSheetId="7">#REF!</definedName>
    <definedName name="compte404111" localSheetId="8">#REF!</definedName>
    <definedName name="compte409111" localSheetId="5">#REF!</definedName>
    <definedName name="compte409111" localSheetId="7">#REF!</definedName>
    <definedName name="compte409111" localSheetId="8">#REF!</definedName>
    <definedName name="compte409121" localSheetId="5">#REF!</definedName>
    <definedName name="compte409121" localSheetId="7">#REF!</definedName>
    <definedName name="compte409121" localSheetId="8">#REF!</definedName>
    <definedName name="compte443861" localSheetId="5">#REF!</definedName>
    <definedName name="compte443861" localSheetId="7">#REF!</definedName>
    <definedName name="compte443861" localSheetId="8">#REF!</definedName>
    <definedName name="compte444421" localSheetId="5">#REF!</definedName>
    <definedName name="compte444421" localSheetId="7">#REF!</definedName>
    <definedName name="compte444421" localSheetId="8">#REF!</definedName>
    <definedName name="compte444422" localSheetId="5">#REF!</definedName>
    <definedName name="compte444422" localSheetId="7">#REF!</definedName>
    <definedName name="compte444422" localSheetId="8">#REF!</definedName>
    <definedName name="compte447118" localSheetId="5">#REF!</definedName>
    <definedName name="compte447118" localSheetId="7">#REF!</definedName>
    <definedName name="compte447118" localSheetId="8">#REF!</definedName>
    <definedName name="compte448631" localSheetId="5">#REF!</definedName>
    <definedName name="compte448631" localSheetId="7">#REF!</definedName>
    <definedName name="compte448631" localSheetId="8">#REF!</definedName>
    <definedName name="compte455144" localSheetId="5">#REF!</definedName>
    <definedName name="compte455144" localSheetId="7">#REF!</definedName>
    <definedName name="compte455144" localSheetId="8">#REF!</definedName>
    <definedName name="compte467118" localSheetId="5">#REF!</definedName>
    <definedName name="compte467118" localSheetId="7">#REF!</definedName>
    <definedName name="compte467118" localSheetId="8">#REF!</definedName>
    <definedName name="compte467309SMF" localSheetId="5">#REF!</definedName>
    <definedName name="compte467309SMF" localSheetId="7">#REF!</definedName>
    <definedName name="compte467309SMF" localSheetId="8">#REF!</definedName>
    <definedName name="compte468618" localSheetId="5">#REF!</definedName>
    <definedName name="compte468618" localSheetId="7">#REF!</definedName>
    <definedName name="compte468618" localSheetId="8">#REF!</definedName>
    <definedName name="compte475111" localSheetId="5">#REF!</definedName>
    <definedName name="compte475111" localSheetId="7">#REF!</definedName>
    <definedName name="compte475111" localSheetId="8">#REF!</definedName>
    <definedName name="compte475121" localSheetId="5">#REF!</definedName>
    <definedName name="compte475121" localSheetId="7">#REF!</definedName>
    <definedName name="compte475121" localSheetId="8">#REF!</definedName>
    <definedName name="compte475161" localSheetId="5">#REF!</definedName>
    <definedName name="compte475161" localSheetId="7">#REF!</definedName>
    <definedName name="compte475161" localSheetId="8">#REF!</definedName>
    <definedName name="compte475261" localSheetId="5">#REF!</definedName>
    <definedName name="compte475261" localSheetId="7">#REF!</definedName>
    <definedName name="compte475261" localSheetId="8">#REF!</definedName>
    <definedName name="compte486161" localSheetId="5">#REF!</definedName>
    <definedName name="compte486161" localSheetId="7">#REF!</definedName>
    <definedName name="compte486161" localSheetId="8">#REF!</definedName>
    <definedName name="compte486163" localSheetId="5">#REF!</definedName>
    <definedName name="compte486163" localSheetId="7">#REF!</definedName>
    <definedName name="compte486163" localSheetId="8">#REF!</definedName>
    <definedName name="compte621111" localSheetId="5">#REF!</definedName>
    <definedName name="compte621111" localSheetId="7">#REF!</definedName>
    <definedName name="compte621111" localSheetId="8">#REF!</definedName>
    <definedName name="COMPTEG" localSheetId="5">#REF!</definedName>
    <definedName name="COMPTEG" localSheetId="7">#REF!</definedName>
    <definedName name="COMPTEG" localSheetId="8">#REF!</definedName>
    <definedName name="Comptes" localSheetId="5">#REF!</definedName>
    <definedName name="Comptes" localSheetId="7">#REF!</definedName>
    <definedName name="Comptes" localSheetId="8">#REF!</definedName>
    <definedName name="COMPTG" localSheetId="5">#REF!</definedName>
    <definedName name="COMPTG" localSheetId="7">#REF!</definedName>
    <definedName name="COMPTG" localSheetId="8">#REF!</definedName>
    <definedName name="COMPTT" localSheetId="5">#REF!</definedName>
    <definedName name="COMPTT" localSheetId="7">#REF!</definedName>
    <definedName name="COMPTT" localSheetId="8">#REF!</definedName>
    <definedName name="core1" localSheetId="5">#REF!</definedName>
    <definedName name="core1" localSheetId="7">#REF!</definedName>
    <definedName name="corresp" localSheetId="5">#REF!</definedName>
    <definedName name="corresp" localSheetId="7">#REF!</definedName>
    <definedName name="corresp" localSheetId="8">#REF!</definedName>
    <definedName name="Cours" localSheetId="5">#REF!</definedName>
    <definedName name="Cours" localSheetId="7">#REF!</definedName>
    <definedName name="Cours" localSheetId="8">#REF!</definedName>
    <definedName name="COURS_EURO" localSheetId="5">#REF!</definedName>
    <definedName name="COURS_EURO" localSheetId="7">#REF!</definedName>
    <definedName name="COURS_EURO" localSheetId="8">#REF!</definedName>
    <definedName name="COURS_LIVRE" localSheetId="5">#REF!</definedName>
    <definedName name="COURS_LIVRE" localSheetId="7">#REF!</definedName>
    <definedName name="COURS_LIVRE" localSheetId="8">#REF!</definedName>
    <definedName name="COURS_USD" localSheetId="5">#REF!</definedName>
    <definedName name="COURS_USD" localSheetId="7">#REF!</definedName>
    <definedName name="COURS_USD" localSheetId="8">#REF!</definedName>
    <definedName name="COURS_YEN" localSheetId="5">#REF!</definedName>
    <definedName name="COURS_YEN" localSheetId="7">#REF!</definedName>
    <definedName name="COURS_YEN" localSheetId="8">#REF!</definedName>
    <definedName name="Cpte_inventaires" localSheetId="7">#REF!</definedName>
    <definedName name="Cpte_inventaires" localSheetId="8">#REF!</definedName>
    <definedName name="Cpte_reclassement" localSheetId="7">#REF!</definedName>
    <definedName name="Cpte_reclassement" localSheetId="8">#REF!</definedName>
    <definedName name="Cpte_régularisations" localSheetId="7">#REF!</definedName>
    <definedName name="Cpte_régularisations" localSheetId="8">#REF!</definedName>
    <definedName name="CPTEAMO" localSheetId="7">#REF!</definedName>
    <definedName name="CPTEAMO" localSheetId="8">#REF!</definedName>
    <definedName name="cptect" localSheetId="5">#REF!</definedName>
    <definedName name="cptect" localSheetId="7">#REF!</definedName>
    <definedName name="cptect" localSheetId="8">#REF!</definedName>
    <definedName name="CPTEDGE" localSheetId="7">#REF!</definedName>
    <definedName name="CPTEDGE" localSheetId="8">#REF!</definedName>
    <definedName name="cptemag" localSheetId="5">#REF!</definedName>
    <definedName name="cptemag" localSheetId="7">#REF!</definedName>
    <definedName name="cptemag" localSheetId="8">#REF!</definedName>
    <definedName name="CPTESFC" localSheetId="7">#REF!</definedName>
    <definedName name="CPTESFC" localSheetId="8">#REF!</definedName>
    <definedName name="CPTESRH" localSheetId="7">#REF!</definedName>
    <definedName name="CPTESRH" localSheetId="8">#REF!</definedName>
    <definedName name="CR" localSheetId="5">#REF!</definedName>
    <definedName name="CR" localSheetId="7">#REF!</definedName>
    <definedName name="Cr" localSheetId="8">#REF!</definedName>
    <definedName name="Cre_Div" localSheetId="5">#REF!</definedName>
    <definedName name="Cre_Div" localSheetId="7">#REF!</definedName>
    <definedName name="Cre_Div" localSheetId="8">#REF!</definedName>
    <definedName name="creditprince" localSheetId="5">#REF!</definedName>
    <definedName name="creditprince" localSheetId="7">#REF!</definedName>
    <definedName name="creditprince" localSheetId="8">#REF!</definedName>
    <definedName name="CRITER" localSheetId="5">#REF!</definedName>
    <definedName name="CRITER" localSheetId="7">#REF!</definedName>
    <definedName name="CRITERE" localSheetId="5">#REF!</definedName>
    <definedName name="CRITERE" localSheetId="7">#REF!</definedName>
    <definedName name="CRITERE" localSheetId="8">#REF!</definedName>
    <definedName name="_xlnm.Criteria" localSheetId="5">#REF!</definedName>
    <definedName name="_xlnm.Criteria" localSheetId="7">#REF!</definedName>
    <definedName name="_xlnm.Criteria" localSheetId="8">#REF!</definedName>
    <definedName name="CRPE" localSheetId="5">#REF!</definedName>
    <definedName name="CRPE" localSheetId="7">#REF!</definedName>
    <definedName name="CRPE" localSheetId="8">#REF!</definedName>
    <definedName name="CSTRENDEU" localSheetId="5">#REF!</definedName>
    <definedName name="CSTRENDEU" localSheetId="7">#REF!</definedName>
    <definedName name="CSTRENDEU" localSheetId="8">#REF!</definedName>
    <definedName name="cteanal" localSheetId="5">#REF!</definedName>
    <definedName name="cteanal" localSheetId="7">#REF!</definedName>
    <definedName name="cteanal" localSheetId="8">#REF!</definedName>
    <definedName name="ctmag" localSheetId="5">#REF!</definedName>
    <definedName name="ctmag" localSheetId="7">#REF!</definedName>
    <definedName name="ctmag" localSheetId="8">#REF!</definedName>
    <definedName name="Cum.Interest" localSheetId="7">IF(#REF!&lt;&gt;"",#REF!+#REF!,"")</definedName>
    <definedName name="Cum.Interest" localSheetId="8">IF(#REF!&lt;&gt;"",#REF!+#REF!,"")</definedName>
    <definedName name="CUMUL" localSheetId="5">#REF!</definedName>
    <definedName name="CUMUL" localSheetId="7">#REF!</definedName>
    <definedName name="CUMUL" localSheetId="8">#REF!</definedName>
    <definedName name="CurrentPeriod" localSheetId="5">#REF!</definedName>
    <definedName name="CurrentPeriod" localSheetId="7">#REF!</definedName>
    <definedName name="CurrentPeriod" localSheetId="8">#REF!</definedName>
    <definedName name="Cylinder_Customer_Installations" localSheetId="5">#REF!</definedName>
    <definedName name="Cylinder_Customer_Installations" localSheetId="7">#REF!</definedName>
    <definedName name="Cylinder_Customer_Installations" localSheetId="8">#REF!</definedName>
    <definedName name="Cylinder_Industrial_IT" localSheetId="5">#REF!</definedName>
    <definedName name="Cylinder_Industrial_IT" localSheetId="7">#REF!</definedName>
    <definedName name="Cylinder_Industrial_IT" localSheetId="8">#REF!</definedName>
    <definedName name="Cylinder_Plants" localSheetId="5">#REF!</definedName>
    <definedName name="Cylinder_Plants" localSheetId="7">#REF!</definedName>
    <definedName name="Cylinder_Plants" localSheetId="8">#REF!</definedName>
    <definedName name="Cylinder_Transportation" localSheetId="5">#REF!</definedName>
    <definedName name="Cylinder_Transportation" localSheetId="7">#REF!</definedName>
    <definedName name="Cylinder_Transportation" localSheetId="8">#REF!</definedName>
    <definedName name="Cylinders_and_Cylinder_Accessories" localSheetId="5">#REF!</definedName>
    <definedName name="Cylinders_and_Cylinder_Accessories" localSheetId="7">#REF!</definedName>
    <definedName name="Cylinders_and_Cylinder_Accessories" localSheetId="8">#REF!</definedName>
    <definedName name="d" localSheetId="5">#REF!</definedName>
    <definedName name="d" localSheetId="7">#REF!</definedName>
    <definedName name="D" localSheetId="8">#REF!</definedName>
    <definedName name="Data" localSheetId="5">#REF!</definedName>
    <definedName name="Data" localSheetId="7">#REF!</definedName>
    <definedName name="Datbal" localSheetId="5">#REF!</definedName>
    <definedName name="Datbal" localSheetId="7">#REF!</definedName>
    <definedName name="Datbal" localSheetId="8">#REF!</definedName>
    <definedName name="Date" localSheetId="5">#REF!</definedName>
    <definedName name="Date" localSheetId="7">#REF!</definedName>
    <definedName name="Date" localSheetId="8">#REF!</definedName>
    <definedName name="DateBal" localSheetId="7">#REF!</definedName>
    <definedName name="DateBal" localSheetId="8">#REF!</definedName>
    <definedName name="Datebalap" localSheetId="7">#REF!</definedName>
    <definedName name="Datebalap" localSheetId="8">#REF!</definedName>
    <definedName name="dateclot" localSheetId="5">#REF!</definedName>
    <definedName name="dateclot" localSheetId="7">#REF!</definedName>
    <definedName name="dateclot" localSheetId="8">#REF!</definedName>
    <definedName name="dbbt" localSheetId="5">#REF!</definedName>
    <definedName name="dbbt" localSheetId="7">#REF!</definedName>
    <definedName name="dbbt" localSheetId="8">#REF!</definedName>
    <definedName name="dbtms" localSheetId="5">#REF!</definedName>
    <definedName name="dbtms" localSheetId="7">#REF!</definedName>
    <definedName name="dbtms" localSheetId="8">#REF!</definedName>
    <definedName name="DCA" localSheetId="5">#REF!</definedName>
    <definedName name="DCA" localSheetId="7">#REF!</definedName>
    <definedName name="DCA" localSheetId="8">#REF!</definedName>
    <definedName name="DCP" localSheetId="5">#REF!</definedName>
    <definedName name="DCP" localSheetId="7">#REF!</definedName>
    <definedName name="DCP" localSheetId="8">#REF!</definedName>
    <definedName name="DDAI" localSheetId="5">#REF!</definedName>
    <definedName name="DDAI" localSheetId="7">#REF!</definedName>
    <definedName name="DDAI" localSheetId="8">#REF!</definedName>
    <definedName name="ddddd" localSheetId="26" hidden="1">{#N/A,#N/A,FALSE,"Bilan";"CR Ana",#N/A,FALSE,"Compte de Resultat";"TGCG Ana",#N/A,FALSE,"TGCG";#N/A,#N/A,FALSE,"Tab. de Fin.";#N/A,#N/A,FALSE,"EF-Synth."}</definedName>
    <definedName name="ddddd" localSheetId="1" hidden="1">{#N/A,#N/A,FALSE,"Bilan";"CR Ana",#N/A,FALSE,"Compte de Resultat";"TGCG Ana",#N/A,FALSE,"TGCG";#N/A,#N/A,FALSE,"Tab. de Fin.";#N/A,#N/A,FALSE,"EF-Synth."}</definedName>
    <definedName name="ddddd" localSheetId="33" hidden="1">{#N/A,#N/A,FALSE,"Bilan";"CR Ana",#N/A,FALSE,"Compte de Resultat";"TGCG Ana",#N/A,FALSE,"TGCG";#N/A,#N/A,FALSE,"Tab. de Fin.";#N/A,#N/A,FALSE,"EF-Synth."}</definedName>
    <definedName name="ddddd" localSheetId="24" hidden="1">{#N/A,#N/A,FALSE,"Bilan";"CR Ana",#N/A,FALSE,"Compte de Resultat";"TGCG Ana",#N/A,FALSE,"TGCG";#N/A,#N/A,FALSE,"Tab. de Fin.";#N/A,#N/A,FALSE,"EF-Synth."}</definedName>
    <definedName name="ddddd" localSheetId="39" hidden="1">{#N/A,#N/A,FALSE,"Bilan";"CR Ana",#N/A,FALSE,"Compte de Resultat";"TGCG Ana",#N/A,FALSE,"TGCG";#N/A,#N/A,FALSE,"Tab. de Fin.";#N/A,#N/A,FALSE,"EF-Synth."}</definedName>
    <definedName name="ddddd" localSheetId="2" hidden="1">{#N/A,#N/A,FALSE,"Bilan";"CR Ana",#N/A,FALSE,"Compte de Resultat";"TGCG Ana",#N/A,FALSE,"TGCG";#N/A,#N/A,FALSE,"Tab. de Fin.";#N/A,#N/A,FALSE,"EF-Synth."}</definedName>
    <definedName name="ddddd" localSheetId="38" hidden="1">{#N/A,#N/A,FALSE,"Bilan";"CR Ana",#N/A,FALSE,"Compte de Resultat";"TGCG Ana",#N/A,FALSE,"TGCG";#N/A,#N/A,FALSE,"Tab. de Fin.";#N/A,#N/A,FALSE,"EF-Synth."}</definedName>
    <definedName name="ddddd" localSheetId="34" hidden="1">{#N/A,#N/A,FALSE,"Bilan";"CR Ana",#N/A,FALSE,"Compte de Resultat";"TGCG Ana",#N/A,FALSE,"TGCG";#N/A,#N/A,FALSE,"Tab. de Fin.";#N/A,#N/A,FALSE,"EF-Synth."}</definedName>
    <definedName name="ddddd" localSheetId="7" hidden="1">{#N/A,#N/A,FALSE,"Bilan";"CR Ana",#N/A,FALSE,"Compte de Resultat";"TGCG Ana",#N/A,FALSE,"TGCG";#N/A,#N/A,FALSE,"Tab. de Fin.";#N/A,#N/A,FALSE,"EF-Synth."}</definedName>
    <definedName name="ddddd" localSheetId="4" hidden="1">{#N/A,#N/A,FALSE,"Bilan";"CR Ana",#N/A,FALSE,"Compte de Resultat";"TGCG Ana",#N/A,FALSE,"TGCG";#N/A,#N/A,FALSE,"Tab. de Fin.";#N/A,#N/A,FALSE,"EF-Synth."}</definedName>
    <definedName name="ddddd" localSheetId="8" hidden="1">{#N/A,#N/A,FALSE,"Bilan";"CR Ana",#N/A,FALSE,"Compte de Resultat";"TGCG Ana",#N/A,FALSE,"TGCG";#N/A,#N/A,FALSE,"Tab. de Fin.";#N/A,#N/A,FALSE,"EF-Synth."}</definedName>
    <definedName name="ddddd" localSheetId="27" hidden="1">{#N/A,#N/A,FALSE,"Bilan";"CR Ana",#N/A,FALSE,"Compte de Resultat";"TGCG Ana",#N/A,FALSE,"TGCG";#N/A,#N/A,FALSE,"Tab. de Fin.";#N/A,#N/A,FALSE,"EF-Synth."}</definedName>
    <definedName name="ddddd" localSheetId="16" hidden="1">{#N/A,#N/A,FALSE,"Bilan";"CR Ana",#N/A,FALSE,"Compte de Resultat";"TGCG Ana",#N/A,FALSE,"TGCG";#N/A,#N/A,FALSE,"Tab. de Fin.";#N/A,#N/A,FALSE,"EF-Synth."}</definedName>
    <definedName name="ddddd" localSheetId="23" hidden="1">{#N/A,#N/A,FALSE,"Bilan";"CR Ana",#N/A,FALSE,"Compte de Resultat";"TGCG Ana",#N/A,FALSE,"TGCG";#N/A,#N/A,FALSE,"Tab. de Fin.";#N/A,#N/A,FALSE,"EF-Synth."}</definedName>
    <definedName name="ddddd" hidden="1">{#N/A,#N/A,FALSE,"Bilan";"CR Ana",#N/A,FALSE,"Compte de Resultat";"TGCG Ana",#N/A,FALSE,"TGCG";#N/A,#N/A,FALSE,"Tab. de Fin.";#N/A,#N/A,FALSE,"EF-Synth."}</definedName>
    <definedName name="de" localSheetId="1" hidden="1">{#N/A,#N/A,FALSE,"Cover_Page";#N/A,#N/A,FALSE,"P&amp;L";#N/A,#N/A,FALSE,"p&amp;l by month";#N/A,#N/A,FALSE,"Profit_centres";#N/A,#N/A,FALSE,"balance";#N/A,#N/A,FALSE,"Group";#N/A,#N/A,FALSE,"Sales";#N/A,#N/A,FALSE,"Markets";#N/A,#N/A,FALSE,"Pr_Salesrep";#N/A,#N/A,FALSE,"bookings";#N/A,#N/A,FALSE,"Personnel ";#N/A,#N/A,FALSE,"Investm.";#N/A,#N/A,FALSE,"Key Fig"}</definedName>
    <definedName name="de" localSheetId="7" hidden="1">{#N/A,#N/A,FALSE,"Cover_Page";#N/A,#N/A,FALSE,"P&amp;L";#N/A,#N/A,FALSE,"p&amp;l by month";#N/A,#N/A,FALSE,"Profit_centres";#N/A,#N/A,FALSE,"balance";#N/A,#N/A,FALSE,"Group";#N/A,#N/A,FALSE,"Sales";#N/A,#N/A,FALSE,"Markets";#N/A,#N/A,FALSE,"Pr_Salesrep";#N/A,#N/A,FALSE,"bookings";#N/A,#N/A,FALSE,"Personnel ";#N/A,#N/A,FALSE,"Investm.";#N/A,#N/A,FALSE,"Key Fig"}</definedName>
    <definedName name="de" localSheetId="4" hidden="1">{#N/A,#N/A,FALSE,"Cover_Page";#N/A,#N/A,FALSE,"P&amp;L";#N/A,#N/A,FALSE,"p&amp;l by month";#N/A,#N/A,FALSE,"Profit_centres";#N/A,#N/A,FALSE,"balance";#N/A,#N/A,FALSE,"Group";#N/A,#N/A,FALSE,"Sales";#N/A,#N/A,FALSE,"Markets";#N/A,#N/A,FALSE,"Pr_Salesrep";#N/A,#N/A,FALSE,"bookings";#N/A,#N/A,FALSE,"Personnel ";#N/A,#N/A,FALSE,"Investm.";#N/A,#N/A,FALSE,"Key Fig"}</definedName>
    <definedName name="de" localSheetId="8" hidden="1">{#N/A,#N/A,FALSE,"Cover_Page";#N/A,#N/A,FALSE,"P&amp;L";#N/A,#N/A,FALSE,"p&amp;l by month";#N/A,#N/A,FALSE,"Profit_centres";#N/A,#N/A,FALSE,"balance";#N/A,#N/A,FALSE,"Group";#N/A,#N/A,FALSE,"Sales";#N/A,#N/A,FALSE,"Markets";#N/A,#N/A,FALSE,"Pr_Salesrep";#N/A,#N/A,FALSE,"bookings";#N/A,#N/A,FALSE,"Personnel ";#N/A,#N/A,FALSE,"Investm.";#N/A,#N/A,FALSE,"Key Fig"}</definedName>
    <definedName name="de" hidden="1">{#N/A,#N/A,FALSE,"Cover_Page";#N/A,#N/A,FALSE,"P&amp;L";#N/A,#N/A,FALSE,"p&amp;l by month";#N/A,#N/A,FALSE,"Profit_centres";#N/A,#N/A,FALSE,"balance";#N/A,#N/A,FALSE,"Group";#N/A,#N/A,FALSE,"Sales";#N/A,#N/A,FALSE,"Markets";#N/A,#N/A,FALSE,"Pr_Salesrep";#N/A,#N/A,FALSE,"bookings";#N/A,#N/A,FALSE,"Personnel ";#N/A,#N/A,FALSE,"Investm.";#N/A,#N/A,FALSE,"Key Fig"}</definedName>
    <definedName name="DEBUTGLOBAL" localSheetId="5">#REF!</definedName>
    <definedName name="DEBUTGLOBAL" localSheetId="7">#REF!</definedName>
    <definedName name="DEBUTPERIODE" localSheetId="5">#REF!</definedName>
    <definedName name="DEBUTPERIODE" localSheetId="7">#REF!</definedName>
    <definedName name="dec" localSheetId="5">#REF!</definedName>
    <definedName name="dec" localSheetId="7">#REF!</definedName>
    <definedName name="dec" localSheetId="8">#REF!</definedName>
    <definedName name="DECEMBRE" localSheetId="5">#REF!</definedName>
    <definedName name="DECEMBRE" localSheetId="7">#REF!</definedName>
    <definedName name="DECEMBRE" localSheetId="8">#REF!</definedName>
    <definedName name="decstock" localSheetId="7">#REF!</definedName>
    <definedName name="decstock" localSheetId="8">#REF!</definedName>
    <definedName name="DEM" localSheetId="5">#REF!</definedName>
    <definedName name="DEM" localSheetId="7">#REF!</definedName>
    <definedName name="DEM" localSheetId="8">#REF!</definedName>
    <definedName name="DEPAMBA_46_ED0502" localSheetId="5">#REF!</definedName>
    <definedName name="DEPAMBA_46_ED0502" localSheetId="7">#REF!</definedName>
    <definedName name="DEPAMBA_46_ED0502" localSheetId="8">#REF!</definedName>
    <definedName name="DEPAMBA_46_ED0502_MOD170602" localSheetId="5">#REF!</definedName>
    <definedName name="DEPAMBA_46_ED0502_MOD170602" localSheetId="7">#REF!</definedName>
    <definedName name="DEPAMBA_46_ED0502_MOD170602" localSheetId="8">#REF!</definedName>
    <definedName name="DEPAMBE_41_ED0502" localSheetId="5">#REF!</definedName>
    <definedName name="DEPAMBE_41_ED0502" localSheetId="7">#REF!</definedName>
    <definedName name="DEPAMBE_41_ED0502" localSheetId="8">#REF!</definedName>
    <definedName name="DEPAMBE_41_ED0502_MOD170602" localSheetId="5">#REF!</definedName>
    <definedName name="DEPAMBE_41_ED0502_MOD170602" localSheetId="7">#REF!</definedName>
    <definedName name="DEPAMBE_41_ED0502_MOD170602" localSheetId="8">#REF!</definedName>
    <definedName name="DEPATH_42_ED0502" localSheetId="5">#REF!</definedName>
    <definedName name="DEPATH_42_ED0502" localSheetId="7">#REF!</definedName>
    <definedName name="DEPATH_42_ED0502" localSheetId="8">#REF!</definedName>
    <definedName name="DEPATH_42_ED0502_MOD170602" localSheetId="5">#REF!</definedName>
    <definedName name="DEPATH_42_ED0502_MOD170602" localSheetId="7">#REF!</definedName>
    <definedName name="DEPATH_42_ED0502_MOD170602" localSheetId="8">#REF!</definedName>
    <definedName name="DEPATO_21_ED0502" localSheetId="5">#REF!</definedName>
    <definedName name="DEPATO_21_ED0502" localSheetId="7">#REF!</definedName>
    <definedName name="DEPATO_21_ED0502" localSheetId="8">#REF!</definedName>
    <definedName name="DEPATO_21_ED0502_MOD170602" localSheetId="5">#REF!</definedName>
    <definedName name="DEPATO_21_ED0502_MOD170602" localSheetId="7">#REF!</definedName>
    <definedName name="DEPATO_21_ED0502_MOD170602" localSheetId="8">#REF!</definedName>
    <definedName name="DEPCAU" localSheetId="5">#REF!</definedName>
    <definedName name="DEPCAU" localSheetId="7">#REF!</definedName>
    <definedName name="DEPCAU" localSheetId="8">#REF!</definedName>
    <definedName name="DEPMAN_36_ED0502" localSheetId="5">#REF!</definedName>
    <definedName name="DEPMAN_36_ED0502" localSheetId="7">#REF!</definedName>
    <definedName name="DEPMAN_36_ED0502" localSheetId="8">#REF!</definedName>
    <definedName name="DEPMAN_36_ED0502_MOD170602" localSheetId="5">#REF!</definedName>
    <definedName name="DEPMAN_36_ED0502_MOD170602" localSheetId="7">#REF!</definedName>
    <definedName name="DEPMAN_36_ED0502_MOD170602" localSheetId="8">#REF!</definedName>
    <definedName name="DEPMGA_25_ED0502" localSheetId="5">#REF!</definedName>
    <definedName name="DEPMGA_25_ED0502" localSheetId="7">#REF!</definedName>
    <definedName name="DEPMGA_25_ED0502" localSheetId="8">#REF!</definedName>
    <definedName name="DEPMGA_25_ED0502_MOD170602" localSheetId="5">#REF!</definedName>
    <definedName name="DEPMGA_25_ED0502_MOD170602" localSheetId="7">#REF!</definedName>
    <definedName name="DEPMGA_25_ED0502_MOD170602" localSheetId="8">#REF!</definedName>
    <definedName name="DEPMOR_17_ED0502" localSheetId="5">#REF!</definedName>
    <definedName name="DEPMOR_17_ED0502" localSheetId="7">#REF!</definedName>
    <definedName name="DEPMOR_17_ED0502" localSheetId="8">#REF!</definedName>
    <definedName name="DEPMOR_17_ED0502_MOD170602" localSheetId="5">#REF!</definedName>
    <definedName name="DEPMOR_17_ED0502_MOD170602" localSheetId="7">#REF!</definedName>
    <definedName name="DEPMOR_17_ED0502_MOD170602" localSheetId="8">#REF!</definedName>
    <definedName name="DEPNBE_43_ED0502" localSheetId="5">#REF!</definedName>
    <definedName name="DEPNBE_43_ED0502" localSheetId="7">#REF!</definedName>
    <definedName name="DEPNBE_43_ED0502" localSheetId="8">#REF!</definedName>
    <definedName name="DEPNBE_43_ED0502_MOD_170602" localSheetId="5">#REF!</definedName>
    <definedName name="DEPNBE_43_ED0502_MOD_170602" localSheetId="7">#REF!</definedName>
    <definedName name="DEPNBE_43_ED0502_MOD_170602" localSheetId="8">#REF!</definedName>
    <definedName name="DEPOT" localSheetId="5">#REF!</definedName>
    <definedName name="DEPOT" localSheetId="7">#REF!</definedName>
    <definedName name="DEPOT" localSheetId="8">#REF!</definedName>
    <definedName name="DEPSAM_47_ED0502" localSheetId="5">#REF!</definedName>
    <definedName name="DEPSAM_47_ED0502" localSheetId="7">#REF!</definedName>
    <definedName name="DEPSAM_47_ED0502" localSheetId="8">#REF!</definedName>
    <definedName name="DEPSAM_47_ED0502_MOD170602" localSheetId="5">#REF!</definedName>
    <definedName name="DEPSAM_47_ED0502_MOD170602" localSheetId="7">#REF!</definedName>
    <definedName name="DEPSAM_47_ED0502_MOD170602" localSheetId="8">#REF!</definedName>
    <definedName name="DEPTAN_121315_ED0502" localSheetId="5">#REF!</definedName>
    <definedName name="DEPTAN_121315_ED0502" localSheetId="7">#REF!</definedName>
    <definedName name="DEPTAN_121315_ED0502" localSheetId="8">#REF!</definedName>
    <definedName name="DEPTAN_212315_ED0502_MOD170602" localSheetId="5">#REF!</definedName>
    <definedName name="DEPTAN_212315_ED0502_MOD170602" localSheetId="7">#REF!</definedName>
    <definedName name="DEPTAN_212315_ED0502_MOD170602" localSheetId="8">#REF!</definedName>
    <definedName name="DEPTOL_31_ED0502" localSheetId="5">#REF!</definedName>
    <definedName name="DEPTOL_31_ED0502" localSheetId="7">#REF!</definedName>
    <definedName name="DEPTOL_31_ED0502" localSheetId="8">#REF!</definedName>
    <definedName name="DEPTOL_31_ED0502_MOD170602" localSheetId="5">#REF!</definedName>
    <definedName name="DEPTOL_31_ED0502_MOD170602" localSheetId="7">#REF!</definedName>
    <definedName name="DEPTOL_31_ED0502_MOD170602" localSheetId="8">#REF!</definedName>
    <definedName name="DEPTUL_32_ED0502" localSheetId="5">#REF!</definedName>
    <definedName name="DEPTUL_32_ED0502" localSheetId="7">#REF!</definedName>
    <definedName name="DEPTUL_32_ED0502" localSheetId="8">#REF!</definedName>
    <definedName name="DEPTUL_32_ED0502_MOD170602" localSheetId="5">#REF!</definedName>
    <definedName name="DEPTUL_32_ED0502_MOD170602" localSheetId="7">#REF!</definedName>
    <definedName name="DEPTUL_32_ED0502_MOD170602" localSheetId="8">#REF!</definedName>
    <definedName name="der" localSheetId="26" hidden="1">{#N/A,#N/A,FALSE,"Bilan";"CR Ana",#N/A,FALSE,"Compte de Resultat";"TGCG Ana",#N/A,FALSE,"TGCG";#N/A,#N/A,FALSE,"Tab. de Fin.";#N/A,#N/A,FALSE,"EF-Synth."}</definedName>
    <definedName name="der" localSheetId="1" hidden="1">{#N/A,#N/A,FALSE,"Bilan";"CR Ana",#N/A,FALSE,"Compte de Resultat";"TGCG Ana",#N/A,FALSE,"TGCG";#N/A,#N/A,FALSE,"Tab. de Fin.";#N/A,#N/A,FALSE,"EF-Synth."}</definedName>
    <definedName name="der" localSheetId="33" hidden="1">{#N/A,#N/A,FALSE,"Bilan";"CR Ana",#N/A,FALSE,"Compte de Resultat";"TGCG Ana",#N/A,FALSE,"TGCG";#N/A,#N/A,FALSE,"Tab. de Fin.";#N/A,#N/A,FALSE,"EF-Synth."}</definedName>
    <definedName name="der" localSheetId="24" hidden="1">{#N/A,#N/A,FALSE,"Bilan";"CR Ana",#N/A,FALSE,"Compte de Resultat";"TGCG Ana",#N/A,FALSE,"TGCG";#N/A,#N/A,FALSE,"Tab. de Fin.";#N/A,#N/A,FALSE,"EF-Synth."}</definedName>
    <definedName name="der" localSheetId="39" hidden="1">{#N/A,#N/A,FALSE,"Bilan";"CR Ana",#N/A,FALSE,"Compte de Resultat";"TGCG Ana",#N/A,FALSE,"TGCG";#N/A,#N/A,FALSE,"Tab. de Fin.";#N/A,#N/A,FALSE,"EF-Synth."}</definedName>
    <definedName name="der" localSheetId="2" hidden="1">{#N/A,#N/A,FALSE,"Bilan";"CR Ana",#N/A,FALSE,"Compte de Resultat";"TGCG Ana",#N/A,FALSE,"TGCG";#N/A,#N/A,FALSE,"Tab. de Fin.";#N/A,#N/A,FALSE,"EF-Synth."}</definedName>
    <definedName name="der" localSheetId="38" hidden="1">{#N/A,#N/A,FALSE,"Bilan";"CR Ana",#N/A,FALSE,"Compte de Resultat";"TGCG Ana",#N/A,FALSE,"TGCG";#N/A,#N/A,FALSE,"Tab. de Fin.";#N/A,#N/A,FALSE,"EF-Synth."}</definedName>
    <definedName name="der" localSheetId="34" hidden="1">{#N/A,#N/A,FALSE,"Bilan";"CR Ana",#N/A,FALSE,"Compte de Resultat";"TGCG Ana",#N/A,FALSE,"TGCG";#N/A,#N/A,FALSE,"Tab. de Fin.";#N/A,#N/A,FALSE,"EF-Synth."}</definedName>
    <definedName name="der" localSheetId="7" hidden="1">{#N/A,#N/A,FALSE,"Bilan";"CR Ana",#N/A,FALSE,"Compte de Resultat";"TGCG Ana",#N/A,FALSE,"TGCG";#N/A,#N/A,FALSE,"Tab. de Fin.";#N/A,#N/A,FALSE,"EF-Synth."}</definedName>
    <definedName name="der" localSheetId="4" hidden="1">{#N/A,#N/A,FALSE,"Bilan";"CR Ana",#N/A,FALSE,"Compte de Resultat";"TGCG Ana",#N/A,FALSE,"TGCG";#N/A,#N/A,FALSE,"Tab. de Fin.";#N/A,#N/A,FALSE,"EF-Synth."}</definedName>
    <definedName name="der" localSheetId="8" hidden="1">{#N/A,#N/A,FALSE,"Bilan";"CR Ana",#N/A,FALSE,"Compte de Resultat";"TGCG Ana",#N/A,FALSE,"TGCG";#N/A,#N/A,FALSE,"Tab. de Fin.";#N/A,#N/A,FALSE,"EF-Synth."}</definedName>
    <definedName name="der" localSheetId="27" hidden="1">{#N/A,#N/A,FALSE,"Bilan";"CR Ana",#N/A,FALSE,"Compte de Resultat";"TGCG Ana",#N/A,FALSE,"TGCG";#N/A,#N/A,FALSE,"Tab. de Fin.";#N/A,#N/A,FALSE,"EF-Synth."}</definedName>
    <definedName name="der" localSheetId="16" hidden="1">{#N/A,#N/A,FALSE,"Bilan";"CR Ana",#N/A,FALSE,"Compte de Resultat";"TGCG Ana",#N/A,FALSE,"TGCG";#N/A,#N/A,FALSE,"Tab. de Fin.";#N/A,#N/A,FALSE,"EF-Synth."}</definedName>
    <definedName name="der" localSheetId="23" hidden="1">{#N/A,#N/A,FALSE,"Bilan";"CR Ana",#N/A,FALSE,"Compte de Resultat";"TGCG Ana",#N/A,FALSE,"TGCG";#N/A,#N/A,FALSE,"Tab. de Fin.";#N/A,#N/A,FALSE,"EF-Synth."}</definedName>
    <definedName name="der" hidden="1">{#N/A,#N/A,FALSE,"Bilan";"CR Ana",#N/A,FALSE,"Compte de Resultat";"TGCG Ana",#N/A,FALSE,"TGCG";#N/A,#N/A,FALSE,"Tab. de Fin.";#N/A,#N/A,FALSE,"EF-Synth."}</definedName>
    <definedName name="design" localSheetId="5">#REF!</definedName>
    <definedName name="design" localSheetId="7">#REF!</definedName>
    <definedName name="design" localSheetId="8">#REF!</definedName>
    <definedName name="DETAIL" localSheetId="5">#REF!</definedName>
    <definedName name="DETAIL" localSheetId="7">#REF!</definedName>
    <definedName name="DETAIL" localSheetId="8">#REF!</definedName>
    <definedName name="DETAILBILAN" localSheetId="5">#REF!</definedName>
    <definedName name="DETAILBILAN" localSheetId="7">#REF!</definedName>
    <definedName name="DETAILBILAN" localSheetId="8">#REF!</definedName>
    <definedName name="DETAILCPTERES" localSheetId="5">#REF!</definedName>
    <definedName name="DETAILCPTERES" localSheetId="7">#REF!</definedName>
    <definedName name="DETAILCPTERES" localSheetId="8">#REF!</definedName>
    <definedName name="DIT" localSheetId="5">#REF!</definedName>
    <definedName name="DIT" localSheetId="7">#REF!</definedName>
    <definedName name="DIT" localSheetId="8">#REF!</definedName>
    <definedName name="DNOIM" localSheetId="7">#REF!</definedName>
    <definedName name="DNOIM" localSheetId="8">#REF!</definedName>
    <definedName name="DonnéesExternes_1" localSheetId="5">#REF!</definedName>
    <definedName name="DonnéesExternes_1" localSheetId="7">#REF!</definedName>
    <definedName name="Dotation2005" localSheetId="5">#REF!,#REF!,#REF!</definedName>
    <definedName name="Dotation2005" localSheetId="7">#REF!,#REF!,#REF!</definedName>
    <definedName name="Dotation2005" localSheetId="8">#REF!,#REF!,#REF!</definedName>
    <definedName name="dre" localSheetId="26" hidden="1">{#N/A,#N/A,FALSE,"Bilan";"CR Pcg",#N/A,FALSE,"Compte de Resultat";"TGCG Pcg",#N/A,FALSE,"TGCG";#N/A,#N/A,FALSE,"Tab. de Fin.";#N/A,#N/A,FALSE,"EF-Synth."}</definedName>
    <definedName name="dre" localSheetId="1" hidden="1">{#N/A,#N/A,FALSE,"Bilan";"CR Pcg",#N/A,FALSE,"Compte de Resultat";"TGCG Pcg",#N/A,FALSE,"TGCG";#N/A,#N/A,FALSE,"Tab. de Fin.";#N/A,#N/A,FALSE,"EF-Synth."}</definedName>
    <definedName name="dre" localSheetId="33" hidden="1">{#N/A,#N/A,FALSE,"Bilan";"CR Pcg",#N/A,FALSE,"Compte de Resultat";"TGCG Pcg",#N/A,FALSE,"TGCG";#N/A,#N/A,FALSE,"Tab. de Fin.";#N/A,#N/A,FALSE,"EF-Synth."}</definedName>
    <definedName name="dre" localSheetId="24" hidden="1">{#N/A,#N/A,FALSE,"Bilan";"CR Pcg",#N/A,FALSE,"Compte de Resultat";"TGCG Pcg",#N/A,FALSE,"TGCG";#N/A,#N/A,FALSE,"Tab. de Fin.";#N/A,#N/A,FALSE,"EF-Synth."}</definedName>
    <definedName name="dre" localSheetId="39" hidden="1">{#N/A,#N/A,FALSE,"Bilan";"CR Pcg",#N/A,FALSE,"Compte de Resultat";"TGCG Pcg",#N/A,FALSE,"TGCG";#N/A,#N/A,FALSE,"Tab. de Fin.";#N/A,#N/A,FALSE,"EF-Synth."}</definedName>
    <definedName name="dre" localSheetId="2" hidden="1">{#N/A,#N/A,FALSE,"Bilan";"CR Pcg",#N/A,FALSE,"Compte de Resultat";"TGCG Pcg",#N/A,FALSE,"TGCG";#N/A,#N/A,FALSE,"Tab. de Fin.";#N/A,#N/A,FALSE,"EF-Synth."}</definedName>
    <definedName name="dre" localSheetId="38" hidden="1">{#N/A,#N/A,FALSE,"Bilan";"CR Pcg",#N/A,FALSE,"Compte de Resultat";"TGCG Pcg",#N/A,FALSE,"TGCG";#N/A,#N/A,FALSE,"Tab. de Fin.";#N/A,#N/A,FALSE,"EF-Synth."}</definedName>
    <definedName name="dre" localSheetId="34" hidden="1">{#N/A,#N/A,FALSE,"Bilan";"CR Pcg",#N/A,FALSE,"Compte de Resultat";"TGCG Pcg",#N/A,FALSE,"TGCG";#N/A,#N/A,FALSE,"Tab. de Fin.";#N/A,#N/A,FALSE,"EF-Synth."}</definedName>
    <definedName name="dre" localSheetId="7" hidden="1">{#N/A,#N/A,FALSE,"Bilan";"CR Pcg",#N/A,FALSE,"Compte de Resultat";"TGCG Pcg",#N/A,FALSE,"TGCG";#N/A,#N/A,FALSE,"Tab. de Fin.";#N/A,#N/A,FALSE,"EF-Synth."}</definedName>
    <definedName name="dre" localSheetId="4" hidden="1">{#N/A,#N/A,FALSE,"Bilan";"CR Pcg",#N/A,FALSE,"Compte de Resultat";"TGCG Pcg",#N/A,FALSE,"TGCG";#N/A,#N/A,FALSE,"Tab. de Fin.";#N/A,#N/A,FALSE,"EF-Synth."}</definedName>
    <definedName name="dre" localSheetId="8" hidden="1">{#N/A,#N/A,FALSE,"Bilan";"CR Pcg",#N/A,FALSE,"Compte de Resultat";"TGCG Pcg",#N/A,FALSE,"TGCG";#N/A,#N/A,FALSE,"Tab. de Fin.";#N/A,#N/A,FALSE,"EF-Synth."}</definedName>
    <definedName name="dre" localSheetId="27" hidden="1">{#N/A,#N/A,FALSE,"Bilan";"CR Pcg",#N/A,FALSE,"Compte de Resultat";"TGCG Pcg",#N/A,FALSE,"TGCG";#N/A,#N/A,FALSE,"Tab. de Fin.";#N/A,#N/A,FALSE,"EF-Synth."}</definedName>
    <definedName name="dre" localSheetId="16" hidden="1">{#N/A,#N/A,FALSE,"Bilan";"CR Pcg",#N/A,FALSE,"Compte de Resultat";"TGCG Pcg",#N/A,FALSE,"TGCG";#N/A,#N/A,FALSE,"Tab. de Fin.";#N/A,#N/A,FALSE,"EF-Synth."}</definedName>
    <definedName name="dre" localSheetId="23" hidden="1">{#N/A,#N/A,FALSE,"Bilan";"CR Pcg",#N/A,FALSE,"Compte de Resultat";"TGCG Pcg",#N/A,FALSE,"TGCG";#N/A,#N/A,FALSE,"Tab. de Fin.";#N/A,#N/A,FALSE,"EF-Synth."}</definedName>
    <definedName name="dre" hidden="1">{#N/A,#N/A,FALSE,"Bilan";"CR Pcg",#N/A,FALSE,"Compte de Resultat";"TGCG Pcg",#N/A,FALSE,"TGCG";#N/A,#N/A,FALSE,"Tab. de Fin.";#N/A,#N/A,FALSE,"EF-Synth."}</definedName>
    <definedName name="e" localSheetId="5">#REF!</definedName>
    <definedName name="e" localSheetId="7">#REF!</definedName>
    <definedName name="e" localSheetId="8">#REF!</definedName>
    <definedName name="ECHEANCIER__FOURNISSEURS" localSheetId="5">#REF!</definedName>
    <definedName name="ECHEANCIER__FOURNISSEURS" localSheetId="7">#REF!</definedName>
    <definedName name="ECHEANCIER__FOURNISSEURS" localSheetId="8">#REF!</definedName>
    <definedName name="ECHFO1" localSheetId="5">#REF!</definedName>
    <definedName name="ECHFO1" localSheetId="7">#REF!</definedName>
    <definedName name="ECHFO1" localSheetId="8">#REF!</definedName>
    <definedName name="ECHFRNS_FRF_Liste" localSheetId="5">#REF!</definedName>
    <definedName name="ECHFRNS_FRF_Liste" localSheetId="7">#REF!</definedName>
    <definedName name="ECHFRNS_FRF_Liste" localSheetId="8">#REF!</definedName>
    <definedName name="ECR_C" localSheetId="5">#REF!</definedName>
    <definedName name="ECR_C" localSheetId="7">#REF!</definedName>
    <definedName name="ECR_C" localSheetId="8">#REF!</definedName>
    <definedName name="ECR_D" localSheetId="5">#REF!</definedName>
    <definedName name="ECR_D" localSheetId="7">#REF!</definedName>
    <definedName name="ECR_D" localSheetId="8">#REF!</definedName>
    <definedName name="Ecriture" localSheetId="1" hidden="1">{#N/A,#N/A,FALSE,"Cover_Page";#N/A,#N/A,FALSE,"P&amp;L";#N/A,#N/A,FALSE,"p&amp;l by month";#N/A,#N/A,FALSE,"Profit_centres";#N/A,#N/A,FALSE,"balance";#N/A,#N/A,FALSE,"Group";#N/A,#N/A,FALSE,"Sales";#N/A,#N/A,FALSE,"Markets";#N/A,#N/A,FALSE,"Pr_Salesrep";#N/A,#N/A,FALSE,"bookings";#N/A,#N/A,FALSE,"Personnel ";#N/A,#N/A,FALSE,"Investm.";#N/A,#N/A,FALSE,"Key Fig"}</definedName>
    <definedName name="Ecriture" localSheetId="7" hidden="1">{#N/A,#N/A,FALSE,"Cover_Page";#N/A,#N/A,FALSE,"P&amp;L";#N/A,#N/A,FALSE,"p&amp;l by month";#N/A,#N/A,FALSE,"Profit_centres";#N/A,#N/A,FALSE,"balance";#N/A,#N/A,FALSE,"Group";#N/A,#N/A,FALSE,"Sales";#N/A,#N/A,FALSE,"Markets";#N/A,#N/A,FALSE,"Pr_Salesrep";#N/A,#N/A,FALSE,"bookings";#N/A,#N/A,FALSE,"Personnel ";#N/A,#N/A,FALSE,"Investm.";#N/A,#N/A,FALSE,"Key Fig"}</definedName>
    <definedName name="Ecriture" localSheetId="4" hidden="1">{#N/A,#N/A,FALSE,"Cover_Page";#N/A,#N/A,FALSE,"P&amp;L";#N/A,#N/A,FALSE,"p&amp;l by month";#N/A,#N/A,FALSE,"Profit_centres";#N/A,#N/A,FALSE,"balance";#N/A,#N/A,FALSE,"Group";#N/A,#N/A,FALSE,"Sales";#N/A,#N/A,FALSE,"Markets";#N/A,#N/A,FALSE,"Pr_Salesrep";#N/A,#N/A,FALSE,"bookings";#N/A,#N/A,FALSE,"Personnel ";#N/A,#N/A,FALSE,"Investm.";#N/A,#N/A,FALSE,"Key Fig"}</definedName>
    <definedName name="Ecriture" localSheetId="8" hidden="1">{#N/A,#N/A,FALSE,"Cover_Page";#N/A,#N/A,FALSE,"P&amp;L";#N/A,#N/A,FALSE,"p&amp;l by month";#N/A,#N/A,FALSE,"Profit_centres";#N/A,#N/A,FALSE,"balance";#N/A,#N/A,FALSE,"Group";#N/A,#N/A,FALSE,"Sales";#N/A,#N/A,FALSE,"Markets";#N/A,#N/A,FALSE,"Pr_Salesrep";#N/A,#N/A,FALSE,"bookings";#N/A,#N/A,FALSE,"Personnel ";#N/A,#N/A,FALSE,"Investm.";#N/A,#N/A,FALSE,"Key Fig"}</definedName>
    <definedName name="Ecriture" hidden="1">{#N/A,#N/A,FALSE,"Cover_Page";#N/A,#N/A,FALSE,"P&amp;L";#N/A,#N/A,FALSE,"p&amp;l by month";#N/A,#N/A,FALSE,"Profit_centres";#N/A,#N/A,FALSE,"balance";#N/A,#N/A,FALSE,"Group";#N/A,#N/A,FALSE,"Sales";#N/A,#N/A,FALSE,"Markets";#N/A,#N/A,FALSE,"Pr_Salesrep";#N/A,#N/A,FALSE,"bookings";#N/A,#N/A,FALSE,"Personnel ";#N/A,#N/A,FALSE,"Investm.";#N/A,#N/A,FALSE,"Key Fig"}</definedName>
    <definedName name="Ed_0502" localSheetId="5">#REF!</definedName>
    <definedName name="Ed_0502" localSheetId="7">#REF!</definedName>
    <definedName name="eee" localSheetId="5">IF(#REF!&lt;&gt;"",DATE(YEAR(#REF!),MONTH(#REF!)+(#REF!-1)*12/#REF!,DAY(#REF!)),"")</definedName>
    <definedName name="eee" localSheetId="7">IF(#REF!&lt;&gt;"",DATE(YEAR(#REF!),MONTH(#REF!)+(#REF!-1)*12/#REF!,DAY(#REF!)),"")</definedName>
    <definedName name="eee" localSheetId="8">IF(#REF!&lt;&gt;"",DATE(YEAR(#REF!),MONTH(#REF!)+(#REF!-1)*12/#REF!,DAY(#REF!)),"")</definedName>
    <definedName name="EN_COURS_10" localSheetId="5">#REF!</definedName>
    <definedName name="EN_COURS_10" localSheetId="7">#REF!</definedName>
    <definedName name="EN_COURS_10" localSheetId="8">#REF!</definedName>
    <definedName name="EN_COURS_11" localSheetId="5">#REF!</definedName>
    <definedName name="EN_COURS_11" localSheetId="7">#REF!</definedName>
    <definedName name="EN_COURS_11" localSheetId="8">#REF!</definedName>
    <definedName name="EN_COURS_2" localSheetId="5">#REF!</definedName>
    <definedName name="EN_COURS_2" localSheetId="7">#REF!</definedName>
    <definedName name="EN_COURS_2" localSheetId="8">#REF!</definedName>
    <definedName name="EN_COURS_3" localSheetId="5">#REF!</definedName>
    <definedName name="EN_COURS_3" localSheetId="7">#REF!</definedName>
    <definedName name="EN_COURS_3" localSheetId="8">#REF!</definedName>
    <definedName name="EN_COURS_4" localSheetId="5">#REF!</definedName>
    <definedName name="EN_COURS_4" localSheetId="7">#REF!</definedName>
    <definedName name="EN_COURS_4" localSheetId="8">#REF!</definedName>
    <definedName name="EN_COURS_5" localSheetId="7">#REF!</definedName>
    <definedName name="EN_COURS_5" localSheetId="8">#REF!</definedName>
    <definedName name="EN_COURS_6" localSheetId="5">#REF!</definedName>
    <definedName name="EN_COURS_6" localSheetId="7">#REF!</definedName>
    <definedName name="EN_COURS_6" localSheetId="8">#REF!</definedName>
    <definedName name="EN_COURS_7A" localSheetId="5">#REF!</definedName>
    <definedName name="EN_COURS_7A" localSheetId="7">#REF!</definedName>
    <definedName name="EN_COURS_7A" localSheetId="8">#REF!</definedName>
    <definedName name="EN_COURS_7B" localSheetId="5">#REF!</definedName>
    <definedName name="EN_COURS_7B" localSheetId="7">#REF!</definedName>
    <definedName name="EN_COURS_7B" localSheetId="8">#REF!</definedName>
    <definedName name="EN_COURS_7C" localSheetId="5">#REF!</definedName>
    <definedName name="EN_COURS_7C" localSheetId="7">#REF!</definedName>
    <definedName name="EN_COURS_7C" localSheetId="8">#REF!</definedName>
    <definedName name="EN_COURS_9" localSheetId="5">#REF!</definedName>
    <definedName name="EN_COURS_9" localSheetId="7">#REF!</definedName>
    <definedName name="EN_COURS_9" localSheetId="8">#REF!</definedName>
    <definedName name="End_Bal" localSheetId="5">#REF!</definedName>
    <definedName name="End_Bal" localSheetId="7">#REF!</definedName>
    <definedName name="Ending.Balance" localSheetId="7">IF(#REF!&lt;&gt;"",#REF!-#REF!,"")</definedName>
    <definedName name="Ending.Balance" localSheetId="8">IF(#REF!&lt;&gt;"",#REF!-#REF!,"")</definedName>
    <definedName name="Entered_payment" localSheetId="5">#REF!</definedName>
    <definedName name="Entered_payment" localSheetId="7">#REF!</definedName>
    <definedName name="Entered_payment" localSheetId="8">#REF!</definedName>
    <definedName name="entete_ME" localSheetId="5">#REF!</definedName>
    <definedName name="entete_ME" localSheetId="7">#REF!</definedName>
    <definedName name="entete_ME" localSheetId="8">#REF!</definedName>
    <definedName name="entete_mems" localSheetId="5">#REF!</definedName>
    <definedName name="entete_mems" localSheetId="7">#REF!</definedName>
    <definedName name="entete_mems" localSheetId="8">#REF!</definedName>
    <definedName name="ergergergergerg" localSheetId="26" hidden="1">{#N/A,#N/A,FALSE,"Bilan";"CR Pcg",#N/A,FALSE,"Compte de Resultat";"TGCG Pcg",#N/A,FALSE,"TGCG";#N/A,#N/A,FALSE,"Tab. de Fin.";#N/A,#N/A,FALSE,"EF-Synth."}</definedName>
    <definedName name="ergergergergerg" localSheetId="1" hidden="1">{#N/A,#N/A,FALSE,"Bilan";"CR Pcg",#N/A,FALSE,"Compte de Resultat";"TGCG Pcg",#N/A,FALSE,"TGCG";#N/A,#N/A,FALSE,"Tab. de Fin.";#N/A,#N/A,FALSE,"EF-Synth."}</definedName>
    <definedName name="ergergergergerg" localSheetId="33" hidden="1">{#N/A,#N/A,FALSE,"Bilan";"CR Pcg",#N/A,FALSE,"Compte de Resultat";"TGCG Pcg",#N/A,FALSE,"TGCG";#N/A,#N/A,FALSE,"Tab. de Fin.";#N/A,#N/A,FALSE,"EF-Synth."}</definedName>
    <definedName name="ergergergergerg" localSheetId="24" hidden="1">{#N/A,#N/A,FALSE,"Bilan";"CR Pcg",#N/A,FALSE,"Compte de Resultat";"TGCG Pcg",#N/A,FALSE,"TGCG";#N/A,#N/A,FALSE,"Tab. de Fin.";#N/A,#N/A,FALSE,"EF-Synth."}</definedName>
    <definedName name="ergergergergerg" localSheetId="39" hidden="1">{#N/A,#N/A,FALSE,"Bilan";"CR Pcg",#N/A,FALSE,"Compte de Resultat";"TGCG Pcg",#N/A,FALSE,"TGCG";#N/A,#N/A,FALSE,"Tab. de Fin.";#N/A,#N/A,FALSE,"EF-Synth."}</definedName>
    <definedName name="ergergergergerg" localSheetId="2" hidden="1">{#N/A,#N/A,FALSE,"Bilan";"CR Pcg",#N/A,FALSE,"Compte de Resultat";"TGCG Pcg",#N/A,FALSE,"TGCG";#N/A,#N/A,FALSE,"Tab. de Fin.";#N/A,#N/A,FALSE,"EF-Synth."}</definedName>
    <definedName name="ergergergergerg" localSheetId="38" hidden="1">{#N/A,#N/A,FALSE,"Bilan";"CR Pcg",#N/A,FALSE,"Compte de Resultat";"TGCG Pcg",#N/A,FALSE,"TGCG";#N/A,#N/A,FALSE,"Tab. de Fin.";#N/A,#N/A,FALSE,"EF-Synth."}</definedName>
    <definedName name="ergergergergerg" localSheetId="34" hidden="1">{#N/A,#N/A,FALSE,"Bilan";"CR Pcg",#N/A,FALSE,"Compte de Resultat";"TGCG Pcg",#N/A,FALSE,"TGCG";#N/A,#N/A,FALSE,"Tab. de Fin.";#N/A,#N/A,FALSE,"EF-Synth."}</definedName>
    <definedName name="ergergergergerg" localSheetId="7" hidden="1">{#N/A,#N/A,FALSE,"Bilan";"CR Pcg",#N/A,FALSE,"Compte de Resultat";"TGCG Pcg",#N/A,FALSE,"TGCG";#N/A,#N/A,FALSE,"Tab. de Fin.";#N/A,#N/A,FALSE,"EF-Synth."}</definedName>
    <definedName name="ergergergergerg" localSheetId="4" hidden="1">{#N/A,#N/A,FALSE,"Bilan";"CR Pcg",#N/A,FALSE,"Compte de Resultat";"TGCG Pcg",#N/A,FALSE,"TGCG";#N/A,#N/A,FALSE,"Tab. de Fin.";#N/A,#N/A,FALSE,"EF-Synth."}</definedName>
    <definedName name="ergergergergerg" localSheetId="8" hidden="1">{#N/A,#N/A,FALSE,"Bilan";"CR Pcg",#N/A,FALSE,"Compte de Resultat";"TGCG Pcg",#N/A,FALSE,"TGCG";#N/A,#N/A,FALSE,"Tab. de Fin.";#N/A,#N/A,FALSE,"EF-Synth."}</definedName>
    <definedName name="ergergergergerg" localSheetId="27" hidden="1">{#N/A,#N/A,FALSE,"Bilan";"CR Pcg",#N/A,FALSE,"Compte de Resultat";"TGCG Pcg",#N/A,FALSE,"TGCG";#N/A,#N/A,FALSE,"Tab. de Fin.";#N/A,#N/A,FALSE,"EF-Synth."}</definedName>
    <definedName name="ergergergergerg" localSheetId="16" hidden="1">{#N/A,#N/A,FALSE,"Bilan";"CR Pcg",#N/A,FALSE,"Compte de Resultat";"TGCG Pcg",#N/A,FALSE,"TGCG";#N/A,#N/A,FALSE,"Tab. de Fin.";#N/A,#N/A,FALSE,"EF-Synth."}</definedName>
    <definedName name="ergergergergerg" localSheetId="23" hidden="1">{#N/A,#N/A,FALSE,"Bilan";"CR Pcg",#N/A,FALSE,"Compte de Resultat";"TGCG Pcg",#N/A,FALSE,"TGCG";#N/A,#N/A,FALSE,"Tab. de Fin.";#N/A,#N/A,FALSE,"EF-Synth."}</definedName>
    <definedName name="ergergergergerg" hidden="1">{#N/A,#N/A,FALSE,"Bilan";"CR Pcg",#N/A,FALSE,"Compte de Resultat";"TGCG Pcg",#N/A,FALSE,"TGCG";#N/A,#N/A,FALSE,"Tab. de Fin.";#N/A,#N/A,FALSE,"EF-Synth."}</definedName>
    <definedName name="essai" localSheetId="5">#REF!</definedName>
    <definedName name="essai" localSheetId="7">#REF!</definedName>
    <definedName name="essai1" localSheetId="5">#REF!</definedName>
    <definedName name="essai1" localSheetId="7">#REF!</definedName>
    <definedName name="EST" localSheetId="5">#REF!</definedName>
    <definedName name="EST" localSheetId="7">#REF!</definedName>
    <definedName name="EST" localSheetId="8">#REF!</definedName>
    <definedName name="ETAT" localSheetId="5">#REF!</definedName>
    <definedName name="ETAT" localSheetId="7">#REF!</definedName>
    <definedName name="ETAT" localSheetId="8">#REF!</definedName>
    <definedName name="EUR" localSheetId="5">#REF!</definedName>
    <definedName name="EUR" localSheetId="7">#REF!</definedName>
    <definedName name="Ex_prec" localSheetId="7">#REF!</definedName>
    <definedName name="Ex_prec" localSheetId="8">#REF!</definedName>
    <definedName name="Excel_BuiltIn__FilterDatabase_2" localSheetId="5">#REF!</definedName>
    <definedName name="Excel_BuiltIn__FilterDatabase_2" localSheetId="7">#REF!</definedName>
    <definedName name="Excel_BuiltIn__FilterDatabase_2" localSheetId="8">#REF!</definedName>
    <definedName name="Excel_BuiltIn_Criteria" localSheetId="5">#REF!</definedName>
    <definedName name="Excel_BuiltIn_Criteria" localSheetId="7">#REF!</definedName>
    <definedName name="Excel_BuiltIn_Criteria" localSheetId="8">#REF!</definedName>
    <definedName name="Excel_BuiltIn_Database" localSheetId="5">#REF!</definedName>
    <definedName name="Excel_BuiltIn_Database" localSheetId="7">#REF!</definedName>
    <definedName name="Excel_BuiltIn_Database" localSheetId="8">#REF!</definedName>
    <definedName name="Extra_Pay" localSheetId="5">#REF!</definedName>
    <definedName name="Extra_Pay" localSheetId="7">#REF!</definedName>
    <definedName name="FACT" localSheetId="5">#REF!</definedName>
    <definedName name="FACT" localSheetId="7">#REF!</definedName>
    <definedName name="FACTURES" localSheetId="5">#REF!</definedName>
    <definedName name="FACTURES" localSheetId="7">#REF!</definedName>
    <definedName name="FACTURES" localSheetId="8">#REF!</definedName>
    <definedName name="FDR" localSheetId="5">#REF!</definedName>
    <definedName name="FDR" localSheetId="7">#REF!</definedName>
    <definedName name="FDR" localSheetId="8">#REF!</definedName>
    <definedName name="Feuille" localSheetId="5">#REF!</definedName>
    <definedName name="Feuille" localSheetId="7">#REF!</definedName>
    <definedName name="Feuille" localSheetId="8">#REF!</definedName>
    <definedName name="fév" localSheetId="5">#REF!</definedName>
    <definedName name="fév" localSheetId="7">#REF!</definedName>
    <definedName name="fév" localSheetId="8">#REF!</definedName>
    <definedName name="FEVRIER" localSheetId="5">#REF!</definedName>
    <definedName name="FEVRIER" localSheetId="7">#REF!</definedName>
    <definedName name="FEVRIER" localSheetId="8">#REF!</definedName>
    <definedName name="FFF" localSheetId="5">#REF!</definedName>
    <definedName name="FFF" localSheetId="7">#REF!</definedName>
    <definedName name="FFF" localSheetId="8">#REF!</definedName>
    <definedName name="FFFF" localSheetId="5">#REF!</definedName>
    <definedName name="FFFF" localSheetId="7">#REF!</definedName>
    <definedName name="FFFF" localSheetId="8">#REF!</definedName>
    <definedName name="fg" localSheetId="5">#REF!</definedName>
    <definedName name="fg" localSheetId="7">#REF!</definedName>
    <definedName name="fg" localSheetId="8">#REF!</definedName>
    <definedName name="ficheibs" localSheetId="7">#REF!</definedName>
    <definedName name="ficheibs" localSheetId="8">#REF!</definedName>
    <definedName name="FINGLOBAL" localSheetId="5">#REF!</definedName>
    <definedName name="FINGLOBAL" localSheetId="7">#REF!</definedName>
    <definedName name="FINPERIODE" localSheetId="5">#REF!</definedName>
    <definedName name="FINPERIODE" localSheetId="7">#REF!</definedName>
    <definedName name="First_payment_due" localSheetId="7">#REF!</definedName>
    <definedName name="First_payment_due" localSheetId="8">#REF!</definedName>
    <definedName name="First_payment_no" localSheetId="5">#REF!</definedName>
    <definedName name="First_payment_no" localSheetId="7">#REF!</definedName>
    <definedName name="First_payment_no" localSheetId="8">#REF!</definedName>
    <definedName name="_xlnm.Recorder" localSheetId="5">#REF!</definedName>
    <definedName name="_xlnm.Recorder" localSheetId="7">#REF!</definedName>
    <definedName name="_xlnm.Recorder" localSheetId="8">#REF!</definedName>
    <definedName name="FRAIS_AUGMENTAT" localSheetId="5">#REF!</definedName>
    <definedName name="FRAIS_AUGMENTAT" localSheetId="7">#REF!</definedName>
    <definedName name="FRAIS_AUGMENTAT" localSheetId="8">#REF!</definedName>
    <definedName name="Full_Print" localSheetId="5">#REF!</definedName>
    <definedName name="Full_Print" localSheetId="7">#REF!</definedName>
    <definedName name="fv" localSheetId="5">#REF!</definedName>
    <definedName name="fv" localSheetId="7">#REF!</definedName>
    <definedName name="fv" localSheetId="8">#REF!</definedName>
    <definedName name="G3_4_5" localSheetId="5">#REF!</definedName>
    <definedName name="G3_4_5" localSheetId="7">#REF!</definedName>
    <definedName name="G3_4_5" localSheetId="8">#REF!</definedName>
    <definedName name="GIBSBRUT" localSheetId="5">#REF!</definedName>
    <definedName name="GIBSBRUT" localSheetId="7">#REF!</definedName>
    <definedName name="GIBSBRUT" localSheetId="8">#REF!</definedName>
    <definedName name="GRANLIVREAR" localSheetId="5">#REF!</definedName>
    <definedName name="GRANLIVREAR" localSheetId="7">#REF!</definedName>
    <definedName name="GRANLIVREAR" localSheetId="8">#REF!</definedName>
    <definedName name="_xlnm.Data_Form" localSheetId="7">#REF!</definedName>
    <definedName name="_xlnm.Data_Form" localSheetId="8">#REF!</definedName>
    <definedName name="h" localSheetId="5">#REF!</definedName>
    <definedName name="h" localSheetId="7">#REF!</definedName>
    <definedName name="h" localSheetId="8">#REF!</definedName>
    <definedName name="Hb" localSheetId="5">#REF!</definedName>
    <definedName name="Hb" localSheetId="7">#REF!</definedName>
    <definedName name="Header_Row" localSheetId="5">ROW(#REF!)</definedName>
    <definedName name="Header_Row" localSheetId="7">ROW(#REF!)</definedName>
    <definedName name="Home_Imo" localSheetId="5">#REF!</definedName>
    <definedName name="Home_Imo" localSheetId="7">#REF!</definedName>
    <definedName name="Home_Imo" localSheetId="8">#REF!</definedName>
    <definedName name="HRIAI" localSheetId="5">#REF!</definedName>
    <definedName name="HRIAI" localSheetId="7">#REF!</definedName>
    <definedName name="HRIAI" localSheetId="8">#REF!</definedName>
    <definedName name="i_10" localSheetId="5">#REF!</definedName>
    <definedName name="i_10" localSheetId="7">#REF!</definedName>
    <definedName name="i_11" localSheetId="5">#REF!</definedName>
    <definedName name="i_11" localSheetId="7">#REF!</definedName>
    <definedName name="i_12" localSheetId="5">#REF!</definedName>
    <definedName name="i_12" localSheetId="7">#REF!</definedName>
    <definedName name="IASprofit" localSheetId="5">#REF!</definedName>
    <definedName name="IASprofit" localSheetId="7">#REF!</definedName>
    <definedName name="IASprofit" localSheetId="8">#REF!</definedName>
    <definedName name="IBS" localSheetId="7">#REF!</definedName>
    <definedName name="IBS" localSheetId="8">#REF!</definedName>
    <definedName name="IDRIE" localSheetId="5">#REF!</definedName>
    <definedName name="IDRIE" localSheetId="7">#REF!</definedName>
    <definedName name="IDRIE" localSheetId="8">#REF!</definedName>
    <definedName name="immo" localSheetId="5">#REF!</definedName>
    <definedName name="immo" localSheetId="7">#REF!</definedName>
    <definedName name="Immo_incorp" localSheetId="5">#REF!</definedName>
    <definedName name="Immo_incorp" localSheetId="7">#REF!</definedName>
    <definedName name="Immo_incorp" localSheetId="8">#REF!</definedName>
    <definedName name="Imo_Amt" localSheetId="5">#REF!</definedName>
    <definedName name="Imo_Amt" localSheetId="7">#REF!</definedName>
    <definedName name="Imo_Amt" localSheetId="8">#REF!</definedName>
    <definedName name="Imo_Brut" localSheetId="5">#REF!</definedName>
    <definedName name="Imo_Brut" localSheetId="7">#REF!</definedName>
    <definedName name="Imo_Brut" localSheetId="8">#REF!</definedName>
    <definedName name="IMPFONCTION" localSheetId="5">#REF!</definedName>
    <definedName name="IMPFONCTION" localSheetId="7">#REF!</definedName>
    <definedName name="IMPôts" localSheetId="5">#REF!</definedName>
    <definedName name="IMPôts" localSheetId="7">#REF!</definedName>
    <definedName name="IMPôts" localSheetId="8">#REF!</definedName>
    <definedName name="_xlnm.Print_Titles" localSheetId="5">#REF!</definedName>
    <definedName name="_xlnm.Print_Titles" localSheetId="7">#REF!</definedName>
    <definedName name="_xlnm.Print_Titles" localSheetId="8">#REF!</definedName>
    <definedName name="IMPUTATION" localSheetId="5">#REF!</definedName>
    <definedName name="IMPUTATION" localSheetId="7">#REF!</definedName>
    <definedName name="INSTALLATIONS_I" localSheetId="5">#REF!</definedName>
    <definedName name="INSTALLATIONS_I" localSheetId="7">#REF!</definedName>
    <definedName name="INSTALLATIONS_I" localSheetId="8">#REF!</definedName>
    <definedName name="INSTALLATIONS_T" localSheetId="5">#REF!</definedName>
    <definedName name="INSTALLATIONS_T" localSheetId="7">#REF!</definedName>
    <definedName name="INSTALLATIONS_T" localSheetId="8">#REF!</definedName>
    <definedName name="Int" localSheetId="5">#REF!</definedName>
    <definedName name="Int" localSheetId="7">#REF!</definedName>
    <definedName name="Interest_Rate" localSheetId="5">#REF!</definedName>
    <definedName name="Interest_Rate" localSheetId="7">#REF!</definedName>
    <definedName name="Inventaires" localSheetId="7">#REF!</definedName>
    <definedName name="Inventaires" localSheetId="8">#REF!</definedName>
    <definedName name="IR_2007" localSheetId="5">#REF!</definedName>
    <definedName name="IR_2007" localSheetId="7">#REF!</definedName>
    <definedName name="IRCM" localSheetId="5">#REF!</definedName>
    <definedName name="IRCM" localSheetId="7">#REF!</definedName>
    <definedName name="IRCM" localSheetId="8">#REF!</definedName>
    <definedName name="isa" localSheetId="5">#REF!</definedName>
    <definedName name="isa" localSheetId="7">#REF!</definedName>
    <definedName name="isa" localSheetId="8">#REF!</definedName>
    <definedName name="jan" localSheetId="5">#REF!</definedName>
    <definedName name="jan" localSheetId="7">#REF!</definedName>
    <definedName name="jan" localSheetId="8">#REF!</definedName>
    <definedName name="JANVIER" localSheetId="5">#REF!</definedName>
    <definedName name="JANVIER" localSheetId="7">#REF!</definedName>
    <definedName name="JANVIER" localSheetId="8">#REF!</definedName>
    <definedName name="JJP" localSheetId="5">#REF!</definedName>
    <definedName name="JJP" localSheetId="7">#REF!</definedName>
    <definedName name="JJP" localSheetId="8">#REF!</definedName>
    <definedName name="JOURNAL" localSheetId="5">#REF!</definedName>
    <definedName name="JOURNAL" localSheetId="7">#REF!</definedName>
    <definedName name="Journal_de_paie" localSheetId="5">#REF!</definedName>
    <definedName name="Journal_de_paie" localSheetId="7">#REF!</definedName>
    <definedName name="Journal_de_paie" localSheetId="8">#REF!</definedName>
    <definedName name="JTRI" localSheetId="5">#REF!</definedName>
    <definedName name="JTRI" localSheetId="7">#REF!</definedName>
    <definedName name="JTRI" localSheetId="8">#REF!</definedName>
    <definedName name="JUILLET" localSheetId="5">#REF!</definedName>
    <definedName name="JUILLET" localSheetId="7">#REF!</definedName>
    <definedName name="JUILLET" localSheetId="8">#REF!</definedName>
    <definedName name="JUIN" localSheetId="5">#REF!</definedName>
    <definedName name="JUIN" localSheetId="7">#REF!</definedName>
    <definedName name="JUIN" localSheetId="8">#REF!</definedName>
    <definedName name="jul" localSheetId="5">#REF!</definedName>
    <definedName name="jul" localSheetId="7">#REF!</definedName>
    <definedName name="jul" localSheetId="8">#REF!</definedName>
    <definedName name="jun" localSheetId="5">#REF!</definedName>
    <definedName name="jun" localSheetId="7">#REF!</definedName>
    <definedName name="jun" localSheetId="8">#REF!</definedName>
    <definedName name="k" localSheetId="5">#REF!</definedName>
    <definedName name="k" localSheetId="7">#REF!</definedName>
    <definedName name="k" localSheetId="8">#REF!</definedName>
    <definedName name="kala" localSheetId="7">#N/A</definedName>
    <definedName name="kala" localSheetId="8">IF(#REF!&lt;&gt;"",MIN(#REF!,'Org (2)'!Pmt_to_use-#REF!),"")</definedName>
    <definedName name="KIEAP" localSheetId="5">#REF!</definedName>
    <definedName name="KIEAP" localSheetId="7">#REF!</definedName>
    <definedName name="KIEAP" localSheetId="8">#REF!</definedName>
    <definedName name="kih" localSheetId="5">#REF!</definedName>
    <definedName name="kih" localSheetId="7">#REF!</definedName>
    <definedName name="kih" localSheetId="8">#REF!</definedName>
    <definedName name="koto" localSheetId="5">#REF!</definedName>
    <definedName name="koto" localSheetId="7">#REF!</definedName>
    <definedName name="koto" localSheetId="8">#REF!</definedName>
    <definedName name="L_Adjust" localSheetId="7">#REF!</definedName>
    <definedName name="L_Adjust" localSheetId="8">#REF!</definedName>
    <definedName name="L_AJE_Tot" localSheetId="7">#REF!</definedName>
    <definedName name="L_AJE_Tot" localSheetId="8">#REF!</definedName>
    <definedName name="L_CY_Beg" localSheetId="7">#REF!</definedName>
    <definedName name="L_CY_Beg" localSheetId="8">#REF!</definedName>
    <definedName name="L_CY_End" localSheetId="7">#REF!</definedName>
    <definedName name="L_CY_End" localSheetId="8">#REF!</definedName>
    <definedName name="L_PY_End" localSheetId="7">#REF!</definedName>
    <definedName name="L_PY_End" localSheetId="8">#REF!</definedName>
    <definedName name="L_RJE_Tot" localSheetId="7">#REF!</definedName>
    <definedName name="L_RJE_Tot" localSheetId="8">#REF!</definedName>
    <definedName name="Last_Row" localSheetId="7">#N/A</definedName>
    <definedName name="LIBELLE" localSheetId="5">#REF!</definedName>
    <definedName name="LIBELLE" localSheetId="7">#REF!</definedName>
    <definedName name="LIBELLE" localSheetId="8">#REF!</definedName>
    <definedName name="Libelle_complet_Anglais" localSheetId="5">#REF!</definedName>
    <definedName name="Libelle_complet_Anglais" localSheetId="7">#REF!</definedName>
    <definedName name="ligne" localSheetId="5">#REF!</definedName>
    <definedName name="ligne" localSheetId="7">#REF!</definedName>
    <definedName name="List" localSheetId="5">#REF!</definedName>
    <definedName name="List" localSheetId="7">#REF!</definedName>
    <definedName name="List" localSheetId="8">#REF!</definedName>
    <definedName name="List1" localSheetId="7">#REF!</definedName>
    <definedName name="List1" localSheetId="8">#REF!</definedName>
    <definedName name="liste" localSheetId="5">#REF!</definedName>
    <definedName name="liste" localSheetId="7">#REF!</definedName>
    <definedName name="liste" localSheetId="8">#REF!</definedName>
    <definedName name="lm" localSheetId="5">#REF!</definedName>
    <definedName name="lm" localSheetId="7">#REF!</definedName>
    <definedName name="Loan_amount" localSheetId="5">#REF!</definedName>
    <definedName name="Loan_amount" localSheetId="7">#REF!</definedName>
    <definedName name="Loan_amount" localSheetId="8">#REF!</definedName>
    <definedName name="Loan_Start" localSheetId="5">#REF!</definedName>
    <definedName name="Loan_Start" localSheetId="7">#REF!</definedName>
    <definedName name="Loan_Years" localSheetId="5">#REF!</definedName>
    <definedName name="Loan_Years" localSheetId="7">#REF!</definedName>
    <definedName name="Localite" localSheetId="7">#REF!</definedName>
    <definedName name="Localite" localSheetId="8">#REF!</definedName>
    <definedName name="Longueur" localSheetId="5">#REF!</definedName>
    <definedName name="Longueur" localSheetId="7">#REF!</definedName>
    <definedName name="Longueur" localSheetId="8">#REF!</definedName>
    <definedName name="LOYERS" localSheetId="5">#REF!</definedName>
    <definedName name="LOYERS" localSheetId="7">#REF!</definedName>
    <definedName name="LOYERS" localSheetId="8">#REF!</definedName>
    <definedName name="LRIRI" localSheetId="5">#REF!</definedName>
    <definedName name="LRIRI" localSheetId="7">#REF!</definedName>
    <definedName name="LRIRI" localSheetId="8">#REF!</definedName>
    <definedName name="ly" localSheetId="5">#REF!</definedName>
    <definedName name="ly" localSheetId="7">#REF!</definedName>
    <definedName name="ly" localSheetId="8">#REF!</definedName>
    <definedName name="m" localSheetId="5">#REF!</definedName>
    <definedName name="m" localSheetId="7">#REF!</definedName>
    <definedName name="m" localSheetId="8">#REF!</definedName>
    <definedName name="MAI" localSheetId="5">#REF!</definedName>
    <definedName name="MAI" localSheetId="7">#REF!</definedName>
    <definedName name="MAI" localSheetId="8">#REF!</definedName>
    <definedName name="maj" localSheetId="7">#REF!</definedName>
    <definedName name="maj" localSheetId="8">#REF!</definedName>
    <definedName name="managementfees" localSheetId="5">#REF!</definedName>
    <definedName name="managementfees" localSheetId="7">#REF!</definedName>
    <definedName name="managementfees" localSheetId="8">#REF!</definedName>
    <definedName name="mar" localSheetId="5">#REF!</definedName>
    <definedName name="mar" localSheetId="7">#REF!</definedName>
    <definedName name="mar" localSheetId="8">#REF!</definedName>
    <definedName name="marge" localSheetId="5">#REF!</definedName>
    <definedName name="marge" localSheetId="7">#REF!</definedName>
    <definedName name="marge" localSheetId="8">#REF!</definedName>
    <definedName name="MARQUE" localSheetId="5">#REF!</definedName>
    <definedName name="MARQUE" localSheetId="7">#REF!</definedName>
    <definedName name="MARQUE" localSheetId="8">#REF!</definedName>
    <definedName name="MARS" localSheetId="5">#REF!</definedName>
    <definedName name="MARS" localSheetId="7">#REF!</definedName>
    <definedName name="MATERIEL_AUTOMO" localSheetId="5">#REF!</definedName>
    <definedName name="MATERIEL_AUTOMO" localSheetId="7">#REF!</definedName>
    <definedName name="MATERIEL_AUTOMO" localSheetId="8">#REF!</definedName>
    <definedName name="MATERIELS_INFOR" localSheetId="5">#REF!</definedName>
    <definedName name="MATERIELS_INFOR" localSheetId="7">#REF!</definedName>
    <definedName name="MATERIELS_INFOR" localSheetId="8">#REF!</definedName>
    <definedName name="MATERIELS_MOB01" localSheetId="5">#REF!</definedName>
    <definedName name="MATERIELS_MOB01" localSheetId="7">#REF!</definedName>
    <definedName name="MATERIELS_MOB01" localSheetId="8">#REF!</definedName>
    <definedName name="MATERIELS_MOBIL" localSheetId="5">#REF!</definedName>
    <definedName name="MATERIELS_MOBIL" localSheetId="7">#REF!</definedName>
    <definedName name="MATERIELS_MOBIL" localSheetId="8">#REF!</definedName>
    <definedName name="MATERIELS_OUT01" localSheetId="5">#REF!</definedName>
    <definedName name="MATERIELS_OUT01" localSheetId="7">#REF!</definedName>
    <definedName name="MATERIELS_OUT01" localSheetId="8">#REF!</definedName>
    <definedName name="MATERIELS_OUTIL" localSheetId="5">#REF!</definedName>
    <definedName name="MATERIELS_OUTIL" localSheetId="7">#REF!</definedName>
    <definedName name="MATERIELS_OUTIL" localSheetId="8">#REF!</definedName>
    <definedName name="Matinfo" localSheetId="5">#REF!</definedName>
    <definedName name="Matinfo" localSheetId="7">#REF!</definedName>
    <definedName name="Matinfo" localSheetId="8">#REF!</definedName>
    <definedName name="Mattransport" localSheetId="5">#REF!</definedName>
    <definedName name="Mattransport" localSheetId="7">#REF!</definedName>
    <definedName name="Mattransport" localSheetId="8">#REF!</definedName>
    <definedName name="may" localSheetId="5">#REF!</definedName>
    <definedName name="may" localSheetId="7">#REF!</definedName>
    <definedName name="may" localSheetId="8">#REF!</definedName>
    <definedName name="MENSUEL" localSheetId="5">#REF!</definedName>
    <definedName name="MENSUEL" localSheetId="7">#REF!</definedName>
    <definedName name="MENU" localSheetId="5">#REF!</definedName>
    <definedName name="MENU" localSheetId="7">#REF!</definedName>
    <definedName name="MENU" localSheetId="8">#REF!</definedName>
    <definedName name="mes" localSheetId="5">#REF!</definedName>
    <definedName name="mes" localSheetId="7">#REF!</definedName>
    <definedName name="mes" localSheetId="8">#REF!</definedName>
    <definedName name="MIRCM" localSheetId="5">#REF!</definedName>
    <definedName name="MIRCM" localSheetId="7">#REF!</definedName>
    <definedName name="MIRCM" localSheetId="8">#REF!</definedName>
    <definedName name="Miscellaneous" localSheetId="5">#REF!</definedName>
    <definedName name="Miscellaneous" localSheetId="7">#REF!</definedName>
    <definedName name="Miscellaneous" localSheetId="8">#REF!</definedName>
    <definedName name="Mitsinjo" localSheetId="5">#REF!</definedName>
    <definedName name="Mitsinjo" localSheetId="7">#REF!</definedName>
    <definedName name="Mitsinjo" localSheetId="8">#REF!</definedName>
    <definedName name="MMB" localSheetId="5">#REF!</definedName>
    <definedName name="MMB" localSheetId="7">#REF!</definedName>
    <definedName name="MMB" localSheetId="8">#REF!</definedName>
    <definedName name="MML" localSheetId="5">#REF!</definedName>
    <definedName name="MML" localSheetId="7">#REF!</definedName>
    <definedName name="MML" localSheetId="8">#REF!</definedName>
    <definedName name="Mod_Frial_0602" localSheetId="5">#REF!</definedName>
    <definedName name="Mod_Frial_0602" localSheetId="7">#REF!</definedName>
    <definedName name="Mod_Frial_0602" localSheetId="8">#REF!</definedName>
    <definedName name="MODIF_0802" localSheetId="5">#REF!</definedName>
    <definedName name="MODIF_0802" localSheetId="7">#REF!</definedName>
    <definedName name="MODIF_0802" localSheetId="8">#REF!</definedName>
    <definedName name="MODIF_10_1002" localSheetId="5">#REF!</definedName>
    <definedName name="MODIF_10_1002" localSheetId="7">#REF!</definedName>
    <definedName name="MODIF_10_1002" localSheetId="8">#REF!</definedName>
    <definedName name="MODIF_121315_1002" localSheetId="5">#REF!</definedName>
    <definedName name="MODIF_121315_1002" localSheetId="7">#REF!</definedName>
    <definedName name="MODIF_121315_1002" localSheetId="8">#REF!</definedName>
    <definedName name="MODIF_17_1002" localSheetId="5">#REF!</definedName>
    <definedName name="MODIF_17_1002" localSheetId="7">#REF!</definedName>
    <definedName name="MODIF_17_1002" localSheetId="8">#REF!</definedName>
    <definedName name="MODIF_21_1002" localSheetId="5">#REF!</definedName>
    <definedName name="MODIF_21_1002" localSheetId="7">#REF!</definedName>
    <definedName name="MODIF_21_1002" localSheetId="8">#REF!</definedName>
    <definedName name="MODIF_30_1002" localSheetId="5">#REF!</definedName>
    <definedName name="MODIF_30_1002" localSheetId="7">#REF!</definedName>
    <definedName name="MODIF_30_1002" localSheetId="8">#REF!</definedName>
    <definedName name="MODIF_31_1002" localSheetId="5">#REF!</definedName>
    <definedName name="MODIF_31_1002" localSheetId="7">#REF!</definedName>
    <definedName name="MODIF_31_1002" localSheetId="8">#REF!</definedName>
    <definedName name="MODIF_32_1002" localSheetId="5">#REF!</definedName>
    <definedName name="MODIF_32_1002" localSheetId="7">#REF!</definedName>
    <definedName name="MODIF_32_1002" localSheetId="8">#REF!</definedName>
    <definedName name="MODIF_36_1002" localSheetId="5">#REF!</definedName>
    <definedName name="MODIF_36_1002" localSheetId="7">#REF!</definedName>
    <definedName name="MODIF_36_1002" localSheetId="8">#REF!</definedName>
    <definedName name="MODIF_40_1002" localSheetId="5">#REF!</definedName>
    <definedName name="MODIF_40_1002" localSheetId="7">#REF!</definedName>
    <definedName name="MODIF_40_1002" localSheetId="8">#REF!</definedName>
    <definedName name="MODIF_41_1002" localSheetId="5">#REF!</definedName>
    <definedName name="MODIF_41_1002" localSheetId="7">#REF!</definedName>
    <definedName name="MODIF_41_1002" localSheetId="8">#REF!</definedName>
    <definedName name="MODIF_42_1002" localSheetId="5">#REF!</definedName>
    <definedName name="MODIF_42_1002" localSheetId="7">#REF!</definedName>
    <definedName name="MODIF_42_1002" localSheetId="8">#REF!</definedName>
    <definedName name="MODIF_43_1002" localSheetId="5">#REF!</definedName>
    <definedName name="MODIF_43_1002" localSheetId="7">#REF!</definedName>
    <definedName name="MODIF_43_1002" localSheetId="8">#REF!</definedName>
    <definedName name="MODIF_46_1002" localSheetId="5">#REF!</definedName>
    <definedName name="MODIF_46_1002" localSheetId="7">#REF!</definedName>
    <definedName name="MODIF_46_1002" localSheetId="8">#REF!</definedName>
    <definedName name="MODIF_47_1002" localSheetId="5">#REF!</definedName>
    <definedName name="MODIF_47_1002" localSheetId="7">#REF!</definedName>
    <definedName name="MODIF_47_1002" localSheetId="8">#REF!</definedName>
    <definedName name="MODIF_50_1002" localSheetId="5">#REF!</definedName>
    <definedName name="MODIF_50_1002" localSheetId="7">#REF!</definedName>
    <definedName name="MODIF_50_1002" localSheetId="8">#REF!</definedName>
    <definedName name="MODIF_60_1002" localSheetId="5">#REF!</definedName>
    <definedName name="MODIF_60_1002" localSheetId="7">#REF!</definedName>
    <definedName name="MODIF_60_1002" localSheetId="8">#REF!</definedName>
    <definedName name="MODIF_70_1002" localSheetId="5">#REF!</definedName>
    <definedName name="MODIF_70_1002" localSheetId="7">#REF!</definedName>
    <definedName name="MODIF_70_1002" localSheetId="8">#REF!</definedName>
    <definedName name="mois" localSheetId="7">#REF!</definedName>
    <definedName name="mois" localSheetId="8">#REF!</definedName>
    <definedName name="mois2006" localSheetId="7">#REF!</definedName>
    <definedName name="mois2006" localSheetId="8">#REF!</definedName>
    <definedName name="monnaie" localSheetId="5">#REF!</definedName>
    <definedName name="monnaie" localSheetId="7">#REF!</definedName>
    <definedName name="monnaie" localSheetId="8">#REF!</definedName>
    <definedName name="MONTANT_APPORT_NATURE" localSheetId="5">#REF!</definedName>
    <definedName name="MONTANT_APPORT_NATURE" localSheetId="7">#REF!</definedName>
    <definedName name="MONTANT_APPORT_NUMERAIRE" localSheetId="5">#REF!</definedName>
    <definedName name="MONTANT_APPORT_NUMERAIRE" localSheetId="7">#REF!</definedName>
    <definedName name="MONTANT_EMPRUNT" localSheetId="5">#REF!</definedName>
    <definedName name="MONTANT_EMPRUNT" localSheetId="7">#REF!</definedName>
    <definedName name="MVT_C" localSheetId="5">#REF!</definedName>
    <definedName name="MVT_C" localSheetId="7">#REF!</definedName>
    <definedName name="MVT_C" localSheetId="8">#REF!</definedName>
    <definedName name="MVT_CI" localSheetId="5">#REF!</definedName>
    <definedName name="MVT_CI" localSheetId="7">#REF!</definedName>
    <definedName name="MVT_CI" localSheetId="8">#REF!</definedName>
    <definedName name="MVT_D" localSheetId="5">#REF!</definedName>
    <definedName name="MVT_D" localSheetId="7">#REF!</definedName>
    <definedName name="MVT_D" localSheetId="8">#REF!</definedName>
    <definedName name="MVT_DI" localSheetId="5">#REF!</definedName>
    <definedName name="MVT_DI" localSheetId="7">#REF!</definedName>
    <definedName name="MVT_DI" localSheetId="8">#REF!</definedName>
    <definedName name="N" localSheetId="5">#REF!</definedName>
    <definedName name="N" localSheetId="7">#REF!</definedName>
    <definedName name="N" localSheetId="8">#REF!</definedName>
    <definedName name="ni" localSheetId="7">#REF!</definedName>
    <definedName name="ni" localSheetId="8">#REF!</definedName>
    <definedName name="NIBSDU" localSheetId="5">#REF!</definedName>
    <definedName name="NIBSDU" localSheetId="7">#REF!</definedName>
    <definedName name="NIBSDU" localSheetId="8">#REF!</definedName>
    <definedName name="Nif" localSheetId="7">#REF!</definedName>
    <definedName name="Nif" localSheetId="8">#REF!</definedName>
    <definedName name="nkjn" localSheetId="5">IF(#REF!&lt;&gt;"",MIN(#REF!,#REF!-#REF!),"")</definedName>
    <definedName name="nkjn" localSheetId="7">IF(#REF!&lt;&gt;"",MIN(#REF!,#REF!-#REF!),"")</definedName>
    <definedName name="nkjn" localSheetId="8">IF(#REF!&lt;&gt;"",MIN(#REF!,#REF!-#REF!),"")</definedName>
    <definedName name="nn" localSheetId="7">#N/A</definedName>
    <definedName name="nn" localSheetId="8">'Org (2)'!Annual_interest_rate/'Org (2)'!Payments_per_year</definedName>
    <definedName name="nomliste" localSheetId="5">#REF!</definedName>
    <definedName name="nomliste" localSheetId="7">#REF!</definedName>
    <definedName name="NOMSOC" localSheetId="5">#REF!</definedName>
    <definedName name="NOMSOC" localSheetId="7">#REF!</definedName>
    <definedName name="NOMSOC" localSheetId="8">#REF!</definedName>
    <definedName name="nono" localSheetId="5">#REF!</definedName>
    <definedName name="nono" localSheetId="7">#REF!</definedName>
    <definedName name="nono" localSheetId="8">#REF!</definedName>
    <definedName name="NOTED" localSheetId="7">#N/A</definedName>
    <definedName name="NOTED" localSheetId="8">IF(#REF!&lt;&gt;"",MIN(#REF!,'Org (2)'!Pmt_to_use-#REF!),"")</definedName>
    <definedName name="noul" localSheetId="5" hidden="1">#REF!</definedName>
    <definedName name="noul" localSheetId="1" hidden="1">#REF!</definedName>
    <definedName name="noul" localSheetId="7" hidden="1">#REF!</definedName>
    <definedName name="noul" localSheetId="4" hidden="1">#REF!</definedName>
    <definedName name="noul" localSheetId="8" hidden="1">#REF!</definedName>
    <definedName name="noul" hidden="1">#REF!</definedName>
    <definedName name="noul1" localSheetId="5" hidden="1">#REF!</definedName>
    <definedName name="noul1" localSheetId="7" hidden="1">#REF!</definedName>
    <definedName name="noul1" localSheetId="4" hidden="1">#REF!</definedName>
    <definedName name="noul1" localSheetId="8" hidden="1">#REF!</definedName>
    <definedName name="noul1" hidden="1">#REF!</definedName>
    <definedName name="nov" localSheetId="5">#REF!</definedName>
    <definedName name="nov" localSheetId="7">#REF!</definedName>
    <definedName name="nov" localSheetId="8">#REF!</definedName>
    <definedName name="NOVEMBRE" localSheetId="5">#REF!</definedName>
    <definedName name="NOVEMBRE" localSheetId="7">#REF!</definedName>
    <definedName name="NOVEMBRE" localSheetId="8">#REF!</definedName>
    <definedName name="NUE" localSheetId="5">#REF!</definedName>
    <definedName name="NUE" localSheetId="7">#REF!</definedName>
    <definedName name="NUE" localSheetId="8">#REF!</definedName>
    <definedName name="Num_Pmt_Per_Year" localSheetId="5">#REF!</definedName>
    <definedName name="Num_Pmt_Per_Year" localSheetId="7">#REF!</definedName>
    <definedName name="Number_of_Payments" localSheetId="5">MATCH(0.01,' OKB TRA ABR'!End_Bal,-1)+1</definedName>
    <definedName name="Number_of_Payments" localSheetId="7">MATCH(0.01,Goodeis!End_Bal,-1)+1</definedName>
    <definedName name="NUMC" localSheetId="5">#REF!</definedName>
    <definedName name="NUMC" localSheetId="7">#REF!</definedName>
    <definedName name="NUMC" localSheetId="8">#REF!</definedName>
    <definedName name="NUMFLUX" localSheetId="5">#REF!</definedName>
    <definedName name="NUMFLUX" localSheetId="7">#REF!</definedName>
    <definedName name="nummois" localSheetId="7">#REF!</definedName>
    <definedName name="nummois" localSheetId="8">#REF!</definedName>
    <definedName name="O" localSheetId="5">#REF!</definedName>
    <definedName name="O" localSheetId="7">#REF!</definedName>
    <definedName name="O" localSheetId="8">#REF!</definedName>
    <definedName name="OAPP" localSheetId="5">#REF!</definedName>
    <definedName name="OAPP" localSheetId="7">#REF!</definedName>
    <definedName name="OAPP" localSheetId="8">#REF!</definedName>
    <definedName name="ob" localSheetId="5">#REF!</definedName>
    <definedName name="ob" localSheetId="7">#REF!</definedName>
    <definedName name="ob" localSheetId="8">#REF!</definedName>
    <definedName name="oc" localSheetId="5">#REF!</definedName>
    <definedName name="oc" localSheetId="7">#REF!</definedName>
    <definedName name="oc" localSheetId="8">#REF!</definedName>
    <definedName name="oct" localSheetId="5">#REF!</definedName>
    <definedName name="oct" localSheetId="7">#REF!</definedName>
    <definedName name="oct" localSheetId="8">#REF!</definedName>
    <definedName name="OCTOBRE" localSheetId="5">#REF!</definedName>
    <definedName name="OCTOBRE" localSheetId="7">#REF!</definedName>
    <definedName name="OCTOBRE" localSheetId="8">#REF!</definedName>
    <definedName name="OMNPQRASTICUBRKEEIUD" localSheetId="5">#REF!</definedName>
    <definedName name="OMNPQRASTICUBRKEEIUD" localSheetId="7">#REF!</definedName>
    <definedName name="OMNPQRASTICUBRKEEIUD" localSheetId="8">#REF!</definedName>
    <definedName name="On_Sites" localSheetId="5">#REF!</definedName>
    <definedName name="On_Sites" localSheetId="7">#REF!</definedName>
    <definedName name="On_Sites" localSheetId="8">#REF!</definedName>
    <definedName name="Ouverture" localSheetId="7">#REF!</definedName>
    <definedName name="Ouverture" localSheetId="8">#REF!</definedName>
    <definedName name="p" localSheetId="5">#REF!</definedName>
    <definedName name="p" localSheetId="7">#REF!</definedName>
    <definedName name="p" localSheetId="8">#REF!</definedName>
    <definedName name="P2.1" localSheetId="5">#REF!</definedName>
    <definedName name="P2.1" localSheetId="7">#REF!</definedName>
    <definedName name="P2.1" localSheetId="8">#REF!</definedName>
    <definedName name="P2.2" localSheetId="5">#REF!</definedName>
    <definedName name="P2.2" localSheetId="7">#REF!</definedName>
    <definedName name="P2.2" localSheetId="8">#REF!</definedName>
    <definedName name="PACD" localSheetId="5">#REF!</definedName>
    <definedName name="PACD" localSheetId="7">#REF!</definedName>
    <definedName name="PACD" localSheetId="8">#REF!</definedName>
    <definedName name="PAWS_LastDate" localSheetId="5">#REF!</definedName>
    <definedName name="PAWS_LastDate" localSheetId="7">#REF!</definedName>
    <definedName name="PAWS_LastDate" localSheetId="8">#REF!</definedName>
    <definedName name="Pay_Date" localSheetId="5">#REF!</definedName>
    <definedName name="Pay_Date" localSheetId="7">#REF!</definedName>
    <definedName name="Pay_Num" localSheetId="5">#REF!</definedName>
    <definedName name="Pay_Num" localSheetId="7">#REF!</definedName>
    <definedName name="Payment_Date" localSheetId="5">DATE(YEAR(' OKB TRA ABR'!Loan_Start),MONTH(' OKB TRA ABR'!Loan_Start)+Payment_Number,DAY(' OKB TRA ABR'!Loan_Start))</definedName>
    <definedName name="Payment_Date" localSheetId="7">DATE(YEAR(Goodeis!Loan_Start),MONTH(Goodeis!Loan_Start)+Payment_Number,DAY(Goodeis!Loan_Start))</definedName>
    <definedName name="Payment_Date" localSheetId="8">DATE(YEAR([0]!Loan_Start),MONTH(' OKB TRA ABR'!Loan_Start)+Payment_Number,DAY(' OKB TRA ABR'!Loan_Start))</definedName>
    <definedName name="Payments_per_year" localSheetId="7">#REF!</definedName>
    <definedName name="Payments_per_year" localSheetId="8">#REF!</definedName>
    <definedName name="PC95C" localSheetId="5">#REF!</definedName>
    <definedName name="PC95C" localSheetId="7">#REF!</definedName>
    <definedName name="PC95C" localSheetId="8">#REF!</definedName>
    <definedName name="PCG" localSheetId="26" hidden="1">{#N/A,#N/A,FALSE,"Bilan";"CR Pcg",#N/A,FALSE,"Compte de Resultat";"TGCG Pcg",#N/A,FALSE,"TGCG";#N/A,#N/A,FALSE,"Tab. de Fin.";#N/A,#N/A,FALSE,"EF-Synth."}</definedName>
    <definedName name="PCG" localSheetId="1" hidden="1">{#N/A,#N/A,FALSE,"Bilan";"CR Pcg",#N/A,FALSE,"Compte de Resultat";"TGCG Pcg",#N/A,FALSE,"TGCG";#N/A,#N/A,FALSE,"Tab. de Fin.";#N/A,#N/A,FALSE,"EF-Synth."}</definedName>
    <definedName name="PCG" localSheetId="33" hidden="1">{#N/A,#N/A,FALSE,"Bilan";"CR Pcg",#N/A,FALSE,"Compte de Resultat";"TGCG Pcg",#N/A,FALSE,"TGCG";#N/A,#N/A,FALSE,"Tab. de Fin.";#N/A,#N/A,FALSE,"EF-Synth."}</definedName>
    <definedName name="PCG" localSheetId="24" hidden="1">{#N/A,#N/A,FALSE,"Bilan";"CR Pcg",#N/A,FALSE,"Compte de Resultat";"TGCG Pcg",#N/A,FALSE,"TGCG";#N/A,#N/A,FALSE,"Tab. de Fin.";#N/A,#N/A,FALSE,"EF-Synth."}</definedName>
    <definedName name="PCG" localSheetId="39" hidden="1">{#N/A,#N/A,FALSE,"Bilan";"CR Pcg",#N/A,FALSE,"Compte de Resultat";"TGCG Pcg",#N/A,FALSE,"TGCG";#N/A,#N/A,FALSE,"Tab. de Fin.";#N/A,#N/A,FALSE,"EF-Synth."}</definedName>
    <definedName name="PCG" localSheetId="2" hidden="1">{#N/A,#N/A,FALSE,"Bilan";"CR Pcg",#N/A,FALSE,"Compte de Resultat";"TGCG Pcg",#N/A,FALSE,"TGCG";#N/A,#N/A,FALSE,"Tab. de Fin.";#N/A,#N/A,FALSE,"EF-Synth."}</definedName>
    <definedName name="PCG" localSheetId="38" hidden="1">{#N/A,#N/A,FALSE,"Bilan";"CR Pcg",#N/A,FALSE,"Compte de Resultat";"TGCG Pcg",#N/A,FALSE,"TGCG";#N/A,#N/A,FALSE,"Tab. de Fin.";#N/A,#N/A,FALSE,"EF-Synth."}</definedName>
    <definedName name="PCG" localSheetId="34" hidden="1">{#N/A,#N/A,FALSE,"Bilan";"CR Pcg",#N/A,FALSE,"Compte de Resultat";"TGCG Pcg",#N/A,FALSE,"TGCG";#N/A,#N/A,FALSE,"Tab. de Fin.";#N/A,#N/A,FALSE,"EF-Synth."}</definedName>
    <definedName name="PCG" localSheetId="7" hidden="1">{#N/A,#N/A,FALSE,"Bilan";"CR Pcg",#N/A,FALSE,"Compte de Resultat";"TGCG Pcg",#N/A,FALSE,"TGCG";#N/A,#N/A,FALSE,"Tab. de Fin.";#N/A,#N/A,FALSE,"EF-Synth."}</definedName>
    <definedName name="PCG" localSheetId="4" hidden="1">{#N/A,#N/A,FALSE,"Bilan";"CR Pcg",#N/A,FALSE,"Compte de Resultat";"TGCG Pcg",#N/A,FALSE,"TGCG";#N/A,#N/A,FALSE,"Tab. de Fin.";#N/A,#N/A,FALSE,"EF-Synth."}</definedName>
    <definedName name="PCG" localSheetId="8" hidden="1">{#N/A,#N/A,FALSE,"Bilan";"CR Pcg",#N/A,FALSE,"Compte de Resultat";"TGCG Pcg",#N/A,FALSE,"TGCG";#N/A,#N/A,FALSE,"Tab. de Fin.";#N/A,#N/A,FALSE,"EF-Synth."}</definedName>
    <definedName name="PCG" localSheetId="27" hidden="1">{#N/A,#N/A,FALSE,"Bilan";"CR Pcg",#N/A,FALSE,"Compte de Resultat";"TGCG Pcg",#N/A,FALSE,"TGCG";#N/A,#N/A,FALSE,"Tab. de Fin.";#N/A,#N/A,FALSE,"EF-Synth."}</definedName>
    <definedName name="PCG" localSheetId="16" hidden="1">{#N/A,#N/A,FALSE,"Bilan";"CR Pcg",#N/A,FALSE,"Compte de Resultat";"TGCG Pcg",#N/A,FALSE,"TGCG";#N/A,#N/A,FALSE,"Tab. de Fin.";#N/A,#N/A,FALSE,"EF-Synth."}</definedName>
    <definedName name="PCG" localSheetId="23" hidden="1">{#N/A,#N/A,FALSE,"Bilan";"CR Pcg",#N/A,FALSE,"Compte de Resultat";"TGCG Pcg",#N/A,FALSE,"TGCG";#N/A,#N/A,FALSE,"Tab. de Fin.";#N/A,#N/A,FALSE,"EF-Synth."}</definedName>
    <definedName name="PCG" hidden="1">{#N/A,#N/A,FALSE,"Bilan";"CR Pcg",#N/A,FALSE,"Compte de Resultat";"TGCG Pcg",#N/A,FALSE,"TGCG";#N/A,#N/A,FALSE,"Tab. de Fin.";#N/A,#N/A,FALSE,"EF-Synth."}</definedName>
    <definedName name="PERIODE" localSheetId="5">#REF!</definedName>
    <definedName name="PERIODE" localSheetId="7">#REF!</definedName>
    <definedName name="Periodic_rate" localSheetId="7">Goodeis!Annual_interest_rate/Goodeis!Payments_per_year</definedName>
    <definedName name="Periodic_rate" localSheetId="8">'Org (2)'!Annual_interest_rate/'Org (2)'!Payments_per_year</definedName>
    <definedName name="Periodic_rate_16" localSheetId="5">Annual_interest_rate_16/Payments_per_year_16</definedName>
    <definedName name="Periodic_rate_16" localSheetId="7">Annual_interest_rate_16/Payments_per_year_16</definedName>
    <definedName name="Periodic_rate_16" localSheetId="8">Annual_interest_rate_16/Payments_per_year_16</definedName>
    <definedName name="Periodic_rate_17" localSheetId="5">Annual_interest_rate_17/Payments_per_year_17</definedName>
    <definedName name="Periodic_rate_17" localSheetId="7">Annual_interest_rate_17/Payments_per_year_17</definedName>
    <definedName name="Periodic_rate_17" localSheetId="8">Annual_interest_rate_17/Payments_per_year_17</definedName>
    <definedName name="PETRIN" localSheetId="5">#REF!</definedName>
    <definedName name="PETRIN" localSheetId="7">#REF!</definedName>
    <definedName name="PETRIN" localSheetId="8">#REF!</definedName>
    <definedName name="pgarde" localSheetId="5">#REF!</definedName>
    <definedName name="pgarde" localSheetId="7">#REF!</definedName>
    <definedName name="pgarde" localSheetId="8">#REF!</definedName>
    <definedName name="PLAN2003" localSheetId="5">#REF!</definedName>
    <definedName name="PLAN2003" localSheetId="7">#REF!</definedName>
    <definedName name="PLAN2003" localSheetId="8">#REF!</definedName>
    <definedName name="Pmt_to_use" localSheetId="7">#REF!</definedName>
    <definedName name="Pmt_to_use" localSheetId="8">#REF!</definedName>
    <definedName name="PO" localSheetId="26" hidden="1">{#N/A,#N/A,FALSE,"Bilan";"CR Ana",#N/A,FALSE,"Compte de Resultat";"TGCG Ana",#N/A,FALSE,"TGCG";#N/A,#N/A,FALSE,"Tab. de Fin.";#N/A,#N/A,FALSE,"EF-Synth."}</definedName>
    <definedName name="PO" localSheetId="1" hidden="1">{#N/A,#N/A,FALSE,"Bilan";"CR Ana",#N/A,FALSE,"Compte de Resultat";"TGCG Ana",#N/A,FALSE,"TGCG";#N/A,#N/A,FALSE,"Tab. de Fin.";#N/A,#N/A,FALSE,"EF-Synth."}</definedName>
    <definedName name="PO" localSheetId="33" hidden="1">{#N/A,#N/A,FALSE,"Bilan";"CR Ana",#N/A,FALSE,"Compte de Resultat";"TGCG Ana",#N/A,FALSE,"TGCG";#N/A,#N/A,FALSE,"Tab. de Fin.";#N/A,#N/A,FALSE,"EF-Synth."}</definedName>
    <definedName name="PO" localSheetId="24" hidden="1">{#N/A,#N/A,FALSE,"Bilan";"CR Ana",#N/A,FALSE,"Compte de Resultat";"TGCG Ana",#N/A,FALSE,"TGCG";#N/A,#N/A,FALSE,"Tab. de Fin.";#N/A,#N/A,FALSE,"EF-Synth."}</definedName>
    <definedName name="PO" localSheetId="39" hidden="1">{#N/A,#N/A,FALSE,"Bilan";"CR Ana",#N/A,FALSE,"Compte de Resultat";"TGCG Ana",#N/A,FALSE,"TGCG";#N/A,#N/A,FALSE,"Tab. de Fin.";#N/A,#N/A,FALSE,"EF-Synth."}</definedName>
    <definedName name="PO" localSheetId="2" hidden="1">{#N/A,#N/A,FALSE,"Bilan";"CR Ana",#N/A,FALSE,"Compte de Resultat";"TGCG Ana",#N/A,FALSE,"TGCG";#N/A,#N/A,FALSE,"Tab. de Fin.";#N/A,#N/A,FALSE,"EF-Synth."}</definedName>
    <definedName name="PO" localSheetId="38" hidden="1">{#N/A,#N/A,FALSE,"Bilan";"CR Ana",#N/A,FALSE,"Compte de Resultat";"TGCG Ana",#N/A,FALSE,"TGCG";#N/A,#N/A,FALSE,"Tab. de Fin.";#N/A,#N/A,FALSE,"EF-Synth."}</definedName>
    <definedName name="PO" localSheetId="34" hidden="1">{#N/A,#N/A,FALSE,"Bilan";"CR Ana",#N/A,FALSE,"Compte de Resultat";"TGCG Ana",#N/A,FALSE,"TGCG";#N/A,#N/A,FALSE,"Tab. de Fin.";#N/A,#N/A,FALSE,"EF-Synth."}</definedName>
    <definedName name="PO" localSheetId="7" hidden="1">{#N/A,#N/A,FALSE,"Bilan";"CR Ana",#N/A,FALSE,"Compte de Resultat";"TGCG Ana",#N/A,FALSE,"TGCG";#N/A,#N/A,FALSE,"Tab. de Fin.";#N/A,#N/A,FALSE,"EF-Synth."}</definedName>
    <definedName name="PO" localSheetId="4" hidden="1">{#N/A,#N/A,FALSE,"Bilan";"CR Ana",#N/A,FALSE,"Compte de Resultat";"TGCG Ana",#N/A,FALSE,"TGCG";#N/A,#N/A,FALSE,"Tab. de Fin.";#N/A,#N/A,FALSE,"EF-Synth."}</definedName>
    <definedName name="PO" localSheetId="8" hidden="1">{#N/A,#N/A,FALSE,"Bilan";"CR Ana",#N/A,FALSE,"Compte de Resultat";"TGCG Ana",#N/A,FALSE,"TGCG";#N/A,#N/A,FALSE,"Tab. de Fin.";#N/A,#N/A,FALSE,"EF-Synth."}</definedName>
    <definedName name="PO" localSheetId="27" hidden="1">{#N/A,#N/A,FALSE,"Bilan";"CR Ana",#N/A,FALSE,"Compte de Resultat";"TGCG Ana",#N/A,FALSE,"TGCG";#N/A,#N/A,FALSE,"Tab. de Fin.";#N/A,#N/A,FALSE,"EF-Synth."}</definedName>
    <definedName name="PO" localSheetId="16" hidden="1">{#N/A,#N/A,FALSE,"Bilan";"CR Ana",#N/A,FALSE,"Compte de Resultat";"TGCG Ana",#N/A,FALSE,"TGCG";#N/A,#N/A,FALSE,"Tab. de Fin.";#N/A,#N/A,FALSE,"EF-Synth."}</definedName>
    <definedName name="PO" localSheetId="23" hidden="1">{#N/A,#N/A,FALSE,"Bilan";"CR Ana",#N/A,FALSE,"Compte de Resultat";"TGCG Ana",#N/A,FALSE,"TGCG";#N/A,#N/A,FALSE,"Tab. de Fin.";#N/A,#N/A,FALSE,"EF-Synth."}</definedName>
    <definedName name="PO" hidden="1">{#N/A,#N/A,FALSE,"Bilan";"CR Ana",#N/A,FALSE,"Compte de Resultat";"TGCG Ana",#N/A,FALSE,"TGCG";#N/A,#N/A,FALSE,"Tab. de Fin.";#N/A,#N/A,FALSE,"EF-Synth."}</definedName>
    <definedName name="prev_tres" localSheetId="5">#REF!</definedName>
    <definedName name="prev_tres" localSheetId="7">#REF!</definedName>
    <definedName name="PreviousPeriod" localSheetId="5">#REF!</definedName>
    <definedName name="PreviousPeriod" localSheetId="7">#REF!</definedName>
    <definedName name="PreviousPeriod" localSheetId="8">#REF!</definedName>
    <definedName name="Primary_Production_Maintenance_and_Equipment" localSheetId="5">#REF!</definedName>
    <definedName name="Primary_Production_Maintenance_and_Equipment" localSheetId="7">#REF!</definedName>
    <definedName name="Primary_Production_Maintenance_and_Equipment" localSheetId="8">#REF!</definedName>
    <definedName name="Princ" localSheetId="5">#REF!</definedName>
    <definedName name="Princ" localSheetId="7">#REF!</definedName>
    <definedName name="Principal" localSheetId="7">IF(#REF!&lt;&gt;"",MIN(#REF!,Goodeis!Pmt_to_use-#REF!),"")</definedName>
    <definedName name="Principal" localSheetId="8">IF(#REF!&lt;&gt;"",MIN(#REF!,'Org (2)'!Pmt_to_use-#REF!),"")</definedName>
    <definedName name="Print_Area_Reset" localSheetId="5">OFFSET(' OKB TRA ABR'!Full_Print,0,0,[0]!Last_Row)</definedName>
    <definedName name="Print_Area_Reset" localSheetId="7">OFFSET(Goodeis!Full_Print,0,0,Goodeis!Last_Row)</definedName>
    <definedName name="proclt" localSheetId="5">#REF!</definedName>
    <definedName name="proclt" localSheetId="7">#REF!</definedName>
    <definedName name="proclt" localSheetId="8">#REF!</definedName>
    <definedName name="provcy" localSheetId="5">#REF!</definedName>
    <definedName name="provcy" localSheetId="7">#REF!</definedName>
    <definedName name="provcy" localSheetId="8">#REF!</definedName>
    <definedName name="provly" localSheetId="5">#REF!</definedName>
    <definedName name="provly" localSheetId="7">#REF!</definedName>
    <definedName name="provly" localSheetId="8">#REF!</definedName>
    <definedName name="ProvRC" localSheetId="5">#REF!</definedName>
    <definedName name="ProvRC" localSheetId="7">#REF!</definedName>
    <definedName name="ProvRC" localSheetId="8">#REF!</definedName>
    <definedName name="ps" localSheetId="1" hidden="1">{#N/A,#N/A,FALSE,"Bilan";"CR Ana",#N/A,FALSE,"Compte de Resultat";"TGCG Ana",#N/A,FALSE,"TGCG";#N/A,#N/A,FALSE,"Tab. de Fin.";#N/A,#N/A,FALSE,"EF-Synth."}</definedName>
    <definedName name="ps" localSheetId="7" hidden="1">{#N/A,#N/A,FALSE,"Bilan";"CR Ana",#N/A,FALSE,"Compte de Resultat";"TGCG Ana",#N/A,FALSE,"TGCG";#N/A,#N/A,FALSE,"Tab. de Fin.";#N/A,#N/A,FALSE,"EF-Synth."}</definedName>
    <definedName name="ps" localSheetId="4" hidden="1">{#N/A,#N/A,FALSE,"Bilan";"CR Ana",#N/A,FALSE,"Compte de Resultat";"TGCG Ana",#N/A,FALSE,"TGCG";#N/A,#N/A,FALSE,"Tab. de Fin.";#N/A,#N/A,FALSE,"EF-Synth."}</definedName>
    <definedName name="ps" localSheetId="8" hidden="1">{#N/A,#N/A,FALSE,"Bilan";"CR Ana",#N/A,FALSE,"Compte de Resultat";"TGCG Ana",#N/A,FALSE,"TGCG";#N/A,#N/A,FALSE,"Tab. de Fin.";#N/A,#N/A,FALSE,"EF-Synth."}</definedName>
    <definedName name="ps" hidden="1">{#N/A,#N/A,FALSE,"Bilan";"CR Ana",#N/A,FALSE,"Compte de Resultat";"TGCG Ana",#N/A,FALSE,"TGCG";#N/A,#N/A,FALSE,"Tab. de Fin.";#N/A,#N/A,FALSE,"EF-Synth."}</definedName>
    <definedName name="q" localSheetId="7">#REF!</definedName>
    <definedName name="q" localSheetId="8">#REF!</definedName>
    <definedName name="Qhb" localSheetId="5">#REF!</definedName>
    <definedName name="Qhb" localSheetId="7">#REF!</definedName>
    <definedName name="QTI" localSheetId="5">#REF!</definedName>
    <definedName name="QTI" localSheetId="7">#REF!</definedName>
    <definedName name="QTI" localSheetId="8">#REF!</definedName>
    <definedName name="Raison" localSheetId="7">#REF!</definedName>
    <definedName name="Raison" localSheetId="8">#REF!</definedName>
    <definedName name="RAKOTOMANGA" localSheetId="5">#REF!</definedName>
    <definedName name="RAKOTOMANGA" localSheetId="7">#REF!</definedName>
    <definedName name="RapatriementBRDetails" localSheetId="5">#REF!</definedName>
    <definedName name="RapatriementBRDetails" localSheetId="7">#REF!</definedName>
    <definedName name="Ratios" localSheetId="5">#REF!</definedName>
    <definedName name="Ratios" localSheetId="7">#REF!</definedName>
    <definedName name="Ratios" localSheetId="8">#REF!</definedName>
    <definedName name="ravelotsalama" localSheetId="5">#REF!</definedName>
    <definedName name="ravelotsalama" localSheetId="7">#REF!</definedName>
    <definedName name="ravelotsalama" localSheetId="8">#REF!</definedName>
    <definedName name="RECAP" localSheetId="5">#REF!</definedName>
    <definedName name="RECAP" localSheetId="7">#REF!</definedName>
    <definedName name="RECAP" localSheetId="8">#REF!</definedName>
    <definedName name="RECETTE" localSheetId="5">#REF!</definedName>
    <definedName name="RECETTE" localSheetId="7">#REF!</definedName>
    <definedName name="RECETTE" localSheetId="8">#REF!</definedName>
    <definedName name="Reclassement" localSheetId="7">#REF!</definedName>
    <definedName name="Reclassement" localSheetId="8">#REF!</definedName>
    <definedName name="Regroupement" localSheetId="7">#REF!</definedName>
    <definedName name="Régularisations" localSheetId="7">#REF!</definedName>
    <definedName name="Régularisations" localSheetId="8">#REF!</definedName>
    <definedName name="Reprise2005" localSheetId="5">#REF!,#REF!,#REF!</definedName>
    <definedName name="Reprise2005" localSheetId="7">#REF!,#REF!,#REF!</definedName>
    <definedName name="Reprise2005" localSheetId="8">#REF!,#REF!,#REF!</definedName>
    <definedName name="RER" localSheetId="5">#REF!</definedName>
    <definedName name="RER" localSheetId="7">#REF!</definedName>
    <definedName name="RER" localSheetId="8">#REF!</definedName>
    <definedName name="RESULTAS_FINANCIERS__ETATS_SOAM" localSheetId="5">#REF!</definedName>
    <definedName name="RESULTAS_FINANCIERS__ETATS_SOAM" localSheetId="7">#REF!</definedName>
    <definedName name="RESULTAS_FINANCIERS__ETATS_SOAM" localSheetId="8">#REF!</definedName>
    <definedName name="Résultat" localSheetId="5">#REF!</definedName>
    <definedName name="Résultat" localSheetId="7">#REF!</definedName>
    <definedName name="Résultat" localSheetId="8">#REF!</definedName>
    <definedName name="RESULTATS_ETAT_A2" localSheetId="5">#REF!</definedName>
    <definedName name="RESULTATS_ETAT_A2" localSheetId="7">#REF!</definedName>
    <definedName name="RESULTATS_ETAT_A2" localSheetId="8">#REF!</definedName>
    <definedName name="RFAIDA" localSheetId="5">#REF!</definedName>
    <definedName name="RFAIDA" localSheetId="7">#REF!</definedName>
    <definedName name="RFAIDA" localSheetId="8">#REF!</definedName>
    <definedName name="RFAIDB" localSheetId="5">#REF!</definedName>
    <definedName name="RFAIDB" localSheetId="7">#REF!</definedName>
    <definedName name="RFAIDB" localSheetId="8">#REF!</definedName>
    <definedName name="RN_2007" localSheetId="5">#REF!</definedName>
    <definedName name="RN_2007" localSheetId="7">#REF!</definedName>
    <definedName name="RN_2008" localSheetId="5">#REF!</definedName>
    <definedName name="RN_2008" localSheetId="7">#REF!</definedName>
    <definedName name="RNP" localSheetId="5">#REF!</definedName>
    <definedName name="RNP" localSheetId="7">#REF!</definedName>
    <definedName name="RNP" localSheetId="8">#REF!</definedName>
    <definedName name="RRTROI" localSheetId="5">#REF!</definedName>
    <definedName name="RRTROI" localSheetId="7">#REF!</definedName>
    <definedName name="RRTROI" localSheetId="8">#REF!</definedName>
    <definedName name="RRUN" localSheetId="5">#REF!</definedName>
    <definedName name="RRUN" localSheetId="7">#REF!</definedName>
    <definedName name="RRUN" localSheetId="8">#REF!</definedName>
    <definedName name="RTecette" localSheetId="5">#REF!</definedName>
    <definedName name="RTecette" localSheetId="7">#REF!</definedName>
    <definedName name="RTecette" localSheetId="8">#REF!</definedName>
    <definedName name="RTTTTT" localSheetId="7">#REF!</definedName>
    <definedName name="RTY" localSheetId="7">#REF!</definedName>
    <definedName name="RVDebit" localSheetId="5">#REF!</definedName>
    <definedName name="RVDebit" localSheetId="7">#REF!</definedName>
    <definedName name="S_FR" localSheetId="5">#REF!</definedName>
    <definedName name="S_FR" localSheetId="7">#REF!</definedName>
    <definedName name="S_FR" localSheetId="8">#REF!</definedName>
    <definedName name="Samexpro" localSheetId="5">#REF!</definedName>
    <definedName name="Samexpro" localSheetId="7">#REF!</definedName>
    <definedName name="Sched_Pay" localSheetId="5">#REF!</definedName>
    <definedName name="Sched_Pay" localSheetId="7">#REF!</definedName>
    <definedName name="Scheduled_Extra_Payments" localSheetId="5">#REF!</definedName>
    <definedName name="Scheduled_Extra_Payments" localSheetId="7">#REF!</definedName>
    <definedName name="Scheduled_Interest_Rate" localSheetId="5">#REF!</definedName>
    <definedName name="Scheduled_Interest_Rate" localSheetId="7">#REF!</definedName>
    <definedName name="Scheduled_Monthly_Payment" localSheetId="5">#REF!</definedName>
    <definedName name="Scheduled_Monthly_Payment" localSheetId="7">#REF!</definedName>
    <definedName name="Segment_Date">#N/A</definedName>
    <definedName name="sept" localSheetId="5">#REF!</definedName>
    <definedName name="sept" localSheetId="7">#REF!</definedName>
    <definedName name="sept" localSheetId="8">#REF!</definedName>
    <definedName name="SEPTEMBRE" localSheetId="5">#REF!</definedName>
    <definedName name="SEPTEMBRE" localSheetId="7">#REF!</definedName>
    <definedName name="Show.Date" localSheetId="7">IF(#REF!&lt;&gt;"",DATE(YEAR(Goodeis!First_payment_due),MONTH(Goodeis!First_payment_due)+(#REF!-1)*12/Goodeis!Payments_per_year,DAY(Goodeis!First_payment_due)),"")</definedName>
    <definedName name="Show.Date" localSheetId="8">IF(#REF!&lt;&gt;"",DATE(YEAR('Org (2)'!First_payment_due),MONTH('Org (2)'!First_payment_due)+(#REF!-1)*12/'Org (2)'!Payments_per_year,DAY('Org (2)'!First_payment_due)),"")</definedName>
    <definedName name="SITUA" localSheetId="5">#REF!</definedName>
    <definedName name="SITUA" localSheetId="7">#REF!</definedName>
    <definedName name="SITUA" localSheetId="8">#REF!</definedName>
    <definedName name="Societe" localSheetId="7">#REF!</definedName>
    <definedName name="Societe" localSheetId="8">#REF!</definedName>
    <definedName name="SOLD_C" localSheetId="5">#REF!</definedName>
    <definedName name="SOLD_C" localSheetId="7">#REF!</definedName>
    <definedName name="SOLD_C" localSheetId="8">#REF!</definedName>
    <definedName name="SOLD_D" localSheetId="5">#REF!</definedName>
    <definedName name="SOLD_D" localSheetId="7">#REF!</definedName>
    <definedName name="SOLD_D" localSheetId="8">#REF!</definedName>
    <definedName name="SOLDE" localSheetId="5">#REF!</definedName>
    <definedName name="SOLDE" localSheetId="7">#REF!</definedName>
    <definedName name="Solde" localSheetId="8">#REF!</definedName>
    <definedName name="SOLDE_EMPLOI_RESS_2007" localSheetId="5">#REF!</definedName>
    <definedName name="SOLDE_EMPLOI_RESS_2007" localSheetId="7">#REF!</definedName>
    <definedName name="SOLDE_EMPLOI_RESS_2008" localSheetId="5">#REF!</definedName>
    <definedName name="SOLDE_EMPLOI_RESS_2008" localSheetId="7">#REF!</definedName>
    <definedName name="solver_adj" localSheetId="5" hidden="1">#REF!,#REF!</definedName>
    <definedName name="solver_adj" localSheetId="26" hidden="1">#REF!,#REF!</definedName>
    <definedName name="solver_adj" localSheetId="31" hidden="1">#REF!,#REF!</definedName>
    <definedName name="solver_adj" localSheetId="1" hidden="1">#REF!,#REF!</definedName>
    <definedName name="solver_adj" localSheetId="33" hidden="1">#REF!,#REF!</definedName>
    <definedName name="solver_adj" localSheetId="24" hidden="1">#REF!,#REF!</definedName>
    <definedName name="solver_adj" localSheetId="39" hidden="1">#REF!,#REF!</definedName>
    <definedName name="solver_adj" localSheetId="2" hidden="1">#REF!,#REF!</definedName>
    <definedName name="solver_adj" localSheetId="38" hidden="1">#REF!,#REF!</definedName>
    <definedName name="solver_adj" localSheetId="32" hidden="1">#REF!,#REF!</definedName>
    <definedName name="solver_adj" localSheetId="7" hidden="1">#REF!,#REF!</definedName>
    <definedName name="solver_adj" localSheetId="35" hidden="1">#REF!,#REF!</definedName>
    <definedName name="solver_adj" localSheetId="4" hidden="1">#REF!,#REF!</definedName>
    <definedName name="solver_adj" localSheetId="8" hidden="1">#REF!,#REF!</definedName>
    <definedName name="solver_adj" localSheetId="27" hidden="1">#REF!,#REF!</definedName>
    <definedName name="solver_adj" localSheetId="16" hidden="1">#REF!,#REF!</definedName>
    <definedName name="solver_adj" localSheetId="23" hidden="1">#REF!,#REF!</definedName>
    <definedName name="solver_adj" hidden="1">#REF!,#REF!</definedName>
    <definedName name="solver_cvg" hidden="1">0.001</definedName>
    <definedName name="solver_drv" hidden="1">1</definedName>
    <definedName name="solver_est" hidden="1">1</definedName>
    <definedName name="solver_itr" hidden="1">100</definedName>
    <definedName name="solver_lhs1" localSheetId="5" hidden="1">#REF!</definedName>
    <definedName name="solver_lhs1" localSheetId="26" hidden="1">#REF!</definedName>
    <definedName name="solver_lhs1" localSheetId="31" hidden="1">#REF!</definedName>
    <definedName name="solver_lhs1" localSheetId="33" hidden="1">#REF!</definedName>
    <definedName name="solver_lhs1" localSheetId="24" hidden="1">#REF!</definedName>
    <definedName name="solver_lhs1" localSheetId="38" hidden="1">#REF!</definedName>
    <definedName name="solver_lhs1" localSheetId="32" hidden="1">#REF!</definedName>
    <definedName name="solver_lhs1" localSheetId="7" hidden="1">#REF!</definedName>
    <definedName name="solver_lhs1" localSheetId="35" hidden="1">#REF!</definedName>
    <definedName name="solver_lhs1" localSheetId="4" hidden="1">#REF!</definedName>
    <definedName name="solver_lhs1" localSheetId="8" hidden="1">#REF!</definedName>
    <definedName name="solver_lhs1" localSheetId="27" hidden="1">#REF!</definedName>
    <definedName name="solver_lhs1" localSheetId="16" hidden="1">#REF!</definedName>
    <definedName name="solver_lhs1" localSheetId="23" hidden="1">#REF!</definedName>
    <definedName name="solver_lhs1" hidden="1">#REF!</definedName>
    <definedName name="solver_lhs12" localSheetId="5" hidden="1">#REF!</definedName>
    <definedName name="solver_lhs12" localSheetId="26" hidden="1">#REF!</definedName>
    <definedName name="solver_lhs12" localSheetId="31" hidden="1">#REF!</definedName>
    <definedName name="solver_lhs12" localSheetId="33" hidden="1">#REF!</definedName>
    <definedName name="solver_lhs12" localSheetId="24" hidden="1">#REF!</definedName>
    <definedName name="solver_lhs12" localSheetId="38" hidden="1">#REF!</definedName>
    <definedName name="solver_lhs12" localSheetId="32" hidden="1">#REF!</definedName>
    <definedName name="solver_lhs12" localSheetId="7" hidden="1">#REF!</definedName>
    <definedName name="solver_lhs12" localSheetId="35" hidden="1">#REF!</definedName>
    <definedName name="solver_lhs12" localSheetId="4" hidden="1">#REF!</definedName>
    <definedName name="solver_lhs12" localSheetId="8" hidden="1">#REF!</definedName>
    <definedName name="solver_lhs12" localSheetId="16" hidden="1">#REF!</definedName>
    <definedName name="solver_lhs12" localSheetId="23" hidden="1">#REF!</definedName>
    <definedName name="solver_lhs12" hidden="1">#REF!</definedName>
    <definedName name="solver_lhs2" localSheetId="5" hidden="1">#REF!</definedName>
    <definedName name="solver_lhs2" localSheetId="26" hidden="1">#REF!</definedName>
    <definedName name="solver_lhs2" localSheetId="31" hidden="1">#REF!</definedName>
    <definedName name="solver_lhs2" localSheetId="33" hidden="1">#REF!</definedName>
    <definedName name="solver_lhs2" localSheetId="24" hidden="1">#REF!</definedName>
    <definedName name="solver_lhs2" localSheetId="38" hidden="1">#REF!</definedName>
    <definedName name="solver_lhs2" localSheetId="32" hidden="1">#REF!</definedName>
    <definedName name="solver_lhs2" localSheetId="7" hidden="1">#REF!</definedName>
    <definedName name="solver_lhs2" localSheetId="35" hidden="1">#REF!</definedName>
    <definedName name="solver_lhs2" localSheetId="4" hidden="1">#REF!</definedName>
    <definedName name="solver_lhs2" localSheetId="8" hidden="1">#REF!</definedName>
    <definedName name="solver_lhs2" localSheetId="16" hidden="1">#REF!</definedName>
    <definedName name="solver_lhs2" localSheetId="23" hidden="1">#REF!</definedName>
    <definedName name="solver_lhs2" hidden="1">#REF!</definedName>
    <definedName name="solver_lhs4" localSheetId="5" hidden="1">#REF!</definedName>
    <definedName name="solver_lhs4" localSheetId="26" hidden="1">#REF!</definedName>
    <definedName name="solver_lhs4" localSheetId="31" hidden="1">#REF!</definedName>
    <definedName name="solver_lhs4" localSheetId="33" hidden="1">#REF!</definedName>
    <definedName name="solver_lhs4" localSheetId="24" hidden="1">#REF!</definedName>
    <definedName name="solver_lhs4" localSheetId="38" hidden="1">#REF!</definedName>
    <definedName name="solver_lhs4" localSheetId="32" hidden="1">#REF!</definedName>
    <definedName name="solver_lhs4" localSheetId="7" hidden="1">#REF!</definedName>
    <definedName name="solver_lhs4" localSheetId="35" hidden="1">#REF!</definedName>
    <definedName name="solver_lhs4" localSheetId="4" hidden="1">#REF!</definedName>
    <definedName name="solver_lhs4" localSheetId="8" hidden="1">#REF!</definedName>
    <definedName name="solver_lhs4" localSheetId="16" hidden="1">#REF!</definedName>
    <definedName name="solver_lhs4" localSheetId="23" hidden="1">#REF!</definedName>
    <definedName name="solver_lhs4" hidden="1">#REF!</definedName>
    <definedName name="solver_lhs5" localSheetId="5" hidden="1">#REF!</definedName>
    <definedName name="solver_lhs5" localSheetId="26" hidden="1">#REF!</definedName>
    <definedName name="solver_lhs5" localSheetId="31" hidden="1">#REF!</definedName>
    <definedName name="solver_lhs5" localSheetId="33" hidden="1">#REF!</definedName>
    <definedName name="solver_lhs5" localSheetId="24" hidden="1">#REF!</definedName>
    <definedName name="solver_lhs5" localSheetId="38" hidden="1">#REF!</definedName>
    <definedName name="solver_lhs5" localSheetId="32" hidden="1">#REF!</definedName>
    <definedName name="solver_lhs5" localSheetId="7" hidden="1">#REF!</definedName>
    <definedName name="solver_lhs5" localSheetId="35" hidden="1">#REF!</definedName>
    <definedName name="solver_lhs5" localSheetId="4" hidden="1">#REF!</definedName>
    <definedName name="solver_lhs5" localSheetId="8" hidden="1">#REF!</definedName>
    <definedName name="solver_lhs5" localSheetId="16" hidden="1">#REF!</definedName>
    <definedName name="solver_lhs5" localSheetId="23" hidden="1">#REF!</definedName>
    <definedName name="solver_lhs5" hidden="1">#REF!</definedName>
    <definedName name="solver_lhs6" localSheetId="5" hidden="1">#REF!</definedName>
    <definedName name="solver_lhs6" localSheetId="26" hidden="1">#REF!</definedName>
    <definedName name="solver_lhs6" localSheetId="31" hidden="1">#REF!</definedName>
    <definedName name="solver_lhs6" localSheetId="33" hidden="1">#REF!</definedName>
    <definedName name="solver_lhs6" localSheetId="24" hidden="1">#REF!</definedName>
    <definedName name="solver_lhs6" localSheetId="38" hidden="1">#REF!</definedName>
    <definedName name="solver_lhs6" localSheetId="32" hidden="1">#REF!</definedName>
    <definedName name="solver_lhs6" localSheetId="7" hidden="1">#REF!</definedName>
    <definedName name="solver_lhs6" localSheetId="35" hidden="1">#REF!</definedName>
    <definedName name="solver_lhs6" localSheetId="4" hidden="1">#REF!</definedName>
    <definedName name="solver_lhs6" localSheetId="8" hidden="1">#REF!</definedName>
    <definedName name="solver_lhs6" localSheetId="16" hidden="1">#REF!</definedName>
    <definedName name="solver_lhs6" localSheetId="23" hidden="1">#REF!</definedName>
    <definedName name="solver_lhs6" hidden="1">#REF!</definedName>
    <definedName name="solver_lhs8" localSheetId="5" hidden="1">#REF!</definedName>
    <definedName name="solver_lhs8" localSheetId="26" hidden="1">#REF!</definedName>
    <definedName name="solver_lhs8" localSheetId="31" hidden="1">#REF!</definedName>
    <definedName name="solver_lhs8" localSheetId="33" hidden="1">#REF!</definedName>
    <definedName name="solver_lhs8" localSheetId="24" hidden="1">#REF!</definedName>
    <definedName name="solver_lhs8" localSheetId="38" hidden="1">#REF!</definedName>
    <definedName name="solver_lhs8" localSheetId="32" hidden="1">#REF!</definedName>
    <definedName name="solver_lhs8" localSheetId="7" hidden="1">#REF!</definedName>
    <definedName name="solver_lhs8" localSheetId="35" hidden="1">#REF!</definedName>
    <definedName name="solver_lhs8" localSheetId="4" hidden="1">#REF!</definedName>
    <definedName name="solver_lhs8" localSheetId="8" hidden="1">#REF!</definedName>
    <definedName name="solver_lhs8" localSheetId="16" hidden="1">#REF!</definedName>
    <definedName name="solver_lhs8" localSheetId="23" hidden="1">#REF!</definedName>
    <definedName name="solver_lhs8" hidden="1">#REF!</definedName>
    <definedName name="solver_lhs9" localSheetId="5" hidden="1">#REF!</definedName>
    <definedName name="solver_lhs9" localSheetId="26" hidden="1">#REF!</definedName>
    <definedName name="solver_lhs9" localSheetId="31" hidden="1">#REF!</definedName>
    <definedName name="solver_lhs9" localSheetId="33" hidden="1">#REF!</definedName>
    <definedName name="solver_lhs9" localSheetId="24" hidden="1">#REF!</definedName>
    <definedName name="solver_lhs9" localSheetId="38" hidden="1">#REF!</definedName>
    <definedName name="solver_lhs9" localSheetId="32" hidden="1">#REF!</definedName>
    <definedName name="solver_lhs9" localSheetId="7" hidden="1">#REF!</definedName>
    <definedName name="solver_lhs9" localSheetId="35" hidden="1">#REF!</definedName>
    <definedName name="solver_lhs9" localSheetId="4" hidden="1">#REF!</definedName>
    <definedName name="solver_lhs9" localSheetId="8" hidden="1">#REF!</definedName>
    <definedName name="solver_lhs9" localSheetId="16" hidden="1">#REF!</definedName>
    <definedName name="solver_lhs9" localSheetId="23" hidden="1">#REF!</definedName>
    <definedName name="solver_lhs9" hidden="1">#REF!</definedName>
    <definedName name="solver_lin" hidden="1">2</definedName>
    <definedName name="solver_neg" hidden="1">2</definedName>
    <definedName name="solver_num" hidden="1">8</definedName>
    <definedName name="solver_nwt" hidden="1">1</definedName>
    <definedName name="solver_opt" localSheetId="5" hidden="1">#REF!</definedName>
    <definedName name="solver_opt" localSheetId="26" hidden="1">#REF!</definedName>
    <definedName name="solver_opt" localSheetId="31" hidden="1">#REF!</definedName>
    <definedName name="solver_opt" localSheetId="33" hidden="1">#REF!</definedName>
    <definedName name="solver_opt" localSheetId="24" hidden="1">#REF!</definedName>
    <definedName name="solver_opt" localSheetId="38" hidden="1">#REF!</definedName>
    <definedName name="solver_opt" localSheetId="32" hidden="1">#REF!</definedName>
    <definedName name="solver_opt" localSheetId="7" hidden="1">#REF!</definedName>
    <definedName name="solver_opt" localSheetId="35" hidden="1">#REF!</definedName>
    <definedName name="solver_opt" localSheetId="4" hidden="1">#REF!</definedName>
    <definedName name="solver_opt" localSheetId="8" hidden="1">#REF!</definedName>
    <definedName name="solver_opt" localSheetId="16" hidden="1">#REF!</definedName>
    <definedName name="solver_opt" localSheetId="23" hidden="1">#REF!</definedName>
    <definedName name="solver_opt" hidden="1">#REF!</definedName>
    <definedName name="solver_pre" hidden="1">0.000001</definedName>
    <definedName name="solver_rel1" hidden="1">3</definedName>
    <definedName name="solver_rel10" hidden="1">1</definedName>
    <definedName name="solver_rel11" hidden="1">3</definedName>
    <definedName name="solver_rel12" hidden="1">3</definedName>
    <definedName name="solver_rel2" hidden="1">3</definedName>
    <definedName name="solver_rel3" hidden="1">3</definedName>
    <definedName name="solver_rel4" hidden="1">3</definedName>
    <definedName name="solver_rel5" hidden="1">3</definedName>
    <definedName name="solver_rel6" hidden="1">1</definedName>
    <definedName name="solver_rel7" hidden="1">1</definedName>
    <definedName name="solver_rel8" hidden="1">3</definedName>
    <definedName name="solver_rel9" hidden="1">3</definedName>
    <definedName name="solver_rhs1" hidden="1">0</definedName>
    <definedName name="solver_rhs10" hidden="1">1</definedName>
    <definedName name="solver_rhs11" hidden="1">0</definedName>
    <definedName name="solver_rhs12" localSheetId="5" hidden="1">2*#REF!</definedName>
    <definedName name="solver_rhs12" localSheetId="26" hidden="1">2*#REF!</definedName>
    <definedName name="solver_rhs12" localSheetId="31" hidden="1">2*#REF!</definedName>
    <definedName name="solver_rhs12" localSheetId="33" hidden="1">2*#REF!</definedName>
    <definedName name="solver_rhs12" localSheetId="24" hidden="1">2*#REF!</definedName>
    <definedName name="solver_rhs12" localSheetId="38" hidden="1">2*#REF!</definedName>
    <definedName name="solver_rhs12" localSheetId="32" hidden="1">2*#REF!</definedName>
    <definedName name="solver_rhs12" localSheetId="7" hidden="1">2*#REF!</definedName>
    <definedName name="solver_rhs12" localSheetId="35" hidden="1">2*#REF!</definedName>
    <definedName name="solver_rhs12" localSheetId="4" hidden="1">2*#REF!</definedName>
    <definedName name="solver_rhs12" localSheetId="8" hidden="1">2*#REF!</definedName>
    <definedName name="solver_rhs12" localSheetId="27" hidden="1">2*#REF!</definedName>
    <definedName name="solver_rhs12" localSheetId="16" hidden="1">2*#REF!</definedName>
    <definedName name="solver_rhs12" localSheetId="23" hidden="1">2*#REF!</definedName>
    <definedName name="solver_rhs12" hidden="1">2*#REF!</definedName>
    <definedName name="solver_rhs2" hidden="1">0</definedName>
    <definedName name="solver_rhs3" hidden="1">0</definedName>
    <definedName name="solver_rhs4" hidden="1">0</definedName>
    <definedName name="solver_rhs5" hidden="1">0</definedName>
    <definedName name="solver_rhs6" localSheetId="5" hidden="1">#REF!</definedName>
    <definedName name="solver_rhs6" localSheetId="26" hidden="1">#REF!</definedName>
    <definedName name="solver_rhs6" localSheetId="31" hidden="1">#REF!</definedName>
    <definedName name="solver_rhs6" localSheetId="33" hidden="1">#REF!</definedName>
    <definedName name="solver_rhs6" localSheetId="24" hidden="1">#REF!</definedName>
    <definedName name="solver_rhs6" localSheetId="38" hidden="1">#REF!</definedName>
    <definedName name="solver_rhs6" localSheetId="32" hidden="1">#REF!</definedName>
    <definedName name="solver_rhs6" localSheetId="7" hidden="1">#REF!</definedName>
    <definedName name="solver_rhs6" localSheetId="35" hidden="1">#REF!</definedName>
    <definedName name="solver_rhs6" localSheetId="4" hidden="1">#REF!</definedName>
    <definedName name="solver_rhs6" localSheetId="8" hidden="1">#REF!</definedName>
    <definedName name="solver_rhs6" localSheetId="16" hidden="1">#REF!</definedName>
    <definedName name="solver_rhs6" localSheetId="23" hidden="1">#REF!</definedName>
    <definedName name="solver_rhs6" hidden="1">#REF!</definedName>
    <definedName name="solver_rhs7" hidden="1">1</definedName>
    <definedName name="solver_rhs8" hidden="1">0</definedName>
    <definedName name="solver_rhs9" hidden="1">0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2</definedName>
    <definedName name="solver_val" hidden="1">0</definedName>
    <definedName name="sss" localSheetId="26" hidden="1">{#N/A,#N/A,FALSE,"Bilan";"CR Ana",#N/A,FALSE,"Compte de Resultat";"TGCG Ana",#N/A,FALSE,"TGCG";#N/A,#N/A,FALSE,"Tab. de Fin.";#N/A,#N/A,FALSE,"EF-Synth."}</definedName>
    <definedName name="sss" localSheetId="1" hidden="1">{#N/A,#N/A,FALSE,"Cover_Page";#N/A,#N/A,FALSE,"P&amp;L";#N/A,#N/A,FALSE,"p&amp;l by month";#N/A,#N/A,FALSE,"Quarter";#N/A,#N/A,FALSE,"Centres";#N/A,#N/A,FALSE,"balance";#N/A,#N/A,FALSE,"comments";#N/A,#N/A,FALSE,"Key Fig";#N/A,#N/A,FALSE,"group";#N/A,#N/A,FALSE,"bookings";#N/A,#N/A,FALSE,"Personnel ";#N/A,#N/A,FALSE,"Investm.";#N/A,#N/A,FALSE,"Sales";#N/A,#N/A,FALSE,"Markets";#N/A,#N/A,FALSE,"AR-TP";#N/A,#N/A,FALSE,"Inventory"}</definedName>
    <definedName name="sss" localSheetId="33" hidden="1">{#N/A,#N/A,FALSE,"Bilan";"CR Ana",#N/A,FALSE,"Compte de Resultat";"TGCG Ana",#N/A,FALSE,"TGCG";#N/A,#N/A,FALSE,"Tab. de Fin.";#N/A,#N/A,FALSE,"EF-Synth."}</definedName>
    <definedName name="sss" localSheetId="24" hidden="1">{#N/A,#N/A,FALSE,"Bilan";"CR Ana",#N/A,FALSE,"Compte de Resultat";"TGCG Ana",#N/A,FALSE,"TGCG";#N/A,#N/A,FALSE,"Tab. de Fin.";#N/A,#N/A,FALSE,"EF-Synth."}</definedName>
    <definedName name="sss" localSheetId="39" hidden="1">{#N/A,#N/A,FALSE,"Bilan";"CR Ana",#N/A,FALSE,"Compte de Resultat";"TGCG Ana",#N/A,FALSE,"TGCG";#N/A,#N/A,FALSE,"Tab. de Fin.";#N/A,#N/A,FALSE,"EF-Synth."}</definedName>
    <definedName name="sss" localSheetId="2" hidden="1">{#N/A,#N/A,FALSE,"Bilan";"CR Ana",#N/A,FALSE,"Compte de Resultat";"TGCG Ana",#N/A,FALSE,"TGCG";#N/A,#N/A,FALSE,"Tab. de Fin.";#N/A,#N/A,FALSE,"EF-Synth."}</definedName>
    <definedName name="sss" localSheetId="38" hidden="1">{#N/A,#N/A,FALSE,"Bilan";"CR Ana",#N/A,FALSE,"Compte de Resultat";"TGCG Ana",#N/A,FALSE,"TGCG";#N/A,#N/A,FALSE,"Tab. de Fin.";#N/A,#N/A,FALSE,"EF-Synth."}</definedName>
    <definedName name="sss" localSheetId="7" hidden="1">{#N/A,#N/A,FALSE,"Cover_Page";#N/A,#N/A,FALSE,"P&amp;L";#N/A,#N/A,FALSE,"p&amp;l by month";#N/A,#N/A,FALSE,"Quarter";#N/A,#N/A,FALSE,"Centres";#N/A,#N/A,FALSE,"balance";#N/A,#N/A,FALSE,"comments";#N/A,#N/A,FALSE,"Key Fig";#N/A,#N/A,FALSE,"group";#N/A,#N/A,FALSE,"bookings";#N/A,#N/A,FALSE,"Personnel ";#N/A,#N/A,FALSE,"Investm.";#N/A,#N/A,FALSE,"Sales";#N/A,#N/A,FALSE,"Markets";#N/A,#N/A,FALSE,"AR-TP";#N/A,#N/A,FALSE,"Inventory"}</definedName>
    <definedName name="sss" localSheetId="4" hidden="1">{#N/A,#N/A,FALSE,"Cover_Page";#N/A,#N/A,FALSE,"P&amp;L";#N/A,#N/A,FALSE,"p&amp;l by month";#N/A,#N/A,FALSE,"Quarter";#N/A,#N/A,FALSE,"Centres";#N/A,#N/A,FALSE,"balance";#N/A,#N/A,FALSE,"comments";#N/A,#N/A,FALSE,"Key Fig";#N/A,#N/A,FALSE,"group";#N/A,#N/A,FALSE,"bookings";#N/A,#N/A,FALSE,"Personnel ";#N/A,#N/A,FALSE,"Investm.";#N/A,#N/A,FALSE,"Sales";#N/A,#N/A,FALSE,"Markets";#N/A,#N/A,FALSE,"AR-TP";#N/A,#N/A,FALSE,"Inventory"}</definedName>
    <definedName name="sss" localSheetId="8" hidden="1">{#N/A,#N/A,FALSE,"Cover_Page";#N/A,#N/A,FALSE,"P&amp;L";#N/A,#N/A,FALSE,"p&amp;l by month";#N/A,#N/A,FALSE,"Quarter";#N/A,#N/A,FALSE,"Centres";#N/A,#N/A,FALSE,"balance";#N/A,#N/A,FALSE,"comments";#N/A,#N/A,FALSE,"Key Fig";#N/A,#N/A,FALSE,"group";#N/A,#N/A,FALSE,"bookings";#N/A,#N/A,FALSE,"Personnel ";#N/A,#N/A,FALSE,"Investm.";#N/A,#N/A,FALSE,"Sales";#N/A,#N/A,FALSE,"Markets";#N/A,#N/A,FALSE,"AR-TP";#N/A,#N/A,FALSE,"Inventory"}</definedName>
    <definedName name="sss" localSheetId="27" hidden="1">{#N/A,#N/A,FALSE,"Bilan";"CR Ana",#N/A,FALSE,"Compte de Resultat";"TGCG Ana",#N/A,FALSE,"TGCG";#N/A,#N/A,FALSE,"Tab. de Fin.";#N/A,#N/A,FALSE,"EF-Synth."}</definedName>
    <definedName name="sss" localSheetId="16" hidden="1">{#N/A,#N/A,FALSE,"Bilan";"CR Ana",#N/A,FALSE,"Compte de Resultat";"TGCG Ana",#N/A,FALSE,"TGCG";#N/A,#N/A,FALSE,"Tab. de Fin.";#N/A,#N/A,FALSE,"EF-Synth."}</definedName>
    <definedName name="sss" localSheetId="23" hidden="1">{#N/A,#N/A,FALSE,"Bilan";"CR Ana",#N/A,FALSE,"Compte de Resultat";"TGCG Ana",#N/A,FALSE,"TGCG";#N/A,#N/A,FALSE,"Tab. de Fin.";#N/A,#N/A,FALSE,"EF-Synth."}</definedName>
    <definedName name="sss" hidden="1">{#N/A,#N/A,FALSE,"Bilan";"CR Ana",#N/A,FALSE,"Compte de Resultat";"TGCG Ana",#N/A,FALSE,"TGCG";#N/A,#N/A,FALSE,"Tab. de Fin.";#N/A,#N/A,FALSE,"EF-Synth."}</definedName>
    <definedName name="sta" localSheetId="5">#REF!</definedName>
    <definedName name="sta" localSheetId="7">#REF!</definedName>
    <definedName name="STE" localSheetId="5">#REF!</definedName>
    <definedName name="STE" localSheetId="7">#REF!</definedName>
    <definedName name="STE" localSheetId="8">#REF!</definedName>
    <definedName name="stk.mses" localSheetId="5">#REF!</definedName>
    <definedName name="stk.mses" localSheetId="7">#REF!</definedName>
    <definedName name="stk.mses" localSheetId="8">#REF!</definedName>
    <definedName name="stock" localSheetId="5">IF(#REF!&lt;&gt;"",#REF!*#REF!,"")</definedName>
    <definedName name="stock" localSheetId="7">IF(#REF!&lt;&gt;"",#REF!*#REF!,"")</definedName>
    <definedName name="stock" localSheetId="8">IF(#REF!&lt;&gt;"",#REF!*#REF!,"")</definedName>
    <definedName name="Subv_E" localSheetId="5">#REF!</definedName>
    <definedName name="Subv_E" localSheetId="7">#REF!</definedName>
    <definedName name="Subv_E" localSheetId="8">#REF!</definedName>
    <definedName name="SW" localSheetId="5">#REF!,#REF!,#REF!,#REF!,#REF!,#REF!,#REF!,#REF!,#REF!,#REF!,#REF!,#REF!,#REF!,#REF!,#REF!,#REF!,#REF!,#REF!,#REF!,#REF!,#REF!</definedName>
    <definedName name="SW" localSheetId="7">#REF!,#REF!,#REF!,#REF!,#REF!,#REF!,#REF!,#REF!,#REF!,#REF!,#REF!,#REF!,#REF!,#REF!,#REF!,#REF!,#REF!,#REF!,#REF!,#REF!,#REF!</definedName>
    <definedName name="SW" localSheetId="8">#REF!,#REF!,#REF!,#REF!,#REF!,#REF!,#REF!,#REF!,#REF!,#REF!,#REF!,#REF!,#REF!,#REF!,#REF!,#REF!,#REF!,#REF!,#REF!,#REF!,#REF!</definedName>
    <definedName name="t" localSheetId="5">#REF!</definedName>
    <definedName name="t" localSheetId="7">#REF!</definedName>
    <definedName name="t" localSheetId="8">#REF!</definedName>
    <definedName name="T_C" localSheetId="5">#REF!</definedName>
    <definedName name="T_C" localSheetId="7">#REF!</definedName>
    <definedName name="T_C" localSheetId="8">#REF!</definedName>
    <definedName name="T_D" localSheetId="5">#REF!</definedName>
    <definedName name="T_D" localSheetId="7">#REF!</definedName>
    <definedName name="T_D" localSheetId="8">#REF!</definedName>
    <definedName name="Table_beg_bal" localSheetId="5">#REF!</definedName>
    <definedName name="Table_beg_bal" localSheetId="7">#REF!</definedName>
    <definedName name="Table_beg_bal" localSheetId="8">#REF!</definedName>
    <definedName name="Table_prior_interest" localSheetId="5">#REF!</definedName>
    <definedName name="Table_prior_interest" localSheetId="7">#REF!</definedName>
    <definedName name="Table_prior_interest" localSheetId="8">#REF!</definedName>
    <definedName name="TAF" localSheetId="5">#REF!</definedName>
    <definedName name="TAF" localSheetId="7">#REF!</definedName>
    <definedName name="TAF" localSheetId="8">#REF!</definedName>
    <definedName name="Taona" localSheetId="5">#REF!</definedName>
    <definedName name="Taona" localSheetId="7">#REF!</definedName>
    <definedName name="Taona" localSheetId="8">#REF!</definedName>
    <definedName name="Taona_1" localSheetId="5">#REF!</definedName>
    <definedName name="Taona_1" localSheetId="7">#REF!</definedName>
    <definedName name="Taona_1" localSheetId="8">#REF!</definedName>
    <definedName name="taxcy" localSheetId="5">#REF!</definedName>
    <definedName name="taxcy" localSheetId="7">#REF!</definedName>
    <definedName name="taxcy" localSheetId="8">#REF!</definedName>
    <definedName name="TAXE" localSheetId="5">#REF!</definedName>
    <definedName name="TAXE" localSheetId="7">#REF!</definedName>
    <definedName name="TAXE" localSheetId="8">#REF!</definedName>
    <definedName name="taxly" localSheetId="5">#REF!</definedName>
    <definedName name="taxly" localSheetId="7">#REF!</definedName>
    <definedName name="taxly" localSheetId="8">#REF!</definedName>
    <definedName name="TEE" localSheetId="5">MATCH(0.01,' OKB TRA ABR'!End_Bal,-1)+1</definedName>
    <definedName name="TEE" localSheetId="7">MATCH(0.01,Goodeis!End_Bal,-1)+1</definedName>
    <definedName name="Term_in_years" localSheetId="7">#REF!</definedName>
    <definedName name="Term_in_years" localSheetId="8">#REF!</definedName>
    <definedName name="tests" localSheetId="5">Scheduled_Payment+Extra_Payment</definedName>
    <definedName name="tests" localSheetId="7">Scheduled_Payment+Extra_Payment</definedName>
    <definedName name="tests" localSheetId="8">Scheduled_Payment+Extra_Payment</definedName>
    <definedName name="TextRefCopyRangeCount" hidden="1">1</definedName>
    <definedName name="Tiana" localSheetId="5">#REF!</definedName>
    <definedName name="Tiana" localSheetId="7">#REF!</definedName>
    <definedName name="Tiana" localSheetId="8">#REF!</definedName>
    <definedName name="TIERS" localSheetId="5">#REF!</definedName>
    <definedName name="TIERS" localSheetId="7">#REF!</definedName>
    <definedName name="TIERS" localSheetId="8">#REF!</definedName>
    <definedName name="tiko" localSheetId="5">#REF!</definedName>
    <definedName name="tiko" localSheetId="7">#REF!</definedName>
    <definedName name="tiko" localSheetId="8">#REF!</definedName>
    <definedName name="titre" localSheetId="5">#REF!</definedName>
    <definedName name="titre" localSheetId="7">#REF!</definedName>
    <definedName name="titre" localSheetId="8">#REF!</definedName>
    <definedName name="Total_Interest" localSheetId="5">#REF!</definedName>
    <definedName name="Total_Interest" localSheetId="7">#REF!</definedName>
    <definedName name="Total_Pay" localSheetId="5">#REF!</definedName>
    <definedName name="Total_Pay" localSheetId="7">#REF!</definedName>
    <definedName name="Total_Payment" localSheetId="5">Scheduled_Payment+Extra_Payment</definedName>
    <definedName name="Total_Payment" localSheetId="7">Scheduled_Payment+Extra_Payment</definedName>
    <definedName name="Total_Payment" localSheetId="8">Scheduled_Payment+Extra_Payment</definedName>
    <definedName name="Total_payments" localSheetId="7">Goodeis!Payments_per_year*Goodeis!Term_in_years</definedName>
    <definedName name="Total_payments" localSheetId="8">'Org (2)'!Payments_per_year*'Org (2)'!Term_in_years</definedName>
    <definedName name="Total_payments_16" localSheetId="5">Payments_per_year_16*Term_in_years_16</definedName>
    <definedName name="Total_payments_16" localSheetId="7">Payments_per_year_16*Term_in_years_16</definedName>
    <definedName name="Total_payments_16" localSheetId="8">Payments_per_year_16*Term_in_years_16</definedName>
    <definedName name="Total_payments_17" localSheetId="5">Payments_per_year_17*Term_in_years_17</definedName>
    <definedName name="Total_payments_17" localSheetId="7">Payments_per_year_17*Term_in_years_17</definedName>
    <definedName name="Total_payments_17" localSheetId="8">Payments_per_year_17*Term_in_years_17</definedName>
    <definedName name="tranombarotra" localSheetId="5">#REF!</definedName>
    <definedName name="tranombarotra" localSheetId="7">#REF!</definedName>
    <definedName name="tranombarotra" localSheetId="8">#REF!</definedName>
    <definedName name="TRI" localSheetId="5">#REF!</definedName>
    <definedName name="TRI" localSheetId="7">#REF!</definedName>
    <definedName name="TVA_déduc" localSheetId="7">#REF!</definedName>
    <definedName name="TVA_déduc" localSheetId="8">#REF!</definedName>
    <definedName name="tvcp" localSheetId="1" hidden="1">{#N/A,#N/A,FALSE,"2050";#N/A,#N/A,FALSE,"2051";#N/A,#N/A,FALSE,"2052";#N/A,#N/A,FALSE,"2053"}</definedName>
    <definedName name="tvcp" localSheetId="7" hidden="1">{#N/A,#N/A,FALSE,"2050";#N/A,#N/A,FALSE,"2051";#N/A,#N/A,FALSE,"2052";#N/A,#N/A,FALSE,"2053"}</definedName>
    <definedName name="tvcp" hidden="1">{#N/A,#N/A,FALSE,"2050";#N/A,#N/A,FALSE,"2051";#N/A,#N/A,FALSE,"2052";#N/A,#N/A,FALSE,"2053"}</definedName>
    <definedName name="ty" localSheetId="5">#REF!</definedName>
    <definedName name="ty" localSheetId="7">#REF!</definedName>
    <definedName name="ty" localSheetId="8">#REF!</definedName>
    <definedName name="U" localSheetId="26" hidden="1">{#N/A,#N/A,FALSE,"Bilan";"CR Pcg",#N/A,FALSE,"Compte de Resultat";"TGCG Pcg",#N/A,FALSE,"TGCG";#N/A,#N/A,FALSE,"Tab. de Fin.";#N/A,#N/A,FALSE,"EF-Synth."}</definedName>
    <definedName name="U" localSheetId="1" hidden="1">{#N/A,#N/A,FALSE,"Bilan";"CR Pcg",#N/A,FALSE,"Compte de Resultat";"TGCG Pcg",#N/A,FALSE,"TGCG";#N/A,#N/A,FALSE,"Tab. de Fin.";#N/A,#N/A,FALSE,"EF-Synth."}</definedName>
    <definedName name="U" localSheetId="33" hidden="1">{#N/A,#N/A,FALSE,"Bilan";"CR Pcg",#N/A,FALSE,"Compte de Resultat";"TGCG Pcg",#N/A,FALSE,"TGCG";#N/A,#N/A,FALSE,"Tab. de Fin.";#N/A,#N/A,FALSE,"EF-Synth."}</definedName>
    <definedName name="U" localSheetId="24" hidden="1">{#N/A,#N/A,FALSE,"Bilan";"CR Pcg",#N/A,FALSE,"Compte de Resultat";"TGCG Pcg",#N/A,FALSE,"TGCG";#N/A,#N/A,FALSE,"Tab. de Fin.";#N/A,#N/A,FALSE,"EF-Synth."}</definedName>
    <definedName name="U" localSheetId="39" hidden="1">{#N/A,#N/A,FALSE,"Bilan";"CR Pcg",#N/A,FALSE,"Compte de Resultat";"TGCG Pcg",#N/A,FALSE,"TGCG";#N/A,#N/A,FALSE,"Tab. de Fin.";#N/A,#N/A,FALSE,"EF-Synth."}</definedName>
    <definedName name="U" localSheetId="2" hidden="1">{#N/A,#N/A,FALSE,"Bilan";"CR Pcg",#N/A,FALSE,"Compte de Resultat";"TGCG Pcg",#N/A,FALSE,"TGCG";#N/A,#N/A,FALSE,"Tab. de Fin.";#N/A,#N/A,FALSE,"EF-Synth."}</definedName>
    <definedName name="U" localSheetId="38" hidden="1">{#N/A,#N/A,FALSE,"Bilan";"CR Pcg",#N/A,FALSE,"Compte de Resultat";"TGCG Pcg",#N/A,FALSE,"TGCG";#N/A,#N/A,FALSE,"Tab. de Fin.";#N/A,#N/A,FALSE,"EF-Synth."}</definedName>
    <definedName name="U" localSheetId="7" hidden="1">{#N/A,#N/A,FALSE,"Bilan";"CR Pcg",#N/A,FALSE,"Compte de Resultat";"TGCG Pcg",#N/A,FALSE,"TGCG";#N/A,#N/A,FALSE,"Tab. de Fin.";#N/A,#N/A,FALSE,"EF-Synth."}</definedName>
    <definedName name="U" localSheetId="4" hidden="1">{#N/A,#N/A,FALSE,"Bilan";"CR Pcg",#N/A,FALSE,"Compte de Resultat";"TGCG Pcg",#N/A,FALSE,"TGCG";#N/A,#N/A,FALSE,"Tab. de Fin.";#N/A,#N/A,FALSE,"EF-Synth."}</definedName>
    <definedName name="U" localSheetId="8" hidden="1">{#N/A,#N/A,FALSE,"Bilan";"CR Pcg",#N/A,FALSE,"Compte de Resultat";"TGCG Pcg",#N/A,FALSE,"TGCG";#N/A,#N/A,FALSE,"Tab. de Fin.";#N/A,#N/A,FALSE,"EF-Synth."}</definedName>
    <definedName name="U" localSheetId="27" hidden="1">{#N/A,#N/A,FALSE,"Bilan";"CR Pcg",#N/A,FALSE,"Compte de Resultat";"TGCG Pcg",#N/A,FALSE,"TGCG";#N/A,#N/A,FALSE,"Tab. de Fin.";#N/A,#N/A,FALSE,"EF-Synth."}</definedName>
    <definedName name="U" localSheetId="16" hidden="1">{#N/A,#N/A,FALSE,"Bilan";"CR Pcg",#N/A,FALSE,"Compte de Resultat";"TGCG Pcg",#N/A,FALSE,"TGCG";#N/A,#N/A,FALSE,"Tab. de Fin.";#N/A,#N/A,FALSE,"EF-Synth."}</definedName>
    <definedName name="U" localSheetId="23" hidden="1">{#N/A,#N/A,FALSE,"Bilan";"CR Pcg",#N/A,FALSE,"Compte de Resultat";"TGCG Pcg",#N/A,FALSE,"TGCG";#N/A,#N/A,FALSE,"Tab. de Fin.";#N/A,#N/A,FALSE,"EF-Synth."}</definedName>
    <definedName name="U" hidden="1">{#N/A,#N/A,FALSE,"Bilan";"CR Pcg",#N/A,FALSE,"Compte de Resultat";"TGCG Pcg",#N/A,FALSE,"TGCG";#N/A,#N/A,FALSE,"Tab. de Fin.";#N/A,#N/A,FALSE,"EF-Synth."}</definedName>
    <definedName name="UNPLUS" localSheetId="5">#REF!</definedName>
    <definedName name="UNPLUS" localSheetId="7">#REF!</definedName>
    <definedName name="Untitled" localSheetId="5">#REF!</definedName>
    <definedName name="Untitled" localSheetId="7">#REF!</definedName>
    <definedName name="Untitled" localSheetId="8">#REF!</definedName>
    <definedName name="uuu" localSheetId="26" hidden="1">{#N/A,#N/A,FALSE,"Bilan";"CR Ana",#N/A,FALSE,"Compte de Resultat";"TGCG Ana",#N/A,FALSE,"TGCG";#N/A,#N/A,FALSE,"Tab. de Fin.";#N/A,#N/A,FALSE,"EF-Synth."}</definedName>
    <definedName name="uuu" localSheetId="1" hidden="1">{#N/A,#N/A,FALSE,"Bilan";"CR Ana",#N/A,FALSE,"Compte de Resultat";"TGCG Ana",#N/A,FALSE,"TGCG";#N/A,#N/A,FALSE,"Tab. de Fin.";#N/A,#N/A,FALSE,"EF-Synth."}</definedName>
    <definedName name="uuu" localSheetId="33" hidden="1">{#N/A,#N/A,FALSE,"Bilan";"CR Ana",#N/A,FALSE,"Compte de Resultat";"TGCG Ana",#N/A,FALSE,"TGCG";#N/A,#N/A,FALSE,"Tab. de Fin.";#N/A,#N/A,FALSE,"EF-Synth."}</definedName>
    <definedName name="uuu" localSheetId="24" hidden="1">{#N/A,#N/A,FALSE,"Bilan";"CR Ana",#N/A,FALSE,"Compte de Resultat";"TGCG Ana",#N/A,FALSE,"TGCG";#N/A,#N/A,FALSE,"Tab. de Fin.";#N/A,#N/A,FALSE,"EF-Synth."}</definedName>
    <definedName name="uuu" localSheetId="39" hidden="1">{#N/A,#N/A,FALSE,"Bilan";"CR Ana",#N/A,FALSE,"Compte de Resultat";"TGCG Ana",#N/A,FALSE,"TGCG";#N/A,#N/A,FALSE,"Tab. de Fin.";#N/A,#N/A,FALSE,"EF-Synth."}</definedName>
    <definedName name="uuu" localSheetId="2" hidden="1">{#N/A,#N/A,FALSE,"Bilan";"CR Ana",#N/A,FALSE,"Compte de Resultat";"TGCG Ana",#N/A,FALSE,"TGCG";#N/A,#N/A,FALSE,"Tab. de Fin.";#N/A,#N/A,FALSE,"EF-Synth."}</definedName>
    <definedName name="uuu" localSheetId="38" hidden="1">{#N/A,#N/A,FALSE,"Bilan";"CR Ana",#N/A,FALSE,"Compte de Resultat";"TGCG Ana",#N/A,FALSE,"TGCG";#N/A,#N/A,FALSE,"Tab. de Fin.";#N/A,#N/A,FALSE,"EF-Synth."}</definedName>
    <definedName name="uuu" localSheetId="34" hidden="1">{#N/A,#N/A,FALSE,"Bilan";"CR Ana",#N/A,FALSE,"Compte de Resultat";"TGCG Ana",#N/A,FALSE,"TGCG";#N/A,#N/A,FALSE,"Tab. de Fin.";#N/A,#N/A,FALSE,"EF-Synth."}</definedName>
    <definedName name="uuu" localSheetId="7" hidden="1">{#N/A,#N/A,FALSE,"Bilan";"CR Ana",#N/A,FALSE,"Compte de Resultat";"TGCG Ana",#N/A,FALSE,"TGCG";#N/A,#N/A,FALSE,"Tab. de Fin.";#N/A,#N/A,FALSE,"EF-Synth."}</definedName>
    <definedName name="uuu" localSheetId="4" hidden="1">{#N/A,#N/A,FALSE,"Bilan";"CR Ana",#N/A,FALSE,"Compte de Resultat";"TGCG Ana",#N/A,FALSE,"TGCG";#N/A,#N/A,FALSE,"Tab. de Fin.";#N/A,#N/A,FALSE,"EF-Synth."}</definedName>
    <definedName name="uuu" localSheetId="8" hidden="1">{#N/A,#N/A,FALSE,"Bilan";"CR Ana",#N/A,FALSE,"Compte de Resultat";"TGCG Ana",#N/A,FALSE,"TGCG";#N/A,#N/A,FALSE,"Tab. de Fin.";#N/A,#N/A,FALSE,"EF-Synth."}</definedName>
    <definedName name="uuu" localSheetId="27" hidden="1">{#N/A,#N/A,FALSE,"Bilan";"CR Ana",#N/A,FALSE,"Compte de Resultat";"TGCG Ana",#N/A,FALSE,"TGCG";#N/A,#N/A,FALSE,"Tab. de Fin.";#N/A,#N/A,FALSE,"EF-Synth."}</definedName>
    <definedName name="uuu" localSheetId="16" hidden="1">{#N/A,#N/A,FALSE,"Bilan";"CR Ana",#N/A,FALSE,"Compte de Resultat";"TGCG Ana",#N/A,FALSE,"TGCG";#N/A,#N/A,FALSE,"Tab. de Fin.";#N/A,#N/A,FALSE,"EF-Synth."}</definedName>
    <definedName name="uuu" localSheetId="23" hidden="1">{#N/A,#N/A,FALSE,"Bilan";"CR Ana",#N/A,FALSE,"Compte de Resultat";"TGCG Ana",#N/A,FALSE,"TGCG";#N/A,#N/A,FALSE,"Tab. de Fin.";#N/A,#N/A,FALSE,"EF-Synth."}</definedName>
    <definedName name="uuu" hidden="1">{#N/A,#N/A,FALSE,"Bilan";"CR Ana",#N/A,FALSE,"Compte de Resultat";"TGCG Ana",#N/A,FALSE,"TGCG";#N/A,#N/A,FALSE,"Tab. de Fin.";#N/A,#N/A,FALSE,"EF-Synth."}</definedName>
    <definedName name="v" localSheetId="5">#REF!</definedName>
    <definedName name="v" localSheetId="7">#REF!</definedName>
    <definedName name="VAL_ATS" localSheetId="5">#REF!</definedName>
    <definedName name="VAL_ATS" localSheetId="7">#REF!</definedName>
    <definedName name="VAL00" localSheetId="5">#REF!</definedName>
    <definedName name="VAL00" localSheetId="7">#REF!</definedName>
    <definedName name="VAL00" localSheetId="8">#REF!</definedName>
    <definedName name="VALEUR" localSheetId="5">#REF!</definedName>
    <definedName name="VALEUR" localSheetId="7">#REF!</definedName>
    <definedName name="VALEUR" localSheetId="8">#REF!</definedName>
    <definedName name="vd_" localSheetId="5">#REF!</definedName>
    <definedName name="vd_" localSheetId="7">#REF!</definedName>
    <definedName name="vd_" localSheetId="8">#REF!</definedName>
    <definedName name="venteprince" localSheetId="5">#REF!</definedName>
    <definedName name="venteprince" localSheetId="7">#REF!</definedName>
    <definedName name="venteprince" localSheetId="8">#REF!</definedName>
    <definedName name="Volana" localSheetId="5">#REF!</definedName>
    <definedName name="Volana" localSheetId="7">#REF!</definedName>
    <definedName name="Volana" localSheetId="8">#REF!</definedName>
    <definedName name="vt" localSheetId="5">#REF!</definedName>
    <definedName name="vt" localSheetId="7">#REF!</definedName>
    <definedName name="vt" localSheetId="8">#REF!</definedName>
    <definedName name="vtes" localSheetId="5">#REF!</definedName>
    <definedName name="vtes" localSheetId="7">#REF!</definedName>
    <definedName name="vtes" localSheetId="8">#REF!</definedName>
    <definedName name="VVVV" localSheetId="1" hidden="1">{#N/A,#N/A,FALSE,"Cover_Page";#N/A,#N/A,FALSE,"P&amp;L";#N/A,#N/A,FALSE,"p&amp;l by month";#N/A,#N/A,FALSE,"Profit_centres";#N/A,#N/A,FALSE,"balance";#N/A,#N/A,FALSE,"Group";#N/A,#N/A,FALSE,"Sales";#N/A,#N/A,FALSE,"Markets";#N/A,#N/A,FALSE,"Pr_Salesrep";#N/A,#N/A,FALSE,"bookings";#N/A,#N/A,FALSE,"Personnel ";#N/A,#N/A,FALSE,"Investm.";#N/A,#N/A,FALSE,"Key Fig"}</definedName>
    <definedName name="VVVV" localSheetId="7" hidden="1">{#N/A,#N/A,FALSE,"Cover_Page";#N/A,#N/A,FALSE,"P&amp;L";#N/A,#N/A,FALSE,"p&amp;l by month";#N/A,#N/A,FALSE,"Profit_centres";#N/A,#N/A,FALSE,"balance";#N/A,#N/A,FALSE,"Group";#N/A,#N/A,FALSE,"Sales";#N/A,#N/A,FALSE,"Markets";#N/A,#N/A,FALSE,"Pr_Salesrep";#N/A,#N/A,FALSE,"bookings";#N/A,#N/A,FALSE,"Personnel ";#N/A,#N/A,FALSE,"Investm.";#N/A,#N/A,FALSE,"Key Fig"}</definedName>
    <definedName name="VVVV" localSheetId="4" hidden="1">{#N/A,#N/A,FALSE,"Cover_Page";#N/A,#N/A,FALSE,"P&amp;L";#N/A,#N/A,FALSE,"p&amp;l by month";#N/A,#N/A,FALSE,"Profit_centres";#N/A,#N/A,FALSE,"balance";#N/A,#N/A,FALSE,"Group";#N/A,#N/A,FALSE,"Sales";#N/A,#N/A,FALSE,"Markets";#N/A,#N/A,FALSE,"Pr_Salesrep";#N/A,#N/A,FALSE,"bookings";#N/A,#N/A,FALSE,"Personnel ";#N/A,#N/A,FALSE,"Investm.";#N/A,#N/A,FALSE,"Key Fig"}</definedName>
    <definedName name="VVVV" localSheetId="8" hidden="1">{#N/A,#N/A,FALSE,"Cover_Page";#N/A,#N/A,FALSE,"P&amp;L";#N/A,#N/A,FALSE,"p&amp;l by month";#N/A,#N/A,FALSE,"Profit_centres";#N/A,#N/A,FALSE,"balance";#N/A,#N/A,FALSE,"Group";#N/A,#N/A,FALSE,"Sales";#N/A,#N/A,FALSE,"Markets";#N/A,#N/A,FALSE,"Pr_Salesrep";#N/A,#N/A,FALSE,"bookings";#N/A,#N/A,FALSE,"Personnel ";#N/A,#N/A,FALSE,"Investm.";#N/A,#N/A,FALSE,"Key Fig"}</definedName>
    <definedName name="VVVV" hidden="1">{#N/A,#N/A,FALSE,"Cover_Page";#N/A,#N/A,FALSE,"P&amp;L";#N/A,#N/A,FALSE,"p&amp;l by month";#N/A,#N/A,FALSE,"Profit_centres";#N/A,#N/A,FALSE,"balance";#N/A,#N/A,FALSE,"Group";#N/A,#N/A,FALSE,"Sales";#N/A,#N/A,FALSE,"Markets";#N/A,#N/A,FALSE,"Pr_Salesrep";#N/A,#N/A,FALSE,"bookings";#N/A,#N/A,FALSE,"Personnel ";#N/A,#N/A,FALSE,"Investm.";#N/A,#N/A,FALSE,"Key Fig"}</definedName>
    <definedName name="vvvvv" localSheetId="1" hidden="1">{#N/A,#N/A,FALSE,"Bilan";"CR Ana",#N/A,FALSE,"Compte de Resultat";"TGCG Ana",#N/A,FALSE,"TGCG";#N/A,#N/A,FALSE,"Tab. de Fin.";#N/A,#N/A,FALSE,"EF-Synth."}</definedName>
    <definedName name="vvvvv" localSheetId="7" hidden="1">{#N/A,#N/A,FALSE,"Bilan";"CR Ana",#N/A,FALSE,"Compte de Resultat";"TGCG Ana",#N/A,FALSE,"TGCG";#N/A,#N/A,FALSE,"Tab. de Fin.";#N/A,#N/A,FALSE,"EF-Synth."}</definedName>
    <definedName name="vvvvv" localSheetId="4" hidden="1">{#N/A,#N/A,FALSE,"Bilan";"CR Ana",#N/A,FALSE,"Compte de Resultat";"TGCG Ana",#N/A,FALSE,"TGCG";#N/A,#N/A,FALSE,"Tab. de Fin.";#N/A,#N/A,FALSE,"EF-Synth."}</definedName>
    <definedName name="vvvvv" localSheetId="8" hidden="1">{#N/A,#N/A,FALSE,"Bilan";"CR Ana",#N/A,FALSE,"Compte de Resultat";"TGCG Ana",#N/A,FALSE,"TGCG";#N/A,#N/A,FALSE,"Tab. de Fin.";#N/A,#N/A,FALSE,"EF-Synth."}</definedName>
    <definedName name="vvvvv" hidden="1">{#N/A,#N/A,FALSE,"Bilan";"CR Ana",#N/A,FALSE,"Compte de Resultat";"TGCG Ana",#N/A,FALSE,"TGCG";#N/A,#N/A,FALSE,"Tab. de Fin.";#N/A,#N/A,FALSE,"EF-Synth."}</definedName>
    <definedName name="WRN" localSheetId="26" hidden="1">{#N/A,#N/A,FALSE,"Bilan";"CR Ana",#N/A,FALSE,"Compte de Resultat";"TGCG Ana",#N/A,FALSE,"TGCG";#N/A,#N/A,FALSE,"Tab. de Fin.";#N/A,#N/A,FALSE,"EF-Synth."}</definedName>
    <definedName name="WRN" localSheetId="1" hidden="1">{#N/A,#N/A,FALSE,"Bilan";"CR Ana",#N/A,FALSE,"Compte de Resultat";"TGCG Ana",#N/A,FALSE,"TGCG";#N/A,#N/A,FALSE,"Tab. de Fin.";#N/A,#N/A,FALSE,"EF-Synth."}</definedName>
    <definedName name="WRN" localSheetId="33" hidden="1">{#N/A,#N/A,FALSE,"Bilan";"CR Ana",#N/A,FALSE,"Compte de Resultat";"TGCG Ana",#N/A,FALSE,"TGCG";#N/A,#N/A,FALSE,"Tab. de Fin.";#N/A,#N/A,FALSE,"EF-Synth."}</definedName>
    <definedName name="WRN" localSheetId="24" hidden="1">{#N/A,#N/A,FALSE,"Bilan";"CR Ana",#N/A,FALSE,"Compte de Resultat";"TGCG Ana",#N/A,FALSE,"TGCG";#N/A,#N/A,FALSE,"Tab. de Fin.";#N/A,#N/A,FALSE,"EF-Synth."}</definedName>
    <definedName name="WRN" localSheetId="39" hidden="1">{#N/A,#N/A,FALSE,"Bilan";"CR Ana",#N/A,FALSE,"Compte de Resultat";"TGCG Ana",#N/A,FALSE,"TGCG";#N/A,#N/A,FALSE,"Tab. de Fin.";#N/A,#N/A,FALSE,"EF-Synth."}</definedName>
    <definedName name="WRN" localSheetId="2" hidden="1">{#N/A,#N/A,FALSE,"Bilan";"CR Ana",#N/A,FALSE,"Compte de Resultat";"TGCG Ana",#N/A,FALSE,"TGCG";#N/A,#N/A,FALSE,"Tab. de Fin.";#N/A,#N/A,FALSE,"EF-Synth."}</definedName>
    <definedName name="WRN" localSheetId="38" hidden="1">{#N/A,#N/A,FALSE,"Bilan";"CR Ana",#N/A,FALSE,"Compte de Resultat";"TGCG Ana",#N/A,FALSE,"TGCG";#N/A,#N/A,FALSE,"Tab. de Fin.";#N/A,#N/A,FALSE,"EF-Synth."}</definedName>
    <definedName name="WRN" localSheetId="34" hidden="1">{#N/A,#N/A,FALSE,"Bilan";"CR Ana",#N/A,FALSE,"Compte de Resultat";"TGCG Ana",#N/A,FALSE,"TGCG";#N/A,#N/A,FALSE,"Tab. de Fin.";#N/A,#N/A,FALSE,"EF-Synth."}</definedName>
    <definedName name="WRN" localSheetId="7" hidden="1">{#N/A,#N/A,FALSE,"Bilan";"CR Ana",#N/A,FALSE,"Compte de Resultat";"TGCG Ana",#N/A,FALSE,"TGCG";#N/A,#N/A,FALSE,"Tab. de Fin.";#N/A,#N/A,FALSE,"EF-Synth."}</definedName>
    <definedName name="WRN" localSheetId="4" hidden="1">{#N/A,#N/A,FALSE,"Bilan";"CR Ana",#N/A,FALSE,"Compte de Resultat";"TGCG Ana",#N/A,FALSE,"TGCG";#N/A,#N/A,FALSE,"Tab. de Fin.";#N/A,#N/A,FALSE,"EF-Synth."}</definedName>
    <definedName name="WRN" localSheetId="8" hidden="1">{#N/A,#N/A,FALSE,"Bilan";"CR Ana",#N/A,FALSE,"Compte de Resultat";"TGCG Ana",#N/A,FALSE,"TGCG";#N/A,#N/A,FALSE,"Tab. de Fin.";#N/A,#N/A,FALSE,"EF-Synth."}</definedName>
    <definedName name="WRN" localSheetId="27" hidden="1">{#N/A,#N/A,FALSE,"Bilan";"CR Ana",#N/A,FALSE,"Compte de Resultat";"TGCG Ana",#N/A,FALSE,"TGCG";#N/A,#N/A,FALSE,"Tab. de Fin.";#N/A,#N/A,FALSE,"EF-Synth."}</definedName>
    <definedName name="WRN" localSheetId="16" hidden="1">{#N/A,#N/A,FALSE,"Bilan";"CR Ana",#N/A,FALSE,"Compte de Resultat";"TGCG Ana",#N/A,FALSE,"TGCG";#N/A,#N/A,FALSE,"Tab. de Fin.";#N/A,#N/A,FALSE,"EF-Synth."}</definedName>
    <definedName name="WRN" localSheetId="23" hidden="1">{#N/A,#N/A,FALSE,"Bilan";"CR Ana",#N/A,FALSE,"Compte de Resultat";"TGCG Ana",#N/A,FALSE,"TGCG";#N/A,#N/A,FALSE,"Tab. de Fin.";#N/A,#N/A,FALSE,"EF-Synth."}</definedName>
    <definedName name="WRN" hidden="1">{#N/A,#N/A,FALSE,"Bilan";"CR Ana",#N/A,FALSE,"Compte de Resultat";"TGCG Ana",#N/A,FALSE,"TGCG";#N/A,#N/A,FALSE,"Tab. de Fin.";#N/A,#N/A,FALSE,"EF-Synth."}</definedName>
    <definedName name="wrn.Aging._.and._.Trend._.Analysis." localSheetId="26" hidden="1">{#N/A,#N/A,FALSE,"Aging Summary";#N/A,#N/A,FALSE,"Ratio Analysis";#N/A,#N/A,FALSE,"Test 120 Day Accts";#N/A,#N/A,FALSE,"Tickmarks"}</definedName>
    <definedName name="wrn.Aging._.and._.Trend._.Analysis." localSheetId="1" hidden="1">{#N/A,#N/A,FALSE,"Aging Summary";#N/A,#N/A,FALSE,"Ratio Analysis";#N/A,#N/A,FALSE,"Test 120 Day Accts";#N/A,#N/A,FALSE,"Tickmarks"}</definedName>
    <definedName name="wrn.Aging._.and._.Trend._.Analysis." localSheetId="33" hidden="1">{#N/A,#N/A,FALSE,"Aging Summary";#N/A,#N/A,FALSE,"Ratio Analysis";#N/A,#N/A,FALSE,"Test 120 Day Accts";#N/A,#N/A,FALSE,"Tickmarks"}</definedName>
    <definedName name="wrn.Aging._.and._.Trend._.Analysis." localSheetId="24" hidden="1">{#N/A,#N/A,FALSE,"Aging Summary";#N/A,#N/A,FALSE,"Ratio Analysis";#N/A,#N/A,FALSE,"Test 120 Day Accts";#N/A,#N/A,FALSE,"Tickmarks"}</definedName>
    <definedName name="wrn.Aging._.and._.Trend._.Analysis." localSheetId="39" hidden="1">{#N/A,#N/A,FALSE,"Aging Summary";#N/A,#N/A,FALSE,"Ratio Analysis";#N/A,#N/A,FALSE,"Test 120 Day Accts";#N/A,#N/A,FALSE,"Tickmarks"}</definedName>
    <definedName name="wrn.Aging._.and._.Trend._.Analysis." localSheetId="2" hidden="1">{#N/A,#N/A,FALSE,"Aging Summary";#N/A,#N/A,FALSE,"Ratio Analysis";#N/A,#N/A,FALSE,"Test 120 Day Accts";#N/A,#N/A,FALSE,"Tickmarks"}</definedName>
    <definedName name="wrn.Aging._.and._.Trend._.Analysis." localSheetId="38" hidden="1">{#N/A,#N/A,FALSE,"Aging Summary";#N/A,#N/A,FALSE,"Ratio Analysis";#N/A,#N/A,FALSE,"Test 120 Day Accts";#N/A,#N/A,FALSE,"Tickmarks"}</definedName>
    <definedName name="wrn.Aging._.and._.Trend._.Analysis." localSheetId="7" hidden="1">{#N/A,#N/A,FALSE,"Aging Summary";#N/A,#N/A,FALSE,"Ratio Analysis";#N/A,#N/A,FALSE,"Test 120 Day Accts";#N/A,#N/A,FALSE,"Tickmarks"}</definedName>
    <definedName name="wrn.Aging._.and._.Trend._.Analysis." localSheetId="4" hidden="1">{#N/A,#N/A,FALSE,"Aging Summary";#N/A,#N/A,FALSE,"Ratio Analysis";#N/A,#N/A,FALSE,"Test 120 Day Accts";#N/A,#N/A,FALSE,"Tickmarks"}</definedName>
    <definedName name="wrn.Aging._.and._.Trend._.Analysis." localSheetId="8" hidden="1">{#N/A,#N/A,FALSE,"Aging Summary";#N/A,#N/A,FALSE,"Ratio Analysis";#N/A,#N/A,FALSE,"Test 120 Day Accts";#N/A,#N/A,FALSE,"Tickmarks"}</definedName>
    <definedName name="wrn.Aging._.and._.Trend._.Analysis." localSheetId="27" hidden="1">{#N/A,#N/A,FALSE,"Aging Summary";#N/A,#N/A,FALSE,"Ratio Analysis";#N/A,#N/A,FALSE,"Test 120 Day Accts";#N/A,#N/A,FALSE,"Tickmarks"}</definedName>
    <definedName name="wrn.Aging._.and._.Trend._.Analysis." localSheetId="16" hidden="1">{#N/A,#N/A,FALSE,"Aging Summary";#N/A,#N/A,FALSE,"Ratio Analysis";#N/A,#N/A,FALSE,"Test 120 Day Accts";#N/A,#N/A,FALSE,"Tickmarks"}</definedName>
    <definedName name="wrn.Aging._.and._.Trend._.Analysis." localSheetId="23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All." localSheetId="1" hidden="1">{#N/A,#N/A,FALSE,"Cover_Page";#N/A,#N/A,FALSE,"P&amp;L";#N/A,#N/A,FALSE,"p&amp;l by month";#N/A,#N/A,FALSE,"Profit_centres";#N/A,#N/A,FALSE,"balance";#N/A,#N/A,FALSE,"Group";#N/A,#N/A,FALSE,"Sales";#N/A,#N/A,FALSE,"Markets";#N/A,#N/A,FALSE,"Pr_Salesrep";#N/A,#N/A,FALSE,"bookings";#N/A,#N/A,FALSE,"Personnel ";#N/A,#N/A,FALSE,"Investm.";#N/A,#N/A,FALSE,"Key Fig"}</definedName>
    <definedName name="wrn.All." localSheetId="7" hidden="1">{#N/A,#N/A,FALSE,"Cover_Page";#N/A,#N/A,FALSE,"P&amp;L";#N/A,#N/A,FALSE,"p&amp;l by month";#N/A,#N/A,FALSE,"Profit_centres";#N/A,#N/A,FALSE,"balance";#N/A,#N/A,FALSE,"Group";#N/A,#N/A,FALSE,"Sales";#N/A,#N/A,FALSE,"Markets";#N/A,#N/A,FALSE,"Pr_Salesrep";#N/A,#N/A,FALSE,"bookings";#N/A,#N/A,FALSE,"Personnel ";#N/A,#N/A,FALSE,"Investm.";#N/A,#N/A,FALSE,"Key Fig"}</definedName>
    <definedName name="wrn.All." localSheetId="4" hidden="1">{#N/A,#N/A,FALSE,"Cover_Page";#N/A,#N/A,FALSE,"P&amp;L";#N/A,#N/A,FALSE,"p&amp;l by month";#N/A,#N/A,FALSE,"Profit_centres";#N/A,#N/A,FALSE,"balance";#N/A,#N/A,FALSE,"Group";#N/A,#N/A,FALSE,"Sales";#N/A,#N/A,FALSE,"Markets";#N/A,#N/A,FALSE,"Pr_Salesrep";#N/A,#N/A,FALSE,"bookings";#N/A,#N/A,FALSE,"Personnel ";#N/A,#N/A,FALSE,"Investm.";#N/A,#N/A,FALSE,"Key Fig"}</definedName>
    <definedName name="wrn.All." localSheetId="8" hidden="1">{#N/A,#N/A,FALSE,"Cover_Page";#N/A,#N/A,FALSE,"P&amp;L";#N/A,#N/A,FALSE,"p&amp;l by month";#N/A,#N/A,FALSE,"Profit_centres";#N/A,#N/A,FALSE,"balance";#N/A,#N/A,FALSE,"Group";#N/A,#N/A,FALSE,"Sales";#N/A,#N/A,FALSE,"Markets";#N/A,#N/A,FALSE,"Pr_Salesrep";#N/A,#N/A,FALSE,"bookings";#N/A,#N/A,FALSE,"Personnel ";#N/A,#N/A,FALSE,"Investm.";#N/A,#N/A,FALSE,"Key Fig"}</definedName>
    <definedName name="wrn.All." hidden="1">{#N/A,#N/A,FALSE,"Cover_Page";#N/A,#N/A,FALSE,"P&amp;L";#N/A,#N/A,FALSE,"p&amp;l by month";#N/A,#N/A,FALSE,"Profit_centres";#N/A,#N/A,FALSE,"balance";#N/A,#N/A,FALSE,"Group";#N/A,#N/A,FALSE,"Sales";#N/A,#N/A,FALSE,"Markets";#N/A,#N/A,FALSE,"Pr_Salesrep";#N/A,#N/A,FALSE,"bookings";#N/A,#N/A,FALSE,"Personnel ";#N/A,#N/A,FALSE,"Investm.";#N/A,#N/A,FALSE,"Key Fig"}</definedName>
    <definedName name="wrn.EF._.ANALYTIQUES." localSheetId="26" hidden="1">{#N/A,#N/A,FALSE,"Bilan";"CR Ana",#N/A,FALSE,"Compte de Resultat";"TGCG Ana",#N/A,FALSE,"TGCG";#N/A,#N/A,FALSE,"Tab. de Fin.";#N/A,#N/A,FALSE,"EF-Synth."}</definedName>
    <definedName name="wrn.EF._.ANALYTIQUES." localSheetId="1" hidden="1">{#N/A,#N/A,FALSE,"Bilan";"CR Ana",#N/A,FALSE,"Compte de Resultat";"TGCG Ana",#N/A,FALSE,"TGCG";#N/A,#N/A,FALSE,"Tab. de Fin.";#N/A,#N/A,FALSE,"EF-Synth."}</definedName>
    <definedName name="wrn.EF._.ANALYTIQUES." localSheetId="33" hidden="1">{#N/A,#N/A,FALSE,"Bilan";"CR Ana",#N/A,FALSE,"Compte de Resultat";"TGCG Ana",#N/A,FALSE,"TGCG";#N/A,#N/A,FALSE,"Tab. de Fin.";#N/A,#N/A,FALSE,"EF-Synth."}</definedName>
    <definedName name="wrn.EF._.ANALYTIQUES." localSheetId="24" hidden="1">{#N/A,#N/A,FALSE,"Bilan";"CR Ana",#N/A,FALSE,"Compte de Resultat";"TGCG Ana",#N/A,FALSE,"TGCG";#N/A,#N/A,FALSE,"Tab. de Fin.";#N/A,#N/A,FALSE,"EF-Synth."}</definedName>
    <definedName name="wrn.EF._.ANALYTIQUES." localSheetId="39" hidden="1">{#N/A,#N/A,FALSE,"Bilan";"CR Ana",#N/A,FALSE,"Compte de Resultat";"TGCG Ana",#N/A,FALSE,"TGCG";#N/A,#N/A,FALSE,"Tab. de Fin.";#N/A,#N/A,FALSE,"EF-Synth."}</definedName>
    <definedName name="wrn.EF._.ANALYTIQUES." localSheetId="2" hidden="1">{#N/A,#N/A,FALSE,"Bilan";"CR Ana",#N/A,FALSE,"Compte de Resultat";"TGCG Ana",#N/A,FALSE,"TGCG";#N/A,#N/A,FALSE,"Tab. de Fin.";#N/A,#N/A,FALSE,"EF-Synth."}</definedName>
    <definedName name="wrn.EF._.ANALYTIQUES." localSheetId="38" hidden="1">{#N/A,#N/A,FALSE,"Bilan";"CR Ana",#N/A,FALSE,"Compte de Resultat";"TGCG Ana",#N/A,FALSE,"TGCG";#N/A,#N/A,FALSE,"Tab. de Fin.";#N/A,#N/A,FALSE,"EF-Synth."}</definedName>
    <definedName name="wrn.EF._.ANALYTIQUES." localSheetId="34" hidden="1">{#N/A,#N/A,FALSE,"Bilan";"CR Ana",#N/A,FALSE,"Compte de Resultat";"TGCG Ana",#N/A,FALSE,"TGCG";#N/A,#N/A,FALSE,"Tab. de Fin.";#N/A,#N/A,FALSE,"EF-Synth."}</definedName>
    <definedName name="wrn.EF._.ANALYTIQUES." localSheetId="7" hidden="1">{#N/A,#N/A,FALSE,"Bilan";"CR Ana",#N/A,FALSE,"Compte de Resultat";"TGCG Ana",#N/A,FALSE,"TGCG";#N/A,#N/A,FALSE,"Tab. de Fin.";#N/A,#N/A,FALSE,"EF-Synth."}</definedName>
    <definedName name="wrn.EF._.ANALYTIQUES." localSheetId="4" hidden="1">{#N/A,#N/A,FALSE,"Bilan";"CR Ana",#N/A,FALSE,"Compte de Resultat";"TGCG Ana",#N/A,FALSE,"TGCG";#N/A,#N/A,FALSE,"Tab. de Fin.";#N/A,#N/A,FALSE,"EF-Synth."}</definedName>
    <definedName name="wrn.EF._.ANALYTIQUES." localSheetId="8" hidden="1">{#N/A,#N/A,FALSE,"Bilan";"CR Ana",#N/A,FALSE,"Compte de Resultat";"TGCG Ana",#N/A,FALSE,"TGCG";#N/A,#N/A,FALSE,"Tab. de Fin.";#N/A,#N/A,FALSE,"EF-Synth."}</definedName>
    <definedName name="wrn.EF._.ANALYTIQUES." localSheetId="27" hidden="1">{#N/A,#N/A,FALSE,"Bilan";"CR Ana",#N/A,FALSE,"Compte de Resultat";"TGCG Ana",#N/A,FALSE,"TGCG";#N/A,#N/A,FALSE,"Tab. de Fin.";#N/A,#N/A,FALSE,"EF-Synth."}</definedName>
    <definedName name="wrn.EF._.ANALYTIQUES." localSheetId="16" hidden="1">{#N/A,#N/A,FALSE,"Bilan";"CR Ana",#N/A,FALSE,"Compte de Resultat";"TGCG Ana",#N/A,FALSE,"TGCG";#N/A,#N/A,FALSE,"Tab. de Fin.";#N/A,#N/A,FALSE,"EF-Synth."}</definedName>
    <definedName name="wrn.EF._.ANALYTIQUES." localSheetId="23" hidden="1">{#N/A,#N/A,FALSE,"Bilan";"CR Ana",#N/A,FALSE,"Compte de Resultat";"TGCG Ana",#N/A,FALSE,"TGCG";#N/A,#N/A,FALSE,"Tab. de Fin.";#N/A,#N/A,FALSE,"EF-Synth."}</definedName>
    <definedName name="wrn.EF._.ANALYTIQUES." hidden="1">{#N/A,#N/A,FALSE,"Bilan";"CR Ana",#N/A,FALSE,"Compte de Resultat";"TGCG Ana",#N/A,FALSE,"TGCG";#N/A,#N/A,FALSE,"Tab. de Fin.";#N/A,#N/A,FALSE,"EF-Synth."}</definedName>
    <definedName name="wrn.EF._.PCG87." localSheetId="26" hidden="1">{#N/A,#N/A,FALSE,"Bilan";"CR Pcg",#N/A,FALSE,"Compte de Resultat";"TGCG Pcg",#N/A,FALSE,"TGCG";#N/A,#N/A,FALSE,"Tab. de Fin.";#N/A,#N/A,FALSE,"EF-Synth."}</definedName>
    <definedName name="wrn.EF._.PCG87." localSheetId="1" hidden="1">{#N/A,#N/A,FALSE,"Bilan";"CR Pcg",#N/A,FALSE,"Compte de Resultat";"TGCG Pcg",#N/A,FALSE,"TGCG";#N/A,#N/A,FALSE,"Tab. de Fin.";#N/A,#N/A,FALSE,"EF-Synth."}</definedName>
    <definedName name="wrn.EF._.PCG87." localSheetId="33" hidden="1">{#N/A,#N/A,FALSE,"Bilan";"CR Pcg",#N/A,FALSE,"Compte de Resultat";"TGCG Pcg",#N/A,FALSE,"TGCG";#N/A,#N/A,FALSE,"Tab. de Fin.";#N/A,#N/A,FALSE,"EF-Synth."}</definedName>
    <definedName name="wrn.EF._.PCG87." localSheetId="24" hidden="1">{#N/A,#N/A,FALSE,"Bilan";"CR Pcg",#N/A,FALSE,"Compte de Resultat";"TGCG Pcg",#N/A,FALSE,"TGCG";#N/A,#N/A,FALSE,"Tab. de Fin.";#N/A,#N/A,FALSE,"EF-Synth."}</definedName>
    <definedName name="wrn.EF._.PCG87." localSheetId="39" hidden="1">{#N/A,#N/A,FALSE,"Bilan";"CR Pcg",#N/A,FALSE,"Compte de Resultat";"TGCG Pcg",#N/A,FALSE,"TGCG";#N/A,#N/A,FALSE,"Tab. de Fin.";#N/A,#N/A,FALSE,"EF-Synth."}</definedName>
    <definedName name="wrn.EF._.PCG87." localSheetId="2" hidden="1">{#N/A,#N/A,FALSE,"Bilan";"CR Pcg",#N/A,FALSE,"Compte de Resultat";"TGCG Pcg",#N/A,FALSE,"TGCG";#N/A,#N/A,FALSE,"Tab. de Fin.";#N/A,#N/A,FALSE,"EF-Synth."}</definedName>
    <definedName name="wrn.EF._.PCG87." localSheetId="38" hidden="1">{#N/A,#N/A,FALSE,"Bilan";"CR Pcg",#N/A,FALSE,"Compte de Resultat";"TGCG Pcg",#N/A,FALSE,"TGCG";#N/A,#N/A,FALSE,"Tab. de Fin.";#N/A,#N/A,FALSE,"EF-Synth."}</definedName>
    <definedName name="wrn.EF._.PCG87." localSheetId="34" hidden="1">{#N/A,#N/A,FALSE,"Bilan";"CR Pcg",#N/A,FALSE,"Compte de Resultat";"TGCG Pcg",#N/A,FALSE,"TGCG";#N/A,#N/A,FALSE,"Tab. de Fin.";#N/A,#N/A,FALSE,"EF-Synth."}</definedName>
    <definedName name="wrn.EF._.PCG87." localSheetId="7" hidden="1">{#N/A,#N/A,FALSE,"Bilan";"CR Pcg",#N/A,FALSE,"Compte de Resultat";"TGCG Pcg",#N/A,FALSE,"TGCG";#N/A,#N/A,FALSE,"Tab. de Fin.";#N/A,#N/A,FALSE,"EF-Synth."}</definedName>
    <definedName name="wrn.EF._.PCG87." localSheetId="4" hidden="1">{#N/A,#N/A,FALSE,"Bilan";"CR Pcg",#N/A,FALSE,"Compte de Resultat";"TGCG Pcg",#N/A,FALSE,"TGCG";#N/A,#N/A,FALSE,"Tab. de Fin.";#N/A,#N/A,FALSE,"EF-Synth."}</definedName>
    <definedName name="wrn.EF._.PCG87." localSheetId="8" hidden="1">{#N/A,#N/A,FALSE,"Bilan";"CR Pcg",#N/A,FALSE,"Compte de Resultat";"TGCG Pcg",#N/A,FALSE,"TGCG";#N/A,#N/A,FALSE,"Tab. de Fin.";#N/A,#N/A,FALSE,"EF-Synth."}</definedName>
    <definedName name="wrn.EF._.PCG87." localSheetId="27" hidden="1">{#N/A,#N/A,FALSE,"Bilan";"CR Pcg",#N/A,FALSE,"Compte de Resultat";"TGCG Pcg",#N/A,FALSE,"TGCG";#N/A,#N/A,FALSE,"Tab. de Fin.";#N/A,#N/A,FALSE,"EF-Synth."}</definedName>
    <definedName name="wrn.EF._.PCG87." localSheetId="16" hidden="1">{#N/A,#N/A,FALSE,"Bilan";"CR Pcg",#N/A,FALSE,"Compte de Resultat";"TGCG Pcg",#N/A,FALSE,"TGCG";#N/A,#N/A,FALSE,"Tab. de Fin.";#N/A,#N/A,FALSE,"EF-Synth."}</definedName>
    <definedName name="wrn.EF._.PCG87." localSheetId="23" hidden="1">{#N/A,#N/A,FALSE,"Bilan";"CR Pcg",#N/A,FALSE,"Compte de Resultat";"TGCG Pcg",#N/A,FALSE,"TGCG";#N/A,#N/A,FALSE,"Tab. de Fin.";#N/A,#N/A,FALSE,"EF-Synth."}</definedName>
    <definedName name="wrn.EF._.PCG87." hidden="1">{#N/A,#N/A,FALSE,"Bilan";"CR Pcg",#N/A,FALSE,"Compte de Resultat";"TGCG Pcg",#N/A,FALSE,"TGCG";#N/A,#N/A,FALSE,"Tab. de Fin.";#N/A,#N/A,FALSE,"EF-Synth."}</definedName>
    <definedName name="wrn.FISCAL." localSheetId="26" hidden="1">{#N/A,#N/A,FALSE,"2050";#N/A,#N/A,FALSE,"2051";#N/A,#N/A,FALSE,"2052";#N/A,#N/A,FALSE,"2053"}</definedName>
    <definedName name="wrn.FISCAL." localSheetId="1" hidden="1">{#N/A,#N/A,FALSE,"2050";#N/A,#N/A,FALSE,"2051";#N/A,#N/A,FALSE,"2052";#N/A,#N/A,FALSE,"2053"}</definedName>
    <definedName name="wrn.FISCAL." localSheetId="33" hidden="1">{#N/A,#N/A,FALSE,"2050";#N/A,#N/A,FALSE,"2051";#N/A,#N/A,FALSE,"2052";#N/A,#N/A,FALSE,"2053"}</definedName>
    <definedName name="wrn.FISCAL." localSheetId="24" hidden="1">{#N/A,#N/A,FALSE,"2050";#N/A,#N/A,FALSE,"2051";#N/A,#N/A,FALSE,"2052";#N/A,#N/A,FALSE,"2053"}</definedName>
    <definedName name="wrn.FISCAL." localSheetId="39" hidden="1">{#N/A,#N/A,FALSE,"2050";#N/A,#N/A,FALSE,"2051";#N/A,#N/A,FALSE,"2052";#N/A,#N/A,FALSE,"2053"}</definedName>
    <definedName name="wrn.FISCAL." localSheetId="2" hidden="1">{#N/A,#N/A,FALSE,"2050";#N/A,#N/A,FALSE,"2051";#N/A,#N/A,FALSE,"2052";#N/A,#N/A,FALSE,"2053"}</definedName>
    <definedName name="wrn.FISCAL." localSheetId="38" hidden="1">{#N/A,#N/A,FALSE,"2050";#N/A,#N/A,FALSE,"2051";#N/A,#N/A,FALSE,"2052";#N/A,#N/A,FALSE,"2053"}</definedName>
    <definedName name="wrn.FISCAL." localSheetId="7" hidden="1">{#N/A,#N/A,FALSE,"2050";#N/A,#N/A,FALSE,"2051";#N/A,#N/A,FALSE,"2052";#N/A,#N/A,FALSE,"2053"}</definedName>
    <definedName name="wrn.FISCAL." localSheetId="4" hidden="1">{#N/A,#N/A,FALSE,"2050";#N/A,#N/A,FALSE,"2051";#N/A,#N/A,FALSE,"2052";#N/A,#N/A,FALSE,"2053"}</definedName>
    <definedName name="wrn.FISCAL." localSheetId="8" hidden="1">{#N/A,#N/A,FALSE,"2050";#N/A,#N/A,FALSE,"2051";#N/A,#N/A,FALSE,"2052";#N/A,#N/A,FALSE,"2053"}</definedName>
    <definedName name="wrn.FISCAL." localSheetId="27" hidden="1">{#N/A,#N/A,FALSE,"2050";#N/A,#N/A,FALSE,"2051";#N/A,#N/A,FALSE,"2052";#N/A,#N/A,FALSE,"2053"}</definedName>
    <definedName name="wrn.FISCAL." localSheetId="16" hidden="1">{#N/A,#N/A,FALSE,"2050";#N/A,#N/A,FALSE,"2051";#N/A,#N/A,FALSE,"2052";#N/A,#N/A,FALSE,"2053"}</definedName>
    <definedName name="wrn.FISCAL." localSheetId="23" hidden="1">{#N/A,#N/A,FALSE,"2050";#N/A,#N/A,FALSE,"2051";#N/A,#N/A,FALSE,"2052";#N/A,#N/A,FALSE,"2053"}</definedName>
    <definedName name="wrn.FISCAL." hidden="1">{#N/A,#N/A,FALSE,"2050";#N/A,#N/A,FALSE,"2051";#N/A,#N/A,FALSE,"2052";#N/A,#N/A,FALSE,"2053"}</definedName>
    <definedName name="wrn.Monthly." localSheetId="1" hidden="1">{#N/A,#N/A,FALSE,"Cover_Page";#N/A,#N/A,FALSE,"P&amp;L";#N/A,#N/A,FALSE,"p&amp;l by month";#N/A,#N/A,FALSE,"Quarter";#N/A,#N/A,FALSE,"Centres";#N/A,#N/A,FALSE,"balance";#N/A,#N/A,FALSE,"comments";#N/A,#N/A,FALSE,"Key Fig";#N/A,#N/A,FALSE,"group";#N/A,#N/A,FALSE,"Personnel ";#N/A,#N/A,FALSE,"Investm.";#N/A,#N/A,FALSE,"AR-TP"}</definedName>
    <definedName name="wrn.Monthly." localSheetId="7" hidden="1">{#N/A,#N/A,FALSE,"Cover_Page";#N/A,#N/A,FALSE,"P&amp;L";#N/A,#N/A,FALSE,"p&amp;l by month";#N/A,#N/A,FALSE,"Quarter";#N/A,#N/A,FALSE,"Centres";#N/A,#N/A,FALSE,"balance";#N/A,#N/A,FALSE,"comments";#N/A,#N/A,FALSE,"Key Fig";#N/A,#N/A,FALSE,"group";#N/A,#N/A,FALSE,"Personnel ";#N/A,#N/A,FALSE,"Investm.";#N/A,#N/A,FALSE,"AR-TP"}</definedName>
    <definedName name="wrn.Monthly." localSheetId="4" hidden="1">{#N/A,#N/A,FALSE,"Cover_Page";#N/A,#N/A,FALSE,"P&amp;L";#N/A,#N/A,FALSE,"p&amp;l by month";#N/A,#N/A,FALSE,"Quarter";#N/A,#N/A,FALSE,"Centres";#N/A,#N/A,FALSE,"balance";#N/A,#N/A,FALSE,"comments";#N/A,#N/A,FALSE,"Key Fig";#N/A,#N/A,FALSE,"group";#N/A,#N/A,FALSE,"Personnel ";#N/A,#N/A,FALSE,"Investm.";#N/A,#N/A,FALSE,"AR-TP"}</definedName>
    <definedName name="wrn.Monthly." localSheetId="8" hidden="1">{#N/A,#N/A,FALSE,"Cover_Page";#N/A,#N/A,FALSE,"P&amp;L";#N/A,#N/A,FALSE,"p&amp;l by month";#N/A,#N/A,FALSE,"Quarter";#N/A,#N/A,FALSE,"Centres";#N/A,#N/A,FALSE,"balance";#N/A,#N/A,FALSE,"comments";#N/A,#N/A,FALSE,"Key Fig";#N/A,#N/A,FALSE,"group";#N/A,#N/A,FALSE,"Personnel ";#N/A,#N/A,FALSE,"Investm.";#N/A,#N/A,FALSE,"AR-TP"}</definedName>
    <definedName name="wrn.Monthly." hidden="1">{#N/A,#N/A,FALSE,"Cover_Page";#N/A,#N/A,FALSE,"P&amp;L";#N/A,#N/A,FALSE,"p&amp;l by month";#N/A,#N/A,FALSE,"Quarter";#N/A,#N/A,FALSE,"Centres";#N/A,#N/A,FALSE,"balance";#N/A,#N/A,FALSE,"comments";#N/A,#N/A,FALSE,"Key Fig";#N/A,#N/A,FALSE,"group";#N/A,#N/A,FALSE,"Personnel ";#N/A,#N/A,FALSE,"Investm.";#N/A,#N/A,FALSE,"AR-TP"}</definedName>
    <definedName name="wrn.Quarterly_All._.pages." localSheetId="1" hidden="1">{#N/A,#N/A,FALSE,"Cover_Page";#N/A,#N/A,FALSE,"P&amp;L";#N/A,#N/A,FALSE,"p&amp;l by month";#N/A,#N/A,FALSE,"Quarter";#N/A,#N/A,FALSE,"Centres";#N/A,#N/A,FALSE,"balance";#N/A,#N/A,FALSE,"comments";#N/A,#N/A,FALSE,"Key Fig";#N/A,#N/A,FALSE,"group";#N/A,#N/A,FALSE,"bookings";#N/A,#N/A,FALSE,"Personnel ";#N/A,#N/A,FALSE,"Investm.";#N/A,#N/A,FALSE,"Sales";#N/A,#N/A,FALSE,"Markets";#N/A,#N/A,FALSE,"AR-TP";#N/A,#N/A,FALSE,"Inventory"}</definedName>
    <definedName name="wrn.Quarterly_All._.pages." localSheetId="7" hidden="1">{#N/A,#N/A,FALSE,"Cover_Page";#N/A,#N/A,FALSE,"P&amp;L";#N/A,#N/A,FALSE,"p&amp;l by month";#N/A,#N/A,FALSE,"Quarter";#N/A,#N/A,FALSE,"Centres";#N/A,#N/A,FALSE,"balance";#N/A,#N/A,FALSE,"comments";#N/A,#N/A,FALSE,"Key Fig";#N/A,#N/A,FALSE,"group";#N/A,#N/A,FALSE,"bookings";#N/A,#N/A,FALSE,"Personnel ";#N/A,#N/A,FALSE,"Investm.";#N/A,#N/A,FALSE,"Sales";#N/A,#N/A,FALSE,"Markets";#N/A,#N/A,FALSE,"AR-TP";#N/A,#N/A,FALSE,"Inventory"}</definedName>
    <definedName name="wrn.Quarterly_All._.pages." localSheetId="4" hidden="1">{#N/A,#N/A,FALSE,"Cover_Page";#N/A,#N/A,FALSE,"P&amp;L";#N/A,#N/A,FALSE,"p&amp;l by month";#N/A,#N/A,FALSE,"Quarter";#N/A,#N/A,FALSE,"Centres";#N/A,#N/A,FALSE,"balance";#N/A,#N/A,FALSE,"comments";#N/A,#N/A,FALSE,"Key Fig";#N/A,#N/A,FALSE,"group";#N/A,#N/A,FALSE,"bookings";#N/A,#N/A,FALSE,"Personnel ";#N/A,#N/A,FALSE,"Investm.";#N/A,#N/A,FALSE,"Sales";#N/A,#N/A,FALSE,"Markets";#N/A,#N/A,FALSE,"AR-TP";#N/A,#N/A,FALSE,"Inventory"}</definedName>
    <definedName name="wrn.Quarterly_All._.pages." localSheetId="8" hidden="1">{#N/A,#N/A,FALSE,"Cover_Page";#N/A,#N/A,FALSE,"P&amp;L";#N/A,#N/A,FALSE,"p&amp;l by month";#N/A,#N/A,FALSE,"Quarter";#N/A,#N/A,FALSE,"Centres";#N/A,#N/A,FALSE,"balance";#N/A,#N/A,FALSE,"comments";#N/A,#N/A,FALSE,"Key Fig";#N/A,#N/A,FALSE,"group";#N/A,#N/A,FALSE,"bookings";#N/A,#N/A,FALSE,"Personnel ";#N/A,#N/A,FALSE,"Investm.";#N/A,#N/A,FALSE,"Sales";#N/A,#N/A,FALSE,"Markets";#N/A,#N/A,FALSE,"AR-TP";#N/A,#N/A,FALSE,"Inventory"}</definedName>
    <definedName name="wrn.Quarterly_All._.pages." hidden="1">{#N/A,#N/A,FALSE,"Cover_Page";#N/A,#N/A,FALSE,"P&amp;L";#N/A,#N/A,FALSE,"p&amp;l by month";#N/A,#N/A,FALSE,"Quarter";#N/A,#N/A,FALSE,"Centres";#N/A,#N/A,FALSE,"balance";#N/A,#N/A,FALSE,"comments";#N/A,#N/A,FALSE,"Key Fig";#N/A,#N/A,FALSE,"group";#N/A,#N/A,FALSE,"bookings";#N/A,#N/A,FALSE,"Personnel ";#N/A,#N/A,FALSE,"Investm.";#N/A,#N/A,FALSE,"Sales";#N/A,#N/A,FALSE,"Markets";#N/A,#N/A,FALSE,"AR-TP";#N/A,#N/A,FALSE,"Inventory"}</definedName>
    <definedName name="x" localSheetId="5">#REF!</definedName>
    <definedName name="x" localSheetId="7">#REF!</definedName>
    <definedName name="x" localSheetId="8">#REF!</definedName>
    <definedName name="xcxx" localSheetId="5">#REF!/#REF!</definedName>
    <definedName name="xcxx" localSheetId="7">#REF!/#REF!</definedName>
    <definedName name="xxx" localSheetId="5">#REF!</definedName>
    <definedName name="xxx" localSheetId="7">#REF!</definedName>
    <definedName name="xxx" localSheetId="8">#REF!</definedName>
    <definedName name="xxxx" localSheetId="5">#REF!</definedName>
    <definedName name="xxxx" localSheetId="7">#REF!</definedName>
    <definedName name="xxxx" localSheetId="8">#REF!</definedName>
    <definedName name="xxxxxxx" localSheetId="1" hidden="1">{#N/A,#N/A,FALSE,"Bilan";"CR Ana",#N/A,FALSE,"Compte de Resultat";"TGCG Ana",#N/A,FALSE,"TGCG";#N/A,#N/A,FALSE,"Tab. de Fin.";#N/A,#N/A,FALSE,"EF-Synth."}</definedName>
    <definedName name="xxxxxxx" localSheetId="7" hidden="1">{#N/A,#N/A,FALSE,"Bilan";"CR Ana",#N/A,FALSE,"Compte de Resultat";"TGCG Ana",#N/A,FALSE,"TGCG";#N/A,#N/A,FALSE,"Tab. de Fin.";#N/A,#N/A,FALSE,"EF-Synth."}</definedName>
    <definedName name="xxxxxxx" localSheetId="4" hidden="1">{#N/A,#N/A,FALSE,"Bilan";"CR Ana",#N/A,FALSE,"Compte de Resultat";"TGCG Ana",#N/A,FALSE,"TGCG";#N/A,#N/A,FALSE,"Tab. de Fin.";#N/A,#N/A,FALSE,"EF-Synth."}</definedName>
    <definedName name="xxxxxxx" localSheetId="8" hidden="1">{#N/A,#N/A,FALSE,"Bilan";"CR Ana",#N/A,FALSE,"Compte de Resultat";"TGCG Ana",#N/A,FALSE,"TGCG";#N/A,#N/A,FALSE,"Tab. de Fin.";#N/A,#N/A,FALSE,"EF-Synth."}</definedName>
    <definedName name="xxxxxxx" hidden="1">{#N/A,#N/A,FALSE,"Bilan";"CR Ana",#N/A,FALSE,"Compte de Resultat";"TGCG Ana",#N/A,FALSE,"TGCG";#N/A,#N/A,FALSE,"Tab. de Fin.";#N/A,#N/A,FALSE,"EF-Synth."}</definedName>
    <definedName name="Z" localSheetId="5">#REF!*#REF!</definedName>
    <definedName name="Z" localSheetId="7">#REF!*#REF!</definedName>
    <definedName name="Z_43C943F6_84C1_4F73_85B0_1F27F90F6E4D_.wvu.Cols" localSheetId="34" hidden="1">'Etat_Trésorerie FD'!$R$1:$EL$65449</definedName>
    <definedName name="Z_43C943F6_84C1_4F73_85B0_1F27F90F6E4D_.wvu.PrintArea" localSheetId="34" hidden="1">'Etat_Trésorerie FD'!$B$1:$P$84</definedName>
    <definedName name="Z_81930D63_04C4_4F58_AFBD_87C6ABC4F2E5_.wvu.Cols" localSheetId="34" hidden="1">'Etat_Trésorerie FD'!$R$1:$EL$65449</definedName>
    <definedName name="Z_81930D63_04C4_4F58_AFBD_87C6ABC4F2E5_.wvu.PrintArea" localSheetId="34" hidden="1">'Etat_Trésorerie FD'!$B$1:$P$84</definedName>
    <definedName name="Z_DE39BA49_FB0E_4E38_B6D3_6D32499DCF6D_.wvu.Cols" localSheetId="34" hidden="1">'Etat_Trésorerie FD'!$R$1:$EL$65449</definedName>
    <definedName name="Z_DE39BA49_FB0E_4E38_B6D3_6D32499DCF6D_.wvu.PrintArea" localSheetId="34" hidden="1">'Etat_Trésorerie FD'!$B$1:$P$84</definedName>
    <definedName name="ZAR" localSheetId="5">#REF!</definedName>
    <definedName name="ZAR" localSheetId="7">#REF!</definedName>
    <definedName name="_xlnm.Print_Area" localSheetId="5">#REF!</definedName>
    <definedName name="_xlnm.Print_Area" localSheetId="7">#REF!</definedName>
    <definedName name="_xlnm.Print_Area" localSheetId="8">#REF!</definedName>
    <definedName name="ZONE_IMPRES_MI" localSheetId="5">#REF!</definedName>
    <definedName name="ZONE_IMPRES_MI" localSheetId="7">#REF!</definedName>
    <definedName name="ZONE_IMPRES_MI" localSheetId="8">#REF!</definedName>
    <definedName name="ZZZ" localSheetId="5">IF(OR(#REF!="",#REF!=#REF!),"",#REF!+1)</definedName>
    <definedName name="ZZZ" localSheetId="7">IF(OR(#REF!="",#REF!=#REF!),"",#REF!+1)</definedName>
    <definedName name="ZZZ" localSheetId="8">IF(OR(#REF!="",#REF!=#REF!),"",#REF!+1)</definedName>
  </definedNames>
  <calcPr calcId="191029"/>
  <pivotCaches>
    <pivotCache cacheId="0" r:id="rId41"/>
    <pivotCache cacheId="1" r:id="rId42"/>
    <pivotCache cacheId="2" r:id="rId43"/>
    <pivotCache cacheId="3" r:id="rId44"/>
    <pivotCache cacheId="4" r:id="rId45"/>
    <pivotCache cacheId="5" r:id="rId46"/>
    <pivotCache cacheId="6" r:id="rId47"/>
    <pivotCache cacheId="7" r:id="rId48"/>
    <pivotCache cacheId="8" r:id="rId49"/>
    <pivotCache cacheId="9" r:id="rId50"/>
    <pivotCache cacheId="10" r:id="rId51"/>
    <pivotCache cacheId="11" r:id="rId52"/>
    <pivotCache cacheId="12" r:id="rId53"/>
  </pivotCaches>
  <extLst>
    <ext xmlns:x14="http://schemas.microsoft.com/office/spreadsheetml/2009/9/main" uri="{876F7934-8845-4945-9796-88D515C7AA90}">
      <x14:pivotCaches>
        <pivotCache cacheId="13" r:id="rId54"/>
      </x14:pivotCaches>
    </ext>
    <ext xmlns:x14="http://schemas.microsoft.com/office/spreadsheetml/2009/9/main" uri="{BBE1A952-AA13-448e-AADC-164F8A28A991}">
      <x14:slicerCaches>
        <x14:slicerCache r:id="rId5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TVentes" name="TVentes" connection="WorksheetConnection_BP SIMULATION 2024.xlsm!TVentes"/>
          <x15:modelTable id="TTypes" name="TTypes" connection="WorksheetConnection_BP SIMULATION 2024.xlsm!TTypes"/>
          <x15:modelTable id="TProd" name="TProd" connection="WorksheetConnection_BP SIMULATION 2024.xlsm!TProd"/>
          <x15:modelTable id="TLieuxAppro" name="TLieuxAppro" connection="WorksheetConnection_BP SIMULATION 2024.xlsm!TLieuxAppro"/>
          <x15:modelTable id="TDate" name="TDate" connection="WorksheetConnection_BP SIMULATION 2024.xlsm!TDate"/>
          <x15:modelTable id="TAchats" name="TAchats" connection="WorksheetConnection_BP SIMULATION 2024.xlsm!TAchats"/>
          <x15:modelTable id="Tableau10" name="Tableau10" connection="WorksheetConnection_BP SIMULATION 2024.xlsm!Tableau10"/>
        </x15:modelTables>
        <x15:modelRelationships>
          <x15:modelRelationship fromTable="TAchats" fromColumn="Date" toTable="TDate" toColumn="Date"/>
          <x15:modelRelationship fromTable="TProd" fromColumn="Date" toTable="TDate" toColumn="Date"/>
          <x15:modelRelationship fromTable="TVentes" fromColumn="Date" toTable="TDate" toColumn="Da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10" l="1"/>
  <c r="G6" i="33"/>
  <c r="B13" i="53"/>
  <c r="B20" i="53" s="1"/>
  <c r="B12" i="53"/>
  <c r="B19" i="53" s="1"/>
  <c r="B11" i="53"/>
  <c r="B18" i="53" s="1"/>
  <c r="B10" i="53"/>
  <c r="B17" i="53" s="1"/>
  <c r="M72" i="58"/>
  <c r="M69" i="58"/>
  <c r="H86" i="66"/>
  <c r="G86" i="66"/>
  <c r="F86" i="66"/>
  <c r="F89" i="66" s="1"/>
  <c r="E86" i="66"/>
  <c r="E89" i="66" s="1"/>
  <c r="H89" i="66"/>
  <c r="G89" i="66"/>
  <c r="J19" i="66"/>
  <c r="J18" i="66"/>
  <c r="J17" i="66"/>
  <c r="J16" i="66"/>
  <c r="I19" i="66"/>
  <c r="I18" i="66"/>
  <c r="I17" i="66"/>
  <c r="I16" i="66"/>
  <c r="H19" i="66"/>
  <c r="H18" i="66"/>
  <c r="H17" i="66"/>
  <c r="H16" i="66"/>
  <c r="G19" i="66"/>
  <c r="G18" i="66"/>
  <c r="G17" i="66"/>
  <c r="G16" i="66"/>
  <c r="D19" i="66"/>
  <c r="D18" i="66"/>
  <c r="D17" i="66"/>
  <c r="D16" i="66"/>
  <c r="B12" i="66"/>
  <c r="B11" i="66"/>
  <c r="B10" i="66"/>
  <c r="B9" i="66"/>
  <c r="B8" i="66"/>
  <c r="C12" i="66"/>
  <c r="C11" i="66"/>
  <c r="C10" i="66"/>
  <c r="C9" i="66"/>
  <c r="C8" i="66"/>
  <c r="P2" i="66"/>
  <c r="C3" i="66"/>
  <c r="O5" i="66"/>
  <c r="N5" i="66"/>
  <c r="M5" i="66"/>
  <c r="L5" i="66"/>
  <c r="K5" i="66"/>
  <c r="J5" i="66"/>
  <c r="I5" i="66"/>
  <c r="H5" i="66"/>
  <c r="G5" i="66"/>
  <c r="F5" i="66"/>
  <c r="E5" i="66"/>
  <c r="D5" i="66"/>
  <c r="C5" i="66"/>
  <c r="C4" i="66"/>
  <c r="O2" i="66"/>
  <c r="N2" i="66"/>
  <c r="M2" i="66"/>
  <c r="L2" i="66"/>
  <c r="K2" i="66"/>
  <c r="J2" i="66"/>
  <c r="I2" i="66"/>
  <c r="H2" i="66"/>
  <c r="G2" i="66"/>
  <c r="F2" i="66"/>
  <c r="E2" i="66"/>
  <c r="D2" i="66"/>
  <c r="G83" i="81"/>
  <c r="R13" i="33"/>
  <c r="Q13" i="33"/>
  <c r="O138" i="57"/>
  <c r="N138" i="57"/>
  <c r="M138" i="57"/>
  <c r="L138" i="57"/>
  <c r="K138" i="57"/>
  <c r="J138" i="57"/>
  <c r="I138" i="57"/>
  <c r="H138" i="57"/>
  <c r="G138" i="57"/>
  <c r="F138" i="57"/>
  <c r="E138" i="57"/>
  <c r="D138" i="57"/>
  <c r="C138" i="57"/>
  <c r="B120" i="81" a="1"/>
  <c r="B120" i="81" s="1"/>
  <c r="I120" i="81"/>
  <c r="J120" i="81"/>
  <c r="K120" i="81"/>
  <c r="L120" i="81"/>
  <c r="M120" i="81"/>
  <c r="M124" i="81"/>
  <c r="L124" i="81"/>
  <c r="K124" i="81"/>
  <c r="J124" i="81"/>
  <c r="I124" i="81"/>
  <c r="H124" i="81"/>
  <c r="G124" i="81"/>
  <c r="F124" i="81"/>
  <c r="E124" i="81"/>
  <c r="D124" i="81"/>
  <c r="C124" i="81"/>
  <c r="M123" i="81"/>
  <c r="L123" i="81"/>
  <c r="K123" i="81"/>
  <c r="J123" i="81"/>
  <c r="I123" i="81"/>
  <c r="H123" i="81"/>
  <c r="G123" i="81"/>
  <c r="F123" i="81"/>
  <c r="E123" i="81"/>
  <c r="D123" i="81"/>
  <c r="C123" i="81"/>
  <c r="B124" i="81"/>
  <c r="B123" i="81"/>
  <c r="M122" i="81"/>
  <c r="L122" i="81"/>
  <c r="K122" i="81"/>
  <c r="J122" i="81"/>
  <c r="I122" i="81"/>
  <c r="H122" i="81"/>
  <c r="G122" i="81"/>
  <c r="F122" i="81"/>
  <c r="E122" i="81"/>
  <c r="D122" i="81"/>
  <c r="C122" i="81"/>
  <c r="B122" i="81"/>
  <c r="M121" i="81"/>
  <c r="L121" i="81"/>
  <c r="K121" i="81"/>
  <c r="J121" i="81"/>
  <c r="I121" i="81"/>
  <c r="H121" i="81"/>
  <c r="G121" i="81"/>
  <c r="F121" i="81"/>
  <c r="E121" i="81"/>
  <c r="D121" i="81"/>
  <c r="C121" i="81"/>
  <c r="B121" i="81"/>
  <c r="A124" i="81"/>
  <c r="A123" i="81"/>
  <c r="A122" i="81"/>
  <c r="A121" i="81"/>
  <c r="H107" i="81"/>
  <c r="G107" i="81"/>
  <c r="H106" i="81"/>
  <c r="G106" i="81"/>
  <c r="H105" i="81"/>
  <c r="G105" i="81"/>
  <c r="H104" i="81"/>
  <c r="G104" i="81"/>
  <c r="H103" i="81"/>
  <c r="G103" i="81"/>
  <c r="H102" i="81"/>
  <c r="G102" i="81"/>
  <c r="H101" i="81"/>
  <c r="G101" i="81"/>
  <c r="H100" i="81"/>
  <c r="G100" i="81"/>
  <c r="H99" i="81"/>
  <c r="G99" i="81"/>
  <c r="H98" i="81"/>
  <c r="G98" i="81"/>
  <c r="H97" i="81"/>
  <c r="G97" i="81"/>
  <c r="H96" i="81"/>
  <c r="G96" i="81"/>
  <c r="H92" i="81"/>
  <c r="H91" i="81"/>
  <c r="H90" i="81"/>
  <c r="H89" i="81"/>
  <c r="H88" i="81"/>
  <c r="H87" i="81"/>
  <c r="H86" i="81"/>
  <c r="H85" i="81"/>
  <c r="H84" i="81"/>
  <c r="H83" i="81"/>
  <c r="H82" i="81"/>
  <c r="H81" i="81"/>
  <c r="G92" i="81"/>
  <c r="G91" i="81"/>
  <c r="G90" i="81"/>
  <c r="G89" i="81"/>
  <c r="G88" i="81"/>
  <c r="G87" i="81"/>
  <c r="G86" i="81"/>
  <c r="G85" i="81"/>
  <c r="G84" i="81"/>
  <c r="G82" i="81"/>
  <c r="G81" i="81"/>
  <c r="H77" i="81"/>
  <c r="G77" i="81"/>
  <c r="H76" i="81"/>
  <c r="G76" i="81"/>
  <c r="H75" i="81"/>
  <c r="G75" i="81"/>
  <c r="H74" i="81"/>
  <c r="G74" i="81"/>
  <c r="H73" i="81"/>
  <c r="G73" i="81"/>
  <c r="H72" i="81"/>
  <c r="G72" i="81"/>
  <c r="H71" i="81"/>
  <c r="G71" i="81"/>
  <c r="H70" i="81"/>
  <c r="G70" i="81"/>
  <c r="H69" i="81"/>
  <c r="G69" i="81"/>
  <c r="H68" i="81"/>
  <c r="G68" i="81"/>
  <c r="H67" i="81"/>
  <c r="G67" i="81"/>
  <c r="H66" i="81"/>
  <c r="G66" i="81"/>
  <c r="C104" i="7"/>
  <c r="C103" i="7"/>
  <c r="C102" i="7"/>
  <c r="C100" i="7"/>
  <c r="C99" i="7"/>
  <c r="C98" i="7"/>
  <c r="B81" i="7"/>
  <c r="B86" i="7" s="1"/>
  <c r="B80" i="7"/>
  <c r="B85" i="7" s="1"/>
  <c r="B79" i="7"/>
  <c r="B84" i="7" s="1"/>
  <c r="B78" i="7"/>
  <c r="B83" i="7" s="1"/>
  <c r="B77" i="7"/>
  <c r="B82" i="7" s="1"/>
  <c r="O127" i="57"/>
  <c r="O121" i="57"/>
  <c r="N121" i="57"/>
  <c r="M121" i="57"/>
  <c r="L121" i="57"/>
  <c r="K121" i="57"/>
  <c r="J121" i="57"/>
  <c r="I121" i="57"/>
  <c r="H121" i="57"/>
  <c r="G121" i="57"/>
  <c r="F121" i="57"/>
  <c r="E121" i="57"/>
  <c r="D121" i="57"/>
  <c r="C121" i="57"/>
  <c r="B122" i="57"/>
  <c r="B132" i="57" s="1"/>
  <c r="B127" i="57"/>
  <c r="B137" i="57" s="1"/>
  <c r="B109" i="57"/>
  <c r="B119" i="57" s="1"/>
  <c r="G50" i="81"/>
  <c r="G61" i="81"/>
  <c r="G60" i="81"/>
  <c r="G59" i="81"/>
  <c r="G58" i="81"/>
  <c r="G57" i="81"/>
  <c r="G56" i="81"/>
  <c r="G55" i="81"/>
  <c r="G54" i="81"/>
  <c r="G53" i="81"/>
  <c r="G52" i="81"/>
  <c r="G51" i="81"/>
  <c r="G35" i="81"/>
  <c r="G46" i="81"/>
  <c r="G45" i="81"/>
  <c r="G44" i="81"/>
  <c r="G43" i="81"/>
  <c r="G42" i="81"/>
  <c r="G41" i="81"/>
  <c r="G40" i="81"/>
  <c r="G39" i="81"/>
  <c r="G38" i="81"/>
  <c r="G37" i="81"/>
  <c r="G36" i="81"/>
  <c r="G20" i="81"/>
  <c r="G31" i="81"/>
  <c r="G30" i="81"/>
  <c r="G29" i="81"/>
  <c r="G28" i="81"/>
  <c r="G27" i="81"/>
  <c r="G26" i="81"/>
  <c r="G25" i="81"/>
  <c r="G24" i="81"/>
  <c r="G23" i="81"/>
  <c r="G22" i="81"/>
  <c r="G21" i="81"/>
  <c r="G13" i="81"/>
  <c r="G7" i="81"/>
  <c r="G1" i="81"/>
  <c r="C13" i="81"/>
  <c r="C7" i="81"/>
  <c r="C1" i="81"/>
  <c r="M113" i="10"/>
  <c r="M112" i="10"/>
  <c r="M111" i="10"/>
  <c r="M110" i="10"/>
  <c r="M109" i="10"/>
  <c r="M108" i="10"/>
  <c r="M107" i="10"/>
  <c r="M106" i="10"/>
  <c r="M105" i="10"/>
  <c r="M104" i="10"/>
  <c r="M103" i="10"/>
  <c r="M102" i="10"/>
  <c r="M101" i="10"/>
  <c r="M100" i="10"/>
  <c r="M99" i="10"/>
  <c r="M98" i="10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D221" i="74"/>
  <c r="B221" i="74"/>
  <c r="A221" i="74"/>
  <c r="D220" i="74"/>
  <c r="B220" i="74"/>
  <c r="A220" i="74"/>
  <c r="D219" i="74"/>
  <c r="B219" i="74"/>
  <c r="A219" i="74"/>
  <c r="D218" i="74"/>
  <c r="B218" i="74"/>
  <c r="A218" i="74"/>
  <c r="D217" i="74"/>
  <c r="B217" i="74"/>
  <c r="A217" i="74"/>
  <c r="D216" i="74"/>
  <c r="B216" i="74"/>
  <c r="A216" i="74"/>
  <c r="D215" i="74"/>
  <c r="B215" i="74"/>
  <c r="A215" i="74"/>
  <c r="D214" i="74"/>
  <c r="B214" i="74"/>
  <c r="A214" i="74"/>
  <c r="D213" i="74"/>
  <c r="B213" i="74"/>
  <c r="A213" i="74"/>
  <c r="D212" i="74"/>
  <c r="B212" i="74"/>
  <c r="A212" i="74"/>
  <c r="D211" i="74"/>
  <c r="B211" i="74"/>
  <c r="A211" i="74"/>
  <c r="D210" i="74"/>
  <c r="B210" i="74"/>
  <c r="A210" i="74"/>
  <c r="D209" i="74"/>
  <c r="B209" i="74"/>
  <c r="A209" i="74"/>
  <c r="D208" i="74"/>
  <c r="B208" i="74"/>
  <c r="A208" i="74"/>
  <c r="D207" i="74"/>
  <c r="B207" i="74"/>
  <c r="A207" i="74"/>
  <c r="D206" i="74"/>
  <c r="B206" i="74"/>
  <c r="A206" i="74"/>
  <c r="D205" i="74"/>
  <c r="B205" i="74"/>
  <c r="A205" i="74"/>
  <c r="D204" i="74"/>
  <c r="B204" i="74"/>
  <c r="A204" i="74"/>
  <c r="D203" i="74"/>
  <c r="B203" i="74"/>
  <c r="A203" i="74"/>
  <c r="D202" i="74"/>
  <c r="B202" i="74"/>
  <c r="A202" i="74"/>
  <c r="D201" i="74"/>
  <c r="B201" i="74"/>
  <c r="A201" i="74"/>
  <c r="D200" i="74"/>
  <c r="B200" i="74"/>
  <c r="A200" i="74"/>
  <c r="D199" i="74"/>
  <c r="B199" i="74"/>
  <c r="A199" i="74"/>
  <c r="D198" i="74"/>
  <c r="B198" i="74"/>
  <c r="A198" i="74"/>
  <c r="D197" i="74"/>
  <c r="B197" i="74"/>
  <c r="A197" i="74"/>
  <c r="D196" i="74"/>
  <c r="B196" i="74"/>
  <c r="A196" i="74"/>
  <c r="D195" i="74"/>
  <c r="B195" i="74"/>
  <c r="A195" i="74"/>
  <c r="D194" i="74"/>
  <c r="B194" i="74"/>
  <c r="A194" i="74"/>
  <c r="D193" i="74"/>
  <c r="B193" i="74"/>
  <c r="A193" i="74"/>
  <c r="D192" i="74"/>
  <c r="B192" i="74"/>
  <c r="A192" i="74"/>
  <c r="D191" i="74"/>
  <c r="B191" i="74"/>
  <c r="A191" i="74"/>
  <c r="D190" i="74"/>
  <c r="B190" i="74"/>
  <c r="A190" i="74"/>
  <c r="D189" i="74"/>
  <c r="B189" i="74"/>
  <c r="A189" i="74"/>
  <c r="D188" i="74"/>
  <c r="B188" i="74"/>
  <c r="A188" i="74"/>
  <c r="D187" i="74"/>
  <c r="B187" i="74"/>
  <c r="A187" i="74"/>
  <c r="D186" i="74"/>
  <c r="B186" i="74"/>
  <c r="A186" i="74"/>
  <c r="D185" i="74"/>
  <c r="B185" i="74"/>
  <c r="A185" i="74"/>
  <c r="D184" i="74"/>
  <c r="B184" i="74"/>
  <c r="A184" i="74"/>
  <c r="D183" i="74"/>
  <c r="B183" i="74"/>
  <c r="A183" i="74"/>
  <c r="D182" i="74"/>
  <c r="B182" i="74"/>
  <c r="A182" i="74"/>
  <c r="D181" i="74"/>
  <c r="B181" i="74"/>
  <c r="A181" i="74"/>
  <c r="D180" i="74"/>
  <c r="B180" i="74"/>
  <c r="A180" i="74"/>
  <c r="D179" i="74"/>
  <c r="B179" i="74"/>
  <c r="A179" i="74"/>
  <c r="D178" i="74"/>
  <c r="B178" i="74"/>
  <c r="A178" i="74"/>
  <c r="D177" i="74"/>
  <c r="B177" i="74"/>
  <c r="A177" i="74"/>
  <c r="D176" i="74"/>
  <c r="B176" i="74"/>
  <c r="A176" i="74"/>
  <c r="D175" i="74"/>
  <c r="B175" i="74"/>
  <c r="A175" i="74"/>
  <c r="D174" i="74"/>
  <c r="B174" i="74"/>
  <c r="A174" i="74"/>
  <c r="D173" i="74"/>
  <c r="B173" i="74"/>
  <c r="A173" i="74"/>
  <c r="D172" i="74"/>
  <c r="B172" i="74"/>
  <c r="A172" i="74"/>
  <c r="D171" i="74"/>
  <c r="B171" i="74"/>
  <c r="A171" i="74"/>
  <c r="D170" i="74"/>
  <c r="B170" i="74"/>
  <c r="A170" i="74"/>
  <c r="D169" i="74"/>
  <c r="B169" i="74"/>
  <c r="A169" i="74"/>
  <c r="D168" i="74"/>
  <c r="B168" i="74"/>
  <c r="A168" i="74"/>
  <c r="D167" i="74"/>
  <c r="B167" i="74"/>
  <c r="A167" i="74"/>
  <c r="D166" i="74"/>
  <c r="B166" i="74"/>
  <c r="A166" i="74"/>
  <c r="D165" i="74"/>
  <c r="B165" i="74"/>
  <c r="A165" i="74"/>
  <c r="D164" i="74"/>
  <c r="B164" i="74"/>
  <c r="A164" i="74"/>
  <c r="D163" i="74"/>
  <c r="B163" i="74"/>
  <c r="A163" i="74"/>
  <c r="D162" i="74"/>
  <c r="B162" i="74"/>
  <c r="A162" i="74"/>
  <c r="D161" i="74"/>
  <c r="B161" i="74"/>
  <c r="A161" i="74"/>
  <c r="D160" i="74"/>
  <c r="B160" i="74"/>
  <c r="A160" i="74"/>
  <c r="D159" i="74"/>
  <c r="B159" i="74"/>
  <c r="A159" i="74"/>
  <c r="D158" i="74"/>
  <c r="B158" i="74"/>
  <c r="A158" i="74"/>
  <c r="D157" i="74"/>
  <c r="B157" i="74"/>
  <c r="A157" i="74"/>
  <c r="D156" i="74"/>
  <c r="B156" i="74"/>
  <c r="A156" i="74"/>
  <c r="D155" i="74"/>
  <c r="B155" i="74"/>
  <c r="A155" i="74"/>
  <c r="D154" i="74"/>
  <c r="B154" i="74"/>
  <c r="A154" i="74"/>
  <c r="D153" i="74"/>
  <c r="B153" i="74"/>
  <c r="A153" i="74"/>
  <c r="D152" i="74"/>
  <c r="B152" i="74"/>
  <c r="A152" i="74"/>
  <c r="D151" i="74"/>
  <c r="B151" i="74"/>
  <c r="A151" i="74"/>
  <c r="D150" i="74"/>
  <c r="B150" i="74"/>
  <c r="A150" i="74"/>
  <c r="D149" i="74"/>
  <c r="B149" i="74"/>
  <c r="A149" i="74"/>
  <c r="D148" i="74"/>
  <c r="B148" i="74"/>
  <c r="A148" i="74"/>
  <c r="D147" i="74"/>
  <c r="B147" i="74"/>
  <c r="A147" i="74"/>
  <c r="D146" i="74"/>
  <c r="B146" i="74"/>
  <c r="A146" i="74"/>
  <c r="D145" i="74"/>
  <c r="B145" i="74"/>
  <c r="A145" i="74"/>
  <c r="D144" i="74"/>
  <c r="B144" i="74"/>
  <c r="A144" i="74"/>
  <c r="D143" i="74"/>
  <c r="B143" i="74"/>
  <c r="A143" i="74"/>
  <c r="D142" i="74"/>
  <c r="B142" i="74"/>
  <c r="A142" i="74"/>
  <c r="D141" i="74"/>
  <c r="B141" i="74"/>
  <c r="A141" i="74"/>
  <c r="D140" i="74"/>
  <c r="B140" i="74"/>
  <c r="A140" i="74"/>
  <c r="D139" i="74"/>
  <c r="B139" i="74"/>
  <c r="A139" i="74"/>
  <c r="D138" i="74"/>
  <c r="B138" i="74"/>
  <c r="A138" i="74"/>
  <c r="D137" i="74"/>
  <c r="B137" i="74"/>
  <c r="A137" i="74"/>
  <c r="D136" i="74"/>
  <c r="B136" i="74"/>
  <c r="A136" i="74"/>
  <c r="D135" i="74"/>
  <c r="B135" i="74"/>
  <c r="A135" i="74"/>
  <c r="D134" i="74"/>
  <c r="B134" i="74"/>
  <c r="A134" i="74"/>
  <c r="D133" i="74"/>
  <c r="B133" i="74"/>
  <c r="A133" i="74"/>
  <c r="D132" i="74"/>
  <c r="B132" i="74"/>
  <c r="A132" i="74"/>
  <c r="D131" i="74"/>
  <c r="B131" i="74"/>
  <c r="A131" i="74"/>
  <c r="D130" i="74"/>
  <c r="B130" i="74"/>
  <c r="A130" i="74"/>
  <c r="D129" i="74"/>
  <c r="B129" i="74"/>
  <c r="A129" i="74"/>
  <c r="D128" i="74"/>
  <c r="B128" i="74"/>
  <c r="A128" i="74"/>
  <c r="D127" i="74"/>
  <c r="B127" i="74"/>
  <c r="A127" i="74"/>
  <c r="D126" i="74"/>
  <c r="B126" i="74"/>
  <c r="A126" i="74"/>
  <c r="D125" i="74"/>
  <c r="B125" i="74"/>
  <c r="A125" i="74"/>
  <c r="D124" i="74"/>
  <c r="B124" i="74"/>
  <c r="A124" i="74"/>
  <c r="D123" i="74"/>
  <c r="B123" i="74"/>
  <c r="A123" i="74"/>
  <c r="D122" i="74"/>
  <c r="B122" i="74"/>
  <c r="A122" i="74"/>
  <c r="D121" i="74"/>
  <c r="B121" i="74"/>
  <c r="A121" i="74"/>
  <c r="D120" i="74"/>
  <c r="B120" i="74"/>
  <c r="A120" i="74"/>
  <c r="D119" i="74"/>
  <c r="B119" i="74"/>
  <c r="A119" i="74"/>
  <c r="D118" i="74"/>
  <c r="B118" i="74"/>
  <c r="A118" i="74"/>
  <c r="D117" i="74"/>
  <c r="B117" i="74"/>
  <c r="A117" i="74"/>
  <c r="D116" i="74"/>
  <c r="B116" i="74"/>
  <c r="A116" i="74"/>
  <c r="D115" i="74"/>
  <c r="B115" i="74"/>
  <c r="A115" i="74"/>
  <c r="D114" i="74"/>
  <c r="B114" i="74"/>
  <c r="A114" i="74"/>
  <c r="R104" i="11"/>
  <c r="R103" i="11"/>
  <c r="R102" i="11"/>
  <c r="R101" i="11"/>
  <c r="R69" i="11"/>
  <c r="R68" i="11"/>
  <c r="R65" i="11"/>
  <c r="R64" i="11"/>
  <c r="R63" i="11"/>
  <c r="R62" i="11"/>
  <c r="R59" i="11"/>
  <c r="R58" i="11"/>
  <c r="R57" i="11"/>
  <c r="R56" i="11"/>
  <c r="R54" i="11"/>
  <c r="R53" i="11"/>
  <c r="R52" i="11"/>
  <c r="R51" i="11"/>
  <c r="R50" i="11"/>
  <c r="R49" i="11"/>
  <c r="R48" i="11"/>
  <c r="N36" i="58"/>
  <c r="N35" i="58"/>
  <c r="N34" i="58"/>
  <c r="N33" i="58"/>
  <c r="R45" i="11"/>
  <c r="R44" i="11"/>
  <c r="R43" i="11"/>
  <c r="R42" i="11"/>
  <c r="R41" i="11"/>
  <c r="R40" i="11"/>
  <c r="R38" i="11"/>
  <c r="R37" i="11"/>
  <c r="R35" i="11"/>
  <c r="R34" i="11"/>
  <c r="R33" i="11"/>
  <c r="R30" i="11"/>
  <c r="B49" i="10"/>
  <c r="C40" i="10"/>
  <c r="D37" i="10" s="1"/>
  <c r="P37" i="10" s="1"/>
  <c r="C33" i="10"/>
  <c r="N9" i="33"/>
  <c r="M9" i="33"/>
  <c r="L9" i="33"/>
  <c r="K9" i="33"/>
  <c r="J9" i="33"/>
  <c r="I9" i="33"/>
  <c r="H9" i="33"/>
  <c r="G9" i="33"/>
  <c r="F9" i="33"/>
  <c r="E9" i="33"/>
  <c r="D9" i="33"/>
  <c r="C9" i="33"/>
  <c r="J174" i="7"/>
  <c r="K174" i="7" s="1"/>
  <c r="C260" i="74" s="1"/>
  <c r="J173" i="7"/>
  <c r="K173" i="7" s="1"/>
  <c r="C259" i="74" s="1"/>
  <c r="J172" i="7"/>
  <c r="K172" i="7" s="1"/>
  <c r="C258" i="74" s="1"/>
  <c r="J171" i="7"/>
  <c r="K171" i="7" s="1"/>
  <c r="C257" i="74" s="1"/>
  <c r="J170" i="7"/>
  <c r="K170" i="7" s="1"/>
  <c r="C256" i="74" s="1"/>
  <c r="J169" i="7"/>
  <c r="K169" i="7" s="1"/>
  <c r="C255" i="74" s="1"/>
  <c r="J168" i="7"/>
  <c r="B254" i="74" s="1"/>
  <c r="J167" i="7"/>
  <c r="K167" i="7" s="1"/>
  <c r="C253" i="74" s="1"/>
  <c r="J166" i="7"/>
  <c r="B252" i="74" s="1"/>
  <c r="J165" i="7"/>
  <c r="K165" i="7" s="1"/>
  <c r="C251" i="74" s="1"/>
  <c r="J164" i="7"/>
  <c r="K164" i="7" s="1"/>
  <c r="C250" i="74" s="1"/>
  <c r="J163" i="7"/>
  <c r="K163" i="7" s="1"/>
  <c r="C249" i="74" s="1"/>
  <c r="J162" i="7"/>
  <c r="K162" i="7" s="1"/>
  <c r="C248" i="74" s="1"/>
  <c r="J161" i="7"/>
  <c r="K161" i="7" s="1"/>
  <c r="C247" i="74" s="1"/>
  <c r="J160" i="7"/>
  <c r="K160" i="7" s="1"/>
  <c r="C246" i="74" s="1"/>
  <c r="J159" i="7"/>
  <c r="K159" i="7" s="1"/>
  <c r="C245" i="74" s="1"/>
  <c r="J158" i="7"/>
  <c r="K158" i="7" s="1"/>
  <c r="C244" i="74" s="1"/>
  <c r="J157" i="7"/>
  <c r="B243" i="74" s="1"/>
  <c r="J156" i="7"/>
  <c r="K156" i="7" s="1"/>
  <c r="C242" i="74" s="1"/>
  <c r="J155" i="7"/>
  <c r="K155" i="7" s="1"/>
  <c r="C241" i="74" s="1"/>
  <c r="J154" i="7"/>
  <c r="K154" i="7" s="1"/>
  <c r="C240" i="74" s="1"/>
  <c r="J153" i="7"/>
  <c r="K153" i="7" s="1"/>
  <c r="C239" i="74" s="1"/>
  <c r="J152" i="7"/>
  <c r="K152" i="7" s="1"/>
  <c r="C238" i="74" s="1"/>
  <c r="J151" i="7"/>
  <c r="K151" i="7" s="1"/>
  <c r="C237" i="74" s="1"/>
  <c r="J150" i="7"/>
  <c r="K150" i="7" s="1"/>
  <c r="C236" i="74" s="1"/>
  <c r="J149" i="7"/>
  <c r="K149" i="7" s="1"/>
  <c r="C235" i="74" s="1"/>
  <c r="J148" i="7"/>
  <c r="K148" i="7" s="1"/>
  <c r="C234" i="74" s="1"/>
  <c r="J147" i="7"/>
  <c r="K147" i="7" s="1"/>
  <c r="C233" i="74" s="1"/>
  <c r="J146" i="7"/>
  <c r="K146" i="7" s="1"/>
  <c r="C232" i="74" s="1"/>
  <c r="J145" i="7"/>
  <c r="K145" i="7" s="1"/>
  <c r="C231" i="74" s="1"/>
  <c r="J142" i="7"/>
  <c r="K142" i="7" s="1"/>
  <c r="C228" i="74" s="1"/>
  <c r="J144" i="7"/>
  <c r="K144" i="7" s="1"/>
  <c r="C230" i="74" s="1"/>
  <c r="J143" i="7"/>
  <c r="K143" i="7" s="1"/>
  <c r="C229" i="74" s="1"/>
  <c r="J141" i="7"/>
  <c r="K141" i="7" s="1"/>
  <c r="C227" i="74" s="1"/>
  <c r="J140" i="7"/>
  <c r="B226" i="74" s="1"/>
  <c r="J139" i="7"/>
  <c r="K139" i="7" s="1"/>
  <c r="C225" i="74" s="1"/>
  <c r="F9" i="57"/>
  <c r="B5" i="57"/>
  <c r="B4" i="57"/>
  <c r="B3" i="57"/>
  <c r="B5" i="7"/>
  <c r="C49" i="7" s="1"/>
  <c r="B4" i="7"/>
  <c r="C48" i="7" s="1"/>
  <c r="B3" i="7"/>
  <c r="B9" i="7" s="1"/>
  <c r="B23" i="33"/>
  <c r="B41" i="33" s="1"/>
  <c r="B16" i="33"/>
  <c r="B34" i="33" s="1"/>
  <c r="B9" i="33"/>
  <c r="B27" i="33" s="1"/>
  <c r="N76" i="56"/>
  <c r="C76" i="56"/>
  <c r="C42" i="56"/>
  <c r="C41" i="56"/>
  <c r="P60" i="23"/>
  <c r="O60" i="23"/>
  <c r="N60" i="23"/>
  <c r="M60" i="23"/>
  <c r="L60" i="23"/>
  <c r="K60" i="23"/>
  <c r="J60" i="23"/>
  <c r="I60" i="23"/>
  <c r="H60" i="23"/>
  <c r="G60" i="23"/>
  <c r="F60" i="23"/>
  <c r="E60" i="23"/>
  <c r="D60" i="23"/>
  <c r="B15" i="7"/>
  <c r="O5" i="7"/>
  <c r="N5" i="7"/>
  <c r="M5" i="7"/>
  <c r="L5" i="7"/>
  <c r="K5" i="7"/>
  <c r="J5" i="7"/>
  <c r="I5" i="7"/>
  <c r="H5" i="7"/>
  <c r="G5" i="7"/>
  <c r="F5" i="7"/>
  <c r="E5" i="7"/>
  <c r="D5" i="7"/>
  <c r="P2" i="7"/>
  <c r="O244" i="22"/>
  <c r="N244" i="22"/>
  <c r="M244" i="22"/>
  <c r="L244" i="22"/>
  <c r="K244" i="22"/>
  <c r="J244" i="22"/>
  <c r="I244" i="22"/>
  <c r="H244" i="22"/>
  <c r="G244" i="22"/>
  <c r="F244" i="22"/>
  <c r="E244" i="22"/>
  <c r="D244" i="22"/>
  <c r="O47" i="22"/>
  <c r="O43" i="22"/>
  <c r="O36" i="22"/>
  <c r="O35" i="22"/>
  <c r="O34" i="22"/>
  <c r="O28" i="22"/>
  <c r="O23" i="22"/>
  <c r="O274" i="22"/>
  <c r="O237" i="22"/>
  <c r="O275" i="22"/>
  <c r="F236" i="22"/>
  <c r="G236" i="22" s="1"/>
  <c r="H236" i="22" s="1"/>
  <c r="I236" i="22" s="1"/>
  <c r="J236" i="22" s="1"/>
  <c r="K236" i="22" s="1"/>
  <c r="L236" i="22" s="1"/>
  <c r="M236" i="22" s="1"/>
  <c r="N236" i="22" s="1"/>
  <c r="E236" i="22"/>
  <c r="E274" i="22"/>
  <c r="F274" i="22" s="1"/>
  <c r="G274" i="22" s="1"/>
  <c r="H274" i="22" s="1"/>
  <c r="I274" i="22" s="1"/>
  <c r="J274" i="22" s="1"/>
  <c r="K274" i="22" s="1"/>
  <c r="L274" i="22" s="1"/>
  <c r="M274" i="22" s="1"/>
  <c r="N274" i="22" s="1"/>
  <c r="E262" i="22"/>
  <c r="F262" i="22" s="1"/>
  <c r="G262" i="22" s="1"/>
  <c r="H262" i="22" s="1"/>
  <c r="I262" i="22" s="1"/>
  <c r="J262" i="22" s="1"/>
  <c r="K262" i="22" s="1"/>
  <c r="L262" i="22" s="1"/>
  <c r="M262" i="22" s="1"/>
  <c r="N262" i="22" s="1"/>
  <c r="F243" i="22"/>
  <c r="G243" i="22" s="1"/>
  <c r="H243" i="22" s="1"/>
  <c r="I243" i="22" s="1"/>
  <c r="J243" i="22" s="1"/>
  <c r="K243" i="22" s="1"/>
  <c r="L243" i="22" s="1"/>
  <c r="M243" i="22" s="1"/>
  <c r="N243" i="22" s="1"/>
  <c r="O243" i="22" s="1"/>
  <c r="E243" i="22"/>
  <c r="D243" i="22"/>
  <c r="G241" i="22"/>
  <c r="H241" i="22" s="1"/>
  <c r="I241" i="22" s="1"/>
  <c r="J241" i="22" s="1"/>
  <c r="K241" i="22" s="1"/>
  <c r="L241" i="22" s="1"/>
  <c r="M241" i="22" s="1"/>
  <c r="N241" i="22" s="1"/>
  <c r="O241" i="22" s="1"/>
  <c r="F241" i="22"/>
  <c r="E241" i="22"/>
  <c r="D241" i="22"/>
  <c r="P5" i="66" l="1"/>
  <c r="H120" i="81"/>
  <c r="G120" i="81"/>
  <c r="F120" i="81"/>
  <c r="E120" i="81"/>
  <c r="D120" i="81"/>
  <c r="C120" i="81"/>
  <c r="C90" i="7"/>
  <c r="C91" i="7"/>
  <c r="C92" i="7"/>
  <c r="C88" i="7"/>
  <c r="C89" i="7"/>
  <c r="K166" i="7"/>
  <c r="C252" i="74" s="1"/>
  <c r="B259" i="74"/>
  <c r="K157" i="7"/>
  <c r="C243" i="74" s="1"/>
  <c r="K168" i="7"/>
  <c r="C254" i="74" s="1"/>
  <c r="B227" i="74"/>
  <c r="B231" i="74"/>
  <c r="B235" i="74"/>
  <c r="B239" i="74"/>
  <c r="B247" i="74"/>
  <c r="B251" i="74"/>
  <c r="B255" i="74"/>
  <c r="B228" i="74"/>
  <c r="B232" i="74"/>
  <c r="B236" i="74"/>
  <c r="B240" i="74"/>
  <c r="B244" i="74"/>
  <c r="B248" i="74"/>
  <c r="B256" i="74"/>
  <c r="B260" i="74"/>
  <c r="K140" i="7"/>
  <c r="C226" i="74" s="1"/>
  <c r="B225" i="74"/>
  <c r="B229" i="74"/>
  <c r="B233" i="74"/>
  <c r="B237" i="74"/>
  <c r="B241" i="74"/>
  <c r="B245" i="74"/>
  <c r="B249" i="74"/>
  <c r="B253" i="74"/>
  <c r="B257" i="74"/>
  <c r="B230" i="74"/>
  <c r="B234" i="74"/>
  <c r="B238" i="74"/>
  <c r="B242" i="74"/>
  <c r="B246" i="74"/>
  <c r="B250" i="74"/>
  <c r="B258" i="74"/>
  <c r="H20" i="81"/>
  <c r="H54" i="81"/>
  <c r="H50" i="81"/>
  <c r="H36" i="81"/>
  <c r="H37" i="81"/>
  <c r="H38" i="81"/>
  <c r="H39" i="81"/>
  <c r="H46" i="81"/>
  <c r="H35" i="81"/>
  <c r="H61" i="81"/>
  <c r="H23" i="81"/>
  <c r="H55" i="81"/>
  <c r="H56" i="81"/>
  <c r="H57" i="81"/>
  <c r="H58" i="81"/>
  <c r="H51" i="81"/>
  <c r="H59" i="81"/>
  <c r="H52" i="81"/>
  <c r="H60" i="81"/>
  <c r="H53" i="81"/>
  <c r="H40" i="81"/>
  <c r="H41" i="81"/>
  <c r="H42" i="81"/>
  <c r="H43" i="81"/>
  <c r="H44" i="81"/>
  <c r="H45" i="81"/>
  <c r="H31" i="81"/>
  <c r="H29" i="81"/>
  <c r="H30" i="81"/>
  <c r="H24" i="81"/>
  <c r="H26" i="81"/>
  <c r="H27" i="81"/>
  <c r="H28" i="81"/>
  <c r="H22" i="81"/>
  <c r="H25" i="81"/>
  <c r="H21" i="81"/>
  <c r="B11" i="7"/>
  <c r="B32" i="7"/>
  <c r="B10" i="7"/>
  <c r="B25" i="7" s="1"/>
  <c r="B18" i="7"/>
  <c r="C47" i="7"/>
  <c r="P5" i="7"/>
  <c r="B238" i="22"/>
  <c r="B237" i="22"/>
  <c r="B236" i="22"/>
  <c r="D236" i="22"/>
  <c r="C261" i="22"/>
  <c r="B261" i="22"/>
  <c r="C277" i="22"/>
  <c r="F275" i="22"/>
  <c r="G275" i="22" s="1"/>
  <c r="H275" i="22" s="1"/>
  <c r="I275" i="22" s="1"/>
  <c r="J275" i="22" s="1"/>
  <c r="K275" i="22" s="1"/>
  <c r="L275" i="22" s="1"/>
  <c r="M275" i="22" s="1"/>
  <c r="N275" i="22" s="1"/>
  <c r="E275" i="22"/>
  <c r="D275" i="22"/>
  <c r="D274" i="22"/>
  <c r="C275" i="22"/>
  <c r="C274" i="22"/>
  <c r="B275" i="22"/>
  <c r="B274" i="22"/>
  <c r="D259" i="22"/>
  <c r="E259" i="22" s="1"/>
  <c r="F259" i="22" s="1"/>
  <c r="G259" i="22" s="1"/>
  <c r="H259" i="22" s="1"/>
  <c r="I259" i="22" s="1"/>
  <c r="J259" i="22" s="1"/>
  <c r="K259" i="22" s="1"/>
  <c r="L259" i="22" s="1"/>
  <c r="M259" i="22" s="1"/>
  <c r="N259" i="22" s="1"/>
  <c r="O259" i="22" s="1"/>
  <c r="C259" i="22"/>
  <c r="C258" i="22"/>
  <c r="B259" i="22"/>
  <c r="C256" i="22"/>
  <c r="D256" i="22" s="1"/>
  <c r="E256" i="22" s="1"/>
  <c r="F256" i="22" s="1"/>
  <c r="G256" i="22" s="1"/>
  <c r="C255" i="22"/>
  <c r="C254" i="22"/>
  <c r="D254" i="22" s="1"/>
  <c r="E254" i="22" s="1"/>
  <c r="F254" i="22" s="1"/>
  <c r="G254" i="22" s="1"/>
  <c r="C253" i="22"/>
  <c r="D253" i="22" s="1"/>
  <c r="E253" i="22" s="1"/>
  <c r="F253" i="22" s="1"/>
  <c r="G253" i="22" s="1"/>
  <c r="H253" i="22" s="1"/>
  <c r="I253" i="22" s="1"/>
  <c r="J253" i="22" s="1"/>
  <c r="K253" i="22" s="1"/>
  <c r="L253" i="22" s="1"/>
  <c r="M253" i="22" s="1"/>
  <c r="N253" i="22" s="1"/>
  <c r="O253" i="22" s="1"/>
  <c r="C252" i="22"/>
  <c r="D252" i="22" s="1"/>
  <c r="E252" i="22" s="1"/>
  <c r="F252" i="22" s="1"/>
  <c r="G252" i="22" s="1"/>
  <c r="H252" i="22" s="1"/>
  <c r="I252" i="22" s="1"/>
  <c r="J252" i="22" s="1"/>
  <c r="K252" i="22" s="1"/>
  <c r="L252" i="22" s="1"/>
  <c r="M252" i="22" s="1"/>
  <c r="N252" i="22" s="1"/>
  <c r="O252" i="22" s="1"/>
  <c r="B256" i="22"/>
  <c r="B255" i="22"/>
  <c r="B254" i="22"/>
  <c r="B253" i="22"/>
  <c r="B252" i="22"/>
  <c r="O233" i="22"/>
  <c r="N233" i="22"/>
  <c r="M233" i="22"/>
  <c r="L233" i="22"/>
  <c r="K233" i="22"/>
  <c r="J233" i="22"/>
  <c r="I233" i="22"/>
  <c r="H233" i="22"/>
  <c r="G233" i="22"/>
  <c r="F233" i="22"/>
  <c r="E233" i="22"/>
  <c r="D233" i="22"/>
  <c r="C233" i="22"/>
  <c r="C246" i="22"/>
  <c r="C245" i="22"/>
  <c r="C244" i="22"/>
  <c r="C243" i="22"/>
  <c r="C242" i="22"/>
  <c r="C241" i="22"/>
  <c r="B246" i="22"/>
  <c r="B245" i="22"/>
  <c r="B244" i="22"/>
  <c r="B243" i="22"/>
  <c r="B242" i="22"/>
  <c r="B241" i="22"/>
  <c r="B240" i="22"/>
  <c r="C238" i="22"/>
  <c r="D238" i="22" s="1"/>
  <c r="E238" i="22" s="1"/>
  <c r="F238" i="22" s="1"/>
  <c r="G238" i="22" s="1"/>
  <c r="H238" i="22" s="1"/>
  <c r="I238" i="22" s="1"/>
  <c r="J238" i="22" s="1"/>
  <c r="K238" i="22" s="1"/>
  <c r="L238" i="22" s="1"/>
  <c r="M238" i="22" s="1"/>
  <c r="N238" i="22" s="1"/>
  <c r="O238" i="22" s="1"/>
  <c r="C237" i="22"/>
  <c r="D237" i="22" s="1"/>
  <c r="E237" i="22" s="1"/>
  <c r="F237" i="22" s="1"/>
  <c r="G237" i="22" s="1"/>
  <c r="H237" i="22" s="1"/>
  <c r="I237" i="22" s="1"/>
  <c r="J237" i="22" s="1"/>
  <c r="K237" i="22" s="1"/>
  <c r="L237" i="22" s="1"/>
  <c r="M237" i="22" s="1"/>
  <c r="N237" i="22" s="1"/>
  <c r="C236" i="22"/>
  <c r="B278" i="22"/>
  <c r="C273" i="22"/>
  <c r="B273" i="22"/>
  <c r="C272" i="22"/>
  <c r="D272" i="22" s="1"/>
  <c r="E272" i="22" s="1"/>
  <c r="F272" i="22" s="1"/>
  <c r="G272" i="22" s="1"/>
  <c r="H272" i="22" s="1"/>
  <c r="I272" i="22" s="1"/>
  <c r="J272" i="22" s="1"/>
  <c r="K272" i="22" s="1"/>
  <c r="L272" i="22" s="1"/>
  <c r="M272" i="22" s="1"/>
  <c r="N272" i="22" s="1"/>
  <c r="O272" i="22" s="1"/>
  <c r="B272" i="22"/>
  <c r="C271" i="22"/>
  <c r="B271" i="22"/>
  <c r="C270" i="22"/>
  <c r="B270" i="22"/>
  <c r="C269" i="22"/>
  <c r="B269" i="22"/>
  <c r="C268" i="22"/>
  <c r="B268" i="22"/>
  <c r="C267" i="22"/>
  <c r="B267" i="22"/>
  <c r="C266" i="22"/>
  <c r="B266" i="22"/>
  <c r="C265" i="22"/>
  <c r="B265" i="22"/>
  <c r="C264" i="22"/>
  <c r="D264" i="22" s="1"/>
  <c r="E264" i="22" s="1"/>
  <c r="F264" i="22" s="1"/>
  <c r="G264" i="22" s="1"/>
  <c r="H264" i="22" s="1"/>
  <c r="I264" i="22" s="1"/>
  <c r="J264" i="22" s="1"/>
  <c r="K264" i="22" s="1"/>
  <c r="L264" i="22" s="1"/>
  <c r="M264" i="22" s="1"/>
  <c r="N264" i="22" s="1"/>
  <c r="O264" i="22" s="1"/>
  <c r="B264" i="22"/>
  <c r="C263" i="22"/>
  <c r="B263" i="22"/>
  <c r="C262" i="22"/>
  <c r="B262" i="22"/>
  <c r="B258" i="22"/>
  <c r="B249" i="22"/>
  <c r="C248" i="22"/>
  <c r="P166" i="22" l="1"/>
  <c r="B168" i="22"/>
  <c r="B167" i="22"/>
  <c r="B166" i="22"/>
  <c r="N9" i="57"/>
  <c r="M9" i="57"/>
  <c r="L9" i="57"/>
  <c r="K9" i="57"/>
  <c r="J9" i="57"/>
  <c r="I9" i="57"/>
  <c r="H9" i="57"/>
  <c r="G9" i="57"/>
  <c r="E9" i="57"/>
  <c r="D9" i="57"/>
  <c r="C9" i="57"/>
  <c r="C13" i="57"/>
  <c r="O12" i="57"/>
  <c r="O11" i="57"/>
  <c r="O10" i="57"/>
  <c r="P29" i="10"/>
  <c r="C19" i="19"/>
  <c r="C20" i="19"/>
  <c r="D50" i="7"/>
  <c r="C169" i="22" s="1"/>
  <c r="F91" i="68"/>
  <c r="F90" i="68"/>
  <c r="F89" i="68"/>
  <c r="F88" i="68"/>
  <c r="F87" i="68"/>
  <c r="F86" i="68"/>
  <c r="F85" i="68"/>
  <c r="F84" i="68"/>
  <c r="F83" i="68"/>
  <c r="F82" i="68"/>
  <c r="F81" i="68"/>
  <c r="F80" i="68"/>
  <c r="F79" i="68"/>
  <c r="F78" i="68"/>
  <c r="F77" i="68"/>
  <c r="F76" i="68"/>
  <c r="F75" i="68"/>
  <c r="F74" i="68"/>
  <c r="F73" i="68"/>
  <c r="F72" i="68"/>
  <c r="F71" i="68"/>
  <c r="F70" i="68"/>
  <c r="F69" i="68"/>
  <c r="F68" i="68"/>
  <c r="F67" i="68"/>
  <c r="F66" i="68"/>
  <c r="F65" i="68"/>
  <c r="F64" i="68"/>
  <c r="F63" i="68"/>
  <c r="F62" i="68"/>
  <c r="F61" i="68"/>
  <c r="F60" i="68"/>
  <c r="F59" i="68"/>
  <c r="F58" i="68"/>
  <c r="F57" i="68"/>
  <c r="F56" i="68"/>
  <c r="F55" i="68"/>
  <c r="F54" i="68"/>
  <c r="F53" i="68"/>
  <c r="F52" i="68"/>
  <c r="F51" i="68"/>
  <c r="F50" i="68"/>
  <c r="F49" i="68"/>
  <c r="F48" i="68"/>
  <c r="F47" i="68"/>
  <c r="F46" i="68"/>
  <c r="F45" i="68"/>
  <c r="F44" i="68"/>
  <c r="F43" i="68"/>
  <c r="F42" i="68"/>
  <c r="F41" i="68"/>
  <c r="F40" i="68"/>
  <c r="F39" i="68"/>
  <c r="F38" i="68"/>
  <c r="F37" i="68"/>
  <c r="F36" i="68"/>
  <c r="F35" i="68"/>
  <c r="F34" i="68"/>
  <c r="F33" i="68"/>
  <c r="F32" i="68"/>
  <c r="F31" i="68"/>
  <c r="F30" i="68"/>
  <c r="F29" i="68"/>
  <c r="F28" i="68"/>
  <c r="F27" i="68"/>
  <c r="F26" i="68"/>
  <c r="F25" i="68"/>
  <c r="F24" i="68"/>
  <c r="F23" i="68"/>
  <c r="F22" i="68"/>
  <c r="F21" i="68"/>
  <c r="F20" i="68"/>
  <c r="F19" i="68"/>
  <c r="F18" i="68"/>
  <c r="F17" i="68"/>
  <c r="F16" i="68"/>
  <c r="F15" i="68"/>
  <c r="F14" i="68"/>
  <c r="F13" i="68"/>
  <c r="F12" i="68"/>
  <c r="F11" i="68"/>
  <c r="F10" i="68"/>
  <c r="F9" i="68"/>
  <c r="F8" i="68"/>
  <c r="F7" i="68"/>
  <c r="F6" i="68"/>
  <c r="F5" i="68"/>
  <c r="B61" i="33"/>
  <c r="B60" i="33"/>
  <c r="O49" i="33"/>
  <c r="B55" i="33"/>
  <c r="B50" i="33"/>
  <c r="H179" i="10"/>
  <c r="I193" i="10"/>
  <c r="I192" i="10"/>
  <c r="I191" i="10"/>
  <c r="I190" i="10"/>
  <c r="I189" i="10"/>
  <c r="I188" i="10"/>
  <c r="I187" i="10"/>
  <c r="I186" i="10"/>
  <c r="I185" i="10"/>
  <c r="I184" i="10"/>
  <c r="I183" i="10"/>
  <c r="I182" i="10"/>
  <c r="I181" i="10"/>
  <c r="I180" i="10"/>
  <c r="I179" i="10"/>
  <c r="I178" i="10"/>
  <c r="I177" i="10"/>
  <c r="I176" i="10"/>
  <c r="I175" i="10"/>
  <c r="I174" i="10"/>
  <c r="I173" i="10"/>
  <c r="I172" i="10"/>
  <c r="I171" i="10"/>
  <c r="K171" i="10" s="1"/>
  <c r="I170" i="10"/>
  <c r="K170" i="10" s="1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H193" i="10"/>
  <c r="H192" i="10"/>
  <c r="H191" i="10"/>
  <c r="H190" i="10"/>
  <c r="H189" i="10"/>
  <c r="H188" i="10"/>
  <c r="H187" i="10"/>
  <c r="H186" i="10"/>
  <c r="H185" i="10"/>
  <c r="H184" i="10"/>
  <c r="H183" i="10"/>
  <c r="H182" i="10"/>
  <c r="H181" i="10"/>
  <c r="H180" i="10"/>
  <c r="H178" i="10"/>
  <c r="H177" i="10"/>
  <c r="H176" i="10"/>
  <c r="H175" i="10"/>
  <c r="H174" i="10"/>
  <c r="H173" i="10"/>
  <c r="H172" i="10"/>
  <c r="H171" i="10"/>
  <c r="H170" i="10"/>
  <c r="D28" i="56"/>
  <c r="D27" i="56"/>
  <c r="E48" i="56"/>
  <c r="D48" i="56" s="1"/>
  <c r="D51" i="56"/>
  <c r="F51" i="56"/>
  <c r="F20" i="56"/>
  <c r="F18" i="56"/>
  <c r="F19" i="56" s="1"/>
  <c r="G51" i="56"/>
  <c r="C51" i="56"/>
  <c r="C50" i="56"/>
  <c r="C49" i="56"/>
  <c r="D21" i="78"/>
  <c r="D12" i="78"/>
  <c r="D58" i="78"/>
  <c r="P24" i="78" s="1"/>
  <c r="D49" i="78"/>
  <c r="D40" i="78"/>
  <c r="D31" i="78"/>
  <c r="D22" i="78"/>
  <c r="D103" i="78"/>
  <c r="D94" i="78"/>
  <c r="D85" i="78"/>
  <c r="D76" i="78"/>
  <c r="D67" i="78"/>
  <c r="G85" i="56"/>
  <c r="G83" i="56"/>
  <c r="G82" i="56"/>
  <c r="G81" i="56"/>
  <c r="G80" i="56"/>
  <c r="G79" i="56"/>
  <c r="E31" i="33"/>
  <c r="E54" i="33" s="1"/>
  <c r="F22" i="7" s="1"/>
  <c r="C67" i="10"/>
  <c r="C63" i="10"/>
  <c r="C59" i="10"/>
  <c r="AD3" i="78"/>
  <c r="AC3" i="78"/>
  <c r="AB3" i="78"/>
  <c r="AA3" i="78"/>
  <c r="Z3" i="78"/>
  <c r="Y3" i="78"/>
  <c r="X3" i="78"/>
  <c r="V3" i="78"/>
  <c r="U3" i="78"/>
  <c r="T3" i="78"/>
  <c r="S3" i="78"/>
  <c r="R3" i="78"/>
  <c r="Q3" i="78"/>
  <c r="P3" i="78"/>
  <c r="O3" i="78"/>
  <c r="N3" i="78"/>
  <c r="D111" i="78"/>
  <c r="D110" i="78"/>
  <c r="D109" i="78"/>
  <c r="D108" i="78"/>
  <c r="D107" i="78"/>
  <c r="D106" i="78"/>
  <c r="D105" i="78"/>
  <c r="D104" i="78"/>
  <c r="D102" i="78"/>
  <c r="D101" i="78"/>
  <c r="D100" i="78"/>
  <c r="D99" i="78"/>
  <c r="D98" i="78"/>
  <c r="D97" i="78"/>
  <c r="D96" i="78"/>
  <c r="D95" i="78"/>
  <c r="D93" i="78"/>
  <c r="D92" i="78"/>
  <c r="D91" i="78"/>
  <c r="D90" i="78"/>
  <c r="D89" i="78"/>
  <c r="D88" i="78"/>
  <c r="D87" i="78"/>
  <c r="D86" i="78"/>
  <c r="D84" i="78"/>
  <c r="D83" i="78"/>
  <c r="D82" i="78"/>
  <c r="D81" i="78"/>
  <c r="D80" i="78"/>
  <c r="D79" i="78"/>
  <c r="D78" i="78"/>
  <c r="D77" i="78"/>
  <c r="D75" i="78"/>
  <c r="D74" i="78"/>
  <c r="D73" i="78"/>
  <c r="D72" i="78"/>
  <c r="D71" i="78"/>
  <c r="D70" i="78"/>
  <c r="D69" i="78"/>
  <c r="D68" i="78"/>
  <c r="D66" i="78"/>
  <c r="D65" i="78"/>
  <c r="D64" i="78"/>
  <c r="D63" i="78"/>
  <c r="D62" i="78"/>
  <c r="D61" i="78"/>
  <c r="D60" i="78"/>
  <c r="D59" i="78"/>
  <c r="D57" i="78"/>
  <c r="D56" i="78"/>
  <c r="D55" i="78"/>
  <c r="D54" i="78"/>
  <c r="D53" i="78"/>
  <c r="D52" i="78"/>
  <c r="D51" i="78"/>
  <c r="D50" i="78"/>
  <c r="D48" i="78"/>
  <c r="D47" i="78"/>
  <c r="D46" i="78"/>
  <c r="D45" i="78"/>
  <c r="D44" i="78"/>
  <c r="D43" i="78"/>
  <c r="D42" i="78"/>
  <c r="D41" i="78"/>
  <c r="D39" i="78"/>
  <c r="D38" i="78"/>
  <c r="D37" i="78"/>
  <c r="D36" i="78"/>
  <c r="D35" i="78"/>
  <c r="D34" i="78"/>
  <c r="D33" i="78"/>
  <c r="D23" i="78"/>
  <c r="I198" i="22"/>
  <c r="J198" i="22" s="1"/>
  <c r="O18" i="11"/>
  <c r="N18" i="11"/>
  <c r="M18" i="11"/>
  <c r="L18" i="11"/>
  <c r="K18" i="11"/>
  <c r="J18" i="11"/>
  <c r="I18" i="11"/>
  <c r="H18" i="11"/>
  <c r="G18" i="11"/>
  <c r="F18" i="11"/>
  <c r="E18" i="11"/>
  <c r="D18" i="11"/>
  <c r="B101" i="57"/>
  <c r="B108" i="57" s="1"/>
  <c r="B100" i="57"/>
  <c r="B107" i="57" s="1"/>
  <c r="B99" i="57"/>
  <c r="B106" i="57" s="1"/>
  <c r="B98" i="57"/>
  <c r="B105" i="57" s="1"/>
  <c r="P191" i="11"/>
  <c r="P197" i="11" s="1"/>
  <c r="P203" i="11" s="1"/>
  <c r="P209" i="11" s="1"/>
  <c r="O191" i="11"/>
  <c r="N191" i="11"/>
  <c r="M191" i="11"/>
  <c r="L191" i="11"/>
  <c r="L197" i="11" s="1"/>
  <c r="L203" i="11" s="1"/>
  <c r="L209" i="11" s="1"/>
  <c r="K191" i="11"/>
  <c r="J191" i="11"/>
  <c r="J197" i="11" s="1"/>
  <c r="J203" i="11" s="1"/>
  <c r="J209" i="11" s="1"/>
  <c r="I191" i="11"/>
  <c r="I197" i="11" s="1"/>
  <c r="I203" i="11" s="1"/>
  <c r="I209" i="11" s="1"/>
  <c r="H191" i="11"/>
  <c r="H197" i="11" s="1"/>
  <c r="H203" i="11" s="1"/>
  <c r="H209" i="11" s="1"/>
  <c r="G191" i="11"/>
  <c r="F191" i="11"/>
  <c r="E191" i="11"/>
  <c r="D191" i="11"/>
  <c r="D197" i="11" s="1"/>
  <c r="D203" i="11" s="1"/>
  <c r="D209" i="11" s="1"/>
  <c r="C213" i="11"/>
  <c r="D210" i="11"/>
  <c r="P210" i="11" s="1"/>
  <c r="C207" i="11"/>
  <c r="P206" i="11"/>
  <c r="P205" i="11"/>
  <c r="D204" i="11"/>
  <c r="P204" i="11" s="1"/>
  <c r="P207" i="11" s="1"/>
  <c r="B203" i="11"/>
  <c r="C201" i="11"/>
  <c r="D198" i="11" s="1"/>
  <c r="M197" i="11"/>
  <c r="M203" i="11" s="1"/>
  <c r="M209" i="11" s="1"/>
  <c r="E197" i="11"/>
  <c r="E203" i="11" s="1"/>
  <c r="E209" i="11" s="1"/>
  <c r="O197" i="11"/>
  <c r="O203" i="11" s="1"/>
  <c r="O209" i="11" s="1"/>
  <c r="N197" i="11"/>
  <c r="N203" i="11" s="1"/>
  <c r="N209" i="11" s="1"/>
  <c r="K197" i="11"/>
  <c r="K203" i="11" s="1"/>
  <c r="K209" i="11" s="1"/>
  <c r="G197" i="11"/>
  <c r="G203" i="11" s="1"/>
  <c r="G209" i="11" s="1"/>
  <c r="F197" i="11"/>
  <c r="F203" i="11" s="1"/>
  <c r="F209" i="11" s="1"/>
  <c r="C197" i="11"/>
  <c r="C203" i="11" s="1"/>
  <c r="C209" i="11" s="1"/>
  <c r="O38" i="14"/>
  <c r="N38" i="14"/>
  <c r="M38" i="14"/>
  <c r="L38" i="14"/>
  <c r="K38" i="14"/>
  <c r="J38" i="14"/>
  <c r="I38" i="14"/>
  <c r="H38" i="14"/>
  <c r="G38" i="14"/>
  <c r="F38" i="14"/>
  <c r="E38" i="14"/>
  <c r="D38" i="14"/>
  <c r="B38" i="14"/>
  <c r="C48" i="14"/>
  <c r="D44" i="14" s="1"/>
  <c r="P46" i="14"/>
  <c r="B45" i="14"/>
  <c r="B124" i="15"/>
  <c r="C127" i="15"/>
  <c r="D123" i="15" s="1"/>
  <c r="C122" i="15"/>
  <c r="C12" i="22"/>
  <c r="U87" i="68"/>
  <c r="B91" i="68"/>
  <c r="C91" i="68"/>
  <c r="D91" i="68"/>
  <c r="E91" i="68"/>
  <c r="U91" i="68"/>
  <c r="E200" i="68"/>
  <c r="D200" i="68"/>
  <c r="C200" i="68"/>
  <c r="B200" i="68"/>
  <c r="E199" i="68"/>
  <c r="D199" i="68"/>
  <c r="C199" i="68"/>
  <c r="B199" i="68"/>
  <c r="E198" i="68"/>
  <c r="D198" i="68"/>
  <c r="C198" i="68"/>
  <c r="B198" i="68"/>
  <c r="E197" i="68"/>
  <c r="D197" i="68"/>
  <c r="C197" i="68"/>
  <c r="B197" i="68"/>
  <c r="E196" i="68"/>
  <c r="D196" i="68"/>
  <c r="C196" i="68"/>
  <c r="B196" i="68"/>
  <c r="E195" i="68"/>
  <c r="D195" i="68"/>
  <c r="C195" i="68"/>
  <c r="B195" i="68"/>
  <c r="E194" i="68"/>
  <c r="D194" i="68"/>
  <c r="C194" i="68"/>
  <c r="B194" i="68"/>
  <c r="E193" i="68"/>
  <c r="D193" i="68"/>
  <c r="C193" i="68"/>
  <c r="B193" i="68"/>
  <c r="E192" i="68"/>
  <c r="D192" i="68"/>
  <c r="C192" i="68"/>
  <c r="B192" i="68"/>
  <c r="E191" i="68"/>
  <c r="D191" i="68"/>
  <c r="C191" i="68"/>
  <c r="B191" i="68"/>
  <c r="E190" i="68"/>
  <c r="D190" i="68"/>
  <c r="C190" i="68"/>
  <c r="B190" i="68"/>
  <c r="E189" i="68"/>
  <c r="D189" i="68"/>
  <c r="C189" i="68"/>
  <c r="B189" i="68"/>
  <c r="E188" i="68"/>
  <c r="D188" i="68"/>
  <c r="C188" i="68"/>
  <c r="B188" i="68"/>
  <c r="E187" i="68"/>
  <c r="D187" i="68"/>
  <c r="C187" i="68"/>
  <c r="B187" i="68"/>
  <c r="E186" i="68"/>
  <c r="D186" i="68"/>
  <c r="C186" i="68"/>
  <c r="B186" i="68"/>
  <c r="E185" i="68"/>
  <c r="D185" i="68"/>
  <c r="C185" i="68"/>
  <c r="B185" i="68"/>
  <c r="E184" i="68"/>
  <c r="D184" i="68"/>
  <c r="C184" i="68"/>
  <c r="B184" i="68"/>
  <c r="E183" i="68"/>
  <c r="D183" i="68"/>
  <c r="C183" i="68"/>
  <c r="B183" i="68"/>
  <c r="E182" i="68"/>
  <c r="D182" i="68"/>
  <c r="C182" i="68"/>
  <c r="B182" i="68"/>
  <c r="E181" i="68"/>
  <c r="D181" i="68"/>
  <c r="C181" i="68"/>
  <c r="B181" i="68"/>
  <c r="E180" i="68"/>
  <c r="D180" i="68"/>
  <c r="C180" i="68"/>
  <c r="B180" i="68"/>
  <c r="E179" i="68"/>
  <c r="D179" i="68"/>
  <c r="C179" i="68"/>
  <c r="B179" i="68"/>
  <c r="E178" i="68"/>
  <c r="D178" i="68"/>
  <c r="C178" i="68"/>
  <c r="B178" i="68"/>
  <c r="E177" i="68"/>
  <c r="D177" i="68"/>
  <c r="C177" i="68"/>
  <c r="B177" i="68"/>
  <c r="E176" i="68"/>
  <c r="D176" i="68"/>
  <c r="C176" i="68"/>
  <c r="B176" i="68"/>
  <c r="E175" i="68"/>
  <c r="D175" i="68"/>
  <c r="C175" i="68"/>
  <c r="B175" i="68"/>
  <c r="E174" i="68"/>
  <c r="D174" i="68"/>
  <c r="C174" i="68"/>
  <c r="B174" i="68"/>
  <c r="E173" i="68"/>
  <c r="D173" i="68"/>
  <c r="C173" i="68"/>
  <c r="B173" i="68"/>
  <c r="E172" i="68"/>
  <c r="D172" i="68"/>
  <c r="C172" i="68"/>
  <c r="B172" i="68"/>
  <c r="E171" i="68"/>
  <c r="D171" i="68"/>
  <c r="C171" i="68"/>
  <c r="B171" i="68"/>
  <c r="E170" i="68"/>
  <c r="D170" i="68"/>
  <c r="C170" i="68"/>
  <c r="B170" i="68"/>
  <c r="E169" i="68"/>
  <c r="D169" i="68"/>
  <c r="C169" i="68"/>
  <c r="B169" i="68"/>
  <c r="E168" i="68"/>
  <c r="D168" i="68"/>
  <c r="C168" i="68"/>
  <c r="B168" i="68"/>
  <c r="E167" i="68"/>
  <c r="D167" i="68"/>
  <c r="C167" i="68"/>
  <c r="B167" i="68"/>
  <c r="E166" i="68"/>
  <c r="D166" i="68"/>
  <c r="C166" i="68"/>
  <c r="B166" i="68"/>
  <c r="E165" i="68"/>
  <c r="D165" i="68"/>
  <c r="C165" i="68"/>
  <c r="B165" i="68"/>
  <c r="E164" i="68"/>
  <c r="D164" i="68"/>
  <c r="C164" i="68"/>
  <c r="B164" i="68"/>
  <c r="E163" i="68"/>
  <c r="D163" i="68"/>
  <c r="C163" i="68"/>
  <c r="B163" i="68"/>
  <c r="E162" i="68"/>
  <c r="D162" i="68"/>
  <c r="C162" i="68"/>
  <c r="B162" i="68"/>
  <c r="E161" i="68"/>
  <c r="D161" i="68"/>
  <c r="C161" i="68"/>
  <c r="B161" i="68"/>
  <c r="E160" i="68"/>
  <c r="D160" i="68"/>
  <c r="C160" i="68"/>
  <c r="B160" i="68"/>
  <c r="E159" i="68"/>
  <c r="D159" i="68"/>
  <c r="C159" i="68"/>
  <c r="B159" i="68"/>
  <c r="E158" i="68"/>
  <c r="D158" i="68"/>
  <c r="C158" i="68"/>
  <c r="B158" i="68"/>
  <c r="E157" i="68"/>
  <c r="D157" i="68"/>
  <c r="C157" i="68"/>
  <c r="B157" i="68"/>
  <c r="E156" i="68"/>
  <c r="D156" i="68"/>
  <c r="C156" i="68"/>
  <c r="B156" i="68"/>
  <c r="E155" i="68"/>
  <c r="D155" i="68"/>
  <c r="C155" i="68"/>
  <c r="B155" i="68"/>
  <c r="E154" i="68"/>
  <c r="D154" i="68"/>
  <c r="C154" i="68"/>
  <c r="B154" i="68"/>
  <c r="E153" i="68"/>
  <c r="D153" i="68"/>
  <c r="C153" i="68"/>
  <c r="B153" i="68"/>
  <c r="E152" i="68"/>
  <c r="D152" i="68"/>
  <c r="C152" i="68"/>
  <c r="B152" i="68"/>
  <c r="E151" i="68"/>
  <c r="D151" i="68"/>
  <c r="C151" i="68"/>
  <c r="B151" i="68"/>
  <c r="E150" i="68"/>
  <c r="D150" i="68"/>
  <c r="C150" i="68"/>
  <c r="B150" i="68"/>
  <c r="E149" i="68"/>
  <c r="D149" i="68"/>
  <c r="C149" i="68"/>
  <c r="B149" i="68"/>
  <c r="E148" i="68"/>
  <c r="D148" i="68"/>
  <c r="C148" i="68"/>
  <c r="B148" i="68"/>
  <c r="E147" i="68"/>
  <c r="D147" i="68"/>
  <c r="C147" i="68"/>
  <c r="B147" i="68"/>
  <c r="E146" i="68"/>
  <c r="D146" i="68"/>
  <c r="C146" i="68"/>
  <c r="B146" i="68"/>
  <c r="E145" i="68"/>
  <c r="D145" i="68"/>
  <c r="C145" i="68"/>
  <c r="B145" i="68"/>
  <c r="E144" i="68"/>
  <c r="D144" i="68"/>
  <c r="C144" i="68"/>
  <c r="B144" i="68"/>
  <c r="E143" i="68"/>
  <c r="D143" i="68"/>
  <c r="C143" i="68"/>
  <c r="B143" i="68"/>
  <c r="E142" i="68"/>
  <c r="D142" i="68"/>
  <c r="C142" i="68"/>
  <c r="B142" i="68"/>
  <c r="E141" i="68"/>
  <c r="D141" i="68"/>
  <c r="C141" i="68"/>
  <c r="B141" i="68"/>
  <c r="E140" i="68"/>
  <c r="D140" i="68"/>
  <c r="C140" i="68"/>
  <c r="B140" i="68"/>
  <c r="E139" i="68"/>
  <c r="D139" i="68"/>
  <c r="C139" i="68"/>
  <c r="B139" i="68"/>
  <c r="E138" i="68"/>
  <c r="D138" i="68"/>
  <c r="C138" i="68"/>
  <c r="B138" i="68"/>
  <c r="E137" i="68"/>
  <c r="D137" i="68"/>
  <c r="C137" i="68"/>
  <c r="B137" i="68"/>
  <c r="E136" i="68"/>
  <c r="D136" i="68"/>
  <c r="C136" i="68"/>
  <c r="B136" i="68"/>
  <c r="E135" i="68"/>
  <c r="D135" i="68"/>
  <c r="C135" i="68"/>
  <c r="B135" i="68"/>
  <c r="E134" i="68"/>
  <c r="D134" i="68"/>
  <c r="C134" i="68"/>
  <c r="B134" i="68"/>
  <c r="E133" i="68"/>
  <c r="D133" i="68"/>
  <c r="C133" i="68"/>
  <c r="B133" i="68"/>
  <c r="E132" i="68"/>
  <c r="D132" i="68"/>
  <c r="C132" i="68"/>
  <c r="B132" i="68"/>
  <c r="E131" i="68"/>
  <c r="D131" i="68"/>
  <c r="C131" i="68"/>
  <c r="B131" i="68"/>
  <c r="E130" i="68"/>
  <c r="D130" i="68"/>
  <c r="C130" i="68"/>
  <c r="B130" i="68"/>
  <c r="E129" i="68"/>
  <c r="D129" i="68"/>
  <c r="C129" i="68"/>
  <c r="B129" i="68"/>
  <c r="E128" i="68"/>
  <c r="D128" i="68"/>
  <c r="C128" i="68"/>
  <c r="B128" i="68"/>
  <c r="E127" i="68"/>
  <c r="D127" i="68"/>
  <c r="C127" i="68"/>
  <c r="B127" i="68"/>
  <c r="E126" i="68"/>
  <c r="D126" i="68"/>
  <c r="C126" i="68"/>
  <c r="B126" i="68"/>
  <c r="E125" i="68"/>
  <c r="D125" i="68"/>
  <c r="C125" i="68"/>
  <c r="B125" i="68"/>
  <c r="E124" i="68"/>
  <c r="D124" i="68"/>
  <c r="C124" i="68"/>
  <c r="B124" i="68"/>
  <c r="E123" i="68"/>
  <c r="D123" i="68"/>
  <c r="C123" i="68"/>
  <c r="B123" i="68"/>
  <c r="E122" i="68"/>
  <c r="D122" i="68"/>
  <c r="C122" i="68"/>
  <c r="B122" i="68"/>
  <c r="E121" i="68"/>
  <c r="D121" i="68"/>
  <c r="C121" i="68"/>
  <c r="B121" i="68"/>
  <c r="E120" i="68"/>
  <c r="D120" i="68"/>
  <c r="C120" i="68"/>
  <c r="B120" i="68"/>
  <c r="E119" i="68"/>
  <c r="D119" i="68"/>
  <c r="C119" i="68"/>
  <c r="B119" i="68"/>
  <c r="E118" i="68"/>
  <c r="D118" i="68"/>
  <c r="C118" i="68"/>
  <c r="B118" i="68"/>
  <c r="E117" i="68"/>
  <c r="D117" i="68"/>
  <c r="C117" i="68"/>
  <c r="B117" i="68"/>
  <c r="E116" i="68"/>
  <c r="D116" i="68"/>
  <c r="C116" i="68"/>
  <c r="B116" i="68"/>
  <c r="E115" i="68"/>
  <c r="D115" i="68"/>
  <c r="C115" i="68"/>
  <c r="B115" i="68"/>
  <c r="E114" i="68"/>
  <c r="D114" i="68"/>
  <c r="C114" i="68"/>
  <c r="B114" i="68"/>
  <c r="E113" i="68"/>
  <c r="D113" i="68"/>
  <c r="C113" i="68"/>
  <c r="B113" i="68"/>
  <c r="E112" i="68"/>
  <c r="D112" i="68"/>
  <c r="C112" i="68"/>
  <c r="B112" i="68"/>
  <c r="E111" i="68"/>
  <c r="D111" i="68"/>
  <c r="C111" i="68"/>
  <c r="B111" i="68"/>
  <c r="E110" i="68"/>
  <c r="D110" i="68"/>
  <c r="C110" i="68"/>
  <c r="B110" i="68"/>
  <c r="E109" i="68"/>
  <c r="D109" i="68"/>
  <c r="C109" i="68"/>
  <c r="B109" i="68"/>
  <c r="E108" i="68"/>
  <c r="D108" i="68"/>
  <c r="C108" i="68"/>
  <c r="B108" i="68"/>
  <c r="E107" i="68"/>
  <c r="D107" i="68"/>
  <c r="C107" i="68"/>
  <c r="B107" i="68"/>
  <c r="E106" i="68"/>
  <c r="D106" i="68"/>
  <c r="C106" i="68"/>
  <c r="B106" i="68"/>
  <c r="E105" i="68"/>
  <c r="D105" i="68"/>
  <c r="C105" i="68"/>
  <c r="B105" i="68"/>
  <c r="E104" i="68"/>
  <c r="D104" i="68"/>
  <c r="C104" i="68"/>
  <c r="B104" i="68"/>
  <c r="E103" i="68"/>
  <c r="D103" i="68"/>
  <c r="C103" i="68"/>
  <c r="B103" i="68"/>
  <c r="E102" i="68"/>
  <c r="D102" i="68"/>
  <c r="C102" i="68"/>
  <c r="B102" i="68"/>
  <c r="E101" i="68"/>
  <c r="D101" i="68"/>
  <c r="C101" i="68"/>
  <c r="B101" i="68"/>
  <c r="E100" i="68"/>
  <c r="D100" i="68"/>
  <c r="C100" i="68"/>
  <c r="B100" i="68"/>
  <c r="E99" i="68"/>
  <c r="D99" i="68"/>
  <c r="C99" i="68"/>
  <c r="B99" i="68"/>
  <c r="E98" i="68"/>
  <c r="D98" i="68"/>
  <c r="C98" i="68"/>
  <c r="B98" i="68"/>
  <c r="E97" i="68"/>
  <c r="D97" i="68"/>
  <c r="C97" i="68"/>
  <c r="B97" i="68"/>
  <c r="E96" i="68"/>
  <c r="D96" i="68"/>
  <c r="C96" i="68"/>
  <c r="B96" i="68"/>
  <c r="E95" i="68"/>
  <c r="D95" i="68"/>
  <c r="C95" i="68"/>
  <c r="B95" i="68"/>
  <c r="E94" i="68"/>
  <c r="D94" i="68"/>
  <c r="C94" i="68"/>
  <c r="B94" i="68"/>
  <c r="E93" i="68"/>
  <c r="D93" i="68"/>
  <c r="C93" i="68"/>
  <c r="B93" i="68"/>
  <c r="E92" i="68"/>
  <c r="D92" i="68"/>
  <c r="C92" i="68"/>
  <c r="B92" i="68"/>
  <c r="E90" i="68"/>
  <c r="D90" i="68"/>
  <c r="C90" i="68"/>
  <c r="B90" i="68"/>
  <c r="E89" i="68"/>
  <c r="D89" i="68"/>
  <c r="C89" i="68"/>
  <c r="B89" i="68"/>
  <c r="E88" i="68"/>
  <c r="D88" i="68"/>
  <c r="C88" i="68"/>
  <c r="B88" i="68"/>
  <c r="E87" i="68"/>
  <c r="D87" i="68"/>
  <c r="C87" i="68"/>
  <c r="B87" i="68"/>
  <c r="E86" i="68"/>
  <c r="D86" i="68"/>
  <c r="C86" i="68"/>
  <c r="B86" i="68"/>
  <c r="E85" i="68"/>
  <c r="D85" i="68"/>
  <c r="C85" i="68"/>
  <c r="B85" i="68"/>
  <c r="E84" i="68"/>
  <c r="D84" i="68"/>
  <c r="C84" i="68"/>
  <c r="B84" i="68"/>
  <c r="E83" i="68"/>
  <c r="D83" i="68"/>
  <c r="C83" i="68"/>
  <c r="B83" i="68"/>
  <c r="E82" i="68"/>
  <c r="D82" i="68"/>
  <c r="C82" i="68"/>
  <c r="B82" i="68"/>
  <c r="E81" i="68"/>
  <c r="D81" i="68"/>
  <c r="C81" i="68"/>
  <c r="B81" i="68"/>
  <c r="E80" i="68"/>
  <c r="D80" i="68"/>
  <c r="C80" i="68"/>
  <c r="B80" i="68"/>
  <c r="E79" i="68"/>
  <c r="D79" i="68"/>
  <c r="C79" i="68"/>
  <c r="B79" i="68"/>
  <c r="E78" i="68"/>
  <c r="D78" i="68"/>
  <c r="C78" i="68"/>
  <c r="B78" i="68"/>
  <c r="E77" i="68"/>
  <c r="D77" i="68"/>
  <c r="C77" i="68"/>
  <c r="B77" i="68"/>
  <c r="E76" i="68"/>
  <c r="D76" i="68"/>
  <c r="C76" i="68"/>
  <c r="B76" i="68"/>
  <c r="E75" i="68"/>
  <c r="D75" i="68"/>
  <c r="C75" i="68"/>
  <c r="B75" i="68"/>
  <c r="E74" i="68"/>
  <c r="D74" i="68"/>
  <c r="C74" i="68"/>
  <c r="B74" i="68"/>
  <c r="E73" i="68"/>
  <c r="D73" i="68"/>
  <c r="C73" i="68"/>
  <c r="B73" i="68"/>
  <c r="E72" i="68"/>
  <c r="D72" i="68"/>
  <c r="C72" i="68"/>
  <c r="B72" i="68"/>
  <c r="E71" i="68"/>
  <c r="D71" i="68"/>
  <c r="C71" i="68"/>
  <c r="B71" i="68"/>
  <c r="E70" i="68"/>
  <c r="D70" i="68"/>
  <c r="C70" i="68"/>
  <c r="B70" i="68"/>
  <c r="E69" i="68"/>
  <c r="D69" i="68"/>
  <c r="C69" i="68"/>
  <c r="B69" i="68"/>
  <c r="E68" i="68"/>
  <c r="D68" i="68"/>
  <c r="C68" i="68"/>
  <c r="B68" i="68"/>
  <c r="E67" i="68"/>
  <c r="D67" i="68"/>
  <c r="C67" i="68"/>
  <c r="B67" i="68"/>
  <c r="E66" i="68"/>
  <c r="D66" i="68"/>
  <c r="C66" i="68"/>
  <c r="B66" i="68"/>
  <c r="E65" i="68"/>
  <c r="D65" i="68"/>
  <c r="C65" i="68"/>
  <c r="B65" i="68"/>
  <c r="E64" i="68"/>
  <c r="D64" i="68"/>
  <c r="C64" i="68"/>
  <c r="B64" i="68"/>
  <c r="E63" i="68"/>
  <c r="D63" i="68"/>
  <c r="C63" i="68"/>
  <c r="B63" i="68"/>
  <c r="E62" i="68"/>
  <c r="D62" i="68"/>
  <c r="C62" i="68"/>
  <c r="B62" i="68"/>
  <c r="E61" i="68"/>
  <c r="D61" i="68"/>
  <c r="C61" i="68"/>
  <c r="B61" i="68"/>
  <c r="E60" i="68"/>
  <c r="D60" i="68"/>
  <c r="C60" i="68"/>
  <c r="B60" i="68"/>
  <c r="E59" i="68"/>
  <c r="D59" i="68"/>
  <c r="C59" i="68"/>
  <c r="B59" i="68"/>
  <c r="E58" i="68"/>
  <c r="D58" i="68"/>
  <c r="C58" i="68"/>
  <c r="B58" i="68"/>
  <c r="E57" i="68"/>
  <c r="D57" i="68"/>
  <c r="C57" i="68"/>
  <c r="B57" i="68"/>
  <c r="E56" i="68"/>
  <c r="D56" i="68"/>
  <c r="C56" i="68"/>
  <c r="B56" i="68"/>
  <c r="E55" i="68"/>
  <c r="D55" i="68"/>
  <c r="C55" i="68"/>
  <c r="B55" i="68"/>
  <c r="E54" i="68"/>
  <c r="D54" i="68"/>
  <c r="C54" i="68"/>
  <c r="B54" i="68"/>
  <c r="E53" i="68"/>
  <c r="D53" i="68"/>
  <c r="C53" i="68"/>
  <c r="B53" i="68"/>
  <c r="E52" i="68"/>
  <c r="D52" i="68"/>
  <c r="C52" i="68"/>
  <c r="B52" i="68"/>
  <c r="E51" i="68"/>
  <c r="D51" i="68"/>
  <c r="C51" i="68"/>
  <c r="B51" i="68"/>
  <c r="E50" i="68"/>
  <c r="D50" i="68"/>
  <c r="C50" i="68"/>
  <c r="B50" i="68"/>
  <c r="E49" i="68"/>
  <c r="D49" i="68"/>
  <c r="C49" i="68"/>
  <c r="B49" i="68"/>
  <c r="E48" i="68"/>
  <c r="D48" i="68"/>
  <c r="C48" i="68"/>
  <c r="B48" i="68"/>
  <c r="E47" i="68"/>
  <c r="D47" i="68"/>
  <c r="C47" i="68"/>
  <c r="B47" i="68"/>
  <c r="E46" i="68"/>
  <c r="D46" i="68"/>
  <c r="C46" i="68"/>
  <c r="B46" i="68"/>
  <c r="E45" i="68"/>
  <c r="D45" i="68"/>
  <c r="C45" i="68"/>
  <c r="B45" i="68"/>
  <c r="E44" i="68"/>
  <c r="D44" i="68"/>
  <c r="C44" i="68"/>
  <c r="B44" i="68"/>
  <c r="E43" i="68"/>
  <c r="D43" i="68"/>
  <c r="C43" i="68"/>
  <c r="B43" i="68"/>
  <c r="E42" i="68"/>
  <c r="D42" i="68"/>
  <c r="C42" i="68"/>
  <c r="B42" i="68"/>
  <c r="E41" i="68"/>
  <c r="D41" i="68"/>
  <c r="C41" i="68"/>
  <c r="B41" i="68"/>
  <c r="E40" i="68"/>
  <c r="D40" i="68"/>
  <c r="C40" i="68"/>
  <c r="B40" i="68"/>
  <c r="E39" i="68"/>
  <c r="D39" i="68"/>
  <c r="C39" i="68"/>
  <c r="B39" i="68"/>
  <c r="E38" i="68"/>
  <c r="D38" i="68"/>
  <c r="C38" i="68"/>
  <c r="B38" i="68"/>
  <c r="E37" i="68"/>
  <c r="D37" i="68"/>
  <c r="C37" i="68"/>
  <c r="B37" i="68"/>
  <c r="E36" i="68"/>
  <c r="D36" i="68"/>
  <c r="C36" i="68"/>
  <c r="B36" i="68"/>
  <c r="E35" i="68"/>
  <c r="D35" i="68"/>
  <c r="C35" i="68"/>
  <c r="B35" i="68"/>
  <c r="E34" i="68"/>
  <c r="D34" i="68"/>
  <c r="C34" i="68"/>
  <c r="B34" i="68"/>
  <c r="E33" i="68"/>
  <c r="D33" i="68"/>
  <c r="C33" i="68"/>
  <c r="B33" i="68"/>
  <c r="E32" i="68"/>
  <c r="D32" i="68"/>
  <c r="C32" i="68"/>
  <c r="B32" i="68"/>
  <c r="E31" i="68"/>
  <c r="D31" i="68"/>
  <c r="C31" i="68"/>
  <c r="B31" i="68"/>
  <c r="E30" i="68"/>
  <c r="D30" i="68"/>
  <c r="C30" i="68"/>
  <c r="B30" i="68"/>
  <c r="E29" i="68"/>
  <c r="D29" i="68"/>
  <c r="C29" i="68"/>
  <c r="B29" i="68"/>
  <c r="E28" i="68"/>
  <c r="D28" i="68"/>
  <c r="C28" i="68"/>
  <c r="B28" i="68"/>
  <c r="E27" i="68"/>
  <c r="D27" i="68"/>
  <c r="C27" i="68"/>
  <c r="B27" i="68"/>
  <c r="E26" i="68"/>
  <c r="D26" i="68"/>
  <c r="C26" i="68"/>
  <c r="B26" i="68"/>
  <c r="E25" i="68"/>
  <c r="D25" i="68"/>
  <c r="C25" i="68"/>
  <c r="B25" i="68"/>
  <c r="E24" i="68"/>
  <c r="D24" i="68"/>
  <c r="C24" i="68"/>
  <c r="B24" i="68"/>
  <c r="E23" i="68"/>
  <c r="D23" i="68"/>
  <c r="C23" i="68"/>
  <c r="B23" i="68"/>
  <c r="E22" i="68"/>
  <c r="D22" i="68"/>
  <c r="C22" i="68"/>
  <c r="B22" i="68"/>
  <c r="E21" i="68"/>
  <c r="D21" i="68"/>
  <c r="C21" i="68"/>
  <c r="B21" i="68"/>
  <c r="E20" i="68"/>
  <c r="D20" i="68"/>
  <c r="C20" i="68"/>
  <c r="B20" i="68"/>
  <c r="E19" i="68"/>
  <c r="D19" i="68"/>
  <c r="C19" i="68"/>
  <c r="B19" i="68"/>
  <c r="E18" i="68"/>
  <c r="D18" i="68"/>
  <c r="C18" i="68"/>
  <c r="B18" i="68"/>
  <c r="E17" i="68"/>
  <c r="D17" i="68"/>
  <c r="C17" i="68"/>
  <c r="B17" i="68"/>
  <c r="E16" i="68"/>
  <c r="D16" i="68"/>
  <c r="C16" i="68"/>
  <c r="B16" i="68"/>
  <c r="E15" i="68"/>
  <c r="D15" i="68"/>
  <c r="C15" i="68"/>
  <c r="B15" i="68"/>
  <c r="E14" i="68"/>
  <c r="D14" i="68"/>
  <c r="C14" i="68"/>
  <c r="B14" i="68"/>
  <c r="E13" i="68"/>
  <c r="D13" i="68"/>
  <c r="C13" i="68"/>
  <c r="B13" i="68"/>
  <c r="E12" i="68"/>
  <c r="D12" i="68"/>
  <c r="C12" i="68"/>
  <c r="B12" i="68"/>
  <c r="E11" i="68"/>
  <c r="D11" i="68"/>
  <c r="C11" i="68"/>
  <c r="B11" i="68"/>
  <c r="E10" i="68"/>
  <c r="D10" i="68"/>
  <c r="C10" i="68"/>
  <c r="B10" i="68"/>
  <c r="E9" i="68"/>
  <c r="D9" i="68"/>
  <c r="C9" i="68"/>
  <c r="B9" i="68"/>
  <c r="E8" i="68"/>
  <c r="D8" i="68"/>
  <c r="C8" i="68"/>
  <c r="B8" i="68"/>
  <c r="E7" i="68"/>
  <c r="D7" i="68"/>
  <c r="C7" i="68"/>
  <c r="B7" i="68"/>
  <c r="E6" i="68"/>
  <c r="D6" i="68"/>
  <c r="C6" i="68"/>
  <c r="B6" i="68"/>
  <c r="E5" i="68"/>
  <c r="D5" i="68"/>
  <c r="C5" i="68"/>
  <c r="B5" i="68"/>
  <c r="U200" i="68"/>
  <c r="U199" i="68"/>
  <c r="U198" i="68"/>
  <c r="U197" i="68"/>
  <c r="U196" i="68"/>
  <c r="U195" i="68"/>
  <c r="U194" i="68"/>
  <c r="U193" i="68"/>
  <c r="U192" i="68"/>
  <c r="U191" i="68"/>
  <c r="U190" i="68"/>
  <c r="U189" i="68"/>
  <c r="U188" i="68"/>
  <c r="U187" i="68"/>
  <c r="U186" i="68"/>
  <c r="U185" i="68"/>
  <c r="U184" i="68"/>
  <c r="U183" i="68"/>
  <c r="U182" i="68"/>
  <c r="U181" i="68"/>
  <c r="U180" i="68"/>
  <c r="U179" i="68"/>
  <c r="U178" i="68"/>
  <c r="U177" i="68"/>
  <c r="U176" i="68"/>
  <c r="U175" i="68"/>
  <c r="U174" i="68"/>
  <c r="U173" i="68"/>
  <c r="U172" i="68"/>
  <c r="U171" i="68"/>
  <c r="U170" i="68"/>
  <c r="U169" i="68"/>
  <c r="U168" i="68"/>
  <c r="U167" i="68"/>
  <c r="U166" i="68"/>
  <c r="U165" i="68"/>
  <c r="U164" i="68"/>
  <c r="U163" i="68"/>
  <c r="U162" i="68"/>
  <c r="U161" i="68"/>
  <c r="U160" i="68"/>
  <c r="U159" i="68"/>
  <c r="U158" i="68"/>
  <c r="U157" i="68"/>
  <c r="U156" i="68"/>
  <c r="U155" i="68"/>
  <c r="U154" i="68"/>
  <c r="U153" i="68"/>
  <c r="U152" i="68"/>
  <c r="U151" i="68"/>
  <c r="U150" i="68"/>
  <c r="U149" i="68"/>
  <c r="U148" i="68"/>
  <c r="U147" i="68"/>
  <c r="U146" i="68"/>
  <c r="U145" i="68"/>
  <c r="U144" i="68"/>
  <c r="U143" i="68"/>
  <c r="U142" i="68"/>
  <c r="U141" i="68"/>
  <c r="U140" i="68"/>
  <c r="U139" i="68"/>
  <c r="U138" i="68"/>
  <c r="U137" i="68"/>
  <c r="U136" i="68"/>
  <c r="U135" i="68"/>
  <c r="U134" i="68"/>
  <c r="U133" i="68"/>
  <c r="U132" i="68"/>
  <c r="U131" i="68"/>
  <c r="U130" i="68"/>
  <c r="U129" i="68"/>
  <c r="U128" i="68"/>
  <c r="U127" i="68"/>
  <c r="U126" i="68"/>
  <c r="U125" i="68"/>
  <c r="U124" i="68"/>
  <c r="U123" i="68"/>
  <c r="U122" i="68"/>
  <c r="U121" i="68"/>
  <c r="U120" i="68"/>
  <c r="U119" i="68"/>
  <c r="U118" i="68"/>
  <c r="U117" i="68"/>
  <c r="U116" i="68"/>
  <c r="U115" i="68"/>
  <c r="U114" i="68"/>
  <c r="U113" i="68"/>
  <c r="U112" i="68"/>
  <c r="U111" i="68"/>
  <c r="U110" i="68"/>
  <c r="U109" i="68"/>
  <c r="U108" i="68"/>
  <c r="U107" i="68"/>
  <c r="U106" i="68"/>
  <c r="U105" i="68"/>
  <c r="U104" i="68"/>
  <c r="U103" i="68"/>
  <c r="U102" i="68"/>
  <c r="U101" i="68"/>
  <c r="U100" i="68"/>
  <c r="U99" i="68"/>
  <c r="U98" i="68"/>
  <c r="U97" i="68"/>
  <c r="U96" i="68"/>
  <c r="U95" i="68"/>
  <c r="U94" i="68"/>
  <c r="U93" i="68"/>
  <c r="U92" i="68"/>
  <c r="U90" i="68"/>
  <c r="U89" i="68"/>
  <c r="U88" i="68"/>
  <c r="U86" i="68"/>
  <c r="U85" i="68"/>
  <c r="U84" i="68"/>
  <c r="U83" i="68"/>
  <c r="U82" i="68"/>
  <c r="U81" i="68"/>
  <c r="U80" i="68"/>
  <c r="U79" i="68"/>
  <c r="U78" i="68"/>
  <c r="U77" i="68"/>
  <c r="U76" i="68"/>
  <c r="U75" i="68"/>
  <c r="U74" i="68"/>
  <c r="U73" i="68"/>
  <c r="U72" i="68"/>
  <c r="U71" i="68"/>
  <c r="U70" i="68"/>
  <c r="U69" i="68"/>
  <c r="U68" i="68"/>
  <c r="U67" i="68"/>
  <c r="U66" i="68"/>
  <c r="U65" i="68"/>
  <c r="U64" i="68"/>
  <c r="U63" i="68"/>
  <c r="U62" i="68"/>
  <c r="U61" i="68"/>
  <c r="U60" i="68"/>
  <c r="U59" i="68"/>
  <c r="U58" i="68"/>
  <c r="U57" i="68"/>
  <c r="U56" i="68"/>
  <c r="U55" i="68"/>
  <c r="U54" i="68"/>
  <c r="U53" i="68"/>
  <c r="U52" i="68"/>
  <c r="U51" i="68"/>
  <c r="U50" i="68"/>
  <c r="U49" i="68"/>
  <c r="U48" i="68"/>
  <c r="U47" i="68"/>
  <c r="U46" i="68"/>
  <c r="U202" i="68"/>
  <c r="U45" i="68"/>
  <c r="U44" i="68"/>
  <c r="U43" i="68"/>
  <c r="U42" i="68"/>
  <c r="U41" i="68"/>
  <c r="U40" i="68"/>
  <c r="U39" i="68"/>
  <c r="U38" i="68"/>
  <c r="U37" i="68"/>
  <c r="U36" i="68"/>
  <c r="U35" i="68"/>
  <c r="U34" i="68"/>
  <c r="U33" i="68"/>
  <c r="U32" i="68"/>
  <c r="U31" i="68"/>
  <c r="U30" i="68"/>
  <c r="U29" i="68"/>
  <c r="U28" i="68"/>
  <c r="U27" i="68"/>
  <c r="U26" i="68"/>
  <c r="U25" i="68"/>
  <c r="U24" i="68"/>
  <c r="U23" i="68"/>
  <c r="U22" i="68"/>
  <c r="U21" i="68"/>
  <c r="U20" i="68"/>
  <c r="U19" i="68"/>
  <c r="U18" i="68"/>
  <c r="U17" i="68"/>
  <c r="U16" i="68"/>
  <c r="U15" i="68"/>
  <c r="U14" i="68"/>
  <c r="U13" i="68"/>
  <c r="U12" i="68"/>
  <c r="U11" i="68"/>
  <c r="U10" i="68"/>
  <c r="U9" i="68"/>
  <c r="U8" i="68"/>
  <c r="U7" i="68"/>
  <c r="U6" i="68"/>
  <c r="U5" i="68"/>
  <c r="T3" i="68"/>
  <c r="S3" i="68"/>
  <c r="R3" i="68"/>
  <c r="Q3" i="68"/>
  <c r="P3" i="68"/>
  <c r="O3" i="68"/>
  <c r="N3" i="68"/>
  <c r="M3" i="68"/>
  <c r="L3" i="68"/>
  <c r="K3" i="68"/>
  <c r="J3" i="68"/>
  <c r="I3" i="68"/>
  <c r="H3" i="68"/>
  <c r="B67" i="10" l="1"/>
  <c r="H67" i="10"/>
  <c r="G122" i="74" s="1"/>
  <c r="C72" i="10"/>
  <c r="C81" i="10" s="1"/>
  <c r="C68" i="10"/>
  <c r="B59" i="10"/>
  <c r="Y4" i="78" a="1"/>
  <c r="Y4" i="78" s="1"/>
  <c r="O43" i="19"/>
  <c r="O13" i="57"/>
  <c r="D13" i="78"/>
  <c r="P9" i="78" s="1"/>
  <c r="P28" i="78"/>
  <c r="P15" i="78"/>
  <c r="P27" i="78"/>
  <c r="D32" i="78"/>
  <c r="P33" i="78"/>
  <c r="P39" i="78"/>
  <c r="I194" i="10"/>
  <c r="B63" i="10"/>
  <c r="K174" i="10"/>
  <c r="K178" i="10"/>
  <c r="K182" i="10"/>
  <c r="K186" i="10"/>
  <c r="K190" i="10"/>
  <c r="K175" i="10"/>
  <c r="K179" i="10"/>
  <c r="K183" i="10"/>
  <c r="K187" i="10"/>
  <c r="K191" i="10"/>
  <c r="K172" i="10"/>
  <c r="K176" i="10"/>
  <c r="K180" i="10"/>
  <c r="K184" i="10"/>
  <c r="K188" i="10"/>
  <c r="K192" i="10"/>
  <c r="K173" i="10"/>
  <c r="K177" i="10"/>
  <c r="K181" i="10"/>
  <c r="K185" i="10"/>
  <c r="K189" i="10"/>
  <c r="K193" i="10"/>
  <c r="C76" i="10"/>
  <c r="C60" i="10"/>
  <c r="C64" i="10"/>
  <c r="P36" i="78"/>
  <c r="D9" i="78"/>
  <c r="D17" i="78"/>
  <c r="D8" i="78"/>
  <c r="D16" i="78"/>
  <c r="P20" i="78"/>
  <c r="D10" i="78"/>
  <c r="D18" i="78"/>
  <c r="D11" i="78"/>
  <c r="D19" i="78"/>
  <c r="D20" i="78"/>
  <c r="D5" i="78"/>
  <c r="D6" i="78"/>
  <c r="D14" i="78"/>
  <c r="D7" i="78"/>
  <c r="D15" i="78"/>
  <c r="P18" i="78"/>
  <c r="D4" i="78"/>
  <c r="P4" i="78" s="1"/>
  <c r="D24" i="78"/>
  <c r="P12" i="78"/>
  <c r="P14" i="78"/>
  <c r="P17" i="78"/>
  <c r="P21" i="78"/>
  <c r="P13" i="78"/>
  <c r="P29" i="78"/>
  <c r="P37" i="78"/>
  <c r="P22" i="78"/>
  <c r="P30" i="78"/>
  <c r="P38" i="78"/>
  <c r="P23" i="78"/>
  <c r="P31" i="78"/>
  <c r="P16" i="78"/>
  <c r="P32" i="78"/>
  <c r="P25" i="78"/>
  <c r="P26" i="78"/>
  <c r="P34" i="78"/>
  <c r="P19" i="78"/>
  <c r="P35" i="78"/>
  <c r="P198" i="11"/>
  <c r="D207" i="11"/>
  <c r="E204" i="11" s="1"/>
  <c r="E207" i="11" s="1"/>
  <c r="F204" i="11" s="1"/>
  <c r="F207" i="11" s="1"/>
  <c r="G204" i="11" s="1"/>
  <c r="G207" i="11" s="1"/>
  <c r="H204" i="11" s="1"/>
  <c r="H207" i="11" s="1"/>
  <c r="I204" i="11" s="1"/>
  <c r="I207" i="11" s="1"/>
  <c r="J204" i="11" s="1"/>
  <c r="J207" i="11" s="1"/>
  <c r="K204" i="11" s="1"/>
  <c r="K207" i="11" s="1"/>
  <c r="L204" i="11" s="1"/>
  <c r="L207" i="11" s="1"/>
  <c r="M204" i="11" s="1"/>
  <c r="M207" i="11" s="1"/>
  <c r="N204" i="11" s="1"/>
  <c r="N207" i="11" s="1"/>
  <c r="O204" i="11" s="1"/>
  <c r="O207" i="11" s="1"/>
  <c r="P44" i="14"/>
  <c r="P123" i="15"/>
  <c r="U3" i="68"/>
  <c r="B76" i="10" l="1"/>
  <c r="H76" i="10"/>
  <c r="G131" i="74" s="1"/>
  <c r="B68" i="10"/>
  <c r="B81" i="10"/>
  <c r="C77" i="10"/>
  <c r="C86" i="10" s="1"/>
  <c r="B72" i="10"/>
  <c r="B64" i="10"/>
  <c r="B60" i="10"/>
  <c r="K194" i="10"/>
  <c r="C85" i="10"/>
  <c r="C90" i="10"/>
  <c r="C61" i="10"/>
  <c r="C69" i="10"/>
  <c r="C73" i="10"/>
  <c r="C65" i="10"/>
  <c r="P6" i="78"/>
  <c r="P11" i="78"/>
  <c r="P5" i="78"/>
  <c r="P8" i="78"/>
  <c r="P7" i="78"/>
  <c r="P10" i="78"/>
  <c r="D25" i="78"/>
  <c r="Z4" i="78" a="1"/>
  <c r="Y16" i="78"/>
  <c r="Y18" i="78" s="1"/>
  <c r="O11" i="33"/>
  <c r="O38" i="19"/>
  <c r="O61" i="19" s="1"/>
  <c r="O71" i="19" s="1"/>
  <c r="N38" i="19"/>
  <c r="N61" i="19" s="1"/>
  <c r="N71" i="19" s="1"/>
  <c r="M38" i="19"/>
  <c r="M61" i="19" s="1"/>
  <c r="M71" i="19" s="1"/>
  <c r="L38" i="19"/>
  <c r="L61" i="19" s="1"/>
  <c r="L71" i="19" s="1"/>
  <c r="K38" i="19"/>
  <c r="K61" i="19" s="1"/>
  <c r="K71" i="19" s="1"/>
  <c r="J38" i="19"/>
  <c r="J61" i="19" s="1"/>
  <c r="J71" i="19" s="1"/>
  <c r="I38" i="19"/>
  <c r="I61" i="19" s="1"/>
  <c r="I71" i="19" s="1"/>
  <c r="H38" i="19"/>
  <c r="H61" i="19" s="1"/>
  <c r="H71" i="19" s="1"/>
  <c r="G38" i="19"/>
  <c r="G61" i="19" s="1"/>
  <c r="G71" i="19" s="1"/>
  <c r="F38" i="19"/>
  <c r="F61" i="19" s="1"/>
  <c r="F71" i="19" s="1"/>
  <c r="E38" i="19"/>
  <c r="E61" i="19" s="1"/>
  <c r="E71" i="19" s="1"/>
  <c r="D38" i="19"/>
  <c r="D61" i="19" s="1"/>
  <c r="D71" i="19" s="1"/>
  <c r="C38" i="19"/>
  <c r="C61" i="19" s="1"/>
  <c r="C71" i="19" s="1"/>
  <c r="O15" i="16"/>
  <c r="N15" i="16"/>
  <c r="M15" i="16"/>
  <c r="L53" i="19" s="1"/>
  <c r="L15" i="16"/>
  <c r="K53" i="19" s="1"/>
  <c r="K15" i="16"/>
  <c r="J53" i="19" s="1"/>
  <c r="J15" i="16"/>
  <c r="I53" i="19" s="1"/>
  <c r="I15" i="16"/>
  <c r="H53" i="19" s="1"/>
  <c r="H15" i="16"/>
  <c r="G15" i="16"/>
  <c r="F15" i="16"/>
  <c r="E15" i="16"/>
  <c r="D53" i="19" s="1"/>
  <c r="D15" i="16"/>
  <c r="B45" i="19"/>
  <c r="O115" i="11"/>
  <c r="N115" i="11"/>
  <c r="M115" i="11"/>
  <c r="L115" i="11"/>
  <c r="K115" i="11"/>
  <c r="J115" i="11"/>
  <c r="I115" i="11"/>
  <c r="H115" i="11"/>
  <c r="G115" i="11"/>
  <c r="F115" i="11"/>
  <c r="E115" i="11"/>
  <c r="D115" i="11"/>
  <c r="C24" i="11"/>
  <c r="C164" i="11" s="1"/>
  <c r="C119" i="11"/>
  <c r="B53" i="10"/>
  <c r="B55" i="10"/>
  <c r="B54" i="10"/>
  <c r="Q189" i="11"/>
  <c r="Q188" i="11"/>
  <c r="Q187" i="11"/>
  <c r="Q184" i="11"/>
  <c r="Q186" i="11" s="1"/>
  <c r="Q183" i="11"/>
  <c r="Q185" i="11" s="1"/>
  <c r="N57" i="19"/>
  <c r="B44" i="19"/>
  <c r="B42" i="19"/>
  <c r="M57" i="19"/>
  <c r="L57" i="19"/>
  <c r="K57" i="19"/>
  <c r="J57" i="19"/>
  <c r="I57" i="19"/>
  <c r="H57" i="19"/>
  <c r="G57" i="19"/>
  <c r="F57" i="19"/>
  <c r="E57" i="19"/>
  <c r="D57" i="19"/>
  <c r="C57" i="19"/>
  <c r="N55" i="19"/>
  <c r="M55" i="19"/>
  <c r="L55" i="19"/>
  <c r="K55" i="19"/>
  <c r="J55" i="19"/>
  <c r="I55" i="19"/>
  <c r="H55" i="19"/>
  <c r="G55" i="19"/>
  <c r="F55" i="19"/>
  <c r="E55" i="19"/>
  <c r="D55" i="19"/>
  <c r="C55" i="19"/>
  <c r="B53" i="19"/>
  <c r="B52" i="19"/>
  <c r="B51" i="19"/>
  <c r="B41" i="14"/>
  <c r="C85" i="15"/>
  <c r="N73" i="56"/>
  <c r="P113" i="11"/>
  <c r="P114" i="11"/>
  <c r="P8" i="11"/>
  <c r="A120" i="11"/>
  <c r="P104" i="11"/>
  <c r="P103" i="11"/>
  <c r="P102" i="11"/>
  <c r="P101" i="11"/>
  <c r="C32" i="60"/>
  <c r="C31" i="60"/>
  <c r="C19" i="60"/>
  <c r="C18" i="60"/>
  <c r="C17" i="60"/>
  <c r="C16" i="60"/>
  <c r="C53" i="60"/>
  <c r="C52" i="60"/>
  <c r="C51" i="60"/>
  <c r="C50" i="60"/>
  <c r="C49" i="60"/>
  <c r="C48" i="60"/>
  <c r="C47" i="60"/>
  <c r="C46" i="60"/>
  <c r="C45" i="60"/>
  <c r="C44" i="60"/>
  <c r="C43" i="60"/>
  <c r="C42" i="60"/>
  <c r="C41" i="60"/>
  <c r="C40" i="60"/>
  <c r="C39" i="60"/>
  <c r="C38" i="60"/>
  <c r="C26" i="60"/>
  <c r="C25" i="60"/>
  <c r="C24" i="60"/>
  <c r="C23" i="60"/>
  <c r="E62" i="66"/>
  <c r="A110" i="11"/>
  <c r="A109" i="11"/>
  <c r="A108" i="11"/>
  <c r="A107" i="11"/>
  <c r="A99" i="11"/>
  <c r="A98" i="11"/>
  <c r="A97" i="11"/>
  <c r="A96" i="11"/>
  <c r="A95" i="11"/>
  <c r="A94" i="11"/>
  <c r="A93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D17" i="11"/>
  <c r="B55" i="66"/>
  <c r="B54" i="66"/>
  <c r="B53" i="66"/>
  <c r="B52" i="66"/>
  <c r="B51" i="66"/>
  <c r="B50" i="66"/>
  <c r="B49" i="66"/>
  <c r="B48" i="66"/>
  <c r="C55" i="66"/>
  <c r="C54" i="66"/>
  <c r="C53" i="66"/>
  <c r="C52" i="66"/>
  <c r="C51" i="66"/>
  <c r="C50" i="66"/>
  <c r="C49" i="66"/>
  <c r="C48" i="66"/>
  <c r="B45" i="66"/>
  <c r="B44" i="66"/>
  <c r="B43" i="66"/>
  <c r="B42" i="66"/>
  <c r="C45" i="66"/>
  <c r="C44" i="66"/>
  <c r="C43" i="66"/>
  <c r="C42" i="66"/>
  <c r="H20" i="66"/>
  <c r="I20" i="66" s="1"/>
  <c r="J20" i="66" s="1"/>
  <c r="B39" i="66"/>
  <c r="C110" i="11" s="1"/>
  <c r="B38" i="66"/>
  <c r="C109" i="11" s="1"/>
  <c r="B37" i="66"/>
  <c r="C108" i="11" s="1"/>
  <c r="B36" i="66"/>
  <c r="C107" i="11" s="1"/>
  <c r="C39" i="66"/>
  <c r="C38" i="66"/>
  <c r="C37" i="66"/>
  <c r="C36" i="66"/>
  <c r="C28" i="11"/>
  <c r="D15" i="11"/>
  <c r="B106" i="66"/>
  <c r="B105" i="66"/>
  <c r="B104" i="66"/>
  <c r="B103" i="66"/>
  <c r="B102" i="66"/>
  <c r="B101" i="66"/>
  <c r="B100" i="66"/>
  <c r="B99" i="66"/>
  <c r="C96" i="66"/>
  <c r="C106" i="66" s="1"/>
  <c r="B96" i="66"/>
  <c r="C95" i="66"/>
  <c r="C105" i="66" s="1"/>
  <c r="B95" i="66"/>
  <c r="C94" i="66"/>
  <c r="C104" i="66" s="1"/>
  <c r="B94" i="66"/>
  <c r="C93" i="66"/>
  <c r="C103" i="66" s="1"/>
  <c r="B93" i="66"/>
  <c r="C92" i="66"/>
  <c r="C102" i="66" s="1"/>
  <c r="B92" i="66"/>
  <c r="C91" i="66"/>
  <c r="C101" i="66" s="1"/>
  <c r="B91" i="66"/>
  <c r="C90" i="66"/>
  <c r="C100" i="66" s="1"/>
  <c r="B90" i="66"/>
  <c r="B89" i="66"/>
  <c r="C89" i="66"/>
  <c r="C99" i="66" s="1"/>
  <c r="D20" i="56"/>
  <c r="B28" i="10"/>
  <c r="N42" i="33"/>
  <c r="M42" i="33"/>
  <c r="L42" i="33"/>
  <c r="K42" i="33"/>
  <c r="J42" i="33"/>
  <c r="I42" i="33"/>
  <c r="H42" i="33"/>
  <c r="G42" i="33"/>
  <c r="F42" i="33"/>
  <c r="E42" i="33"/>
  <c r="D42" i="33"/>
  <c r="C42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O24" i="33"/>
  <c r="O25" i="33" s="1"/>
  <c r="O16" i="33"/>
  <c r="N16" i="33"/>
  <c r="N23" i="33" s="1"/>
  <c r="N27" i="33" s="1"/>
  <c r="O2" i="7" s="1"/>
  <c r="M16" i="33"/>
  <c r="M23" i="33" s="1"/>
  <c r="M27" i="33" s="1"/>
  <c r="N2" i="7" s="1"/>
  <c r="L16" i="33"/>
  <c r="L23" i="33" s="1"/>
  <c r="L27" i="33" s="1"/>
  <c r="M2" i="7" s="1"/>
  <c r="K16" i="33"/>
  <c r="K23" i="33" s="1"/>
  <c r="K27" i="33" s="1"/>
  <c r="J16" i="33"/>
  <c r="J23" i="33" s="1"/>
  <c r="J27" i="33" s="1"/>
  <c r="K2" i="7" s="1"/>
  <c r="I16" i="33"/>
  <c r="I23" i="33" s="1"/>
  <c r="I27" i="33" s="1"/>
  <c r="J2" i="7" s="1"/>
  <c r="H16" i="33"/>
  <c r="H23" i="33" s="1"/>
  <c r="H27" i="33" s="1"/>
  <c r="I2" i="7" s="1"/>
  <c r="G16" i="33"/>
  <c r="G23" i="33" s="1"/>
  <c r="G27" i="33" s="1"/>
  <c r="H2" i="7" s="1"/>
  <c r="F16" i="33"/>
  <c r="F23" i="33" s="1"/>
  <c r="F27" i="33" s="1"/>
  <c r="G2" i="7" s="1"/>
  <c r="E16" i="33"/>
  <c r="E23" i="33" s="1"/>
  <c r="E27" i="33" s="1"/>
  <c r="F2" i="7" s="1"/>
  <c r="D16" i="33"/>
  <c r="D23" i="33" s="1"/>
  <c r="D27" i="33" s="1"/>
  <c r="E2" i="7" s="1"/>
  <c r="C16" i="33"/>
  <c r="C23" i="33" s="1"/>
  <c r="C27" i="33" s="1"/>
  <c r="O20" i="33"/>
  <c r="O19" i="33"/>
  <c r="O17" i="33"/>
  <c r="O12" i="33"/>
  <c r="O10" i="33"/>
  <c r="N37" i="33"/>
  <c r="M37" i="33"/>
  <c r="M58" i="33" s="1"/>
  <c r="N28" i="7" s="1"/>
  <c r="L37" i="33"/>
  <c r="K37" i="33"/>
  <c r="J37" i="33"/>
  <c r="I37" i="33"/>
  <c r="H37" i="33"/>
  <c r="G37" i="33"/>
  <c r="F37" i="33"/>
  <c r="F58" i="33" s="1"/>
  <c r="G28" i="7" s="1"/>
  <c r="E37" i="33"/>
  <c r="E58" i="33" s="1"/>
  <c r="F28" i="7" s="1"/>
  <c r="D37" i="33"/>
  <c r="D58" i="33" s="1"/>
  <c r="E28" i="7" s="1"/>
  <c r="G30" i="33"/>
  <c r="N38" i="33"/>
  <c r="N59" i="33" s="1"/>
  <c r="O29" i="7" s="1"/>
  <c r="M38" i="33"/>
  <c r="M59" i="33" s="1"/>
  <c r="N29" i="7" s="1"/>
  <c r="L38" i="33"/>
  <c r="L59" i="33" s="1"/>
  <c r="M29" i="7" s="1"/>
  <c r="K38" i="33"/>
  <c r="K59" i="33" s="1"/>
  <c r="L29" i="7" s="1"/>
  <c r="J38" i="33"/>
  <c r="J59" i="33" s="1"/>
  <c r="K29" i="7" s="1"/>
  <c r="I38" i="33"/>
  <c r="I59" i="33" s="1"/>
  <c r="J29" i="7" s="1"/>
  <c r="H38" i="33"/>
  <c r="H59" i="33" s="1"/>
  <c r="I29" i="7" s="1"/>
  <c r="G38" i="33"/>
  <c r="G59" i="33" s="1"/>
  <c r="H29" i="7" s="1"/>
  <c r="F38" i="33"/>
  <c r="F59" i="33" s="1"/>
  <c r="G29" i="7" s="1"/>
  <c r="N36" i="33"/>
  <c r="M36" i="33"/>
  <c r="L36" i="33"/>
  <c r="K36" i="33"/>
  <c r="J36" i="33"/>
  <c r="J57" i="33" s="1"/>
  <c r="K27" i="7" s="1"/>
  <c r="I36" i="33"/>
  <c r="H36" i="33"/>
  <c r="G36" i="33"/>
  <c r="F36" i="33"/>
  <c r="N35" i="33"/>
  <c r="N56" i="33" s="1"/>
  <c r="O26" i="7" s="1"/>
  <c r="M35" i="33"/>
  <c r="M56" i="33" s="1"/>
  <c r="N26" i="7" s="1"/>
  <c r="L35" i="33"/>
  <c r="L56" i="33" s="1"/>
  <c r="M26" i="7" s="1"/>
  <c r="K35" i="33"/>
  <c r="K56" i="33" s="1"/>
  <c r="L26" i="7" s="1"/>
  <c r="J35" i="33"/>
  <c r="J56" i="33" s="1"/>
  <c r="K26" i="7" s="1"/>
  <c r="I35" i="33"/>
  <c r="H35" i="33"/>
  <c r="H56" i="33" s="1"/>
  <c r="I26" i="7" s="1"/>
  <c r="G35" i="33"/>
  <c r="G56" i="33" s="1"/>
  <c r="H26" i="7" s="1"/>
  <c r="F35" i="33"/>
  <c r="F56" i="33" s="1"/>
  <c r="G26" i="7" s="1"/>
  <c r="N21" i="33"/>
  <c r="M21" i="33"/>
  <c r="L21" i="33"/>
  <c r="K21" i="33"/>
  <c r="J21" i="33"/>
  <c r="I21" i="33"/>
  <c r="H21" i="33"/>
  <c r="G21" i="33"/>
  <c r="F21" i="33"/>
  <c r="F14" i="33"/>
  <c r="N14" i="33"/>
  <c r="M14" i="33"/>
  <c r="L14" i="33"/>
  <c r="K14" i="33"/>
  <c r="J14" i="33"/>
  <c r="I14" i="33"/>
  <c r="H14" i="33"/>
  <c r="G14" i="33"/>
  <c r="N31" i="33"/>
  <c r="M31" i="33"/>
  <c r="L31" i="33"/>
  <c r="L54" i="33" s="1"/>
  <c r="M22" i="7" s="1"/>
  <c r="K31" i="33"/>
  <c r="J31" i="33"/>
  <c r="I31" i="33"/>
  <c r="I54" i="33" s="1"/>
  <c r="J22" i="7" s="1"/>
  <c r="H31" i="33"/>
  <c r="G31" i="33"/>
  <c r="F31" i="33"/>
  <c r="N30" i="33"/>
  <c r="M30" i="33"/>
  <c r="L30" i="33"/>
  <c r="K30" i="33"/>
  <c r="J30" i="33"/>
  <c r="J53" i="33" s="1"/>
  <c r="K21" i="7" s="1"/>
  <c r="I30" i="33"/>
  <c r="H30" i="33"/>
  <c r="F30" i="33"/>
  <c r="F53" i="33" s="1"/>
  <c r="G21" i="7" s="1"/>
  <c r="N29" i="33"/>
  <c r="M29" i="33"/>
  <c r="L29" i="33"/>
  <c r="K29" i="33"/>
  <c r="J29" i="33"/>
  <c r="I29" i="33"/>
  <c r="H29" i="33"/>
  <c r="H52" i="33" s="1"/>
  <c r="I20" i="7" s="1"/>
  <c r="G29" i="33"/>
  <c r="G52" i="33" s="1"/>
  <c r="H20" i="7" s="1"/>
  <c r="F29" i="33"/>
  <c r="N28" i="33"/>
  <c r="M28" i="33"/>
  <c r="L28" i="33"/>
  <c r="K28" i="33"/>
  <c r="J28" i="33"/>
  <c r="I28" i="33"/>
  <c r="H28" i="33"/>
  <c r="G28" i="33"/>
  <c r="F28" i="33"/>
  <c r="E14" i="33"/>
  <c r="E38" i="33"/>
  <c r="E36" i="33"/>
  <c r="E35" i="33"/>
  <c r="E30" i="33"/>
  <c r="E53" i="33" s="1"/>
  <c r="F21" i="7" s="1"/>
  <c r="E29" i="33"/>
  <c r="E28" i="33"/>
  <c r="E21" i="33"/>
  <c r="D38" i="33"/>
  <c r="D35" i="33"/>
  <c r="C35" i="33"/>
  <c r="C38" i="33"/>
  <c r="C59" i="33" s="1"/>
  <c r="D29" i="7" s="1"/>
  <c r="C37" i="33"/>
  <c r="C36" i="33"/>
  <c r="C57" i="33" s="1"/>
  <c r="D27" i="7" s="1"/>
  <c r="D30" i="33"/>
  <c r="D29" i="33"/>
  <c r="D28" i="33"/>
  <c r="C31" i="33"/>
  <c r="C30" i="33"/>
  <c r="C29" i="33"/>
  <c r="C28" i="33"/>
  <c r="C51" i="33" s="1"/>
  <c r="D36" i="33"/>
  <c r="D57" i="33" s="1"/>
  <c r="E27" i="7" s="1"/>
  <c r="O13" i="33"/>
  <c r="C21" i="33"/>
  <c r="C14" i="33"/>
  <c r="E7" i="33"/>
  <c r="E6" i="33"/>
  <c r="E5" i="33"/>
  <c r="E4" i="33"/>
  <c r="B14" i="33"/>
  <c r="AU20" i="58"/>
  <c r="AU19" i="58"/>
  <c r="AU18" i="58"/>
  <c r="AU17" i="58"/>
  <c r="AU16" i="58"/>
  <c r="AU15" i="58"/>
  <c r="AU14" i="58"/>
  <c r="W36" i="58"/>
  <c r="W35" i="58"/>
  <c r="W34" i="58"/>
  <c r="W33" i="58"/>
  <c r="W78" i="58"/>
  <c r="W77" i="58"/>
  <c r="W76" i="58"/>
  <c r="W75" i="58"/>
  <c r="W74" i="58"/>
  <c r="W73" i="58"/>
  <c r="W72" i="58"/>
  <c r="W71" i="58"/>
  <c r="W70" i="58"/>
  <c r="W69" i="58"/>
  <c r="W68" i="58"/>
  <c r="W67" i="58"/>
  <c r="W66" i="58"/>
  <c r="W65" i="58"/>
  <c r="W64" i="58"/>
  <c r="W63" i="58"/>
  <c r="AL21" i="58"/>
  <c r="AG21" i="58"/>
  <c r="D11" i="60"/>
  <c r="D10" i="60"/>
  <c r="D9" i="60"/>
  <c r="F9" i="60" s="1"/>
  <c r="D8" i="60"/>
  <c r="D7" i="60"/>
  <c r="D6" i="60"/>
  <c r="D5" i="60"/>
  <c r="C11" i="60"/>
  <c r="E11" i="60" s="1"/>
  <c r="C10" i="60"/>
  <c r="C9" i="60"/>
  <c r="B74" i="66" s="1"/>
  <c r="C8" i="60"/>
  <c r="E8" i="60" s="1"/>
  <c r="C7" i="60"/>
  <c r="C6" i="60"/>
  <c r="C5" i="60"/>
  <c r="B11" i="60"/>
  <c r="B10" i="60"/>
  <c r="B9" i="60"/>
  <c r="B8" i="60"/>
  <c r="B7" i="60"/>
  <c r="B6" i="60"/>
  <c r="B5" i="60"/>
  <c r="B80" i="66"/>
  <c r="B79" i="66"/>
  <c r="B78" i="66"/>
  <c r="B77" i="66"/>
  <c r="B75" i="66"/>
  <c r="F5" i="60"/>
  <c r="C56" i="66"/>
  <c r="F18" i="66"/>
  <c r="D85" i="66" s="1"/>
  <c r="F17" i="66"/>
  <c r="F16" i="66"/>
  <c r="E49" i="15"/>
  <c r="F49" i="15" s="1"/>
  <c r="G49" i="15" s="1"/>
  <c r="H49" i="15" s="1"/>
  <c r="I49" i="15" s="1"/>
  <c r="J49" i="15" s="1"/>
  <c r="K49" i="15" s="1"/>
  <c r="L49" i="15" s="1"/>
  <c r="M49" i="15" s="1"/>
  <c r="N49" i="15" s="1"/>
  <c r="O49" i="15" s="1"/>
  <c r="P8" i="7"/>
  <c r="O2" i="57" s="1"/>
  <c r="O9" i="57" s="1"/>
  <c r="N75" i="56"/>
  <c r="N74" i="56"/>
  <c r="N72" i="56"/>
  <c r="N71" i="56"/>
  <c r="O40" i="23"/>
  <c r="N40" i="23"/>
  <c r="M40" i="23"/>
  <c r="L40" i="23"/>
  <c r="K40" i="23"/>
  <c r="J40" i="23"/>
  <c r="I40" i="23"/>
  <c r="H40" i="23"/>
  <c r="G40" i="23"/>
  <c r="F40" i="23"/>
  <c r="E40" i="23"/>
  <c r="D40" i="23"/>
  <c r="K73" i="22"/>
  <c r="O2" i="32"/>
  <c r="N35" i="22"/>
  <c r="M35" i="22"/>
  <c r="L35" i="22"/>
  <c r="K35" i="22"/>
  <c r="J35" i="22"/>
  <c r="I35" i="22"/>
  <c r="H35" i="22"/>
  <c r="G35" i="22"/>
  <c r="F35" i="22"/>
  <c r="E35" i="22"/>
  <c r="D35" i="22"/>
  <c r="O133" i="22"/>
  <c r="N133" i="22"/>
  <c r="M133" i="22"/>
  <c r="L133" i="22"/>
  <c r="K133" i="22"/>
  <c r="J133" i="22"/>
  <c r="I133" i="22"/>
  <c r="H133" i="22"/>
  <c r="G133" i="22"/>
  <c r="F133" i="22"/>
  <c r="E133" i="22"/>
  <c r="O132" i="22"/>
  <c r="N132" i="22"/>
  <c r="M132" i="22"/>
  <c r="L132" i="22"/>
  <c r="K132" i="22"/>
  <c r="J132" i="22"/>
  <c r="I132" i="22"/>
  <c r="H132" i="22"/>
  <c r="G132" i="22"/>
  <c r="F132" i="22"/>
  <c r="E132" i="22"/>
  <c r="O131" i="22"/>
  <c r="N131" i="22"/>
  <c r="M131" i="22"/>
  <c r="L131" i="22"/>
  <c r="K131" i="22"/>
  <c r="J131" i="22"/>
  <c r="I131" i="22"/>
  <c r="H131" i="22"/>
  <c r="G131" i="22"/>
  <c r="F131" i="22"/>
  <c r="E131" i="22"/>
  <c r="O130" i="22"/>
  <c r="N130" i="22"/>
  <c r="M130" i="22"/>
  <c r="L130" i="22"/>
  <c r="K130" i="22"/>
  <c r="J130" i="22"/>
  <c r="I130" i="22"/>
  <c r="H130" i="22"/>
  <c r="G130" i="22"/>
  <c r="F130" i="22"/>
  <c r="E130" i="22"/>
  <c r="O129" i="22"/>
  <c r="N129" i="22"/>
  <c r="M129" i="22"/>
  <c r="L129" i="22"/>
  <c r="K129" i="22"/>
  <c r="J129" i="22"/>
  <c r="I129" i="22"/>
  <c r="H129" i="22"/>
  <c r="G129" i="22"/>
  <c r="F129" i="22"/>
  <c r="E129" i="22"/>
  <c r="O127" i="22"/>
  <c r="N127" i="22"/>
  <c r="M127" i="22"/>
  <c r="L127" i="22"/>
  <c r="K127" i="22"/>
  <c r="J127" i="22"/>
  <c r="I127" i="22"/>
  <c r="H127" i="22"/>
  <c r="G127" i="22"/>
  <c r="F127" i="22"/>
  <c r="E127" i="22"/>
  <c r="D133" i="22"/>
  <c r="D132" i="22"/>
  <c r="D131" i="22"/>
  <c r="D130" i="22"/>
  <c r="D129" i="22"/>
  <c r="D127" i="22"/>
  <c r="B134" i="22"/>
  <c r="B133" i="22"/>
  <c r="B132" i="22"/>
  <c r="B131" i="22"/>
  <c r="B130" i="22"/>
  <c r="B129" i="22"/>
  <c r="B128" i="22"/>
  <c r="B127" i="22"/>
  <c r="C25" i="55"/>
  <c r="F19" i="55"/>
  <c r="B47" i="65"/>
  <c r="B46" i="65"/>
  <c r="B27" i="15"/>
  <c r="B26" i="15"/>
  <c r="B25" i="15"/>
  <c r="E99" i="15"/>
  <c r="G99" i="15" s="1"/>
  <c r="E98" i="15"/>
  <c r="G98" i="15" s="1"/>
  <c r="E97" i="15"/>
  <c r="G97" i="15" s="1"/>
  <c r="E95" i="15"/>
  <c r="G95" i="15" s="1"/>
  <c r="D94" i="15"/>
  <c r="G94" i="15" s="1"/>
  <c r="G93" i="15"/>
  <c r="E92" i="15"/>
  <c r="G92" i="15" s="1"/>
  <c r="D90" i="15"/>
  <c r="G90" i="15" s="1"/>
  <c r="E39" i="65"/>
  <c r="C32" i="65"/>
  <c r="E32" i="65" s="1"/>
  <c r="C31" i="65"/>
  <c r="E31" i="65" s="1"/>
  <c r="C30" i="65"/>
  <c r="E30" i="65" s="1"/>
  <c r="B27" i="65"/>
  <c r="E27" i="65" s="1"/>
  <c r="E26" i="65"/>
  <c r="C24" i="65"/>
  <c r="C25" i="65" s="1"/>
  <c r="C18" i="65"/>
  <c r="E18" i="65" s="1"/>
  <c r="C17" i="65"/>
  <c r="C37" i="65" s="1"/>
  <c r="C16" i="65"/>
  <c r="E16" i="65" s="1"/>
  <c r="B7" i="65"/>
  <c r="B10" i="65" s="1"/>
  <c r="B23" i="65" s="1"/>
  <c r="E23" i="65" s="1"/>
  <c r="B4" i="65"/>
  <c r="C41" i="65" s="1"/>
  <c r="D3" i="65"/>
  <c r="B2" i="65"/>
  <c r="E40" i="64"/>
  <c r="E39" i="64"/>
  <c r="E37" i="64"/>
  <c r="C35" i="64"/>
  <c r="C36" i="64" s="1"/>
  <c r="E36" i="64" s="1"/>
  <c r="C30" i="64"/>
  <c r="E30" i="64" s="1"/>
  <c r="C29" i="64"/>
  <c r="E29" i="64" s="1"/>
  <c r="C28" i="64"/>
  <c r="E28" i="64" s="1"/>
  <c r="C27" i="64"/>
  <c r="E27" i="64" s="1"/>
  <c r="B25" i="64"/>
  <c r="E25" i="64" s="1"/>
  <c r="E24" i="64"/>
  <c r="B21" i="64"/>
  <c r="E21" i="64" s="1"/>
  <c r="C16" i="64"/>
  <c r="E16" i="64" s="1"/>
  <c r="B9" i="64"/>
  <c r="B4" i="64"/>
  <c r="C22" i="64" s="1"/>
  <c r="D3" i="64"/>
  <c r="B2" i="64"/>
  <c r="C15" i="64" s="1"/>
  <c r="E15" i="64" s="1"/>
  <c r="E17" i="64" s="1"/>
  <c r="H62" i="66" l="1"/>
  <c r="F62" i="66"/>
  <c r="G62" i="66"/>
  <c r="B40" i="66"/>
  <c r="I8" i="7"/>
  <c r="H8" i="7"/>
  <c r="F8" i="7"/>
  <c r="C14" i="10"/>
  <c r="D57" i="7" s="1"/>
  <c r="C61" i="33"/>
  <c r="D33" i="7" s="1"/>
  <c r="G8" i="7"/>
  <c r="K8" i="7"/>
  <c r="K18" i="7" s="1"/>
  <c r="K25" i="7" s="1"/>
  <c r="K46" i="7" s="1"/>
  <c r="K67" i="7" s="1"/>
  <c r="I160" i="7" s="1"/>
  <c r="A246" i="74" s="1"/>
  <c r="N8" i="7"/>
  <c r="O8" i="7"/>
  <c r="E7" i="60"/>
  <c r="I7" i="10"/>
  <c r="G116" i="10" s="1"/>
  <c r="F171" i="74" s="1"/>
  <c r="B90" i="10"/>
  <c r="B85" i="10"/>
  <c r="H85" i="10"/>
  <c r="G140" i="74" s="1"/>
  <c r="B73" i="10"/>
  <c r="B69" i="10"/>
  <c r="B86" i="10"/>
  <c r="B77" i="10"/>
  <c r="D2" i="7"/>
  <c r="D8" i="7"/>
  <c r="C2" i="10" s="1"/>
  <c r="L8" i="7"/>
  <c r="L2" i="7"/>
  <c r="J8" i="7"/>
  <c r="M8" i="7"/>
  <c r="E8" i="7"/>
  <c r="B65" i="10"/>
  <c r="I61" i="33"/>
  <c r="J33" i="7" s="1"/>
  <c r="J11" i="7" s="1"/>
  <c r="L159" i="7" s="1"/>
  <c r="D245" i="74" s="1"/>
  <c r="J61" i="33"/>
  <c r="K33" i="7" s="1"/>
  <c r="K61" i="33"/>
  <c r="H14" i="10"/>
  <c r="I57" i="7" s="1"/>
  <c r="H61" i="33"/>
  <c r="I33" i="7" s="1"/>
  <c r="D14" i="10"/>
  <c r="E57" i="7" s="1"/>
  <c r="D61" i="33"/>
  <c r="L61" i="33"/>
  <c r="M33" i="7" s="1"/>
  <c r="M34" i="7" s="1"/>
  <c r="E14" i="10"/>
  <c r="F57" i="7" s="1"/>
  <c r="E61" i="33"/>
  <c r="F33" i="7" s="1"/>
  <c r="M14" i="10"/>
  <c r="N57" i="7" s="1"/>
  <c r="M61" i="33"/>
  <c r="N33" i="7" s="1"/>
  <c r="F14" i="10"/>
  <c r="G57" i="7" s="1"/>
  <c r="F61" i="33"/>
  <c r="G33" i="7" s="1"/>
  <c r="N14" i="10"/>
  <c r="O57" i="7" s="1"/>
  <c r="N61" i="33"/>
  <c r="O33" i="7" s="1"/>
  <c r="G14" i="10"/>
  <c r="H57" i="7" s="1"/>
  <c r="G61" i="33"/>
  <c r="H33" i="7" s="1"/>
  <c r="H3" i="16"/>
  <c r="H19" i="15"/>
  <c r="F3" i="16"/>
  <c r="F19" i="15"/>
  <c r="L3" i="16"/>
  <c r="L19" i="15"/>
  <c r="O19" i="15"/>
  <c r="O3" i="16"/>
  <c r="M19" i="15"/>
  <c r="M3" i="16"/>
  <c r="K19" i="15"/>
  <c r="K3" i="16"/>
  <c r="I3" i="16"/>
  <c r="I19" i="15"/>
  <c r="N3" i="16"/>
  <c r="N19" i="15"/>
  <c r="J19" i="15"/>
  <c r="J3" i="16"/>
  <c r="G3" i="16"/>
  <c r="G19" i="15"/>
  <c r="B61" i="10"/>
  <c r="D3" i="16"/>
  <c r="D19" i="15"/>
  <c r="L14" i="10"/>
  <c r="M57" i="7" s="1"/>
  <c r="C7" i="10"/>
  <c r="G62" i="10" s="1"/>
  <c r="F117" i="74" s="1"/>
  <c r="C54" i="33"/>
  <c r="D22" i="7" s="1"/>
  <c r="D56" i="33"/>
  <c r="E26" i="7" s="1"/>
  <c r="E10" i="10"/>
  <c r="G82" i="10" s="1"/>
  <c r="F137" i="74" s="1"/>
  <c r="E57" i="33"/>
  <c r="F27" i="7" s="1"/>
  <c r="K4" i="10"/>
  <c r="K51" i="33"/>
  <c r="L19" i="7" s="1"/>
  <c r="J5" i="10"/>
  <c r="J20" i="10" s="1"/>
  <c r="J52" i="33"/>
  <c r="K20" i="7" s="1"/>
  <c r="M10" i="10"/>
  <c r="G154" i="10" s="1"/>
  <c r="F209" i="74" s="1"/>
  <c r="M57" i="33"/>
  <c r="N27" i="7" s="1"/>
  <c r="H58" i="33"/>
  <c r="I28" i="7" s="1"/>
  <c r="H4" i="10"/>
  <c r="H51" i="33"/>
  <c r="I19" i="7" s="1"/>
  <c r="D59" i="33"/>
  <c r="E29" i="7" s="1"/>
  <c r="C5" i="10"/>
  <c r="C20" i="10" s="1"/>
  <c r="C52" i="33"/>
  <c r="D20" i="7" s="1"/>
  <c r="L51" i="33"/>
  <c r="M19" i="7" s="1"/>
  <c r="J7" i="10"/>
  <c r="G125" i="10" s="1"/>
  <c r="F180" i="74" s="1"/>
  <c r="J54" i="33"/>
  <c r="K22" i="7" s="1"/>
  <c r="F10" i="10"/>
  <c r="G91" i="10" s="1"/>
  <c r="F146" i="74" s="1"/>
  <c r="F57" i="33"/>
  <c r="G27" i="7" s="1"/>
  <c r="I4" i="10"/>
  <c r="I32" i="33"/>
  <c r="I51" i="33"/>
  <c r="J19" i="7" s="1"/>
  <c r="F11" i="10"/>
  <c r="G92" i="10" s="1"/>
  <c r="F147" i="74" s="1"/>
  <c r="D4" i="10"/>
  <c r="D51" i="33"/>
  <c r="E19" i="7" s="1"/>
  <c r="K5" i="10"/>
  <c r="K20" i="10" s="1"/>
  <c r="K52" i="33"/>
  <c r="L20" i="7" s="1"/>
  <c r="N10" i="10"/>
  <c r="G163" i="10" s="1"/>
  <c r="F218" i="74" s="1"/>
  <c r="N57" i="33"/>
  <c r="O27" i="7" s="1"/>
  <c r="I11" i="10"/>
  <c r="G119" i="10" s="1"/>
  <c r="F174" i="74" s="1"/>
  <c r="I58" i="33"/>
  <c r="J28" i="7" s="1"/>
  <c r="M4" i="10"/>
  <c r="M51" i="33"/>
  <c r="N19" i="7" s="1"/>
  <c r="L6" i="10"/>
  <c r="G142" i="10" s="1"/>
  <c r="F197" i="74" s="1"/>
  <c r="L53" i="33"/>
  <c r="M21" i="7" s="1"/>
  <c r="G10" i="10"/>
  <c r="G100" i="10" s="1"/>
  <c r="F155" i="74" s="1"/>
  <c r="G57" i="33"/>
  <c r="H27" i="7" s="1"/>
  <c r="J11" i="10"/>
  <c r="G128" i="10" s="1"/>
  <c r="F183" i="74" s="1"/>
  <c r="J58" i="33"/>
  <c r="K28" i="7" s="1"/>
  <c r="K30" i="7" s="1"/>
  <c r="K10" i="7" s="1"/>
  <c r="E6" i="10"/>
  <c r="G79" i="10" s="1"/>
  <c r="F134" i="74" s="1"/>
  <c r="D6" i="10"/>
  <c r="G70" i="10" s="1"/>
  <c r="F125" i="74" s="1"/>
  <c r="D53" i="33"/>
  <c r="E21" i="7" s="1"/>
  <c r="E51" i="33"/>
  <c r="F19" i="7" s="1"/>
  <c r="F4" i="10"/>
  <c r="F51" i="33"/>
  <c r="G19" i="7" s="1"/>
  <c r="N51" i="33"/>
  <c r="O19" i="7" s="1"/>
  <c r="M5" i="10"/>
  <c r="M52" i="33"/>
  <c r="N20" i="7" s="1"/>
  <c r="M6" i="10"/>
  <c r="G151" i="10" s="1"/>
  <c r="F206" i="74" s="1"/>
  <c r="M53" i="33"/>
  <c r="N21" i="7" s="1"/>
  <c r="I56" i="33"/>
  <c r="J26" i="7" s="1"/>
  <c r="I39" i="33"/>
  <c r="H57" i="33"/>
  <c r="I27" i="7" s="1"/>
  <c r="G6" i="10"/>
  <c r="G97" i="10" s="1"/>
  <c r="F152" i="74" s="1"/>
  <c r="G53" i="33"/>
  <c r="H21" i="7" s="1"/>
  <c r="K58" i="33"/>
  <c r="L28" i="7" s="1"/>
  <c r="C4" i="10"/>
  <c r="D19" i="7"/>
  <c r="F7" i="10"/>
  <c r="G89" i="10" s="1"/>
  <c r="F144" i="74" s="1"/>
  <c r="F54" i="33"/>
  <c r="G22" i="7" s="1"/>
  <c r="E12" i="10"/>
  <c r="G84" i="10" s="1"/>
  <c r="F139" i="74" s="1"/>
  <c r="E59" i="33"/>
  <c r="F29" i="7" s="1"/>
  <c r="K6" i="10"/>
  <c r="G133" i="10" s="1"/>
  <c r="F188" i="74" s="1"/>
  <c r="K53" i="33"/>
  <c r="L21" i="7" s="1"/>
  <c r="D52" i="33"/>
  <c r="E20" i="7" s="1"/>
  <c r="L5" i="10"/>
  <c r="L52" i="33"/>
  <c r="M20" i="7" s="1"/>
  <c r="K54" i="33"/>
  <c r="L22" i="7" s="1"/>
  <c r="F6" i="10"/>
  <c r="G88" i="10" s="1"/>
  <c r="F143" i="74" s="1"/>
  <c r="H5" i="10"/>
  <c r="E5" i="10"/>
  <c r="E20" i="10" s="1"/>
  <c r="E52" i="33"/>
  <c r="F20" i="7" s="1"/>
  <c r="G4" i="10"/>
  <c r="G51" i="33"/>
  <c r="H19" i="7" s="1"/>
  <c r="F5" i="10"/>
  <c r="F20" i="10" s="1"/>
  <c r="F52" i="33"/>
  <c r="G20" i="7" s="1"/>
  <c r="N5" i="10"/>
  <c r="N20" i="10" s="1"/>
  <c r="N52" i="33"/>
  <c r="O20" i="7" s="1"/>
  <c r="N6" i="10"/>
  <c r="G160" i="10" s="1"/>
  <c r="F215" i="74" s="1"/>
  <c r="N53" i="33"/>
  <c r="O21" i="7" s="1"/>
  <c r="M7" i="10"/>
  <c r="G152" i="10" s="1"/>
  <c r="F207" i="74" s="1"/>
  <c r="M54" i="33"/>
  <c r="N22" i="7" s="1"/>
  <c r="I10" i="10"/>
  <c r="G118" i="10" s="1"/>
  <c r="F173" i="74" s="1"/>
  <c r="I57" i="33"/>
  <c r="J27" i="7" s="1"/>
  <c r="L11" i="10"/>
  <c r="G146" i="10" s="1"/>
  <c r="F201" i="74" s="1"/>
  <c r="L58" i="33"/>
  <c r="M28" i="7" s="1"/>
  <c r="C11" i="10"/>
  <c r="G65" i="10" s="1"/>
  <c r="F120" i="74" s="1"/>
  <c r="C58" i="33"/>
  <c r="D28" i="7" s="1"/>
  <c r="C12" i="10"/>
  <c r="G66" i="10" s="1"/>
  <c r="F121" i="74" s="1"/>
  <c r="N7" i="10"/>
  <c r="G161" i="10" s="1"/>
  <c r="F216" i="74" s="1"/>
  <c r="N54" i="33"/>
  <c r="O22" i="7" s="1"/>
  <c r="G106" i="10"/>
  <c r="F161" i="74" s="1"/>
  <c r="H53" i="33"/>
  <c r="I21" i="7" s="1"/>
  <c r="G7" i="10"/>
  <c r="G98" i="10" s="1"/>
  <c r="F153" i="74" s="1"/>
  <c r="G54" i="33"/>
  <c r="H22" i="7" s="1"/>
  <c r="K10" i="10"/>
  <c r="G136" i="10" s="1"/>
  <c r="F191" i="74" s="1"/>
  <c r="K57" i="33"/>
  <c r="L27" i="7" s="1"/>
  <c r="N58" i="33"/>
  <c r="O28" i="7" s="1"/>
  <c r="G5" i="10"/>
  <c r="C6" i="10"/>
  <c r="G61" i="10" s="1"/>
  <c r="F116" i="74" s="1"/>
  <c r="C53" i="33"/>
  <c r="D21" i="7" s="1"/>
  <c r="C9" i="10"/>
  <c r="G63" i="10" s="1"/>
  <c r="F118" i="74" s="1"/>
  <c r="C56" i="33"/>
  <c r="D26" i="7" s="1"/>
  <c r="E56" i="33"/>
  <c r="F26" i="7" s="1"/>
  <c r="J4" i="10"/>
  <c r="J51" i="33"/>
  <c r="K19" i="7" s="1"/>
  <c r="I5" i="10"/>
  <c r="I52" i="33"/>
  <c r="J20" i="7" s="1"/>
  <c r="I53" i="33"/>
  <c r="J21" i="7" s="1"/>
  <c r="H7" i="10"/>
  <c r="G107" i="10" s="1"/>
  <c r="F162" i="74" s="1"/>
  <c r="H54" i="33"/>
  <c r="I22" i="7" s="1"/>
  <c r="L10" i="10"/>
  <c r="G145" i="10" s="1"/>
  <c r="F200" i="74" s="1"/>
  <c r="L57" i="33"/>
  <c r="M27" i="7" s="1"/>
  <c r="G11" i="10"/>
  <c r="G101" i="10" s="1"/>
  <c r="F156" i="74" s="1"/>
  <c r="G58" i="33"/>
  <c r="H28" i="7" s="1"/>
  <c r="C95" i="10"/>
  <c r="C62" i="10"/>
  <c r="C70" i="10"/>
  <c r="C74" i="10"/>
  <c r="C66" i="10"/>
  <c r="C82" i="10"/>
  <c r="C99" i="10"/>
  <c r="G67" i="10"/>
  <c r="C78" i="10"/>
  <c r="C94" i="10"/>
  <c r="D26" i="78"/>
  <c r="Z4" i="78"/>
  <c r="AA4" i="78" s="1"/>
  <c r="Z11" i="78"/>
  <c r="AA11" i="78" s="1"/>
  <c r="Z6" i="78"/>
  <c r="AA6" i="78" s="1"/>
  <c r="Z13" i="78"/>
  <c r="AA13" i="78" s="1"/>
  <c r="Z10" i="78"/>
  <c r="AA10" i="78" s="1"/>
  <c r="Z5" i="78"/>
  <c r="AA5" i="78" s="1"/>
  <c r="Z9" i="78"/>
  <c r="AA9" i="78" s="1"/>
  <c r="Z12" i="78"/>
  <c r="AA12" i="78" s="1"/>
  <c r="Z14" i="78"/>
  <c r="AA14" i="78" s="1"/>
  <c r="Z8" i="78"/>
  <c r="AA8" i="78" s="1"/>
  <c r="Z15" i="78"/>
  <c r="AA15" i="78" s="1"/>
  <c r="Z7" i="78"/>
  <c r="AA7" i="78" s="1"/>
  <c r="N4" i="10"/>
  <c r="P115" i="11"/>
  <c r="C111" i="11"/>
  <c r="O55" i="19"/>
  <c r="K39" i="57"/>
  <c r="E53" i="19"/>
  <c r="M53" i="19"/>
  <c r="F53" i="19"/>
  <c r="N53" i="19"/>
  <c r="G53" i="19"/>
  <c r="C39" i="57"/>
  <c r="P15" i="16"/>
  <c r="C53" i="19"/>
  <c r="O57" i="19"/>
  <c r="I14" i="10"/>
  <c r="D39" i="57"/>
  <c r="L39" i="57"/>
  <c r="E39" i="57"/>
  <c r="M39" i="57"/>
  <c r="F39" i="57"/>
  <c r="N39" i="57"/>
  <c r="C28" i="10"/>
  <c r="C49" i="10" s="1"/>
  <c r="G39" i="57"/>
  <c r="D7" i="15"/>
  <c r="D36" i="15" s="1"/>
  <c r="H39" i="57"/>
  <c r="M28" i="10"/>
  <c r="I39" i="57"/>
  <c r="J39" i="57"/>
  <c r="D12" i="60"/>
  <c r="J14" i="10"/>
  <c r="K14" i="10"/>
  <c r="L57" i="7" s="1"/>
  <c r="E6" i="60"/>
  <c r="E10" i="60"/>
  <c r="B107" i="66"/>
  <c r="B56" i="66"/>
  <c r="B46" i="66"/>
  <c r="B112" i="66" s="1"/>
  <c r="G85" i="66"/>
  <c r="D61" i="66"/>
  <c r="O18" i="33"/>
  <c r="O21" i="33" s="1"/>
  <c r="D31" i="33"/>
  <c r="I6" i="10"/>
  <c r="G115" i="10" s="1"/>
  <c r="F170" i="74" s="1"/>
  <c r="O2" i="10"/>
  <c r="D9" i="10"/>
  <c r="O14" i="33"/>
  <c r="K7" i="10"/>
  <c r="D5" i="10"/>
  <c r="D20" i="10" s="1"/>
  <c r="D21" i="33"/>
  <c r="D14" i="33"/>
  <c r="K11" i="10"/>
  <c r="F9" i="10"/>
  <c r="L7" i="10"/>
  <c r="G143" i="10" s="1"/>
  <c r="F198" i="74" s="1"/>
  <c r="N11" i="10"/>
  <c r="H10" i="10"/>
  <c r="G109" i="10" s="1"/>
  <c r="F164" i="74" s="1"/>
  <c r="H85" i="66"/>
  <c r="E9" i="60"/>
  <c r="B76" i="66"/>
  <c r="B81" i="66" s="1"/>
  <c r="E85" i="66"/>
  <c r="F85" i="66"/>
  <c r="G61" i="66"/>
  <c r="E61" i="66"/>
  <c r="F12" i="10"/>
  <c r="G12" i="10"/>
  <c r="D12" i="10"/>
  <c r="G75" i="10" s="1"/>
  <c r="F130" i="74" s="1"/>
  <c r="M11" i="10"/>
  <c r="E7" i="10"/>
  <c r="E4" i="10"/>
  <c r="E9" i="10"/>
  <c r="J10" i="10"/>
  <c r="G127" i="10" s="1"/>
  <c r="F182" i="74" s="1"/>
  <c r="H11" i="10"/>
  <c r="L4" i="10"/>
  <c r="J6" i="10"/>
  <c r="G124" i="10" s="1"/>
  <c r="F179" i="74" s="1"/>
  <c r="E11" i="10"/>
  <c r="C23" i="64"/>
  <c r="E22" i="64"/>
  <c r="C42" i="65"/>
  <c r="E42" i="65" s="1"/>
  <c r="E41" i="65"/>
  <c r="C38" i="65"/>
  <c r="E38" i="65" s="1"/>
  <c r="E37" i="65"/>
  <c r="E19" i="65"/>
  <c r="E25" i="65"/>
  <c r="E33" i="65" s="1"/>
  <c r="C28" i="65"/>
  <c r="E28" i="65" s="1"/>
  <c r="E24" i="65"/>
  <c r="C29" i="65"/>
  <c r="E29" i="65" s="1"/>
  <c r="E17" i="65"/>
  <c r="E35" i="64"/>
  <c r="E38" i="64" s="1"/>
  <c r="H61" i="66" l="1"/>
  <c r="K32" i="7"/>
  <c r="G7" i="15"/>
  <c r="M6" i="19"/>
  <c r="M49" i="10"/>
  <c r="I67" i="10"/>
  <c r="H122" i="74" s="1"/>
  <c r="F122" i="74"/>
  <c r="L33" i="7"/>
  <c r="L34" i="7" s="1"/>
  <c r="K34" i="7"/>
  <c r="K11" i="7"/>
  <c r="K52" i="7"/>
  <c r="L161" i="7"/>
  <c r="D247" i="74" s="1"/>
  <c r="K23" i="7"/>
  <c r="K9" i="7" s="1"/>
  <c r="H28" i="10"/>
  <c r="G103" i="10"/>
  <c r="F158" i="74" s="1"/>
  <c r="E28" i="10"/>
  <c r="E49" i="10" s="1"/>
  <c r="M7" i="15"/>
  <c r="D28" i="10"/>
  <c r="D49" i="10" s="1"/>
  <c r="B82" i="10"/>
  <c r="B99" i="10"/>
  <c r="G76" i="10"/>
  <c r="B74" i="10"/>
  <c r="B94" i="10"/>
  <c r="H94" i="10"/>
  <c r="G149" i="74" s="1"/>
  <c r="G166" i="10"/>
  <c r="F221" i="74" s="1"/>
  <c r="G157" i="10"/>
  <c r="F212" i="74" s="1"/>
  <c r="I7" i="15"/>
  <c r="N28" i="10"/>
  <c r="B78" i="10"/>
  <c r="O7" i="15"/>
  <c r="N7" i="15"/>
  <c r="B70" i="10"/>
  <c r="G112" i="10"/>
  <c r="F167" i="74" s="1"/>
  <c r="B95" i="10"/>
  <c r="L55" i="7"/>
  <c r="I5" i="57"/>
  <c r="I20" i="57" s="1"/>
  <c r="B66" i="10"/>
  <c r="B62" i="10"/>
  <c r="M11" i="7"/>
  <c r="L168" i="7" s="1"/>
  <c r="D254" i="74" s="1"/>
  <c r="J34" i="7"/>
  <c r="E33" i="7"/>
  <c r="E11" i="7" s="1"/>
  <c r="L144" i="7" s="1"/>
  <c r="D230" i="74" s="1"/>
  <c r="O61" i="33"/>
  <c r="E7" i="15"/>
  <c r="G28" i="10"/>
  <c r="F28" i="10"/>
  <c r="G94" i="10"/>
  <c r="F149" i="74" s="1"/>
  <c r="H7" i="15"/>
  <c r="G85" i="10"/>
  <c r="F7" i="15"/>
  <c r="G150" i="10"/>
  <c r="F205" i="74" s="1"/>
  <c r="M20" i="10"/>
  <c r="G114" i="10"/>
  <c r="F169" i="74" s="1"/>
  <c r="I20" i="10"/>
  <c r="G96" i="10"/>
  <c r="F151" i="74" s="1"/>
  <c r="G20" i="10"/>
  <c r="G105" i="10"/>
  <c r="F160" i="74" s="1"/>
  <c r="H20" i="10"/>
  <c r="G141" i="10"/>
  <c r="F196" i="74" s="1"/>
  <c r="L20" i="10"/>
  <c r="E3" i="16"/>
  <c r="E19" i="15"/>
  <c r="N25" i="55"/>
  <c r="G148" i="10"/>
  <c r="F203" i="74" s="1"/>
  <c r="L28" i="10"/>
  <c r="G149" i="10"/>
  <c r="F204" i="74" s="1"/>
  <c r="N55" i="7"/>
  <c r="G68" i="10"/>
  <c r="F123" i="74" s="1"/>
  <c r="G104" i="10"/>
  <c r="F159" i="74" s="1"/>
  <c r="I55" i="7"/>
  <c r="G130" i="10"/>
  <c r="F185" i="74" s="1"/>
  <c r="K57" i="7"/>
  <c r="G122" i="10"/>
  <c r="F177" i="74" s="1"/>
  <c r="K55" i="7"/>
  <c r="G95" i="10"/>
  <c r="F150" i="74" s="1"/>
  <c r="H55" i="7"/>
  <c r="G77" i="10"/>
  <c r="F132" i="74" s="1"/>
  <c r="F55" i="7"/>
  <c r="G72" i="10"/>
  <c r="F127" i="74" s="1"/>
  <c r="G81" i="10"/>
  <c r="F136" i="74" s="1"/>
  <c r="F56" i="7"/>
  <c r="G90" i="10"/>
  <c r="F145" i="74" s="1"/>
  <c r="G56" i="7"/>
  <c r="G121" i="10"/>
  <c r="F176" i="74" s="1"/>
  <c r="J57" i="7"/>
  <c r="G86" i="10"/>
  <c r="F141" i="74" s="1"/>
  <c r="G55" i="7"/>
  <c r="G113" i="10"/>
  <c r="F168" i="74" s="1"/>
  <c r="J55" i="7"/>
  <c r="G139" i="10"/>
  <c r="F194" i="74" s="1"/>
  <c r="O55" i="7"/>
  <c r="G140" i="10"/>
  <c r="F195" i="74" s="1"/>
  <c r="M55" i="7"/>
  <c r="G131" i="10"/>
  <c r="F186" i="74" s="1"/>
  <c r="G59" i="10"/>
  <c r="F114" i="74" s="1"/>
  <c r="D55" i="7"/>
  <c r="J25" i="55"/>
  <c r="G25" i="55"/>
  <c r="L25" i="55"/>
  <c r="F25" i="55"/>
  <c r="I25" i="55"/>
  <c r="K25" i="55"/>
  <c r="H25" i="55"/>
  <c r="D25" i="55"/>
  <c r="O25" i="55"/>
  <c r="E25" i="55"/>
  <c r="M25" i="55"/>
  <c r="G123" i="10"/>
  <c r="F178" i="74" s="1"/>
  <c r="D6" i="15"/>
  <c r="H39" i="15"/>
  <c r="G39" i="15"/>
  <c r="G60" i="10"/>
  <c r="F115" i="74" s="1"/>
  <c r="G87" i="10"/>
  <c r="F142" i="74" s="1"/>
  <c r="G159" i="10"/>
  <c r="F214" i="74" s="1"/>
  <c r="G62" i="33"/>
  <c r="G132" i="10"/>
  <c r="F187" i="74" s="1"/>
  <c r="D39" i="15"/>
  <c r="M39" i="15"/>
  <c r="G78" i="10"/>
  <c r="F133" i="74" s="1"/>
  <c r="O58" i="33"/>
  <c r="O59" i="33"/>
  <c r="J62" i="33"/>
  <c r="N62" i="33"/>
  <c r="H62" i="33"/>
  <c r="K62" i="33"/>
  <c r="C62" i="33"/>
  <c r="O51" i="33"/>
  <c r="F62" i="33"/>
  <c r="L62" i="33"/>
  <c r="O57" i="33"/>
  <c r="I62" i="33"/>
  <c r="O56" i="33"/>
  <c r="E62" i="33"/>
  <c r="O52" i="33"/>
  <c r="O53" i="33"/>
  <c r="D54" i="33"/>
  <c r="M62" i="33"/>
  <c r="C108" i="10"/>
  <c r="G6" i="15"/>
  <c r="G93" i="10"/>
  <c r="F148" i="74" s="1"/>
  <c r="F39" i="15"/>
  <c r="G83" i="10"/>
  <c r="F138" i="74" s="1"/>
  <c r="G134" i="10"/>
  <c r="F189" i="74" s="1"/>
  <c r="C91" i="10"/>
  <c r="I39" i="15"/>
  <c r="G110" i="10"/>
  <c r="F165" i="74" s="1"/>
  <c r="F6" i="15"/>
  <c r="G80" i="10"/>
  <c r="F135" i="74" s="1"/>
  <c r="C103" i="10"/>
  <c r="C79" i="10"/>
  <c r="N39" i="15"/>
  <c r="G155" i="10"/>
  <c r="F210" i="74" s="1"/>
  <c r="G158" i="10"/>
  <c r="F213" i="74" s="1"/>
  <c r="C71" i="10"/>
  <c r="L39" i="15"/>
  <c r="G137" i="10"/>
  <c r="F192" i="74" s="1"/>
  <c r="C87" i="10"/>
  <c r="C75" i="10"/>
  <c r="C104" i="10"/>
  <c r="O39" i="15"/>
  <c r="G164" i="10"/>
  <c r="F219" i="74" s="1"/>
  <c r="G69" i="10"/>
  <c r="F124" i="74" s="1"/>
  <c r="H6" i="15"/>
  <c r="G102" i="10"/>
  <c r="F157" i="74" s="1"/>
  <c r="C83" i="10"/>
  <c r="D27" i="78"/>
  <c r="AA16" i="78"/>
  <c r="O53" i="19"/>
  <c r="H34" i="7"/>
  <c r="H11" i="7"/>
  <c r="L153" i="7" s="1"/>
  <c r="D239" i="74" s="1"/>
  <c r="I34" i="7"/>
  <c r="I11" i="7"/>
  <c r="L156" i="7" s="1"/>
  <c r="D242" i="74" s="1"/>
  <c r="O34" i="7"/>
  <c r="O11" i="7"/>
  <c r="L174" i="7" s="1"/>
  <c r="D260" i="74" s="1"/>
  <c r="D11" i="7"/>
  <c r="L141" i="7" s="1"/>
  <c r="D227" i="74" s="1"/>
  <c r="L7" i="15"/>
  <c r="K28" i="10"/>
  <c r="F34" i="7"/>
  <c r="F11" i="7"/>
  <c r="L147" i="7" s="1"/>
  <c r="D233" i="74" s="1"/>
  <c r="K7" i="15"/>
  <c r="J28" i="10"/>
  <c r="N34" i="7"/>
  <c r="N11" i="7"/>
  <c r="L171" i="7" s="1"/>
  <c r="D257" i="74" s="1"/>
  <c r="J7" i="15"/>
  <c r="I28" i="10"/>
  <c r="G34" i="7"/>
  <c r="G11" i="7"/>
  <c r="L150" i="7" s="1"/>
  <c r="D236" i="74" s="1"/>
  <c r="K39" i="15"/>
  <c r="J39" i="15"/>
  <c r="D53" i="7"/>
  <c r="D61" i="7" s="1"/>
  <c r="E49" i="7" s="1"/>
  <c r="D34" i="7"/>
  <c r="B113" i="66"/>
  <c r="B114" i="66" s="1"/>
  <c r="D7" i="10"/>
  <c r="G71" i="10" s="1"/>
  <c r="F126" i="74" s="1"/>
  <c r="G9" i="10"/>
  <c r="H56" i="7" s="1"/>
  <c r="F61" i="66"/>
  <c r="B43" i="65"/>
  <c r="E43" i="65" s="1"/>
  <c r="E44" i="65" s="1"/>
  <c r="E46" i="65"/>
  <c r="E23" i="64"/>
  <c r="E31" i="64" s="1"/>
  <c r="E44" i="64" s="1"/>
  <c r="C26" i="64"/>
  <c r="E26" i="64" s="1"/>
  <c r="E40" i="65"/>
  <c r="N6" i="19" l="1"/>
  <c r="N49" i="10"/>
  <c r="L11" i="7"/>
  <c r="K5" i="57" s="1"/>
  <c r="K20" i="57" s="1"/>
  <c r="H6" i="19"/>
  <c r="H49" i="10"/>
  <c r="F6" i="19"/>
  <c r="F49" i="10"/>
  <c r="J6" i="19"/>
  <c r="J49" i="10"/>
  <c r="G6" i="19"/>
  <c r="G49" i="10"/>
  <c r="I76" i="10"/>
  <c r="H131" i="74" s="1"/>
  <c r="F131" i="74"/>
  <c r="I6" i="19"/>
  <c r="I49" i="10"/>
  <c r="K6" i="19"/>
  <c r="K49" i="10"/>
  <c r="L6" i="19"/>
  <c r="L49" i="10"/>
  <c r="I85" i="10"/>
  <c r="H140" i="74" s="1"/>
  <c r="F140" i="74"/>
  <c r="L162" i="7"/>
  <c r="D248" i="74" s="1"/>
  <c r="K53" i="7"/>
  <c r="K51" i="7"/>
  <c r="K12" i="7"/>
  <c r="L160" i="7"/>
  <c r="D246" i="74" s="1"/>
  <c r="K1" i="7"/>
  <c r="I94" i="10"/>
  <c r="H149" i="74" s="1"/>
  <c r="B104" i="10"/>
  <c r="B75" i="10"/>
  <c r="B91" i="10"/>
  <c r="B103" i="10"/>
  <c r="H103" i="10"/>
  <c r="B83" i="10"/>
  <c r="B87" i="10"/>
  <c r="B71" i="10"/>
  <c r="B108" i="10"/>
  <c r="B79" i="10"/>
  <c r="I33" i="57"/>
  <c r="M5" i="57"/>
  <c r="M16" i="57" s="1"/>
  <c r="M54" i="57" s="1"/>
  <c r="C5" i="57"/>
  <c r="C16" i="57" s="1"/>
  <c r="C54" i="57" s="1"/>
  <c r="N5" i="57"/>
  <c r="N16" i="57" s="1"/>
  <c r="N54" i="57" s="1"/>
  <c r="D5" i="57"/>
  <c r="D33" i="57" s="1"/>
  <c r="I16" i="57"/>
  <c r="I54" i="57" s="1"/>
  <c r="H5" i="57"/>
  <c r="H33" i="57" s="1"/>
  <c r="L5" i="57"/>
  <c r="L20" i="57" s="1"/>
  <c r="F5" i="57"/>
  <c r="F16" i="57" s="1"/>
  <c r="F54" i="57" s="1"/>
  <c r="E5" i="57"/>
  <c r="E20" i="57" s="1"/>
  <c r="G5" i="57"/>
  <c r="G33" i="57" s="1"/>
  <c r="J5" i="57"/>
  <c r="J20" i="57" s="1"/>
  <c r="E34" i="7"/>
  <c r="P33" i="7"/>
  <c r="P34" i="7" s="1"/>
  <c r="G58" i="7"/>
  <c r="F58" i="7"/>
  <c r="H58" i="7"/>
  <c r="E55" i="7"/>
  <c r="P55" i="7" s="1"/>
  <c r="O54" i="33"/>
  <c r="O62" i="33" s="1"/>
  <c r="E22" i="7"/>
  <c r="D62" i="33"/>
  <c r="C88" i="10"/>
  <c r="C92" i="10"/>
  <c r="C112" i="10"/>
  <c r="C100" i="10"/>
  <c r="C96" i="10"/>
  <c r="G99" i="10"/>
  <c r="F154" i="74" s="1"/>
  <c r="C113" i="10"/>
  <c r="C84" i="10"/>
  <c r="C80" i="10"/>
  <c r="C117" i="10"/>
  <c r="F66" i="78"/>
  <c r="D28" i="78"/>
  <c r="P57" i="7"/>
  <c r="K96" i="57"/>
  <c r="E6" i="15"/>
  <c r="H9" i="10"/>
  <c r="H12" i="10"/>
  <c r="E47" i="65"/>
  <c r="B41" i="64"/>
  <c r="E41" i="64" s="1"/>
  <c r="E42" i="64" s="1"/>
  <c r="E45" i="64" s="1"/>
  <c r="E46" i="64"/>
  <c r="E48" i="65"/>
  <c r="O49" i="10" l="1"/>
  <c r="L165" i="7"/>
  <c r="D251" i="74" s="1"/>
  <c r="F118" i="57"/>
  <c r="G81" i="7" s="1"/>
  <c r="F128" i="57"/>
  <c r="I118" i="57"/>
  <c r="J81" i="7" s="1"/>
  <c r="I128" i="57"/>
  <c r="N118" i="57"/>
  <c r="O81" i="7" s="1"/>
  <c r="N128" i="57"/>
  <c r="M118" i="57"/>
  <c r="N81" i="7" s="1"/>
  <c r="M128" i="57"/>
  <c r="C128" i="57"/>
  <c r="C118" i="57"/>
  <c r="D81" i="7" s="1"/>
  <c r="M33" i="57"/>
  <c r="I70" i="57"/>
  <c r="J14" i="55" s="1"/>
  <c r="F33" i="57"/>
  <c r="I103" i="10"/>
  <c r="H158" i="74" s="1"/>
  <c r="G158" i="74"/>
  <c r="N20" i="57"/>
  <c r="E33" i="57"/>
  <c r="D20" i="57"/>
  <c r="G20" i="57"/>
  <c r="N33" i="57"/>
  <c r="G16" i="57"/>
  <c r="G54" i="57" s="1"/>
  <c r="K54" i="7"/>
  <c r="K69" i="7" s="1"/>
  <c r="C33" i="57"/>
  <c r="B96" i="10"/>
  <c r="B100" i="10"/>
  <c r="B112" i="10"/>
  <c r="H112" i="10"/>
  <c r="B117" i="10"/>
  <c r="B92" i="10"/>
  <c r="B80" i="10"/>
  <c r="B113" i="10"/>
  <c r="B88" i="10"/>
  <c r="B84" i="10"/>
  <c r="L33" i="57"/>
  <c r="E16" i="57"/>
  <c r="E54" i="57" s="1"/>
  <c r="K33" i="57"/>
  <c r="H20" i="57"/>
  <c r="J33" i="57"/>
  <c r="I55" i="57"/>
  <c r="H16" i="57"/>
  <c r="H54" i="57" s="1"/>
  <c r="M20" i="57"/>
  <c r="L16" i="57"/>
  <c r="L54" i="57" s="1"/>
  <c r="C20" i="57"/>
  <c r="C24" i="57" s="1"/>
  <c r="J16" i="57"/>
  <c r="J54" i="57" s="1"/>
  <c r="D16" i="57"/>
  <c r="D54" i="57" s="1"/>
  <c r="F20" i="57"/>
  <c r="K16" i="57"/>
  <c r="K54" i="57" s="1"/>
  <c r="C55" i="57"/>
  <c r="F12" i="78"/>
  <c r="G108" i="10"/>
  <c r="F163" i="74" s="1"/>
  <c r="I56" i="7"/>
  <c r="I58" i="7" s="1"/>
  <c r="J96" i="57"/>
  <c r="L96" i="57"/>
  <c r="I96" i="57"/>
  <c r="C105" i="10"/>
  <c r="C93" i="10"/>
  <c r="C89" i="10"/>
  <c r="C97" i="10"/>
  <c r="I6" i="15"/>
  <c r="G111" i="10"/>
  <c r="F166" i="74" s="1"/>
  <c r="C122" i="10"/>
  <c r="C101" i="10"/>
  <c r="C109" i="10"/>
  <c r="C126" i="10"/>
  <c r="C121" i="10"/>
  <c r="F102" i="78"/>
  <c r="F39" i="78"/>
  <c r="F21" i="78"/>
  <c r="F30" i="78"/>
  <c r="F111" i="78"/>
  <c r="F48" i="78"/>
  <c r="F57" i="78"/>
  <c r="D29" i="78"/>
  <c r="C70" i="57"/>
  <c r="D14" i="55" s="1"/>
  <c r="H126" i="22"/>
  <c r="F126" i="22"/>
  <c r="G126" i="22"/>
  <c r="N70" i="57"/>
  <c r="N55" i="57"/>
  <c r="M70" i="57"/>
  <c r="M55" i="57"/>
  <c r="F70" i="57"/>
  <c r="F55" i="57"/>
  <c r="C96" i="57"/>
  <c r="I9" i="10"/>
  <c r="J9" i="10"/>
  <c r="I12" i="10"/>
  <c r="E58" i="63"/>
  <c r="F58" i="63" s="1"/>
  <c r="E53" i="63"/>
  <c r="E54" i="63" s="1"/>
  <c r="B53" i="63"/>
  <c r="E52" i="63"/>
  <c r="B52" i="63"/>
  <c r="E48" i="63"/>
  <c r="E47" i="63"/>
  <c r="E46" i="63"/>
  <c r="L45" i="63"/>
  <c r="I45" i="63"/>
  <c r="E45" i="63"/>
  <c r="L44" i="63"/>
  <c r="L46" i="63" s="1"/>
  <c r="E44" i="63"/>
  <c r="E43" i="63"/>
  <c r="E41" i="63"/>
  <c r="L38" i="63"/>
  <c r="E38" i="63"/>
  <c r="L37" i="63"/>
  <c r="L36" i="63"/>
  <c r="E36" i="63"/>
  <c r="J35" i="63"/>
  <c r="L35" i="63" s="1"/>
  <c r="E35" i="63"/>
  <c r="L34" i="63"/>
  <c r="E34" i="63"/>
  <c r="I33" i="63"/>
  <c r="L33" i="63" s="1"/>
  <c r="I39" i="63" s="1"/>
  <c r="L39" i="63" s="1"/>
  <c r="E33" i="63"/>
  <c r="L32" i="63"/>
  <c r="E32" i="63"/>
  <c r="L31" i="63"/>
  <c r="E31" i="63"/>
  <c r="L30" i="63"/>
  <c r="C30" i="63"/>
  <c r="E30" i="63" s="1"/>
  <c r="E22" i="63"/>
  <c r="E21" i="63"/>
  <c r="C20" i="63"/>
  <c r="E20" i="63" s="1"/>
  <c r="D7" i="63"/>
  <c r="B6" i="63"/>
  <c r="C40" i="63" s="1"/>
  <c r="E40" i="63" s="1"/>
  <c r="B2" i="63"/>
  <c r="C19" i="63" s="1"/>
  <c r="E19" i="63" s="1"/>
  <c r="E23" i="63" s="1"/>
  <c r="H118" i="57" l="1"/>
  <c r="I81" i="7" s="1"/>
  <c r="H128" i="57"/>
  <c r="K118" i="57"/>
  <c r="L81" i="7" s="1"/>
  <c r="K128" i="57"/>
  <c r="D118" i="57"/>
  <c r="E81" i="7" s="1"/>
  <c r="D128" i="57"/>
  <c r="J118" i="57"/>
  <c r="K81" i="7" s="1"/>
  <c r="J128" i="57"/>
  <c r="E118" i="57"/>
  <c r="E128" i="57"/>
  <c r="G118" i="57"/>
  <c r="H81" i="7" s="1"/>
  <c r="G128" i="57"/>
  <c r="L118" i="57"/>
  <c r="M81" i="7" s="1"/>
  <c r="L128" i="57"/>
  <c r="G55" i="57"/>
  <c r="F93" i="78"/>
  <c r="H70" i="57"/>
  <c r="I14" i="55" s="1"/>
  <c r="E70" i="57"/>
  <c r="F14" i="55" s="1"/>
  <c r="F84" i="78"/>
  <c r="D55" i="57"/>
  <c r="G70" i="57"/>
  <c r="H14" i="55" s="1"/>
  <c r="F75" i="78"/>
  <c r="I112" i="10"/>
  <c r="H167" i="74" s="1"/>
  <c r="G167" i="74"/>
  <c r="E55" i="57"/>
  <c r="B97" i="10"/>
  <c r="B101" i="10"/>
  <c r="B122" i="10"/>
  <c r="B121" i="10"/>
  <c r="H121" i="10"/>
  <c r="B89" i="10"/>
  <c r="B126" i="10"/>
  <c r="B93" i="10"/>
  <c r="B109" i="10"/>
  <c r="B105" i="10"/>
  <c r="H55" i="57"/>
  <c r="D70" i="57"/>
  <c r="E14" i="55" s="1"/>
  <c r="J55" i="57"/>
  <c r="O20" i="57"/>
  <c r="L70" i="57"/>
  <c r="M14" i="55" s="1"/>
  <c r="L55" i="57"/>
  <c r="O54" i="57"/>
  <c r="O55" i="57" s="1"/>
  <c r="K55" i="57"/>
  <c r="F238" i="57" a="1"/>
  <c r="F248" i="57" s="1"/>
  <c r="E109" i="74" s="1"/>
  <c r="K70" i="57"/>
  <c r="L14" i="55" s="1"/>
  <c r="O16" i="57"/>
  <c r="J70" i="57"/>
  <c r="K14" i="55" s="1"/>
  <c r="D12" i="57"/>
  <c r="D24" i="57" s="1"/>
  <c r="G126" i="10"/>
  <c r="F181" i="74" s="1"/>
  <c r="G117" i="10"/>
  <c r="F172" i="74" s="1"/>
  <c r="J56" i="7"/>
  <c r="J58" i="7" s="1"/>
  <c r="N14" i="55"/>
  <c r="E96" i="57"/>
  <c r="H96" i="57"/>
  <c r="F96" i="57"/>
  <c r="G14" i="55"/>
  <c r="D96" i="57"/>
  <c r="G96" i="57"/>
  <c r="N96" i="57"/>
  <c r="O14" i="55"/>
  <c r="C114" i="10"/>
  <c r="C135" i="10"/>
  <c r="C118" i="10"/>
  <c r="C98" i="10"/>
  <c r="C130" i="10"/>
  <c r="J6" i="15"/>
  <c r="G120" i="10"/>
  <c r="F175" i="74" s="1"/>
  <c r="C106" i="10"/>
  <c r="C110" i="10"/>
  <c r="C131" i="10"/>
  <c r="C102" i="10"/>
  <c r="D30" i="78"/>
  <c r="I126" i="22"/>
  <c r="J12" i="10"/>
  <c r="K56" i="7" s="1"/>
  <c r="K58" i="7" s="1"/>
  <c r="L51" i="63"/>
  <c r="L53" i="63" s="1"/>
  <c r="L40" i="63"/>
  <c r="I56" i="63" s="1"/>
  <c r="I57" i="63" s="1"/>
  <c r="B8" i="63"/>
  <c r="C37" i="63"/>
  <c r="E37" i="63" s="1"/>
  <c r="C29" i="63"/>
  <c r="E29" i="63" s="1"/>
  <c r="C39" i="63"/>
  <c r="E39" i="63" s="1"/>
  <c r="L52" i="63"/>
  <c r="F81" i="7" l="1"/>
  <c r="O128" i="57"/>
  <c r="O118" i="57"/>
  <c r="I121" i="10"/>
  <c r="H176" i="74" s="1"/>
  <c r="G176" i="74"/>
  <c r="B102" i="10"/>
  <c r="B135" i="10"/>
  <c r="B110" i="10"/>
  <c r="B114" i="10"/>
  <c r="B130" i="10"/>
  <c r="H130" i="10"/>
  <c r="B98" i="10"/>
  <c r="B118" i="10"/>
  <c r="B131" i="10"/>
  <c r="B106" i="10"/>
  <c r="F249" i="57"/>
  <c r="E110" i="74" s="1"/>
  <c r="F240" i="57"/>
  <c r="E101" i="74" s="1"/>
  <c r="F243" i="57"/>
  <c r="E104" i="74" s="1"/>
  <c r="F246" i="57"/>
  <c r="E107" i="74" s="1"/>
  <c r="F244" i="57"/>
  <c r="E105" i="74" s="1"/>
  <c r="F239" i="57"/>
  <c r="E100" i="74" s="1"/>
  <c r="F247" i="57"/>
  <c r="E108" i="74" s="1"/>
  <c r="F245" i="57"/>
  <c r="E106" i="74" s="1"/>
  <c r="F242" i="57"/>
  <c r="E103" i="74" s="1"/>
  <c r="F238" i="57"/>
  <c r="E99" i="74" s="1"/>
  <c r="F241" i="57"/>
  <c r="E102" i="74" s="1"/>
  <c r="O24" i="57"/>
  <c r="O70" i="57"/>
  <c r="E12" i="57"/>
  <c r="E24" i="57" s="1"/>
  <c r="P14" i="55"/>
  <c r="C123" i="10"/>
  <c r="C119" i="10"/>
  <c r="C107" i="10"/>
  <c r="K6" i="15"/>
  <c r="G129" i="10"/>
  <c r="F184" i="74" s="1"/>
  <c r="C127" i="10"/>
  <c r="C111" i="10"/>
  <c r="C144" i="10"/>
  <c r="C139" i="10"/>
  <c r="C115" i="10"/>
  <c r="C140" i="10"/>
  <c r="J126" i="22"/>
  <c r="O96" i="57"/>
  <c r="K9" i="10"/>
  <c r="K12" i="10"/>
  <c r="L9" i="10"/>
  <c r="B15" i="63"/>
  <c r="B12" i="63"/>
  <c r="P81" i="7" l="1"/>
  <c r="I130" i="10"/>
  <c r="H185" i="74" s="1"/>
  <c r="G185" i="74"/>
  <c r="L56" i="7"/>
  <c r="L58" i="7" s="1"/>
  <c r="B123" i="10"/>
  <c r="B144" i="10"/>
  <c r="B140" i="10"/>
  <c r="B119" i="10"/>
  <c r="B139" i="10"/>
  <c r="H139" i="10"/>
  <c r="B111" i="10"/>
  <c r="B107" i="10"/>
  <c r="B115" i="10"/>
  <c r="B127" i="10"/>
  <c r="F12" i="57"/>
  <c r="F24" i="57" s="1"/>
  <c r="G12" i="57" s="1"/>
  <c r="G135" i="10"/>
  <c r="F190" i="74" s="1"/>
  <c r="G144" i="10"/>
  <c r="F199" i="74" s="1"/>
  <c r="C153" i="10"/>
  <c r="C148" i="10"/>
  <c r="C116" i="10"/>
  <c r="C149" i="10"/>
  <c r="C120" i="10"/>
  <c r="L6" i="15"/>
  <c r="G138" i="10"/>
  <c r="F193" i="74" s="1"/>
  <c r="C128" i="10"/>
  <c r="C132" i="10"/>
  <c r="C124" i="10"/>
  <c r="C136" i="10"/>
  <c r="L12" i="10"/>
  <c r="M56" i="7" s="1"/>
  <c r="M58" i="7" s="1"/>
  <c r="M9" i="10"/>
  <c r="I29" i="63"/>
  <c r="B42" i="63"/>
  <c r="E42" i="63" s="1"/>
  <c r="E50" i="63" s="1"/>
  <c r="I139" i="10" l="1"/>
  <c r="H194" i="74" s="1"/>
  <c r="G194" i="74"/>
  <c r="B149" i="10"/>
  <c r="B132" i="10"/>
  <c r="B153" i="10"/>
  <c r="B128" i="10"/>
  <c r="B120" i="10"/>
  <c r="B136" i="10"/>
  <c r="B116" i="10"/>
  <c r="B124" i="10"/>
  <c r="B148" i="10"/>
  <c r="H148" i="10"/>
  <c r="G153" i="10"/>
  <c r="F208" i="74" s="1"/>
  <c r="C158" i="10"/>
  <c r="C137" i="10"/>
  <c r="C125" i="10"/>
  <c r="C145" i="10"/>
  <c r="C133" i="10"/>
  <c r="C129" i="10"/>
  <c r="C162" i="10"/>
  <c r="C141" i="10"/>
  <c r="C157" i="10"/>
  <c r="M6" i="15"/>
  <c r="G147" i="10"/>
  <c r="F202" i="74" s="1"/>
  <c r="K126" i="22"/>
  <c r="M12" i="10"/>
  <c r="N56" i="7" s="1"/>
  <c r="N58" i="7" s="1"/>
  <c r="N9" i="10"/>
  <c r="B60" i="63"/>
  <c r="E57" i="63"/>
  <c r="B64" i="63"/>
  <c r="B65" i="63" s="1"/>
  <c r="I148" i="10" l="1"/>
  <c r="H203" i="74" s="1"/>
  <c r="G203" i="74"/>
  <c r="B137" i="10"/>
  <c r="B157" i="10"/>
  <c r="H157" i="10"/>
  <c r="B158" i="10"/>
  <c r="B162" i="10"/>
  <c r="B141" i="10"/>
  <c r="B129" i="10"/>
  <c r="B133" i="10"/>
  <c r="B125" i="10"/>
  <c r="B145" i="10"/>
  <c r="G162" i="10"/>
  <c r="F217" i="74" s="1"/>
  <c r="C154" i="10"/>
  <c r="C146" i="10"/>
  <c r="C150" i="10"/>
  <c r="C134" i="10"/>
  <c r="N6" i="15"/>
  <c r="G156" i="10"/>
  <c r="F211" i="74" s="1"/>
  <c r="C138" i="10"/>
  <c r="C166" i="10"/>
  <c r="H166" i="10" s="1"/>
  <c r="C142" i="10"/>
  <c r="M126" i="22"/>
  <c r="L126" i="22"/>
  <c r="N12" i="10"/>
  <c r="O56" i="7" s="1"/>
  <c r="O58" i="7" s="1"/>
  <c r="O33" i="57"/>
  <c r="P11" i="7"/>
  <c r="D2" i="10"/>
  <c r="E2" i="10"/>
  <c r="F2" i="10"/>
  <c r="G2" i="10"/>
  <c r="H2" i="10"/>
  <c r="I2" i="10"/>
  <c r="J2" i="10"/>
  <c r="K2" i="10"/>
  <c r="L2" i="10"/>
  <c r="M2" i="10"/>
  <c r="N2" i="10"/>
  <c r="O17" i="11"/>
  <c r="N17" i="11"/>
  <c r="M17" i="11"/>
  <c r="L17" i="11"/>
  <c r="K17" i="11"/>
  <c r="J17" i="11"/>
  <c r="I17" i="11"/>
  <c r="H17" i="11"/>
  <c r="G17" i="11"/>
  <c r="F17" i="11"/>
  <c r="E17" i="11"/>
  <c r="C69" i="11"/>
  <c r="C68" i="11"/>
  <c r="AN31" i="58"/>
  <c r="B89" i="58"/>
  <c r="B31" i="60"/>
  <c r="B68" i="11" s="1"/>
  <c r="A67" i="11"/>
  <c r="C65" i="11"/>
  <c r="C154" i="11" s="1"/>
  <c r="C64" i="11"/>
  <c r="C153" i="11" s="1"/>
  <c r="C63" i="11"/>
  <c r="C152" i="11" s="1"/>
  <c r="C62" i="11"/>
  <c r="C151" i="11" s="1"/>
  <c r="B65" i="11"/>
  <c r="B64" i="11"/>
  <c r="B63" i="11"/>
  <c r="B62" i="11"/>
  <c r="A61" i="11"/>
  <c r="C59" i="11"/>
  <c r="C58" i="11"/>
  <c r="C57" i="11"/>
  <c r="C56" i="11"/>
  <c r="B59" i="11"/>
  <c r="B149" i="11" s="1"/>
  <c r="B58" i="11"/>
  <c r="B148" i="11" s="1"/>
  <c r="B57" i="11"/>
  <c r="B147" i="11" s="1"/>
  <c r="B56" i="11"/>
  <c r="B146" i="11" s="1"/>
  <c r="A55" i="11"/>
  <c r="C54" i="11"/>
  <c r="C53" i="11"/>
  <c r="C52" i="11"/>
  <c r="C51" i="11"/>
  <c r="C50" i="11"/>
  <c r="C49" i="11"/>
  <c r="C48" i="11"/>
  <c r="C138" i="11" s="1"/>
  <c r="B54" i="11"/>
  <c r="B144" i="11" s="1"/>
  <c r="B53" i="11"/>
  <c r="B143" i="11" s="1"/>
  <c r="B52" i="11"/>
  <c r="B142" i="11" s="1"/>
  <c r="B51" i="11"/>
  <c r="B50" i="11"/>
  <c r="B49" i="11"/>
  <c r="B48" i="11"/>
  <c r="A47" i="11"/>
  <c r="A137" i="11" s="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D26" i="60"/>
  <c r="D25" i="60"/>
  <c r="D24" i="60"/>
  <c r="D23" i="60"/>
  <c r="D45" i="60"/>
  <c r="D42" i="60"/>
  <c r="D41" i="60"/>
  <c r="D40" i="60"/>
  <c r="D39" i="60"/>
  <c r="D38" i="60"/>
  <c r="AA103" i="58"/>
  <c r="AA101" i="58"/>
  <c r="AA100" i="58"/>
  <c r="AA102" i="58" s="1"/>
  <c r="AA104" i="58" s="1"/>
  <c r="B36" i="15"/>
  <c r="C156" i="22"/>
  <c r="I166" i="10" l="1"/>
  <c r="H221" i="74" s="1"/>
  <c r="G221" i="74"/>
  <c r="I157" i="10"/>
  <c r="H212" i="74" s="1"/>
  <c r="G212" i="74"/>
  <c r="B150" i="10"/>
  <c r="B146" i="10"/>
  <c r="B142" i="10"/>
  <c r="B154" i="10"/>
  <c r="B138" i="10"/>
  <c r="B134" i="10"/>
  <c r="B166" i="10"/>
  <c r="C159" i="10"/>
  <c r="C155" i="10"/>
  <c r="C147" i="10"/>
  <c r="C151" i="10"/>
  <c r="C143" i="10"/>
  <c r="O6" i="15"/>
  <c r="G165" i="10"/>
  <c r="F220" i="74" s="1"/>
  <c r="C163" i="10"/>
  <c r="N126" i="22"/>
  <c r="C113" i="11"/>
  <c r="C156" i="11"/>
  <c r="C114" i="11"/>
  <c r="C157" i="11"/>
  <c r="B108" i="11"/>
  <c r="B152" i="11"/>
  <c r="B113" i="11"/>
  <c r="B156" i="11"/>
  <c r="A112" i="11"/>
  <c r="A155" i="11"/>
  <c r="B109" i="11"/>
  <c r="B153" i="11"/>
  <c r="B107" i="11"/>
  <c r="B151" i="11"/>
  <c r="B110" i="11"/>
  <c r="B154" i="11"/>
  <c r="B89" i="11"/>
  <c r="B135" i="11"/>
  <c r="C89" i="11"/>
  <c r="C135" i="11"/>
  <c r="C99" i="11"/>
  <c r="C144" i="11"/>
  <c r="C103" i="11"/>
  <c r="C148" i="11"/>
  <c r="B90" i="11"/>
  <c r="B136" i="11"/>
  <c r="C90" i="11"/>
  <c r="C136" i="11"/>
  <c r="A100" i="11"/>
  <c r="A145" i="11"/>
  <c r="C104" i="11"/>
  <c r="C149" i="11"/>
  <c r="B96" i="11"/>
  <c r="B141" i="11"/>
  <c r="A106" i="11"/>
  <c r="A150" i="11"/>
  <c r="B85" i="11"/>
  <c r="B131" i="11"/>
  <c r="C85" i="11"/>
  <c r="C131" i="11"/>
  <c r="B94" i="11"/>
  <c r="B139" i="11"/>
  <c r="C95" i="11"/>
  <c r="C140" i="11"/>
  <c r="B87" i="11"/>
  <c r="B133" i="11"/>
  <c r="C87" i="11"/>
  <c r="C133" i="11"/>
  <c r="C101" i="11"/>
  <c r="C146" i="11"/>
  <c r="B93" i="11"/>
  <c r="B138" i="11"/>
  <c r="C94" i="11"/>
  <c r="C139" i="11"/>
  <c r="B86" i="11"/>
  <c r="B132" i="11"/>
  <c r="C86" i="11"/>
  <c r="C132" i="11"/>
  <c r="B95" i="11"/>
  <c r="B140" i="11"/>
  <c r="C96" i="11"/>
  <c r="C141" i="11"/>
  <c r="C97" i="11"/>
  <c r="C142" i="11"/>
  <c r="B88" i="11"/>
  <c r="B134" i="11"/>
  <c r="C88" i="11"/>
  <c r="C134" i="11"/>
  <c r="C98" i="11"/>
  <c r="C143" i="11"/>
  <c r="C102" i="11"/>
  <c r="C147" i="11"/>
  <c r="B75" i="11"/>
  <c r="B121" i="11"/>
  <c r="B83" i="11"/>
  <c r="B129" i="11"/>
  <c r="C75" i="11"/>
  <c r="C121" i="11"/>
  <c r="C83" i="11"/>
  <c r="C129" i="11"/>
  <c r="B82" i="11"/>
  <c r="B128" i="11"/>
  <c r="C82" i="11"/>
  <c r="C128" i="11"/>
  <c r="B76" i="11"/>
  <c r="B122" i="11"/>
  <c r="B84" i="11"/>
  <c r="B130" i="11"/>
  <c r="C76" i="11"/>
  <c r="C122" i="11"/>
  <c r="C84" i="11"/>
  <c r="C130" i="11"/>
  <c r="C195" i="11" s="1"/>
  <c r="D192" i="11" s="1"/>
  <c r="P192" i="11" s="1"/>
  <c r="B81" i="11"/>
  <c r="B127" i="11"/>
  <c r="B78" i="11"/>
  <c r="B124" i="11"/>
  <c r="C78" i="11"/>
  <c r="C124" i="11"/>
  <c r="C81" i="11"/>
  <c r="C127" i="11"/>
  <c r="B77" i="11"/>
  <c r="B123" i="11"/>
  <c r="C77" i="11"/>
  <c r="C123" i="11"/>
  <c r="B79" i="11"/>
  <c r="B125" i="11"/>
  <c r="C79" i="11"/>
  <c r="C125" i="11"/>
  <c r="B80" i="11"/>
  <c r="B126" i="11"/>
  <c r="C80" i="11"/>
  <c r="C126" i="11"/>
  <c r="C93" i="11"/>
  <c r="C60" i="11"/>
  <c r="C71" i="66"/>
  <c r="C80" i="66" s="1"/>
  <c r="B104" i="11"/>
  <c r="C69" i="66"/>
  <c r="C78" i="66" s="1"/>
  <c r="B102" i="11"/>
  <c r="C65" i="66"/>
  <c r="C74" i="66" s="1"/>
  <c r="B97" i="11"/>
  <c r="C70" i="66"/>
  <c r="C79" i="66" s="1"/>
  <c r="B103" i="11"/>
  <c r="C67" i="66"/>
  <c r="C76" i="66" s="1"/>
  <c r="B99" i="11"/>
  <c r="C66" i="66"/>
  <c r="C75" i="66" s="1"/>
  <c r="B98" i="11"/>
  <c r="B59" i="66"/>
  <c r="A92" i="11"/>
  <c r="C68" i="66"/>
  <c r="C77" i="66" s="1"/>
  <c r="B101" i="11"/>
  <c r="C25" i="11"/>
  <c r="C26" i="11" s="1"/>
  <c r="C70" i="11"/>
  <c r="C66" i="11"/>
  <c r="C46" i="11"/>
  <c r="B56" i="15"/>
  <c r="K78" i="56"/>
  <c r="N30" i="57"/>
  <c r="N36" i="57" s="1"/>
  <c r="M30" i="57"/>
  <c r="M36" i="57" s="1"/>
  <c r="L30" i="57"/>
  <c r="L36" i="57" s="1"/>
  <c r="K30" i="57"/>
  <c r="K36" i="57" s="1"/>
  <c r="J30" i="57"/>
  <c r="J36" i="57" s="1"/>
  <c r="I30" i="57"/>
  <c r="I36" i="57" s="1"/>
  <c r="H30" i="57"/>
  <c r="H36" i="57" s="1"/>
  <c r="G30" i="57"/>
  <c r="G36" i="57" s="1"/>
  <c r="F30" i="57"/>
  <c r="F36" i="57" s="1"/>
  <c r="E30" i="57"/>
  <c r="E36" i="57" s="1"/>
  <c r="D30" i="57"/>
  <c r="D36" i="57" s="1"/>
  <c r="C30" i="57"/>
  <c r="C36" i="57" s="1"/>
  <c r="B143" i="10" l="1"/>
  <c r="B159" i="10"/>
  <c r="B151" i="10"/>
  <c r="B147" i="10"/>
  <c r="B163" i="10"/>
  <c r="B155" i="10"/>
  <c r="C156" i="10"/>
  <c r="C164" i="10"/>
  <c r="C152" i="10"/>
  <c r="C160" i="10"/>
  <c r="O126" i="22"/>
  <c r="C91" i="11"/>
  <c r="C115" i="11"/>
  <c r="C105" i="11"/>
  <c r="C71" i="11"/>
  <c r="C158" i="11"/>
  <c r="C171" i="11" s="1"/>
  <c r="K163" i="11"/>
  <c r="J163" i="11"/>
  <c r="I163" i="11"/>
  <c r="H163" i="11"/>
  <c r="O163" i="11"/>
  <c r="P163" i="11" s="1"/>
  <c r="G163" i="11"/>
  <c r="D163" i="11"/>
  <c r="N163" i="11"/>
  <c r="F163" i="11"/>
  <c r="L163" i="11"/>
  <c r="M163" i="11"/>
  <c r="E163" i="11"/>
  <c r="P22" i="7"/>
  <c r="P19" i="7"/>
  <c r="P21" i="7"/>
  <c r="P20" i="7"/>
  <c r="O37" i="55"/>
  <c r="E49" i="55"/>
  <c r="E27" i="14" s="1"/>
  <c r="E48" i="55"/>
  <c r="E26" i="14" s="1"/>
  <c r="E47" i="55"/>
  <c r="F47" i="55" s="1"/>
  <c r="E46" i="55"/>
  <c r="F46" i="55" s="1"/>
  <c r="E44" i="55"/>
  <c r="E22" i="14" s="1"/>
  <c r="E43" i="55"/>
  <c r="F43" i="55" s="1"/>
  <c r="E42" i="55"/>
  <c r="F42" i="55" s="1"/>
  <c r="F20" i="14" s="1"/>
  <c r="E41" i="55"/>
  <c r="E19" i="14" s="1"/>
  <c r="E40" i="55"/>
  <c r="E18" i="14" s="1"/>
  <c r="E39" i="55"/>
  <c r="F39" i="55" s="1"/>
  <c r="E37" i="55"/>
  <c r="F37" i="55" s="1"/>
  <c r="E35" i="55"/>
  <c r="E13" i="14" s="1"/>
  <c r="E34" i="55"/>
  <c r="E12" i="14" s="1"/>
  <c r="D45" i="55"/>
  <c r="E45" i="55" s="1"/>
  <c r="D38" i="55"/>
  <c r="D16" i="14" s="1"/>
  <c r="D36" i="55"/>
  <c r="D14" i="14" s="1"/>
  <c r="D27" i="14"/>
  <c r="D26" i="14"/>
  <c r="D25" i="14"/>
  <c r="D24" i="14"/>
  <c r="D22" i="14"/>
  <c r="D21" i="14"/>
  <c r="D20" i="14"/>
  <c r="D19" i="14"/>
  <c r="D18" i="14"/>
  <c r="D17" i="14"/>
  <c r="D15" i="14"/>
  <c r="D13" i="14"/>
  <c r="F53" i="60"/>
  <c r="F52" i="60"/>
  <c r="F51" i="60"/>
  <c r="F42" i="60"/>
  <c r="F41" i="60"/>
  <c r="F38" i="60"/>
  <c r="F23" i="60"/>
  <c r="M109" i="56"/>
  <c r="L109" i="56"/>
  <c r="K109" i="56"/>
  <c r="F23" i="7"/>
  <c r="O53" i="7"/>
  <c r="N53" i="7"/>
  <c r="M53" i="7"/>
  <c r="L53" i="7"/>
  <c r="J53" i="7"/>
  <c r="I53" i="7"/>
  <c r="H53" i="7"/>
  <c r="G53" i="7"/>
  <c r="F53" i="7"/>
  <c r="M10" i="15"/>
  <c r="M11" i="15" s="1"/>
  <c r="M37" i="15" s="1"/>
  <c r="L10" i="15"/>
  <c r="L11" i="15" s="1"/>
  <c r="L37" i="15" s="1"/>
  <c r="K10" i="15"/>
  <c r="K11" i="15" s="1"/>
  <c r="I10" i="15"/>
  <c r="I11" i="15" s="1"/>
  <c r="I37" i="15" s="1"/>
  <c r="G10" i="15"/>
  <c r="G11" i="15" s="1"/>
  <c r="G37" i="15" s="1"/>
  <c r="O5" i="15"/>
  <c r="N5" i="15"/>
  <c r="M5" i="15"/>
  <c r="L5" i="15"/>
  <c r="J5" i="15"/>
  <c r="G5" i="15"/>
  <c r="F5" i="15"/>
  <c r="O4" i="15"/>
  <c r="M4" i="15"/>
  <c r="J4" i="15"/>
  <c r="I4" i="15"/>
  <c r="H4" i="15"/>
  <c r="G4" i="15"/>
  <c r="E4" i="15"/>
  <c r="D4" i="15"/>
  <c r="K83" i="56"/>
  <c r="J83" i="56" s="1"/>
  <c r="K77" i="56"/>
  <c r="E53" i="7"/>
  <c r="E61" i="7" s="1"/>
  <c r="F49" i="7" s="1"/>
  <c r="K74" i="56"/>
  <c r="G23" i="7"/>
  <c r="E23" i="7"/>
  <c r="J114" i="56"/>
  <c r="J113" i="56"/>
  <c r="E39" i="33"/>
  <c r="D39" i="33"/>
  <c r="G39" i="33"/>
  <c r="F39" i="33"/>
  <c r="D32" i="33"/>
  <c r="F32" i="33"/>
  <c r="E32" i="33"/>
  <c r="C32" i="33"/>
  <c r="B29" i="33"/>
  <c r="B52" i="33" s="1"/>
  <c r="B28" i="33"/>
  <c r="B4" i="10"/>
  <c r="C99" i="56"/>
  <c r="B7" i="10" s="1"/>
  <c r="C98" i="56"/>
  <c r="C103" i="56" s="1"/>
  <c r="B11" i="10" s="1"/>
  <c r="M94" i="56"/>
  <c r="L94" i="56"/>
  <c r="K94" i="56"/>
  <c r="J94" i="56"/>
  <c r="I94" i="56"/>
  <c r="H94" i="56"/>
  <c r="G94" i="56"/>
  <c r="F94" i="56"/>
  <c r="E94" i="56"/>
  <c r="D94" i="56"/>
  <c r="O18" i="7"/>
  <c r="N2" i="32" s="1"/>
  <c r="N18" i="7"/>
  <c r="M2" i="32" s="1"/>
  <c r="M18" i="7"/>
  <c r="L2" i="32" s="1"/>
  <c r="L18" i="7"/>
  <c r="J2" i="32"/>
  <c r="J18" i="7"/>
  <c r="I2" i="32" s="1"/>
  <c r="I18" i="7"/>
  <c r="H2" i="32" s="1"/>
  <c r="H18" i="7"/>
  <c r="G2" i="32" s="1"/>
  <c r="G18" i="7"/>
  <c r="F2" i="32" s="1"/>
  <c r="F18" i="7"/>
  <c r="E2" i="32" s="1"/>
  <c r="E18" i="7"/>
  <c r="D2" i="32" s="1"/>
  <c r="D18" i="7"/>
  <c r="C2" i="32" s="1"/>
  <c r="N34" i="33"/>
  <c r="N41" i="33" s="1"/>
  <c r="N49" i="33" s="1"/>
  <c r="M34" i="33"/>
  <c r="M41" i="33" s="1"/>
  <c r="M49" i="33" s="1"/>
  <c r="L34" i="33"/>
  <c r="L41" i="33" s="1"/>
  <c r="L49" i="33" s="1"/>
  <c r="K34" i="33"/>
  <c r="K41" i="33" s="1"/>
  <c r="K49" i="33" s="1"/>
  <c r="J34" i="33"/>
  <c r="J41" i="33" s="1"/>
  <c r="J49" i="33" s="1"/>
  <c r="I34" i="33"/>
  <c r="I41" i="33" s="1"/>
  <c r="I49" i="33" s="1"/>
  <c r="H34" i="33"/>
  <c r="H41" i="33" s="1"/>
  <c r="H49" i="33" s="1"/>
  <c r="G34" i="33"/>
  <c r="G41" i="33" s="1"/>
  <c r="G49" i="33" s="1"/>
  <c r="F34" i="33"/>
  <c r="F41" i="33" s="1"/>
  <c r="F49" i="33" s="1"/>
  <c r="E34" i="33"/>
  <c r="E41" i="33" s="1"/>
  <c r="E49" i="33" s="1"/>
  <c r="D34" i="33"/>
  <c r="D41" i="33" s="1"/>
  <c r="D49" i="33" s="1"/>
  <c r="C34" i="33"/>
  <c r="C41" i="33" s="1"/>
  <c r="C49" i="33" s="1"/>
  <c r="L83" i="56"/>
  <c r="M108" i="56"/>
  <c r="L108" i="56"/>
  <c r="K108" i="56"/>
  <c r="J108" i="56"/>
  <c r="I108" i="56"/>
  <c r="H108" i="56"/>
  <c r="G108" i="56"/>
  <c r="F108" i="56"/>
  <c r="E108" i="56"/>
  <c r="D108" i="56"/>
  <c r="C91" i="56"/>
  <c r="C90" i="56"/>
  <c r="C100" i="56" s="1"/>
  <c r="J81" i="56"/>
  <c r="J80" i="56"/>
  <c r="J75" i="56"/>
  <c r="L81" i="56"/>
  <c r="L80" i="56"/>
  <c r="I78" i="56"/>
  <c r="I83" i="56" s="1"/>
  <c r="I77" i="56"/>
  <c r="I82" i="56" s="1"/>
  <c r="L48" i="56"/>
  <c r="L60" i="56" s="1"/>
  <c r="L20" i="56" s="1"/>
  <c r="K20" i="56" s="1"/>
  <c r="K54" i="56"/>
  <c r="J54" i="56" s="1"/>
  <c r="K53" i="56"/>
  <c r="J53" i="56" s="1"/>
  <c r="L15" i="56"/>
  <c r="L56" i="56" s="1"/>
  <c r="K15" i="56"/>
  <c r="K56" i="56" s="1"/>
  <c r="J15" i="56"/>
  <c r="J56" i="56" s="1"/>
  <c r="F54" i="56"/>
  <c r="B156" i="10" l="1"/>
  <c r="B152" i="10"/>
  <c r="B164" i="10"/>
  <c r="B160" i="10"/>
  <c r="K2" i="32"/>
  <c r="B4" i="33"/>
  <c r="B51" i="33"/>
  <c r="C104" i="56"/>
  <c r="B38" i="33" s="1"/>
  <c r="B31" i="33"/>
  <c r="B22" i="7" s="1"/>
  <c r="B29" i="7" s="1"/>
  <c r="B6" i="15" s="1"/>
  <c r="C161" i="10"/>
  <c r="B22" i="10"/>
  <c r="B48" i="10" s="1"/>
  <c r="E62" i="10"/>
  <c r="B14" i="10"/>
  <c r="E67" i="10" s="1"/>
  <c r="E59" i="10"/>
  <c r="C165" i="10"/>
  <c r="B26" i="10"/>
  <c r="E65" i="10"/>
  <c r="E15" i="14"/>
  <c r="E24" i="14"/>
  <c r="E25" i="14"/>
  <c r="E21" i="14"/>
  <c r="C116" i="11"/>
  <c r="F61" i="7"/>
  <c r="G49" i="7" s="1"/>
  <c r="G61" i="7" s="1"/>
  <c r="H49" i="7" s="1"/>
  <c r="H61" i="7" s="1"/>
  <c r="I49" i="7" s="1"/>
  <c r="I61" i="7" s="1"/>
  <c r="J49" i="7" s="1"/>
  <c r="J61" i="7" s="1"/>
  <c r="K49" i="7" s="1"/>
  <c r="K61" i="7" s="1"/>
  <c r="L49" i="7" s="1"/>
  <c r="B30" i="33"/>
  <c r="B11" i="33"/>
  <c r="B5" i="33"/>
  <c r="B19" i="7"/>
  <c r="B10" i="33"/>
  <c r="C10" i="10"/>
  <c r="B37" i="33"/>
  <c r="D11" i="10"/>
  <c r="G74" i="10" s="1"/>
  <c r="F129" i="74" s="1"/>
  <c r="D10" i="10"/>
  <c r="E20" i="14"/>
  <c r="E36" i="55"/>
  <c r="E14" i="14" s="1"/>
  <c r="D23" i="14"/>
  <c r="G43" i="55"/>
  <c r="G21" i="14" s="1"/>
  <c r="F21" i="14"/>
  <c r="E23" i="14"/>
  <c r="F45" i="55"/>
  <c r="G46" i="55"/>
  <c r="G24" i="14" s="1"/>
  <c r="F24" i="14"/>
  <c r="G37" i="55"/>
  <c r="G15" i="14" s="1"/>
  <c r="F15" i="14"/>
  <c r="G47" i="55"/>
  <c r="G25" i="14" s="1"/>
  <c r="F25" i="14"/>
  <c r="G39" i="55"/>
  <c r="H39" i="55" s="1"/>
  <c r="F17" i="14"/>
  <c r="F34" i="55"/>
  <c r="F12" i="14" s="1"/>
  <c r="F35" i="55"/>
  <c r="F36" i="55"/>
  <c r="G36" i="55" s="1"/>
  <c r="H36" i="55" s="1"/>
  <c r="I36" i="55" s="1"/>
  <c r="J36" i="55" s="1"/>
  <c r="K36" i="55" s="1"/>
  <c r="L36" i="55" s="1"/>
  <c r="M36" i="55" s="1"/>
  <c r="N36" i="55" s="1"/>
  <c r="O36" i="55" s="1"/>
  <c r="F44" i="55"/>
  <c r="E17" i="14"/>
  <c r="E38" i="55"/>
  <c r="F40" i="55"/>
  <c r="F48" i="55"/>
  <c r="F41" i="55"/>
  <c r="F49" i="55"/>
  <c r="G9" i="7"/>
  <c r="L148" i="7" s="1"/>
  <c r="D234" i="74" s="1"/>
  <c r="E9" i="7"/>
  <c r="L142" i="7" s="1"/>
  <c r="D228" i="74" s="1"/>
  <c r="F9" i="7"/>
  <c r="L145" i="7" s="1"/>
  <c r="D231" i="74" s="1"/>
  <c r="K37" i="15"/>
  <c r="D10" i="15"/>
  <c r="K4" i="15"/>
  <c r="H5" i="15"/>
  <c r="C39" i="33"/>
  <c r="L4" i="15"/>
  <c r="I5" i="15"/>
  <c r="F10" i="15"/>
  <c r="F11" i="15" s="1"/>
  <c r="N10" i="15"/>
  <c r="N11" i="15" s="1"/>
  <c r="F4" i="15"/>
  <c r="N4" i="15"/>
  <c r="K5" i="15"/>
  <c r="H10" i="15"/>
  <c r="H11" i="15" s="1"/>
  <c r="E36" i="15"/>
  <c r="E51" i="15" s="1"/>
  <c r="F36" i="15"/>
  <c r="F51" i="15" s="1"/>
  <c r="I36" i="15"/>
  <c r="I51" i="15" s="1"/>
  <c r="J10" i="15"/>
  <c r="J11" i="15" s="1"/>
  <c r="H36" i="15"/>
  <c r="H51" i="15" s="1"/>
  <c r="J36" i="15"/>
  <c r="J51" i="15" s="1"/>
  <c r="O10" i="15"/>
  <c r="O11" i="15" s="1"/>
  <c r="G36" i="15"/>
  <c r="G51" i="15" s="1"/>
  <c r="G30" i="7"/>
  <c r="F30" i="7"/>
  <c r="H30" i="7"/>
  <c r="G42" i="55"/>
  <c r="B12" i="10"/>
  <c r="L77" i="56"/>
  <c r="L82" i="56" s="1"/>
  <c r="J30" i="7"/>
  <c r="I30" i="7"/>
  <c r="H32" i="33"/>
  <c r="I23" i="7"/>
  <c r="B6" i="10"/>
  <c r="E61" i="10" s="1"/>
  <c r="J78" i="56"/>
  <c r="K82" i="56"/>
  <c r="J77" i="56"/>
  <c r="J20" i="56"/>
  <c r="L63" i="56"/>
  <c r="K63" i="56" s="1"/>
  <c r="J63" i="56" s="1"/>
  <c r="L64" i="56"/>
  <c r="K64" i="56" s="1"/>
  <c r="J64" i="56" s="1"/>
  <c r="L62" i="56"/>
  <c r="K62" i="56" s="1"/>
  <c r="K60" i="56"/>
  <c r="K48" i="56"/>
  <c r="J48" i="56" s="1"/>
  <c r="B7" i="14"/>
  <c r="N31" i="55"/>
  <c r="O31" i="55" s="1"/>
  <c r="M31" i="55"/>
  <c r="L31" i="55"/>
  <c r="K31" i="55"/>
  <c r="J31" i="55"/>
  <c r="I31" i="55"/>
  <c r="H31" i="55"/>
  <c r="G31" i="55"/>
  <c r="F31" i="55"/>
  <c r="E31" i="55"/>
  <c r="D31" i="55"/>
  <c r="F32" i="60"/>
  <c r="L32" i="60" s="1"/>
  <c r="F19" i="60"/>
  <c r="F18" i="60"/>
  <c r="F17" i="60"/>
  <c r="F16" i="60"/>
  <c r="F10" i="60"/>
  <c r="P127" i="22"/>
  <c r="C33" i="60"/>
  <c r="E32" i="60"/>
  <c r="B32" i="60"/>
  <c r="B69" i="11" s="1"/>
  <c r="O15" i="60"/>
  <c r="O22" i="60" s="1"/>
  <c r="O37" i="60" s="1"/>
  <c r="O56" i="60" s="1"/>
  <c r="L15" i="60"/>
  <c r="L22" i="60" s="1"/>
  <c r="L37" i="60" s="1"/>
  <c r="L56" i="60" s="1"/>
  <c r="K15" i="60"/>
  <c r="K22" i="60" s="1"/>
  <c r="K37" i="60" s="1"/>
  <c r="K56" i="60" s="1"/>
  <c r="J15" i="60"/>
  <c r="J22" i="60" s="1"/>
  <c r="J37" i="60" s="1"/>
  <c r="J56" i="60" s="1"/>
  <c r="I15" i="60"/>
  <c r="I22" i="60" s="1"/>
  <c r="I37" i="60" s="1"/>
  <c r="I56" i="60" s="1"/>
  <c r="M12" i="60"/>
  <c r="N4" i="60"/>
  <c r="N15" i="60" s="1"/>
  <c r="N22" i="60" s="1"/>
  <c r="N37" i="60" s="1"/>
  <c r="N56" i="60" s="1"/>
  <c r="M4" i="60"/>
  <c r="M15" i="60" s="1"/>
  <c r="M22" i="60" s="1"/>
  <c r="M30" i="60" s="1"/>
  <c r="M20" i="60"/>
  <c r="M27" i="60"/>
  <c r="H15" i="60"/>
  <c r="H22" i="60" s="1"/>
  <c r="H37" i="60" s="1"/>
  <c r="H56" i="60" s="1"/>
  <c r="G15" i="60"/>
  <c r="G22" i="60" s="1"/>
  <c r="G37" i="60" s="1"/>
  <c r="G56" i="60" s="1"/>
  <c r="F15" i="60"/>
  <c r="F22" i="60" s="1"/>
  <c r="F37" i="60" s="1"/>
  <c r="F56" i="60" s="1"/>
  <c r="E15" i="60"/>
  <c r="E22" i="60" s="1"/>
  <c r="E37" i="60" s="1"/>
  <c r="E56" i="60" s="1"/>
  <c r="D15" i="60"/>
  <c r="D22" i="60" s="1"/>
  <c r="D37" i="60" s="1"/>
  <c r="D56" i="60" s="1"/>
  <c r="C15" i="60"/>
  <c r="C22" i="60" s="1"/>
  <c r="C37" i="60" s="1"/>
  <c r="C56" i="60" s="1"/>
  <c r="B15" i="60"/>
  <c r="B22" i="60" s="1"/>
  <c r="B37" i="60" s="1"/>
  <c r="B56" i="60" s="1"/>
  <c r="X238" i="59"/>
  <c r="X237" i="59"/>
  <c r="X236" i="59"/>
  <c r="X234" i="59"/>
  <c r="X233" i="59"/>
  <c r="X232" i="59"/>
  <c r="X228" i="59"/>
  <c r="X227" i="59"/>
  <c r="X226" i="59"/>
  <c r="X223" i="59"/>
  <c r="X222" i="59"/>
  <c r="X221" i="59"/>
  <c r="X220" i="59"/>
  <c r="AF237" i="59"/>
  <c r="AE237" i="59"/>
  <c r="AD237" i="59"/>
  <c r="AC237" i="59"/>
  <c r="B161" i="10" l="1"/>
  <c r="B165" i="10"/>
  <c r="E3" i="57"/>
  <c r="F3" i="66" s="1"/>
  <c r="E76" i="10"/>
  <c r="E56" i="7"/>
  <c r="E58" i="7" s="1"/>
  <c r="G64" i="10"/>
  <c r="F119" i="74" s="1"/>
  <c r="D56" i="7"/>
  <c r="D58" i="7" s="1"/>
  <c r="B7" i="33"/>
  <c r="B54" i="33"/>
  <c r="B19" i="33"/>
  <c r="B58" i="33"/>
  <c r="B12" i="33"/>
  <c r="B53" i="33"/>
  <c r="B20" i="33"/>
  <c r="B59" i="33"/>
  <c r="B13" i="33"/>
  <c r="E5" i="15"/>
  <c r="E8" i="15" s="1"/>
  <c r="E27" i="15" s="1"/>
  <c r="G73" i="10"/>
  <c r="F128" i="74" s="1"/>
  <c r="E71" i="10"/>
  <c r="E74" i="10"/>
  <c r="B27" i="10"/>
  <c r="E66" i="10"/>
  <c r="E68" i="10"/>
  <c r="E70" i="10"/>
  <c r="D30" i="7"/>
  <c r="H43" i="55"/>
  <c r="I43" i="55" s="1"/>
  <c r="H47" i="55"/>
  <c r="I47" i="55" s="1"/>
  <c r="D5" i="15"/>
  <c r="D8" i="15" s="1"/>
  <c r="D28" i="15" s="1"/>
  <c r="E39" i="15"/>
  <c r="P39" i="15" s="1"/>
  <c r="B6" i="33"/>
  <c r="B114" i="11"/>
  <c r="B157" i="11"/>
  <c r="C30" i="60"/>
  <c r="E30" i="7"/>
  <c r="E10" i="15"/>
  <c r="E11" i="15" s="1"/>
  <c r="E37" i="15" s="1"/>
  <c r="G8" i="15"/>
  <c r="G27" i="15" s="1"/>
  <c r="G34" i="55"/>
  <c r="G12" i="14" s="1"/>
  <c r="F14" i="14"/>
  <c r="H46" i="55"/>
  <c r="I46" i="55" s="1"/>
  <c r="G41" i="55"/>
  <c r="F19" i="14"/>
  <c r="G35" i="55"/>
  <c r="F13" i="14"/>
  <c r="G49" i="55"/>
  <c r="F27" i="14"/>
  <c r="P31" i="55"/>
  <c r="H37" i="55"/>
  <c r="H15" i="14" s="1"/>
  <c r="G48" i="55"/>
  <c r="F26" i="14"/>
  <c r="G40" i="55"/>
  <c r="F18" i="14"/>
  <c r="G45" i="55"/>
  <c r="F23" i="14"/>
  <c r="F38" i="55"/>
  <c r="E16" i="14"/>
  <c r="G17" i="14"/>
  <c r="G44" i="55"/>
  <c r="F22" i="14"/>
  <c r="E96" i="15"/>
  <c r="G96" i="15" s="1"/>
  <c r="I10" i="7"/>
  <c r="L155" i="7" s="1"/>
  <c r="D241" i="74" s="1"/>
  <c r="G10" i="7"/>
  <c r="L149" i="7" s="1"/>
  <c r="D235" i="74" s="1"/>
  <c r="J10" i="7"/>
  <c r="L158" i="7" s="1"/>
  <c r="D244" i="74" s="1"/>
  <c r="H10" i="7"/>
  <c r="L152" i="7" s="1"/>
  <c r="D238" i="74" s="1"/>
  <c r="I9" i="7"/>
  <c r="L154" i="7" s="1"/>
  <c r="D240" i="74" s="1"/>
  <c r="F10" i="7"/>
  <c r="L146" i="7" s="1"/>
  <c r="D232" i="74" s="1"/>
  <c r="H8" i="15"/>
  <c r="J37" i="15"/>
  <c r="J8" i="15"/>
  <c r="J27" i="15" s="1"/>
  <c r="D11" i="15"/>
  <c r="H39" i="33"/>
  <c r="H37" i="15"/>
  <c r="N37" i="15"/>
  <c r="K36" i="15"/>
  <c r="K51" i="15" s="1"/>
  <c r="F37" i="15"/>
  <c r="O37" i="15"/>
  <c r="F8" i="15"/>
  <c r="F27" i="15" s="1"/>
  <c r="I8" i="15"/>
  <c r="I27" i="15" s="1"/>
  <c r="P4" i="15"/>
  <c r="H17" i="14"/>
  <c r="I39" i="55"/>
  <c r="G20" i="14"/>
  <c r="H42" i="55"/>
  <c r="G14" i="14"/>
  <c r="L65" i="56"/>
  <c r="K65" i="56" s="1"/>
  <c r="J65" i="56" s="1"/>
  <c r="J82" i="56"/>
  <c r="J60" i="56"/>
  <c r="J62" i="56"/>
  <c r="L23" i="60"/>
  <c r="L30" i="60"/>
  <c r="K30" i="60"/>
  <c r="D30" i="60"/>
  <c r="F30" i="60"/>
  <c r="N30" i="60"/>
  <c r="G30" i="60"/>
  <c r="O30" i="60"/>
  <c r="H30" i="60"/>
  <c r="I30" i="60"/>
  <c r="E30" i="60"/>
  <c r="B30" i="60"/>
  <c r="J30" i="60"/>
  <c r="L5" i="60"/>
  <c r="H32" i="60"/>
  <c r="D69" i="11" s="1"/>
  <c r="D157" i="11" s="1"/>
  <c r="E23" i="60"/>
  <c r="E25" i="60"/>
  <c r="M37" i="60"/>
  <c r="M56" i="60" s="1"/>
  <c r="E26" i="60"/>
  <c r="E24" i="60"/>
  <c r="E19" i="60"/>
  <c r="E18" i="60"/>
  <c r="E17" i="60"/>
  <c r="E16" i="60"/>
  <c r="D68" i="66" s="1"/>
  <c r="E5" i="60"/>
  <c r="C54" i="60"/>
  <c r="D53" i="60"/>
  <c r="D52" i="60"/>
  <c r="D51" i="60"/>
  <c r="D50" i="60"/>
  <c r="F50" i="60" s="1"/>
  <c r="D49" i="60"/>
  <c r="F49" i="60" s="1"/>
  <c r="D48" i="60"/>
  <c r="F48" i="60" s="1"/>
  <c r="D47" i="60"/>
  <c r="F47" i="60" s="1"/>
  <c r="D46" i="60"/>
  <c r="F46" i="60" s="1"/>
  <c r="D44" i="60"/>
  <c r="D43" i="60"/>
  <c r="C12" i="60"/>
  <c r="C20" i="60"/>
  <c r="AC41" i="59"/>
  <c r="AG43" i="59"/>
  <c r="BC38" i="59"/>
  <c r="AO38" i="59"/>
  <c r="BF37" i="59"/>
  <c r="BI37" i="59" s="1"/>
  <c r="BF36" i="59"/>
  <c r="BI36" i="59" s="1"/>
  <c r="BF35" i="59"/>
  <c r="BI35" i="59" s="1"/>
  <c r="BF34" i="59"/>
  <c r="AO30" i="59"/>
  <c r="AT29" i="59"/>
  <c r="AW29" i="59" s="1"/>
  <c r="AT28" i="59"/>
  <c r="AW28" i="59" s="1"/>
  <c r="AT27" i="59"/>
  <c r="AW27" i="59" s="1"/>
  <c r="AT26" i="59"/>
  <c r="K245" i="59"/>
  <c r="K244" i="59"/>
  <c r="K243" i="59"/>
  <c r="K242" i="59"/>
  <c r="V241" i="59"/>
  <c r="T241" i="59"/>
  <c r="R241" i="59"/>
  <c r="P241" i="59"/>
  <c r="N241" i="59"/>
  <c r="L241" i="59"/>
  <c r="V237" i="59"/>
  <c r="T237" i="59"/>
  <c r="R237" i="59"/>
  <c r="P237" i="59"/>
  <c r="N237" i="59"/>
  <c r="L237" i="59"/>
  <c r="J237" i="59"/>
  <c r="J236" i="59"/>
  <c r="L236" i="59" s="1"/>
  <c r="N236" i="59" s="1"/>
  <c r="P236" i="59" s="1"/>
  <c r="R236" i="59" s="1"/>
  <c r="T236" i="59" s="1"/>
  <c r="V236" i="59" s="1"/>
  <c r="V233" i="59"/>
  <c r="T233" i="59"/>
  <c r="R233" i="59"/>
  <c r="P233" i="59"/>
  <c r="N233" i="59"/>
  <c r="L233" i="59"/>
  <c r="J233" i="59"/>
  <c r="J232" i="59"/>
  <c r="L232" i="59" s="1"/>
  <c r="N232" i="59" s="1"/>
  <c r="P232" i="59" s="1"/>
  <c r="R232" i="59" s="1"/>
  <c r="T232" i="59" s="1"/>
  <c r="V232" i="59" s="1"/>
  <c r="T217" i="59"/>
  <c r="S217" i="59"/>
  <c r="R217" i="59"/>
  <c r="Q217" i="59"/>
  <c r="P217" i="59"/>
  <c r="O217" i="59"/>
  <c r="N217" i="59"/>
  <c r="B197" i="59"/>
  <c r="F195" i="59"/>
  <c r="M189" i="59"/>
  <c r="F189" i="59"/>
  <c r="M187" i="59"/>
  <c r="N186" i="59"/>
  <c r="AB186" i="59" s="1"/>
  <c r="N185" i="59"/>
  <c r="AE185" i="59" s="1"/>
  <c r="N184" i="59"/>
  <c r="AB184" i="59" s="1"/>
  <c r="N183" i="59"/>
  <c r="AE183" i="59" s="1"/>
  <c r="N182" i="59"/>
  <c r="AE182" i="59" s="1"/>
  <c r="N181" i="59"/>
  <c r="AE181" i="59" s="1"/>
  <c r="N180" i="59"/>
  <c r="AE180" i="59" s="1"/>
  <c r="N179" i="59"/>
  <c r="AE179" i="59" s="1"/>
  <c r="N178" i="59"/>
  <c r="AB178" i="59" s="1"/>
  <c r="N177" i="59"/>
  <c r="AB177" i="59" s="1"/>
  <c r="N176" i="59"/>
  <c r="AE176" i="59" s="1"/>
  <c r="N175" i="59"/>
  <c r="AB175" i="59" s="1"/>
  <c r="N174" i="59"/>
  <c r="AE174" i="59" s="1"/>
  <c r="N173" i="59"/>
  <c r="AB173" i="59" s="1"/>
  <c r="N172" i="59"/>
  <c r="AB172" i="59" s="1"/>
  <c r="N171" i="59"/>
  <c r="AB171" i="59" s="1"/>
  <c r="N170" i="59"/>
  <c r="AE170" i="59" s="1"/>
  <c r="N169" i="59"/>
  <c r="AE169" i="59" s="1"/>
  <c r="AD144" i="59"/>
  <c r="AB143" i="59"/>
  <c r="N143" i="59"/>
  <c r="F196" i="59" s="1"/>
  <c r="AE142" i="59"/>
  <c r="AH142" i="59" s="1"/>
  <c r="AE141" i="59"/>
  <c r="AH141" i="59" s="1"/>
  <c r="AE140" i="59"/>
  <c r="AH140" i="59" s="1"/>
  <c r="AR139" i="59"/>
  <c r="AE139" i="59"/>
  <c r="AH139" i="59" s="1"/>
  <c r="AW138" i="59"/>
  <c r="AN138" i="59"/>
  <c r="AW137" i="59"/>
  <c r="BA137" i="59" s="1"/>
  <c r="AN137" i="59"/>
  <c r="AM20" i="59"/>
  <c r="AM19" i="59"/>
  <c r="N19" i="59"/>
  <c r="N21" i="59" s="1"/>
  <c r="AM18" i="59"/>
  <c r="BB18" i="59" s="1"/>
  <c r="BE18" i="59" s="1"/>
  <c r="S18" i="59"/>
  <c r="V18" i="59" s="1"/>
  <c r="AM17" i="59"/>
  <c r="BB17" i="59" s="1"/>
  <c r="S17" i="59"/>
  <c r="V17" i="59" s="1"/>
  <c r="AM16" i="59"/>
  <c r="S16" i="59"/>
  <c r="V16" i="59" s="1"/>
  <c r="AM15" i="59"/>
  <c r="S15" i="59"/>
  <c r="V15" i="59" s="1"/>
  <c r="AM14" i="59"/>
  <c r="BB14" i="59" s="1"/>
  <c r="BE14" i="59" s="1"/>
  <c r="K137" i="58"/>
  <c r="K136" i="58"/>
  <c r="K135" i="58"/>
  <c r="K134" i="58"/>
  <c r="R133" i="58"/>
  <c r="L133" i="58"/>
  <c r="V133" i="58"/>
  <c r="T133" i="58"/>
  <c r="P133" i="58"/>
  <c r="N133" i="58"/>
  <c r="C207" i="22"/>
  <c r="C205" i="22"/>
  <c r="C175" i="22"/>
  <c r="D57" i="22"/>
  <c r="C13" i="22"/>
  <c r="C18" i="22"/>
  <c r="C37" i="22"/>
  <c r="C240" i="22" s="1"/>
  <c r="C49" i="22"/>
  <c r="H68" i="15"/>
  <c r="K68" i="15" s="1"/>
  <c r="N68" i="15" s="1"/>
  <c r="G68" i="15"/>
  <c r="J68" i="15" s="1"/>
  <c r="M68" i="15" s="1"/>
  <c r="F68" i="15"/>
  <c r="I68" i="15" s="1"/>
  <c r="L68" i="15" s="1"/>
  <c r="O68" i="15" s="1"/>
  <c r="F18" i="55"/>
  <c r="B23" i="10"/>
  <c r="B18" i="10"/>
  <c r="B2" i="17"/>
  <c r="P25" i="7"/>
  <c r="P32" i="7" s="1"/>
  <c r="O25" i="7"/>
  <c r="O32" i="7" s="1"/>
  <c r="N25" i="7"/>
  <c r="N32" i="7" s="1"/>
  <c r="M25" i="7"/>
  <c r="M32" i="7" s="1"/>
  <c r="L25" i="7"/>
  <c r="J25" i="7"/>
  <c r="J32" i="7" s="1"/>
  <c r="I25" i="7"/>
  <c r="I32" i="7" s="1"/>
  <c r="H25" i="7"/>
  <c r="H32" i="7" s="1"/>
  <c r="G25" i="7"/>
  <c r="G32" i="7" s="1"/>
  <c r="F25" i="7"/>
  <c r="F32" i="7" s="1"/>
  <c r="E25" i="7"/>
  <c r="E32" i="7" s="1"/>
  <c r="D25" i="7"/>
  <c r="C53" i="7"/>
  <c r="C52" i="7"/>
  <c r="C51" i="7"/>
  <c r="G60" i="56"/>
  <c r="E4" i="52"/>
  <c r="N10" i="32"/>
  <c r="M10" i="32"/>
  <c r="L10" i="32"/>
  <c r="K10" i="32"/>
  <c r="J10" i="32"/>
  <c r="I10" i="32"/>
  <c r="H10" i="32"/>
  <c r="G10" i="32"/>
  <c r="F10" i="32"/>
  <c r="E10" i="32"/>
  <c r="O8" i="32"/>
  <c r="V129" i="58"/>
  <c r="T129" i="58"/>
  <c r="R129" i="58"/>
  <c r="P129" i="58"/>
  <c r="N129" i="58"/>
  <c r="L129" i="58"/>
  <c r="J129" i="58"/>
  <c r="F7" i="60" s="1"/>
  <c r="J128" i="58"/>
  <c r="L128" i="58" s="1"/>
  <c r="N128" i="58" s="1"/>
  <c r="P128" i="58" s="1"/>
  <c r="R128" i="58" s="1"/>
  <c r="T128" i="58" s="1"/>
  <c r="V128" i="58" s="1"/>
  <c r="V125" i="58"/>
  <c r="T125" i="58"/>
  <c r="R125" i="58"/>
  <c r="P125" i="58"/>
  <c r="N125" i="58"/>
  <c r="L125" i="58"/>
  <c r="J125" i="58"/>
  <c r="J124" i="58"/>
  <c r="L124" i="58" s="1"/>
  <c r="N124" i="58" s="1"/>
  <c r="P124" i="58" s="1"/>
  <c r="R124" i="58" s="1"/>
  <c r="T124" i="58" s="1"/>
  <c r="V124" i="58" s="1"/>
  <c r="T109" i="58"/>
  <c r="S109" i="58"/>
  <c r="R109" i="58"/>
  <c r="Q109" i="58"/>
  <c r="P109" i="58"/>
  <c r="O109" i="58"/>
  <c r="N109" i="58"/>
  <c r="N81" i="58"/>
  <c r="AE81" i="58" s="1"/>
  <c r="M81" i="58"/>
  <c r="F81" i="58"/>
  <c r="M79" i="58"/>
  <c r="N78" i="58"/>
  <c r="AE78" i="58" s="1"/>
  <c r="N77" i="58"/>
  <c r="AB77" i="58" s="1"/>
  <c r="N76" i="58"/>
  <c r="AE76" i="58" s="1"/>
  <c r="N75" i="58"/>
  <c r="N74" i="58"/>
  <c r="N73" i="58"/>
  <c r="N72" i="58"/>
  <c r="N71" i="58"/>
  <c r="AE71" i="58" s="1"/>
  <c r="N70" i="58"/>
  <c r="AE70" i="58" s="1"/>
  <c r="N69" i="58"/>
  <c r="AE68" i="58"/>
  <c r="N68" i="58"/>
  <c r="AB68" i="58" s="1"/>
  <c r="N67" i="58"/>
  <c r="N66" i="58"/>
  <c r="N65" i="58"/>
  <c r="AB65" i="58" s="1"/>
  <c r="N64" i="58"/>
  <c r="AE64" i="58" s="1"/>
  <c r="N63" i="58"/>
  <c r="AD38" i="58"/>
  <c r="AB37" i="58"/>
  <c r="N37" i="58"/>
  <c r="F88" i="58" s="1"/>
  <c r="AE36" i="58"/>
  <c r="AH36" i="58" s="1"/>
  <c r="AE35" i="58"/>
  <c r="AH35" i="58" s="1"/>
  <c r="AE34" i="58"/>
  <c r="AH34" i="58" s="1"/>
  <c r="AR33" i="58"/>
  <c r="AE33" i="58"/>
  <c r="AH33" i="58" s="1"/>
  <c r="AW32" i="58"/>
  <c r="AW33" i="58" s="1"/>
  <c r="AW31" i="58"/>
  <c r="D31" i="60" s="1"/>
  <c r="AM20" i="58"/>
  <c r="BB20" i="58" s="1"/>
  <c r="AM19" i="58"/>
  <c r="N19" i="58"/>
  <c r="F86" i="58" s="1"/>
  <c r="AM18" i="58"/>
  <c r="BB18" i="58" s="1"/>
  <c r="BE18" i="58" s="1"/>
  <c r="S18" i="58"/>
  <c r="V18" i="58" s="1"/>
  <c r="AM17" i="58"/>
  <c r="S17" i="58"/>
  <c r="V17" i="58" s="1"/>
  <c r="AM16" i="58"/>
  <c r="S16" i="58"/>
  <c r="V16" i="58" s="1"/>
  <c r="AM15" i="58"/>
  <c r="BB15" i="58" s="1"/>
  <c r="S15" i="58"/>
  <c r="V15" i="58" s="1"/>
  <c r="AM14" i="58"/>
  <c r="L32" i="7" l="1"/>
  <c r="F35" i="15"/>
  <c r="E4" i="57"/>
  <c r="F4" i="66" s="1"/>
  <c r="F6" i="66" s="1"/>
  <c r="G22" i="55"/>
  <c r="G167" i="10"/>
  <c r="E85" i="10"/>
  <c r="I12" i="7"/>
  <c r="F12" i="7"/>
  <c r="G12" i="7"/>
  <c r="C249" i="22"/>
  <c r="C278" i="22"/>
  <c r="B37" i="57"/>
  <c r="B10" i="57"/>
  <c r="B14" i="57" s="1"/>
  <c r="B18" i="57" s="1"/>
  <c r="B22" i="57" s="1"/>
  <c r="B38" i="57"/>
  <c r="B11" i="57"/>
  <c r="B15" i="57" s="1"/>
  <c r="B19" i="57" s="1"/>
  <c r="B23" i="57" s="1"/>
  <c r="B33" i="57"/>
  <c r="B12" i="57"/>
  <c r="B16" i="57" s="1"/>
  <c r="B20" i="57" s="1"/>
  <c r="B24" i="57" s="1"/>
  <c r="G35" i="15"/>
  <c r="I35" i="15"/>
  <c r="I22" i="55"/>
  <c r="F22" i="55"/>
  <c r="G57" i="10"/>
  <c r="D10" i="7"/>
  <c r="L140" i="7" s="1"/>
  <c r="D226" i="74" s="1"/>
  <c r="E79" i="10"/>
  <c r="E83" i="10"/>
  <c r="E77" i="10"/>
  <c r="E80" i="10"/>
  <c r="E75" i="10"/>
  <c r="H21" i="14"/>
  <c r="H34" i="55"/>
  <c r="H25" i="14"/>
  <c r="H24" i="14"/>
  <c r="P5" i="15"/>
  <c r="P56" i="7"/>
  <c r="F68" i="66"/>
  <c r="G68" i="66"/>
  <c r="E68" i="66"/>
  <c r="H68" i="66"/>
  <c r="L17" i="60"/>
  <c r="D69" i="66"/>
  <c r="L18" i="60"/>
  <c r="D70" i="66"/>
  <c r="L19" i="60"/>
  <c r="D71" i="66"/>
  <c r="D46" i="7"/>
  <c r="D32" i="7"/>
  <c r="AB73" i="58"/>
  <c r="D94" i="66"/>
  <c r="AE65" i="58"/>
  <c r="AH68" i="58"/>
  <c r="AB72" i="58"/>
  <c r="D93" i="66"/>
  <c r="AB74" i="58"/>
  <c r="D95" i="66"/>
  <c r="AE74" i="58"/>
  <c r="AB69" i="58"/>
  <c r="AH69" i="58" s="1"/>
  <c r="D91" i="66"/>
  <c r="AB78" i="58"/>
  <c r="AH78" i="58" s="1"/>
  <c r="AB70" i="58"/>
  <c r="AH70" i="58" s="1"/>
  <c r="D92" i="66"/>
  <c r="AB75" i="58"/>
  <c r="D96" i="66"/>
  <c r="AE66" i="58"/>
  <c r="D89" i="66"/>
  <c r="AB71" i="58"/>
  <c r="AH71" i="58" s="1"/>
  <c r="AB76" i="58"/>
  <c r="AH76" i="58" s="1"/>
  <c r="AB67" i="58"/>
  <c r="D90" i="66"/>
  <c r="P10" i="15"/>
  <c r="F40" i="60"/>
  <c r="F6" i="60"/>
  <c r="F44" i="60"/>
  <c r="F45" i="60"/>
  <c r="F43" i="60"/>
  <c r="F39" i="60"/>
  <c r="F8" i="60"/>
  <c r="AH37" i="58"/>
  <c r="N79" i="58"/>
  <c r="AB79" i="58" s="1"/>
  <c r="N90" i="58" s="1"/>
  <c r="AB66" i="58"/>
  <c r="AH66" i="58" s="1"/>
  <c r="AE69" i="58"/>
  <c r="AE75" i="58"/>
  <c r="L7" i="60"/>
  <c r="AE63" i="58"/>
  <c r="AH63" i="58" s="1"/>
  <c r="AE72" i="58"/>
  <c r="AM21" i="58"/>
  <c r="F87" i="58" s="1"/>
  <c r="AB64" i="58"/>
  <c r="AH64" i="58" s="1"/>
  <c r="AE67" i="58"/>
  <c r="AE73" i="58"/>
  <c r="AH73" i="58" s="1"/>
  <c r="BB14" i="58"/>
  <c r="BE14" i="58" s="1"/>
  <c r="BB17" i="58"/>
  <c r="BE17" i="58" s="1"/>
  <c r="E31" i="60"/>
  <c r="E33" i="60" s="1"/>
  <c r="F31" i="60"/>
  <c r="AE77" i="58"/>
  <c r="L10" i="60"/>
  <c r="D66" i="66"/>
  <c r="E66" i="66" s="1"/>
  <c r="D67" i="66"/>
  <c r="L9" i="60"/>
  <c r="D65" i="66"/>
  <c r="E10" i="7"/>
  <c r="L143" i="7" s="1"/>
  <c r="D229" i="74" s="1"/>
  <c r="H28" i="15"/>
  <c r="H54" i="15" s="1"/>
  <c r="H27" i="15"/>
  <c r="G28" i="15"/>
  <c r="G54" i="15" s="1"/>
  <c r="D54" i="15"/>
  <c r="D27" i="15"/>
  <c r="G12" i="15"/>
  <c r="G38" i="55"/>
  <c r="F16" i="14"/>
  <c r="H40" i="55"/>
  <c r="G18" i="14"/>
  <c r="H35" i="55"/>
  <c r="G13" i="14"/>
  <c r="G23" i="14"/>
  <c r="H45" i="55"/>
  <c r="H44" i="55"/>
  <c r="G22" i="14"/>
  <c r="G27" i="14"/>
  <c r="H49" i="55"/>
  <c r="H48" i="55"/>
  <c r="G26" i="14"/>
  <c r="H41" i="55"/>
  <c r="G19" i="14"/>
  <c r="K8" i="15"/>
  <c r="K27" i="15" s="1"/>
  <c r="K37" i="7"/>
  <c r="I37" i="7"/>
  <c r="I46" i="7"/>
  <c r="J37" i="7"/>
  <c r="J46" i="7"/>
  <c r="E37" i="7"/>
  <c r="E46" i="7"/>
  <c r="M37" i="7"/>
  <c r="M46" i="7"/>
  <c r="F37" i="7"/>
  <c r="F46" i="7"/>
  <c r="N37" i="7"/>
  <c r="N46" i="7"/>
  <c r="L37" i="7"/>
  <c r="L46" i="7"/>
  <c r="G37" i="7"/>
  <c r="G46" i="7"/>
  <c r="O37" i="7"/>
  <c r="O46" i="7"/>
  <c r="H37" i="7"/>
  <c r="H46" i="7"/>
  <c r="P37" i="7"/>
  <c r="P46" i="7"/>
  <c r="H12" i="15"/>
  <c r="D51" i="15"/>
  <c r="I12" i="15"/>
  <c r="I28" i="15"/>
  <c r="I54" i="15" s="1"/>
  <c r="F12" i="15"/>
  <c r="F28" i="15"/>
  <c r="F54" i="15" s="1"/>
  <c r="D37" i="15"/>
  <c r="D12" i="15"/>
  <c r="P11" i="15"/>
  <c r="E12" i="15"/>
  <c r="E28" i="15"/>
  <c r="E54" i="15" s="1"/>
  <c r="P6" i="15"/>
  <c r="J12" i="15"/>
  <c r="J28" i="15"/>
  <c r="J54" i="15" s="1"/>
  <c r="K39" i="33"/>
  <c r="J39" i="33"/>
  <c r="J39" i="55"/>
  <c r="I17" i="14"/>
  <c r="I15" i="14"/>
  <c r="J43" i="55"/>
  <c r="I21" i="14"/>
  <c r="H12" i="14"/>
  <c r="I34" i="55"/>
  <c r="I42" i="55"/>
  <c r="H20" i="14"/>
  <c r="J46" i="55"/>
  <c r="I24" i="14"/>
  <c r="J47" i="55"/>
  <c r="I25" i="14"/>
  <c r="H14" i="14"/>
  <c r="L67" i="56"/>
  <c r="L85" i="56" s="1"/>
  <c r="K85" i="56" s="1"/>
  <c r="J67" i="56"/>
  <c r="K67" i="56"/>
  <c r="C55" i="7"/>
  <c r="C59" i="7" s="1"/>
  <c r="C57" i="7"/>
  <c r="C61" i="7" s="1"/>
  <c r="C56" i="7"/>
  <c r="C60" i="7" s="1"/>
  <c r="H23" i="60"/>
  <c r="I32" i="60"/>
  <c r="N32" i="60"/>
  <c r="M32" i="60"/>
  <c r="J32" i="60"/>
  <c r="E38" i="60"/>
  <c r="H38" i="60" s="1"/>
  <c r="D30" i="11" s="1"/>
  <c r="L38" i="60"/>
  <c r="H10" i="60"/>
  <c r="E39" i="60"/>
  <c r="E40" i="60"/>
  <c r="H9" i="60"/>
  <c r="H17" i="60"/>
  <c r="H18" i="60"/>
  <c r="H19" i="60"/>
  <c r="E43" i="60"/>
  <c r="E49" i="60"/>
  <c r="E50" i="60"/>
  <c r="E48" i="60"/>
  <c r="E45" i="60"/>
  <c r="E51" i="60"/>
  <c r="E41" i="60"/>
  <c r="E52" i="60"/>
  <c r="E42" i="60"/>
  <c r="E46" i="60"/>
  <c r="E53" i="60"/>
  <c r="E44" i="60"/>
  <c r="E47" i="60"/>
  <c r="E20" i="60"/>
  <c r="L16" i="60"/>
  <c r="E12" i="60"/>
  <c r="E27" i="60"/>
  <c r="AE172" i="59"/>
  <c r="AH172" i="59" s="1"/>
  <c r="BF38" i="59"/>
  <c r="C27" i="60"/>
  <c r="C57" i="60" s="1"/>
  <c r="AE184" i="59"/>
  <c r="AH184" i="59" s="1"/>
  <c r="AT30" i="59"/>
  <c r="AM23" i="59"/>
  <c r="AB181" i="59"/>
  <c r="AH181" i="59" s="1"/>
  <c r="AE186" i="59"/>
  <c r="AH186" i="59" s="1"/>
  <c r="AM43" i="59"/>
  <c r="AT43" i="59" s="1"/>
  <c r="AE175" i="59"/>
  <c r="AH175" i="59" s="1"/>
  <c r="AE178" i="59"/>
  <c r="AH178" i="59" s="1"/>
  <c r="BI34" i="59"/>
  <c r="BI38" i="59" s="1"/>
  <c r="AW26" i="59"/>
  <c r="AW30" i="59" s="1"/>
  <c r="AB176" i="59"/>
  <c r="AH176" i="59" s="1"/>
  <c r="AB179" i="59"/>
  <c r="AH179" i="59" s="1"/>
  <c r="AB182" i="59"/>
  <c r="AH182" i="59" s="1"/>
  <c r="N189" i="59"/>
  <c r="AE189" i="59" s="1"/>
  <c r="AB170" i="59"/>
  <c r="AH170" i="59" s="1"/>
  <c r="AB185" i="59"/>
  <c r="AH185" i="59" s="1"/>
  <c r="AB174" i="59"/>
  <c r="AH174" i="59" s="1"/>
  <c r="AE177" i="59"/>
  <c r="AH177" i="59" s="1"/>
  <c r="AB180" i="59"/>
  <c r="AH180" i="59" s="1"/>
  <c r="AW139" i="59"/>
  <c r="F197" i="59" s="1"/>
  <c r="AE171" i="59"/>
  <c r="AH171" i="59" s="1"/>
  <c r="AB183" i="59"/>
  <c r="AH183" i="59" s="1"/>
  <c r="AE173" i="59"/>
  <c r="AH173" i="59" s="1"/>
  <c r="N187" i="59"/>
  <c r="AE187" i="59" s="1"/>
  <c r="K198" i="59" s="1"/>
  <c r="BE17" i="59"/>
  <c r="BB23" i="59"/>
  <c r="V19" i="59"/>
  <c r="AH143" i="59"/>
  <c r="BB15" i="59"/>
  <c r="BE15" i="59" s="1"/>
  <c r="BB20" i="59"/>
  <c r="BE20" i="59" s="1"/>
  <c r="BA138" i="59"/>
  <c r="F194" i="59"/>
  <c r="S19" i="59"/>
  <c r="BD138" i="59"/>
  <c r="AE143" i="59"/>
  <c r="K196" i="59" s="1"/>
  <c r="Q196" i="59" s="1"/>
  <c r="BB16" i="59"/>
  <c r="BE16" i="59" s="1"/>
  <c r="BB19" i="59"/>
  <c r="BE19" i="59" s="1"/>
  <c r="BD137" i="59"/>
  <c r="BG137" i="59" s="1"/>
  <c r="AB169" i="59"/>
  <c r="AH169" i="59" s="1"/>
  <c r="C19" i="22"/>
  <c r="C50" i="22"/>
  <c r="B31" i="57"/>
  <c r="B48" i="57" s="1"/>
  <c r="B32" i="57"/>
  <c r="B53" i="57" s="1"/>
  <c r="F89" i="58"/>
  <c r="BD33" i="58"/>
  <c r="N89" i="58" s="1"/>
  <c r="BA33" i="58"/>
  <c r="K89" i="58" s="1"/>
  <c r="V19" i="58"/>
  <c r="BE15" i="58"/>
  <c r="BE20" i="58"/>
  <c r="BA32" i="58"/>
  <c r="AH65" i="58"/>
  <c r="AH67" i="58"/>
  <c r="AH72" i="58"/>
  <c r="AH75" i="58"/>
  <c r="AH77" i="58"/>
  <c r="AE37" i="58"/>
  <c r="K88" i="58" s="1"/>
  <c r="Q88" i="58" s="1"/>
  <c r="S19" i="58"/>
  <c r="BD32" i="58"/>
  <c r="BA31" i="58"/>
  <c r="BB16" i="58"/>
  <c r="BE16" i="58" s="1"/>
  <c r="BB19" i="58"/>
  <c r="BD31" i="58"/>
  <c r="AB81" i="58"/>
  <c r="AH81" i="58" s="1"/>
  <c r="AB63" i="58"/>
  <c r="F8" i="66" l="1"/>
  <c r="F23" i="66" s="1"/>
  <c r="F11" i="66"/>
  <c r="F26" i="66" s="1"/>
  <c r="F9" i="66"/>
  <c r="F24" i="66" s="1"/>
  <c r="F10" i="66"/>
  <c r="F25" i="66" s="1"/>
  <c r="F12" i="66"/>
  <c r="F90" i="58"/>
  <c r="E12" i="7"/>
  <c r="B69" i="57"/>
  <c r="C13" i="55" s="1"/>
  <c r="D190" i="57"/>
  <c r="B64" i="57"/>
  <c r="C8" i="55" s="1"/>
  <c r="D142" i="57"/>
  <c r="C3" i="74" s="1"/>
  <c r="B39" i="57"/>
  <c r="B55" i="57"/>
  <c r="D238" i="57" s="1"/>
  <c r="E94" i="10"/>
  <c r="P58" i="7"/>
  <c r="E22" i="55"/>
  <c r="E24" i="55" s="1"/>
  <c r="E35" i="15"/>
  <c r="E89" i="10"/>
  <c r="E86" i="10"/>
  <c r="E84" i="10"/>
  <c r="E92" i="10"/>
  <c r="E88" i="10"/>
  <c r="E126" i="22"/>
  <c r="H31" i="60"/>
  <c r="I31" i="60" s="1"/>
  <c r="G33" i="60"/>
  <c r="I18" i="60"/>
  <c r="D148" i="11"/>
  <c r="H70" i="66"/>
  <c r="E70" i="66"/>
  <c r="F70" i="66"/>
  <c r="G70" i="66"/>
  <c r="H69" i="66"/>
  <c r="G69" i="66"/>
  <c r="E69" i="66"/>
  <c r="F69" i="66"/>
  <c r="J17" i="60"/>
  <c r="D57" i="11"/>
  <c r="D147" i="11" s="1"/>
  <c r="L31" i="60"/>
  <c r="L33" i="60" s="1"/>
  <c r="H71" i="66"/>
  <c r="F71" i="66"/>
  <c r="G71" i="66"/>
  <c r="E71" i="66"/>
  <c r="J19" i="60"/>
  <c r="D59" i="11"/>
  <c r="D149" i="11" s="1"/>
  <c r="E96" i="66"/>
  <c r="H96" i="66"/>
  <c r="G96" i="66"/>
  <c r="F96" i="66"/>
  <c r="AH74" i="58"/>
  <c r="H90" i="66"/>
  <c r="E90" i="66"/>
  <c r="G90" i="66"/>
  <c r="F90" i="66"/>
  <c r="H92" i="66"/>
  <c r="G92" i="66"/>
  <c r="E92" i="66"/>
  <c r="F92" i="66"/>
  <c r="H93" i="66"/>
  <c r="E93" i="66"/>
  <c r="G93" i="66"/>
  <c r="F93" i="66"/>
  <c r="Q89" i="58"/>
  <c r="F91" i="66"/>
  <c r="G91" i="66"/>
  <c r="H91" i="66"/>
  <c r="E91" i="66"/>
  <c r="H95" i="66"/>
  <c r="F95" i="66"/>
  <c r="E95" i="66"/>
  <c r="G95" i="66"/>
  <c r="F94" i="66"/>
  <c r="G94" i="66"/>
  <c r="H94" i="66"/>
  <c r="E94" i="66"/>
  <c r="G65" i="66"/>
  <c r="F65" i="66"/>
  <c r="E65" i="66"/>
  <c r="AE79" i="58"/>
  <c r="K90" i="58" s="1"/>
  <c r="BG31" i="58"/>
  <c r="F24" i="60"/>
  <c r="L6" i="60"/>
  <c r="BG33" i="58"/>
  <c r="H33" i="60"/>
  <c r="D68" i="11"/>
  <c r="F11" i="60"/>
  <c r="L8" i="60"/>
  <c r="G67" i="66"/>
  <c r="H67" i="66"/>
  <c r="E67" i="66"/>
  <c r="F67" i="66"/>
  <c r="N10" i="60"/>
  <c r="O10" i="60" s="1"/>
  <c r="D53" i="11"/>
  <c r="H66" i="66"/>
  <c r="G66" i="66"/>
  <c r="F66" i="66"/>
  <c r="N9" i="60"/>
  <c r="D52" i="11"/>
  <c r="H65" i="66"/>
  <c r="I23" i="60"/>
  <c r="D62" i="11"/>
  <c r="K28" i="15"/>
  <c r="K54" i="15" s="1"/>
  <c r="E25" i="15"/>
  <c r="E26" i="15"/>
  <c r="K12" i="15"/>
  <c r="I26" i="15"/>
  <c r="I25" i="15"/>
  <c r="D26" i="15"/>
  <c r="D25" i="15"/>
  <c r="J26" i="15"/>
  <c r="J25" i="15"/>
  <c r="H25" i="15"/>
  <c r="H26" i="15"/>
  <c r="F25" i="15"/>
  <c r="F26" i="15"/>
  <c r="G26" i="15"/>
  <c r="G25" i="15"/>
  <c r="I40" i="55"/>
  <c r="H18" i="14"/>
  <c r="I45" i="55"/>
  <c r="H23" i="14"/>
  <c r="H22" i="14"/>
  <c r="I44" i="55"/>
  <c r="I48" i="55"/>
  <c r="H26" i="14"/>
  <c r="H19" i="14"/>
  <c r="I41" i="55"/>
  <c r="H27" i="14"/>
  <c r="I49" i="55"/>
  <c r="I35" i="55"/>
  <c r="H13" i="14"/>
  <c r="H38" i="55"/>
  <c r="G16" i="14"/>
  <c r="L36" i="15"/>
  <c r="L8" i="15"/>
  <c r="L27" i="15" s="1"/>
  <c r="L30" i="7"/>
  <c r="I9" i="60"/>
  <c r="L39" i="33"/>
  <c r="J15" i="14"/>
  <c r="K39" i="55"/>
  <c r="J17" i="14"/>
  <c r="J34" i="55"/>
  <c r="I12" i="14"/>
  <c r="I20" i="14"/>
  <c r="J42" i="55"/>
  <c r="K46" i="55"/>
  <c r="J24" i="14"/>
  <c r="K47" i="55"/>
  <c r="J25" i="14"/>
  <c r="K43" i="55"/>
  <c r="J21" i="14"/>
  <c r="I14" i="14"/>
  <c r="O36" i="33"/>
  <c r="N25" i="10"/>
  <c r="M19" i="10"/>
  <c r="J85" i="56"/>
  <c r="M55" i="15"/>
  <c r="N31" i="60"/>
  <c r="N33" i="60" s="1"/>
  <c r="I17" i="60"/>
  <c r="K17" i="60" s="1"/>
  <c r="I10" i="60"/>
  <c r="O32" i="60"/>
  <c r="J10" i="60"/>
  <c r="L48" i="60"/>
  <c r="H47" i="60"/>
  <c r="I47" i="60" s="1"/>
  <c r="H48" i="60"/>
  <c r="H45" i="60"/>
  <c r="L41" i="60"/>
  <c r="J18" i="60"/>
  <c r="N23" i="60"/>
  <c r="O23" i="60" s="1"/>
  <c r="L42" i="60"/>
  <c r="H41" i="60"/>
  <c r="J41" i="60" s="1"/>
  <c r="L47" i="60"/>
  <c r="K32" i="60"/>
  <c r="L44" i="60"/>
  <c r="J23" i="60"/>
  <c r="J9" i="60"/>
  <c r="H46" i="60"/>
  <c r="L45" i="60"/>
  <c r="H50" i="60"/>
  <c r="J50" i="60" s="1"/>
  <c r="H40" i="60"/>
  <c r="I19" i="60"/>
  <c r="H44" i="60"/>
  <c r="N44" i="60" s="1"/>
  <c r="H49" i="60"/>
  <c r="L40" i="60"/>
  <c r="L46" i="60"/>
  <c r="N38" i="60"/>
  <c r="J38" i="60"/>
  <c r="M38" i="60"/>
  <c r="I38" i="60"/>
  <c r="L49" i="60"/>
  <c r="L39" i="60"/>
  <c r="L43" i="60"/>
  <c r="L51" i="60"/>
  <c r="L52" i="60"/>
  <c r="H16" i="60"/>
  <c r="L20" i="60"/>
  <c r="H42" i="60"/>
  <c r="D34" i="11" s="1"/>
  <c r="N19" i="60"/>
  <c r="O19" i="60" s="1"/>
  <c r="N18" i="60"/>
  <c r="O18" i="60" s="1"/>
  <c r="N17" i="60"/>
  <c r="O17" i="60" s="1"/>
  <c r="L50" i="60"/>
  <c r="L53" i="60"/>
  <c r="H53" i="60"/>
  <c r="D45" i="11" s="1"/>
  <c r="E54" i="60"/>
  <c r="E57" i="60" s="1"/>
  <c r="H51" i="60"/>
  <c r="D43" i="11" s="1"/>
  <c r="H43" i="60"/>
  <c r="D35" i="11" s="1"/>
  <c r="H39" i="60"/>
  <c r="D31" i="11" s="1"/>
  <c r="R31" i="11" s="1"/>
  <c r="G54" i="60"/>
  <c r="H52" i="60"/>
  <c r="D44" i="11" s="1"/>
  <c r="BE23" i="59"/>
  <c r="F198" i="59"/>
  <c r="AQ43" i="59"/>
  <c r="AW43" i="59" s="1"/>
  <c r="AB187" i="59"/>
  <c r="N198" i="59" s="1"/>
  <c r="BB21" i="59"/>
  <c r="K195" i="59" s="1"/>
  <c r="Q195" i="59" s="1"/>
  <c r="BG138" i="59"/>
  <c r="BD139" i="59"/>
  <c r="N197" i="59" s="1"/>
  <c r="BA139" i="59"/>
  <c r="K197" i="59" s="1"/>
  <c r="AB189" i="59"/>
  <c r="AH189" i="59" s="1"/>
  <c r="BE21" i="59"/>
  <c r="K194" i="59"/>
  <c r="Q194" i="59" s="1"/>
  <c r="S21" i="59"/>
  <c r="V21" i="59" s="1"/>
  <c r="AH187" i="59"/>
  <c r="K86" i="58"/>
  <c r="Q86" i="58" s="1"/>
  <c r="BB21" i="58"/>
  <c r="K87" i="58" s="1"/>
  <c r="Q87" i="58" s="1"/>
  <c r="BG32" i="58"/>
  <c r="BE19" i="58"/>
  <c r="BE21" i="58" s="1"/>
  <c r="B8" i="52"/>
  <c r="E3" i="52" s="1"/>
  <c r="H22" i="11"/>
  <c r="B53" i="15"/>
  <c r="B6" i="19"/>
  <c r="F32" i="55"/>
  <c r="O32" i="55"/>
  <c r="N32" i="55"/>
  <c r="M32" i="55"/>
  <c r="L32" i="55"/>
  <c r="K32" i="55"/>
  <c r="J32" i="55"/>
  <c r="I32" i="55"/>
  <c r="H32" i="55"/>
  <c r="G32" i="55"/>
  <c r="E32" i="55"/>
  <c r="D32" i="55"/>
  <c r="C21" i="55"/>
  <c r="C15" i="55"/>
  <c r="G56" i="56"/>
  <c r="F56" i="56"/>
  <c r="E56" i="56"/>
  <c r="L19" i="10"/>
  <c r="J19" i="10"/>
  <c r="I19" i="10"/>
  <c r="H19" i="10"/>
  <c r="G19" i="10"/>
  <c r="F19" i="10"/>
  <c r="E19" i="10"/>
  <c r="D19" i="10"/>
  <c r="M25" i="10"/>
  <c r="L25" i="10"/>
  <c r="K25" i="10"/>
  <c r="J25" i="10"/>
  <c r="I25" i="10"/>
  <c r="H25" i="10"/>
  <c r="H46" i="10" s="1"/>
  <c r="G25" i="10"/>
  <c r="F25" i="10"/>
  <c r="E25" i="10"/>
  <c r="D25" i="10"/>
  <c r="L24" i="10"/>
  <c r="J24" i="10"/>
  <c r="H24" i="10"/>
  <c r="F24" i="10"/>
  <c r="D24" i="10"/>
  <c r="C25" i="10"/>
  <c r="B5" i="19"/>
  <c r="B21" i="10"/>
  <c r="B47" i="10" s="1"/>
  <c r="B4" i="19"/>
  <c r="O43" i="57"/>
  <c r="N43" i="57"/>
  <c r="M43" i="57"/>
  <c r="L43" i="57"/>
  <c r="K43" i="57"/>
  <c r="J43" i="57"/>
  <c r="I43" i="57"/>
  <c r="H43" i="57"/>
  <c r="G43" i="57"/>
  <c r="F43" i="57"/>
  <c r="E43" i="57"/>
  <c r="D43" i="57"/>
  <c r="C43" i="57"/>
  <c r="C111" i="57" s="1"/>
  <c r="C131" i="57" s="1"/>
  <c r="B47" i="57"/>
  <c r="B46" i="57"/>
  <c r="B45" i="57"/>
  <c r="B44" i="57"/>
  <c r="O35" i="57"/>
  <c r="C75" i="56"/>
  <c r="C74" i="56"/>
  <c r="C72" i="56"/>
  <c r="C71" i="56"/>
  <c r="G63" i="56"/>
  <c r="D65" i="56"/>
  <c r="E54" i="56"/>
  <c r="D54" i="56" s="1"/>
  <c r="E53" i="56"/>
  <c r="D53" i="56" s="1"/>
  <c r="E12" i="56"/>
  <c r="E11" i="56"/>
  <c r="O59" i="57" l="1"/>
  <c r="O111" i="57"/>
  <c r="O131" i="57" s="1"/>
  <c r="H59" i="57"/>
  <c r="H111" i="57"/>
  <c r="H131" i="57" s="1"/>
  <c r="L59" i="57"/>
  <c r="L111" i="57"/>
  <c r="L131" i="57" s="1"/>
  <c r="E59" i="57"/>
  <c r="F22" i="66" s="1"/>
  <c r="E111" i="57"/>
  <c r="E131" i="57" s="1"/>
  <c r="M59" i="57"/>
  <c r="M73" i="57" s="1"/>
  <c r="M80" i="57" s="1"/>
  <c r="M97" i="57" s="1"/>
  <c r="M104" i="57" s="1"/>
  <c r="M111" i="57"/>
  <c r="M131" i="57" s="1"/>
  <c r="I59" i="57"/>
  <c r="I73" i="57" s="1"/>
  <c r="I80" i="57" s="1"/>
  <c r="I97" i="57" s="1"/>
  <c r="I104" i="57" s="1"/>
  <c r="I111" i="57"/>
  <c r="I131" i="57" s="1"/>
  <c r="J59" i="57"/>
  <c r="J111" i="57"/>
  <c r="J131" i="57" s="1"/>
  <c r="K59" i="57"/>
  <c r="K73" i="57" s="1"/>
  <c r="K80" i="57" s="1"/>
  <c r="K97" i="57" s="1"/>
  <c r="K104" i="57" s="1"/>
  <c r="K111" i="57"/>
  <c r="K131" i="57" s="1"/>
  <c r="D59" i="57"/>
  <c r="D73" i="57" s="1"/>
  <c r="D80" i="57" s="1"/>
  <c r="D97" i="57" s="1"/>
  <c r="D104" i="57" s="1"/>
  <c r="D111" i="57"/>
  <c r="D131" i="57" s="1"/>
  <c r="F59" i="57"/>
  <c r="F73" i="57" s="1"/>
  <c r="F80" i="57" s="1"/>
  <c r="F97" i="57" s="1"/>
  <c r="F104" i="57" s="1"/>
  <c r="F111" i="57"/>
  <c r="F131" i="57" s="1"/>
  <c r="N59" i="57"/>
  <c r="N111" i="57"/>
  <c r="N131" i="57" s="1"/>
  <c r="G59" i="57"/>
  <c r="G73" i="57" s="1"/>
  <c r="G80" i="57" s="1"/>
  <c r="G97" i="57" s="1"/>
  <c r="G104" i="57" s="1"/>
  <c r="G111" i="57"/>
  <c r="G131" i="57" s="1"/>
  <c r="E154" i="57"/>
  <c r="D15" i="74" s="1"/>
  <c r="B114" i="57"/>
  <c r="E166" i="57"/>
  <c r="D27" i="74" s="1"/>
  <c r="B115" i="57"/>
  <c r="B125" i="57" s="1"/>
  <c r="B135" i="57" s="1"/>
  <c r="E178" i="57"/>
  <c r="D39" i="74" s="1"/>
  <c r="B116" i="57"/>
  <c r="B126" i="57" s="1"/>
  <c r="B136" i="57" s="1"/>
  <c r="E142" i="57"/>
  <c r="D3" i="74" s="1"/>
  <c r="B113" i="57"/>
  <c r="B123" i="57" s="1"/>
  <c r="B133" i="57" s="1"/>
  <c r="I238" i="57"/>
  <c r="H99" i="74" s="1"/>
  <c r="C99" i="74"/>
  <c r="C51" i="74"/>
  <c r="Q90" i="58"/>
  <c r="G238" i="57"/>
  <c r="C238" i="57"/>
  <c r="B99" i="74" s="1"/>
  <c r="I142" i="57"/>
  <c r="H3" i="74" s="1"/>
  <c r="C142" i="57"/>
  <c r="B3" i="74" s="1"/>
  <c r="C190" i="57"/>
  <c r="B51" i="74" s="1"/>
  <c r="D143" i="57"/>
  <c r="C4" i="74" s="1"/>
  <c r="D239" i="57"/>
  <c r="D191" i="57"/>
  <c r="C52" i="74" s="1"/>
  <c r="E167" i="57"/>
  <c r="D28" i="74" s="1"/>
  <c r="C26" i="78"/>
  <c r="C28" i="78"/>
  <c r="C32" i="78"/>
  <c r="C59" i="57"/>
  <c r="C73" i="57" s="1"/>
  <c r="C80" i="57" s="1"/>
  <c r="C97" i="57" s="1"/>
  <c r="C104" i="57" s="1"/>
  <c r="B142" i="57" a="1"/>
  <c r="C76" i="78"/>
  <c r="C70" i="78"/>
  <c r="C95" i="78"/>
  <c r="C96" i="78"/>
  <c r="C82" i="78"/>
  <c r="C18" i="78"/>
  <c r="C98" i="78"/>
  <c r="C108" i="78"/>
  <c r="C109" i="78"/>
  <c r="C38" i="78"/>
  <c r="C80" i="78"/>
  <c r="C25" i="78"/>
  <c r="C42" i="78"/>
  <c r="C61" i="78"/>
  <c r="C86" i="78"/>
  <c r="C103" i="78"/>
  <c r="C104" i="78"/>
  <c r="C11" i="78"/>
  <c r="C17" i="78"/>
  <c r="C9" i="78"/>
  <c r="C47" i="78"/>
  <c r="C8" i="78"/>
  <c r="C33" i="78"/>
  <c r="C58" i="78"/>
  <c r="C69" i="78"/>
  <c r="C94" i="78"/>
  <c r="C7" i="78"/>
  <c r="C16" i="78"/>
  <c r="C19" i="78"/>
  <c r="C34" i="78"/>
  <c r="C20" i="78"/>
  <c r="C55" i="78"/>
  <c r="C50" i="78"/>
  <c r="C15" i="78"/>
  <c r="C27" i="78"/>
  <c r="C37" i="78"/>
  <c r="C23" i="78"/>
  <c r="C99" i="78"/>
  <c r="C35" i="78"/>
  <c r="C36" i="78"/>
  <c r="C46" i="78"/>
  <c r="C71" i="78"/>
  <c r="C81" i="78"/>
  <c r="C43" i="78"/>
  <c r="C60" i="78"/>
  <c r="C5" i="78"/>
  <c r="C22" i="78"/>
  <c r="C31" i="78"/>
  <c r="C41" i="78"/>
  <c r="C83" i="78"/>
  <c r="C29" i="78"/>
  <c r="C65" i="78"/>
  <c r="C106" i="78"/>
  <c r="C77" i="78"/>
  <c r="C6" i="78"/>
  <c r="C24" i="78"/>
  <c r="C91" i="78"/>
  <c r="C63" i="78"/>
  <c r="C73" i="78"/>
  <c r="C52" i="78"/>
  <c r="C85" i="78"/>
  <c r="C14" i="78"/>
  <c r="C107" i="78"/>
  <c r="C44" i="78"/>
  <c r="C45" i="78"/>
  <c r="C54" i="78"/>
  <c r="C56" i="78"/>
  <c r="C89" i="78"/>
  <c r="C51" i="78"/>
  <c r="C68" i="78"/>
  <c r="C13" i="78"/>
  <c r="C79" i="78"/>
  <c r="C40" i="78"/>
  <c r="C49" i="78"/>
  <c r="C90" i="78"/>
  <c r="C74" i="78"/>
  <c r="C92" i="78"/>
  <c r="C53" i="78"/>
  <c r="C62" i="78"/>
  <c r="C64" i="78"/>
  <c r="B70" i="57"/>
  <c r="C59" i="78"/>
  <c r="C87" i="78"/>
  <c r="C88" i="78"/>
  <c r="C97" i="78"/>
  <c r="C10" i="78"/>
  <c r="C100" i="78"/>
  <c r="C101" i="78"/>
  <c r="C110" i="78"/>
  <c r="C72" i="78"/>
  <c r="C67" i="78"/>
  <c r="C4" i="78"/>
  <c r="C78" i="78"/>
  <c r="C105" i="78"/>
  <c r="J176" i="10"/>
  <c r="J175" i="10"/>
  <c r="J193" i="10"/>
  <c r="J177" i="10"/>
  <c r="J192" i="10"/>
  <c r="J191" i="10"/>
  <c r="J171" i="10"/>
  <c r="J183" i="10"/>
  <c r="J174" i="10"/>
  <c r="J187" i="10"/>
  <c r="J190" i="10"/>
  <c r="J172" i="10"/>
  <c r="J184" i="10"/>
  <c r="J180" i="10"/>
  <c r="J185" i="10"/>
  <c r="J188" i="10"/>
  <c r="J182" i="10"/>
  <c r="J173" i="10"/>
  <c r="J178" i="10"/>
  <c r="J181" i="10"/>
  <c r="J186" i="10"/>
  <c r="J189" i="10"/>
  <c r="J179" i="10"/>
  <c r="J170" i="10"/>
  <c r="E103" i="10"/>
  <c r="C38" i="15"/>
  <c r="D38" i="15" s="1"/>
  <c r="D56" i="15" s="1"/>
  <c r="E93" i="10"/>
  <c r="E95" i="10"/>
  <c r="E101" i="10"/>
  <c r="E97" i="10"/>
  <c r="E98" i="10"/>
  <c r="B50" i="57"/>
  <c r="B51" i="57"/>
  <c r="B52" i="57"/>
  <c r="D70" i="11"/>
  <c r="D156" i="11"/>
  <c r="J31" i="60"/>
  <c r="J33" i="60" s="1"/>
  <c r="M31" i="60"/>
  <c r="M33" i="60" s="1"/>
  <c r="K19" i="60"/>
  <c r="K18" i="60"/>
  <c r="J16" i="60"/>
  <c r="D56" i="11"/>
  <c r="D146" i="11" s="1"/>
  <c r="B49" i="57"/>
  <c r="O73" i="57"/>
  <c r="O80" i="57" s="1"/>
  <c r="O97" i="57" s="1"/>
  <c r="O104" i="57" s="1"/>
  <c r="P22" i="66"/>
  <c r="AH79" i="58"/>
  <c r="K9" i="60"/>
  <c r="H27" i="10"/>
  <c r="E27" i="10"/>
  <c r="F27" i="10"/>
  <c r="D27" i="10"/>
  <c r="C22" i="10"/>
  <c r="E22" i="10"/>
  <c r="C27" i="10"/>
  <c r="I27" i="10"/>
  <c r="L27" i="10"/>
  <c r="M27" i="10"/>
  <c r="G27" i="10"/>
  <c r="N27" i="10"/>
  <c r="K22" i="10"/>
  <c r="F22" i="10"/>
  <c r="I22" i="10"/>
  <c r="J27" i="10"/>
  <c r="K27" i="10"/>
  <c r="L22" i="10"/>
  <c r="H22" i="10"/>
  <c r="N22" i="10"/>
  <c r="G22" i="10"/>
  <c r="J22" i="10"/>
  <c r="D22" i="10"/>
  <c r="M22" i="10"/>
  <c r="N73" i="57"/>
  <c r="N80" i="57" s="1"/>
  <c r="N97" i="57" s="1"/>
  <c r="N104" i="57" s="1"/>
  <c r="O22" i="66"/>
  <c r="G22" i="66"/>
  <c r="H73" i="57"/>
  <c r="H80" i="57" s="1"/>
  <c r="H97" i="57" s="1"/>
  <c r="H104" i="57" s="1"/>
  <c r="I22" i="66"/>
  <c r="L73" i="57"/>
  <c r="L80" i="57" s="1"/>
  <c r="L97" i="57" s="1"/>
  <c r="L104" i="57" s="1"/>
  <c r="M22" i="66"/>
  <c r="J22" i="66"/>
  <c r="J73" i="57"/>
  <c r="J80" i="57" s="1"/>
  <c r="J97" i="57" s="1"/>
  <c r="J104" i="57" s="1"/>
  <c r="K22" i="66"/>
  <c r="L22" i="66"/>
  <c r="K23" i="60"/>
  <c r="N41" i="60"/>
  <c r="I50" i="60"/>
  <c r="K50" i="60" s="1"/>
  <c r="D42" i="11"/>
  <c r="N47" i="60"/>
  <c r="D39" i="11"/>
  <c r="R39" i="11" s="1"/>
  <c r="N40" i="60"/>
  <c r="D32" i="11"/>
  <c r="R32" i="11" s="1"/>
  <c r="F25" i="60"/>
  <c r="L24" i="60"/>
  <c r="H24" i="60"/>
  <c r="I49" i="60"/>
  <c r="D41" i="11"/>
  <c r="M45" i="60"/>
  <c r="D37" i="11"/>
  <c r="J44" i="60"/>
  <c r="D36" i="11"/>
  <c r="R36" i="11" s="1"/>
  <c r="M46" i="60"/>
  <c r="D38" i="11"/>
  <c r="L11" i="60"/>
  <c r="L12" i="60" s="1"/>
  <c r="I41" i="60"/>
  <c r="K41" i="60" s="1"/>
  <c r="D33" i="11"/>
  <c r="N48" i="60"/>
  <c r="D40" i="11"/>
  <c r="E68" i="11"/>
  <c r="E156" i="11" s="1"/>
  <c r="R156" i="11" s="1"/>
  <c r="O9" i="60"/>
  <c r="P3" i="55"/>
  <c r="P21" i="55" s="1"/>
  <c r="P29" i="55" s="1"/>
  <c r="K26" i="15"/>
  <c r="K25" i="15"/>
  <c r="I22" i="14"/>
  <c r="J44" i="55"/>
  <c r="I38" i="55"/>
  <c r="H16" i="14"/>
  <c r="I19" i="14"/>
  <c r="J41" i="55"/>
  <c r="J35" i="55"/>
  <c r="I13" i="14"/>
  <c r="J45" i="55"/>
  <c r="I23" i="14"/>
  <c r="I27" i="14"/>
  <c r="J49" i="55"/>
  <c r="J48" i="55"/>
  <c r="I26" i="14"/>
  <c r="J40" i="55"/>
  <c r="I18" i="14"/>
  <c r="L10" i="7"/>
  <c r="L12" i="15"/>
  <c r="L28" i="15"/>
  <c r="L54" i="15" s="1"/>
  <c r="L51" i="15"/>
  <c r="M36" i="15"/>
  <c r="M51" i="15" s="1"/>
  <c r="M8" i="15"/>
  <c r="M27" i="15" s="1"/>
  <c r="M39" i="33"/>
  <c r="I45" i="60"/>
  <c r="M30" i="7"/>
  <c r="I3" i="55"/>
  <c r="I21" i="55" s="1"/>
  <c r="I29" i="55" s="1"/>
  <c r="H3" i="55"/>
  <c r="H21" i="55" s="1"/>
  <c r="H29" i="55" s="1"/>
  <c r="J3" i="55"/>
  <c r="J21" i="55" s="1"/>
  <c r="J29" i="55" s="1"/>
  <c r="K42" i="55"/>
  <c r="J20" i="14"/>
  <c r="K17" i="14"/>
  <c r="L39" i="55"/>
  <c r="L47" i="55"/>
  <c r="K25" i="14"/>
  <c r="L46" i="55"/>
  <c r="K24" i="14"/>
  <c r="K15" i="14"/>
  <c r="K21" i="14"/>
  <c r="L43" i="55"/>
  <c r="K34" i="55"/>
  <c r="J12" i="14"/>
  <c r="J14" i="14"/>
  <c r="M41" i="60"/>
  <c r="K3" i="55"/>
  <c r="K21" i="55" s="1"/>
  <c r="K29" i="55" s="1"/>
  <c r="D3" i="55"/>
  <c r="D21" i="55" s="1"/>
  <c r="D29" i="55" s="1"/>
  <c r="L3" i="55"/>
  <c r="L21" i="55" s="1"/>
  <c r="L29" i="55" s="1"/>
  <c r="E3" i="55"/>
  <c r="E21" i="55" s="1"/>
  <c r="E29" i="55" s="1"/>
  <c r="M3" i="55"/>
  <c r="M21" i="55" s="1"/>
  <c r="M29" i="55" s="1"/>
  <c r="F3" i="55"/>
  <c r="F21" i="55" s="1"/>
  <c r="F29" i="55" s="1"/>
  <c r="N3" i="55"/>
  <c r="N21" i="55" s="1"/>
  <c r="N29" i="55" s="1"/>
  <c r="G3" i="55"/>
  <c r="G21" i="55" s="1"/>
  <c r="G29" i="55" s="1"/>
  <c r="O3" i="55"/>
  <c r="O21" i="55" s="1"/>
  <c r="O29" i="55" s="1"/>
  <c r="O12" i="10"/>
  <c r="O7" i="10"/>
  <c r="O28" i="33"/>
  <c r="N19" i="10"/>
  <c r="O30" i="33"/>
  <c r="N24" i="10"/>
  <c r="O35" i="33"/>
  <c r="J47" i="60"/>
  <c r="K47" i="60" s="1"/>
  <c r="M49" i="60"/>
  <c r="M47" i="60"/>
  <c r="K10" i="60"/>
  <c r="I40" i="60"/>
  <c r="J40" i="60"/>
  <c r="J48" i="60"/>
  <c r="I48" i="60"/>
  <c r="M48" i="60"/>
  <c r="G20" i="60"/>
  <c r="I44" i="60"/>
  <c r="K44" i="60" s="1"/>
  <c r="I16" i="60"/>
  <c r="I20" i="60" s="1"/>
  <c r="N45" i="60"/>
  <c r="O38" i="60"/>
  <c r="J45" i="60"/>
  <c r="M40" i="60"/>
  <c r="N46" i="60"/>
  <c r="N49" i="60"/>
  <c r="M50" i="60"/>
  <c r="I46" i="60"/>
  <c r="J49" i="60"/>
  <c r="N50" i="60"/>
  <c r="J46" i="60"/>
  <c r="M44" i="60"/>
  <c r="O44" i="60" s="1"/>
  <c r="L54" i="60"/>
  <c r="N52" i="60"/>
  <c r="M52" i="60"/>
  <c r="I52" i="60"/>
  <c r="J52" i="60"/>
  <c r="J43" i="60"/>
  <c r="I43" i="60"/>
  <c r="N43" i="60"/>
  <c r="M43" i="60"/>
  <c r="K38" i="60"/>
  <c r="M51" i="60"/>
  <c r="J51" i="60"/>
  <c r="N51" i="60"/>
  <c r="I51" i="60"/>
  <c r="N42" i="60"/>
  <c r="M42" i="60"/>
  <c r="I42" i="60"/>
  <c r="J42" i="60"/>
  <c r="J53" i="60"/>
  <c r="I53" i="60"/>
  <c r="M53" i="60"/>
  <c r="N53" i="60"/>
  <c r="N16" i="60"/>
  <c r="N20" i="60" s="1"/>
  <c r="H20" i="60"/>
  <c r="N39" i="60"/>
  <c r="M39" i="60"/>
  <c r="J39" i="60"/>
  <c r="I39" i="60"/>
  <c r="H54" i="60"/>
  <c r="Q197" i="59"/>
  <c r="Q198" i="59"/>
  <c r="BG139" i="59"/>
  <c r="I21" i="10"/>
  <c r="F21" i="10"/>
  <c r="G21" i="10"/>
  <c r="H21" i="10"/>
  <c r="D21" i="10"/>
  <c r="E21" i="10"/>
  <c r="J11" i="56"/>
  <c r="F60" i="56"/>
  <c r="K19" i="10"/>
  <c r="O25" i="10"/>
  <c r="C21" i="10"/>
  <c r="O10" i="10"/>
  <c r="G64" i="56"/>
  <c r="G62" i="56"/>
  <c r="G65" i="56"/>
  <c r="I12" i="56"/>
  <c r="L12" i="56"/>
  <c r="J12" i="56"/>
  <c r="F12" i="56"/>
  <c r="G12" i="56"/>
  <c r="M12" i="56"/>
  <c r="H12" i="56"/>
  <c r="K12" i="56"/>
  <c r="K11" i="56"/>
  <c r="F11" i="56"/>
  <c r="L11" i="56"/>
  <c r="M11" i="56"/>
  <c r="G11" i="56"/>
  <c r="H11" i="56"/>
  <c r="I11" i="56"/>
  <c r="M24" i="10"/>
  <c r="K24" i="10"/>
  <c r="I24" i="10"/>
  <c r="G24" i="10"/>
  <c r="E24" i="10"/>
  <c r="C24" i="10"/>
  <c r="B124" i="57" l="1"/>
  <c r="B134" i="57" s="1"/>
  <c r="G142" i="57"/>
  <c r="F3" i="74" s="1"/>
  <c r="H22" i="66"/>
  <c r="H73" i="66" s="1"/>
  <c r="H98" i="66" s="1"/>
  <c r="E73" i="57"/>
  <c r="E80" i="57" s="1"/>
  <c r="E97" i="57" s="1"/>
  <c r="E104" i="57" s="1"/>
  <c r="E143" i="57"/>
  <c r="D4" i="74" s="1"/>
  <c r="N22" i="66"/>
  <c r="N73" i="66" s="1"/>
  <c r="N98" i="66" s="1"/>
  <c r="E22" i="66"/>
  <c r="E73" i="66" s="1"/>
  <c r="E98" i="66" s="1"/>
  <c r="E155" i="57"/>
  <c r="D16" i="74" s="1"/>
  <c r="B118" i="57"/>
  <c r="B128" i="57" s="1"/>
  <c r="B138" i="57" s="1"/>
  <c r="E179" i="57"/>
  <c r="D40" i="74" s="1"/>
  <c r="I239" i="57"/>
  <c r="H100" i="74" s="1"/>
  <c r="C100" i="74"/>
  <c r="H238" i="57"/>
  <c r="G99" i="74" s="1"/>
  <c r="F99" i="74"/>
  <c r="C48" i="10"/>
  <c r="L164" i="7"/>
  <c r="D250" i="74" s="1"/>
  <c r="L52" i="7"/>
  <c r="G239" i="57"/>
  <c r="C239" i="57"/>
  <c r="B100" i="74" s="1"/>
  <c r="C143" i="57"/>
  <c r="B4" i="74" s="1"/>
  <c r="C191" i="57"/>
  <c r="B52" i="74" s="1"/>
  <c r="E168" i="57"/>
  <c r="D29" i="74" s="1"/>
  <c r="D192" i="57"/>
  <c r="C53" i="74" s="1"/>
  <c r="D144" i="57"/>
  <c r="C5" i="74" s="1"/>
  <c r="D240" i="57"/>
  <c r="B54" i="57"/>
  <c r="E202" i="57"/>
  <c r="D63" i="74" s="1"/>
  <c r="E238" i="57"/>
  <c r="D99" i="74" s="1"/>
  <c r="B60" i="57"/>
  <c r="B65" i="57" s="1"/>
  <c r="E190" i="57"/>
  <c r="B63" i="57"/>
  <c r="B68" i="57" s="1"/>
  <c r="C12" i="55" s="1"/>
  <c r="E226" i="57"/>
  <c r="D87" i="74" s="1"/>
  <c r="B62" i="57"/>
  <c r="B67" i="57" s="1"/>
  <c r="B84" i="57" s="1"/>
  <c r="B5" i="11" s="1"/>
  <c r="E214" i="57"/>
  <c r="D75" i="74" s="1"/>
  <c r="B149" i="57"/>
  <c r="B142" i="57"/>
  <c r="B146" i="57"/>
  <c r="B153" i="57"/>
  <c r="B145" i="57"/>
  <c r="B143" i="57"/>
  <c r="B152" i="57"/>
  <c r="B148" i="57"/>
  <c r="B144" i="57"/>
  <c r="B147" i="57"/>
  <c r="B151" i="57"/>
  <c r="B150" i="57"/>
  <c r="D22" i="66"/>
  <c r="D34" i="66" s="1"/>
  <c r="C84" i="78"/>
  <c r="C12" i="78"/>
  <c r="C57" i="78"/>
  <c r="O20" i="78"/>
  <c r="R20" i="78" s="1"/>
  <c r="O11" i="78"/>
  <c r="R11" i="78" s="1"/>
  <c r="O23" i="78"/>
  <c r="R23" i="78" s="1"/>
  <c r="O35" i="78"/>
  <c r="R35" i="78" s="1"/>
  <c r="O8" i="78"/>
  <c r="R8" i="78" s="1"/>
  <c r="O5" i="78"/>
  <c r="R5" i="78" s="1"/>
  <c r="O26" i="78"/>
  <c r="R26" i="78" s="1"/>
  <c r="O29" i="78"/>
  <c r="R29" i="78" s="1"/>
  <c r="O32" i="78"/>
  <c r="R32" i="78" s="1"/>
  <c r="O14" i="78"/>
  <c r="R14" i="78" s="1"/>
  <c r="O38" i="78"/>
  <c r="R38" i="78" s="1"/>
  <c r="O17" i="78"/>
  <c r="R17" i="78" s="1"/>
  <c r="O31" i="78"/>
  <c r="R31" i="78" s="1"/>
  <c r="O28" i="78"/>
  <c r="R28" i="78" s="1"/>
  <c r="O4" i="78"/>
  <c r="R4" i="78" s="1"/>
  <c r="O16" i="78"/>
  <c r="R16" i="78" s="1"/>
  <c r="O34" i="78"/>
  <c r="R34" i="78" s="1"/>
  <c r="O13" i="78"/>
  <c r="R13" i="78" s="1"/>
  <c r="O10" i="78"/>
  <c r="R10" i="78" s="1"/>
  <c r="O19" i="78"/>
  <c r="R19" i="78" s="1"/>
  <c r="O7" i="78"/>
  <c r="R7" i="78" s="1"/>
  <c r="O25" i="78"/>
  <c r="R25" i="78" s="1"/>
  <c r="O22" i="78"/>
  <c r="R22" i="78" s="1"/>
  <c r="O37" i="78"/>
  <c r="R37" i="78" s="1"/>
  <c r="C48" i="78"/>
  <c r="B69" i="78"/>
  <c r="B110" i="78"/>
  <c r="B76" i="78"/>
  <c r="C93" i="78"/>
  <c r="B40" i="78"/>
  <c r="B19" i="78"/>
  <c r="B7" i="78"/>
  <c r="B25" i="78"/>
  <c r="B62" i="78"/>
  <c r="B41" i="78"/>
  <c r="B38" i="78"/>
  <c r="B95" i="78"/>
  <c r="C21" i="78"/>
  <c r="B68" i="78"/>
  <c r="B32" i="78"/>
  <c r="B24" i="78"/>
  <c r="B55" i="78"/>
  <c r="B104" i="78"/>
  <c r="B18" i="78"/>
  <c r="B52" i="78"/>
  <c r="B60" i="78"/>
  <c r="B47" i="78"/>
  <c r="B59" i="78"/>
  <c r="C30" i="78"/>
  <c r="B79" i="78"/>
  <c r="B83" i="78"/>
  <c r="B43" i="78"/>
  <c r="B94" i="78"/>
  <c r="B11" i="78"/>
  <c r="B42" i="78"/>
  <c r="B87" i="78"/>
  <c r="C102" i="78"/>
  <c r="B90" i="78"/>
  <c r="B23" i="78"/>
  <c r="B61" i="78"/>
  <c r="C75" i="78"/>
  <c r="C111" i="78"/>
  <c r="B92" i="78"/>
  <c r="B6" i="78"/>
  <c r="B22" i="78"/>
  <c r="B33" i="78"/>
  <c r="B91" i="78"/>
  <c r="B78" i="78"/>
  <c r="B70" i="78"/>
  <c r="C66" i="78"/>
  <c r="C39" i="78"/>
  <c r="B49" i="78"/>
  <c r="B73" i="78"/>
  <c r="B16" i="78"/>
  <c r="J38" i="15"/>
  <c r="K38" i="15"/>
  <c r="F38" i="15"/>
  <c r="N38" i="15"/>
  <c r="O38" i="15"/>
  <c r="E38" i="15"/>
  <c r="E56" i="15" s="1"/>
  <c r="H38" i="15"/>
  <c r="L38" i="15"/>
  <c r="J194" i="10"/>
  <c r="E112" i="10"/>
  <c r="G38" i="15"/>
  <c r="M38" i="15"/>
  <c r="M56" i="15" s="1"/>
  <c r="I38" i="15"/>
  <c r="E4" i="19"/>
  <c r="E106" i="10"/>
  <c r="E110" i="10"/>
  <c r="E104" i="10"/>
  <c r="E107" i="10"/>
  <c r="E102" i="10"/>
  <c r="E76" i="78"/>
  <c r="G76" i="78" s="1"/>
  <c r="E47" i="78"/>
  <c r="E61" i="78"/>
  <c r="G61" i="78" s="1"/>
  <c r="E97" i="78"/>
  <c r="E42" i="78"/>
  <c r="E60" i="78"/>
  <c r="G60" i="78" s="1"/>
  <c r="E96" i="78"/>
  <c r="G96" i="78" s="1"/>
  <c r="E72" i="78"/>
  <c r="G72" i="78" s="1"/>
  <c r="E18" i="78"/>
  <c r="G18" i="78" s="1"/>
  <c r="E95" i="78"/>
  <c r="E67" i="78"/>
  <c r="G67" i="78" s="1"/>
  <c r="E8" i="78"/>
  <c r="E49" i="78"/>
  <c r="E43" i="78"/>
  <c r="G43" i="78" s="1"/>
  <c r="E55" i="78"/>
  <c r="G55" i="78" s="1"/>
  <c r="E54" i="78"/>
  <c r="G54" i="78" s="1"/>
  <c r="E29" i="78"/>
  <c r="G29" i="78" s="1"/>
  <c r="E65" i="78"/>
  <c r="G65" i="78" s="1"/>
  <c r="E101" i="78"/>
  <c r="G101" i="78" s="1"/>
  <c r="E24" i="78"/>
  <c r="E64" i="78"/>
  <c r="E100" i="78"/>
  <c r="G100" i="78" s="1"/>
  <c r="E59" i="78"/>
  <c r="G59" i="78" s="1"/>
  <c r="E41" i="78"/>
  <c r="G41" i="78" s="1"/>
  <c r="E99" i="78"/>
  <c r="G99" i="78" s="1"/>
  <c r="E98" i="78"/>
  <c r="G98" i="78" s="1"/>
  <c r="E4" i="78"/>
  <c r="E71" i="78"/>
  <c r="E10" i="78"/>
  <c r="G10" i="78" s="1"/>
  <c r="E91" i="78"/>
  <c r="E68" i="78"/>
  <c r="G68" i="78" s="1"/>
  <c r="E16" i="78"/>
  <c r="E70" i="78"/>
  <c r="E106" i="78"/>
  <c r="G106" i="78" s="1"/>
  <c r="E37" i="78"/>
  <c r="G37" i="78" s="1"/>
  <c r="E69" i="78"/>
  <c r="G69" i="78" s="1"/>
  <c r="E105" i="78"/>
  <c r="G105" i="78" s="1"/>
  <c r="E50" i="78"/>
  <c r="E45" i="78"/>
  <c r="G45" i="78" s="1"/>
  <c r="E104" i="78"/>
  <c r="G104" i="78" s="1"/>
  <c r="E22" i="78"/>
  <c r="E26" i="78"/>
  <c r="E85" i="78"/>
  <c r="G85" i="78" s="1"/>
  <c r="E56" i="78"/>
  <c r="G56" i="78" s="1"/>
  <c r="E90" i="78"/>
  <c r="G90" i="78" s="1"/>
  <c r="E38" i="78"/>
  <c r="G38" i="78" s="1"/>
  <c r="E74" i="78"/>
  <c r="G74" i="78" s="1"/>
  <c r="E110" i="78"/>
  <c r="G110" i="78" s="1"/>
  <c r="E6" i="78"/>
  <c r="G6" i="78" s="1"/>
  <c r="E73" i="78"/>
  <c r="G73" i="78" s="1"/>
  <c r="E109" i="78"/>
  <c r="G109" i="78" s="1"/>
  <c r="E14" i="78"/>
  <c r="G14" i="78" s="1"/>
  <c r="E63" i="78"/>
  <c r="E108" i="78"/>
  <c r="G108" i="78" s="1"/>
  <c r="E89" i="78"/>
  <c r="G89" i="78" s="1"/>
  <c r="E40" i="78"/>
  <c r="E58" i="78"/>
  <c r="G58" i="78" s="1"/>
  <c r="E94" i="78"/>
  <c r="E11" i="78"/>
  <c r="G11" i="78" s="1"/>
  <c r="E7" i="78"/>
  <c r="G7" i="78" s="1"/>
  <c r="E79" i="78"/>
  <c r="G79" i="78" s="1"/>
  <c r="E28" i="78"/>
  <c r="E78" i="78"/>
  <c r="G78" i="78" s="1"/>
  <c r="E33" i="78"/>
  <c r="G33" i="78" s="1"/>
  <c r="E36" i="78"/>
  <c r="G36" i="78" s="1"/>
  <c r="E77" i="78"/>
  <c r="E23" i="78"/>
  <c r="G23" i="78" s="1"/>
  <c r="E13" i="78"/>
  <c r="G13" i="78" s="1"/>
  <c r="E44" i="78"/>
  <c r="G44" i="78" s="1"/>
  <c r="E107" i="78"/>
  <c r="G107" i="78" s="1"/>
  <c r="E20" i="78"/>
  <c r="G20" i="78" s="1"/>
  <c r="E25" i="78"/>
  <c r="G25" i="78" s="1"/>
  <c r="E83" i="78"/>
  <c r="G83" i="78" s="1"/>
  <c r="E19" i="78"/>
  <c r="G19" i="78" s="1"/>
  <c r="E15" i="78"/>
  <c r="G15" i="78" s="1"/>
  <c r="E82" i="78"/>
  <c r="E5" i="78"/>
  <c r="E81" i="78"/>
  <c r="G81" i="78" s="1"/>
  <c r="E9" i="78"/>
  <c r="G9" i="78" s="1"/>
  <c r="E35" i="78"/>
  <c r="G35" i="78" s="1"/>
  <c r="E62" i="78"/>
  <c r="G62" i="78" s="1"/>
  <c r="E31" i="78"/>
  <c r="E92" i="78"/>
  <c r="E103" i="78"/>
  <c r="E34" i="78"/>
  <c r="E52" i="78"/>
  <c r="G52" i="78" s="1"/>
  <c r="E88" i="78"/>
  <c r="G88" i="78" s="1"/>
  <c r="E46" i="78"/>
  <c r="E51" i="78"/>
  <c r="G51" i="78" s="1"/>
  <c r="E87" i="78"/>
  <c r="G87" i="78" s="1"/>
  <c r="E32" i="78"/>
  <c r="G32" i="78" s="1"/>
  <c r="E27" i="78"/>
  <c r="G27" i="78" s="1"/>
  <c r="E86" i="78"/>
  <c r="G86" i="78" s="1"/>
  <c r="E53" i="78"/>
  <c r="G53" i="78" s="1"/>
  <c r="E80" i="78"/>
  <c r="G80" i="78" s="1"/>
  <c r="E17" i="78"/>
  <c r="B61" i="57"/>
  <c r="C5" i="55" s="1"/>
  <c r="H4" i="19"/>
  <c r="F4" i="19"/>
  <c r="E60" i="56"/>
  <c r="E65" i="56" s="1"/>
  <c r="O47" i="60"/>
  <c r="K31" i="60"/>
  <c r="K33" i="60" s="1"/>
  <c r="O31" i="60"/>
  <c r="O33" i="60" s="1"/>
  <c r="K16" i="60"/>
  <c r="K20" i="60" s="1"/>
  <c r="O45" i="60"/>
  <c r="J20" i="60"/>
  <c r="P73" i="66"/>
  <c r="P98" i="66" s="1"/>
  <c r="P34" i="66"/>
  <c r="O27" i="10"/>
  <c r="O48" i="60"/>
  <c r="O40" i="60"/>
  <c r="K48" i="60"/>
  <c r="O41" i="60"/>
  <c r="O49" i="60"/>
  <c r="F68" i="11"/>
  <c r="F156" i="11" s="1"/>
  <c r="D46" i="11"/>
  <c r="O22" i="10"/>
  <c r="L73" i="66"/>
  <c r="L98" i="66" s="1"/>
  <c r="L34" i="66"/>
  <c r="J73" i="66"/>
  <c r="J98" i="66" s="1"/>
  <c r="J34" i="66"/>
  <c r="H34" i="66"/>
  <c r="I73" i="66"/>
  <c r="I98" i="66" s="1"/>
  <c r="I34" i="66"/>
  <c r="F73" i="66"/>
  <c r="F98" i="66" s="1"/>
  <c r="F34" i="66"/>
  <c r="M73" i="66"/>
  <c r="M98" i="66" s="1"/>
  <c r="M34" i="66"/>
  <c r="G73" i="66"/>
  <c r="G98" i="66" s="1"/>
  <c r="G34" i="66"/>
  <c r="K73" i="66"/>
  <c r="K98" i="66" s="1"/>
  <c r="K34" i="66"/>
  <c r="O73" i="66"/>
  <c r="O98" i="66" s="1"/>
  <c r="O34" i="66"/>
  <c r="I24" i="60"/>
  <c r="D63" i="11"/>
  <c r="N24" i="60"/>
  <c r="O24" i="60" s="1"/>
  <c r="J24" i="60"/>
  <c r="O46" i="60"/>
  <c r="F26" i="60"/>
  <c r="L25" i="60"/>
  <c r="E36" i="11"/>
  <c r="E42" i="11"/>
  <c r="K49" i="60"/>
  <c r="K45" i="60"/>
  <c r="H11" i="60"/>
  <c r="L25" i="15"/>
  <c r="L26" i="15"/>
  <c r="K40" i="55"/>
  <c r="J18" i="14"/>
  <c r="J13" i="14"/>
  <c r="K35" i="55"/>
  <c r="J19" i="14"/>
  <c r="K41" i="55"/>
  <c r="J26" i="14"/>
  <c r="K48" i="55"/>
  <c r="K49" i="55"/>
  <c r="J27" i="14"/>
  <c r="J38" i="55"/>
  <c r="I16" i="14"/>
  <c r="K44" i="55"/>
  <c r="J22" i="14"/>
  <c r="J23" i="14"/>
  <c r="K45" i="55"/>
  <c r="M10" i="7"/>
  <c r="L167" i="7" s="1"/>
  <c r="D253" i="74" s="1"/>
  <c r="D4" i="19"/>
  <c r="N36" i="15"/>
  <c r="N8" i="15"/>
  <c r="N27" i="15" s="1"/>
  <c r="M12" i="15"/>
  <c r="M28" i="15"/>
  <c r="M54" i="15" s="1"/>
  <c r="O30" i="7"/>
  <c r="O31" i="33"/>
  <c r="N39" i="33"/>
  <c r="R101" i="56"/>
  <c r="L21" i="14"/>
  <c r="M43" i="55"/>
  <c r="L42" i="55"/>
  <c r="K20" i="14"/>
  <c r="M46" i="55"/>
  <c r="L24" i="14"/>
  <c r="M39" i="55"/>
  <c r="L17" i="14"/>
  <c r="L34" i="55"/>
  <c r="K12" i="14"/>
  <c r="L25" i="14"/>
  <c r="M47" i="55"/>
  <c r="L15" i="14"/>
  <c r="K14" i="14"/>
  <c r="N30" i="7"/>
  <c r="O37" i="33"/>
  <c r="O38" i="33"/>
  <c r="P29" i="7"/>
  <c r="D55" i="15"/>
  <c r="E55" i="15"/>
  <c r="F63" i="56"/>
  <c r="K40" i="60"/>
  <c r="K39" i="60"/>
  <c r="K43" i="60"/>
  <c r="O39" i="60"/>
  <c r="Q39" i="60" s="1"/>
  <c r="O53" i="60"/>
  <c r="O52" i="60"/>
  <c r="O50" i="60"/>
  <c r="J54" i="60"/>
  <c r="K46" i="60"/>
  <c r="M54" i="60"/>
  <c r="M57" i="60" s="1"/>
  <c r="O51" i="60"/>
  <c r="K52" i="60"/>
  <c r="I54" i="60"/>
  <c r="O42" i="60"/>
  <c r="O43" i="60"/>
  <c r="K53" i="60"/>
  <c r="K42" i="60"/>
  <c r="O16" i="60"/>
  <c r="O20" i="60" s="1"/>
  <c r="N54" i="60"/>
  <c r="K51" i="60"/>
  <c r="D26" i="10"/>
  <c r="D5" i="19" s="1"/>
  <c r="C26" i="10"/>
  <c r="C5" i="19" s="1"/>
  <c r="O24" i="10"/>
  <c r="O9" i="10"/>
  <c r="F65" i="56"/>
  <c r="F64" i="56"/>
  <c r="F62" i="56"/>
  <c r="G67" i="56"/>
  <c r="O55" i="23"/>
  <c r="N55" i="23"/>
  <c r="M55" i="23"/>
  <c r="L55" i="23"/>
  <c r="K55" i="23"/>
  <c r="J55" i="23"/>
  <c r="I55" i="23"/>
  <c r="H55" i="23"/>
  <c r="G55" i="23"/>
  <c r="F55" i="23"/>
  <c r="D55" i="23"/>
  <c r="N34" i="22"/>
  <c r="M34" i="22"/>
  <c r="L34" i="22"/>
  <c r="K34" i="22"/>
  <c r="J34" i="22"/>
  <c r="I34" i="22"/>
  <c r="H34" i="22"/>
  <c r="G34" i="22"/>
  <c r="F34" i="22"/>
  <c r="E34" i="22"/>
  <c r="E34" i="66" l="1"/>
  <c r="E156" i="57"/>
  <c r="D17" i="74" s="1"/>
  <c r="G143" i="57"/>
  <c r="F4" i="74" s="1"/>
  <c r="E144" i="57"/>
  <c r="D5" i="74" s="1"/>
  <c r="C11" i="55"/>
  <c r="I143" i="57"/>
  <c r="H4" i="74" s="1"/>
  <c r="E180" i="57"/>
  <c r="D41" i="74" s="1"/>
  <c r="N34" i="66"/>
  <c r="B159" i="57"/>
  <c r="A8" i="74"/>
  <c r="B154" i="57"/>
  <c r="A3" i="74"/>
  <c r="B157" i="57"/>
  <c r="A6" i="74"/>
  <c r="C4" i="55"/>
  <c r="B156" i="57"/>
  <c r="A5" i="74"/>
  <c r="B161" i="57"/>
  <c r="A10" i="74"/>
  <c r="B163" i="57"/>
  <c r="A12" i="74"/>
  <c r="B158" i="57"/>
  <c r="A7" i="74"/>
  <c r="B160" i="57"/>
  <c r="A9" i="74"/>
  <c r="B164" i="57"/>
  <c r="A13" i="74"/>
  <c r="B155" i="57"/>
  <c r="A4" i="74"/>
  <c r="I240" i="57"/>
  <c r="H101" i="74" s="1"/>
  <c r="C101" i="74"/>
  <c r="B162" i="57"/>
  <c r="A11" i="74"/>
  <c r="B165" i="57"/>
  <c r="A14" i="74"/>
  <c r="D51" i="74"/>
  <c r="I190" i="57"/>
  <c r="H51" i="74" s="1"/>
  <c r="H239" i="57"/>
  <c r="G100" i="74" s="1"/>
  <c r="F100" i="74"/>
  <c r="D73" i="66"/>
  <c r="D98" i="66" s="1"/>
  <c r="M52" i="7"/>
  <c r="C7" i="55"/>
  <c r="G190" i="57"/>
  <c r="F51" i="74" s="1"/>
  <c r="B85" i="57"/>
  <c r="B6" i="11" s="1"/>
  <c r="C6" i="55"/>
  <c r="G240" i="57"/>
  <c r="C240" i="57"/>
  <c r="B101" i="74" s="1"/>
  <c r="C144" i="57"/>
  <c r="B5" i="74" s="1"/>
  <c r="C192" i="57"/>
  <c r="B53" i="74" s="1"/>
  <c r="E203" i="57"/>
  <c r="D64" i="74" s="1"/>
  <c r="E215" i="57"/>
  <c r="D76" i="74" s="1"/>
  <c r="D241" i="57"/>
  <c r="D145" i="57"/>
  <c r="C6" i="74" s="1"/>
  <c r="E227" i="57"/>
  <c r="D88" i="74" s="1"/>
  <c r="E157" i="57"/>
  <c r="D18" i="74" s="1"/>
  <c r="E191" i="57"/>
  <c r="D193" i="57"/>
  <c r="C54" i="74" s="1"/>
  <c r="E239" i="57"/>
  <c r="D100" i="74" s="1"/>
  <c r="J238" i="57"/>
  <c r="I99" i="74" s="1"/>
  <c r="E169" i="57"/>
  <c r="D30" i="74" s="1"/>
  <c r="B103" i="78"/>
  <c r="B15" i="78"/>
  <c r="B105" i="78"/>
  <c r="B31" i="78"/>
  <c r="B67" i="78"/>
  <c r="B106" i="78"/>
  <c r="B50" i="78"/>
  <c r="B37" i="78"/>
  <c r="B14" i="78"/>
  <c r="B97" i="78"/>
  <c r="B13" i="78"/>
  <c r="B51" i="78"/>
  <c r="B96" i="78"/>
  <c r="B86" i="78"/>
  <c r="B4" i="78"/>
  <c r="B5" i="78"/>
  <c r="O33" i="78"/>
  <c r="R33" i="78" s="1"/>
  <c r="O15" i="78"/>
  <c r="R15" i="78" s="1"/>
  <c r="O24" i="78"/>
  <c r="R24" i="78" s="1"/>
  <c r="O30" i="78"/>
  <c r="R30" i="78" s="1"/>
  <c r="O36" i="78"/>
  <c r="R36" i="78" s="1"/>
  <c r="O39" i="78"/>
  <c r="R39" i="78" s="1"/>
  <c r="O9" i="78"/>
  <c r="R9" i="78" s="1"/>
  <c r="O18" i="78"/>
  <c r="R18" i="78" s="1"/>
  <c r="O21" i="78"/>
  <c r="R21" i="78" s="1"/>
  <c r="O6" i="78"/>
  <c r="R6" i="78" s="1"/>
  <c r="O27" i="78"/>
  <c r="R27" i="78" s="1"/>
  <c r="O12" i="78"/>
  <c r="R12" i="78" s="1"/>
  <c r="B99" i="78"/>
  <c r="B108" i="78"/>
  <c r="B80" i="78"/>
  <c r="B28" i="78"/>
  <c r="B101" i="78"/>
  <c r="B109" i="78"/>
  <c r="B53" i="78"/>
  <c r="B46" i="78"/>
  <c r="B81" i="78"/>
  <c r="B8" i="78"/>
  <c r="B77" i="78"/>
  <c r="B65" i="78"/>
  <c r="B56" i="78"/>
  <c r="B44" i="78"/>
  <c r="B29" i="78"/>
  <c r="B85" i="78"/>
  <c r="B88" i="78"/>
  <c r="B89" i="78"/>
  <c r="B27" i="78"/>
  <c r="B82" i="78"/>
  <c r="B54" i="78"/>
  <c r="B20" i="78"/>
  <c r="B64" i="78"/>
  <c r="B35" i="78"/>
  <c r="B36" i="78"/>
  <c r="B63" i="78"/>
  <c r="B26" i="78"/>
  <c r="B98" i="78"/>
  <c r="B10" i="78"/>
  <c r="B45" i="78"/>
  <c r="B9" i="78"/>
  <c r="B74" i="78"/>
  <c r="B72" i="78"/>
  <c r="B102" i="78"/>
  <c r="B71" i="78"/>
  <c r="B17" i="78"/>
  <c r="B58" i="78"/>
  <c r="B30" i="78"/>
  <c r="B107" i="78"/>
  <c r="B34" i="78"/>
  <c r="B100" i="78"/>
  <c r="E121" i="10"/>
  <c r="I58" i="78"/>
  <c r="I76" i="78"/>
  <c r="E63" i="56"/>
  <c r="I83" i="78"/>
  <c r="I99" i="78"/>
  <c r="E62" i="56"/>
  <c r="I18" i="78"/>
  <c r="E64" i="56"/>
  <c r="I51" i="78"/>
  <c r="I36" i="78"/>
  <c r="B66" i="57"/>
  <c r="B83" i="57" s="1"/>
  <c r="B4" i="11" s="1"/>
  <c r="I29" i="78"/>
  <c r="E116" i="10"/>
  <c r="E113" i="10"/>
  <c r="E119" i="10"/>
  <c r="E111" i="10"/>
  <c r="E115" i="10"/>
  <c r="I100" i="78"/>
  <c r="I46" i="78"/>
  <c r="G46" i="78"/>
  <c r="I28" i="78"/>
  <c r="G28" i="78"/>
  <c r="I50" i="78"/>
  <c r="G50" i="78"/>
  <c r="I91" i="78"/>
  <c r="G91" i="78"/>
  <c r="I64" i="78"/>
  <c r="G64" i="78"/>
  <c r="I49" i="78"/>
  <c r="G49" i="78"/>
  <c r="I42" i="78"/>
  <c r="G42" i="78"/>
  <c r="I34" i="78"/>
  <c r="G34" i="78"/>
  <c r="I63" i="78"/>
  <c r="G63" i="78"/>
  <c r="I71" i="78"/>
  <c r="G71" i="78"/>
  <c r="I24" i="78"/>
  <c r="G24" i="78"/>
  <c r="I8" i="78"/>
  <c r="G8" i="78"/>
  <c r="I97" i="78"/>
  <c r="G97" i="78"/>
  <c r="I4" i="78"/>
  <c r="G4" i="78"/>
  <c r="I17" i="78"/>
  <c r="G17" i="78"/>
  <c r="I40" i="78"/>
  <c r="G40" i="78"/>
  <c r="I16" i="78"/>
  <c r="G16" i="78"/>
  <c r="I5" i="78"/>
  <c r="G5" i="78"/>
  <c r="I82" i="78"/>
  <c r="G82" i="78"/>
  <c r="I92" i="78"/>
  <c r="G92" i="78"/>
  <c r="I31" i="78"/>
  <c r="G31" i="78"/>
  <c r="I77" i="78"/>
  <c r="G77" i="78"/>
  <c r="I94" i="78"/>
  <c r="G94" i="78"/>
  <c r="I26" i="78"/>
  <c r="G26" i="78"/>
  <c r="I95" i="78"/>
  <c r="G95" i="78"/>
  <c r="I47" i="78"/>
  <c r="G47" i="78"/>
  <c r="I103" i="78"/>
  <c r="G103" i="78"/>
  <c r="I22" i="78"/>
  <c r="G22" i="78"/>
  <c r="I70" i="78"/>
  <c r="G70" i="78"/>
  <c r="I106" i="78"/>
  <c r="I19" i="78"/>
  <c r="I98" i="78"/>
  <c r="I65" i="78"/>
  <c r="I60" i="78"/>
  <c r="I43" i="78"/>
  <c r="I44" i="78"/>
  <c r="I79" i="78"/>
  <c r="I38" i="78"/>
  <c r="I52" i="78"/>
  <c r="I107" i="78"/>
  <c r="I85" i="78"/>
  <c r="I23" i="78"/>
  <c r="I105" i="78"/>
  <c r="I10" i="78"/>
  <c r="I81" i="78"/>
  <c r="I108" i="78"/>
  <c r="I73" i="78"/>
  <c r="I86" i="78"/>
  <c r="I62" i="78"/>
  <c r="I90" i="78"/>
  <c r="I6" i="78"/>
  <c r="I54" i="78"/>
  <c r="I74" i="78"/>
  <c r="I37" i="78"/>
  <c r="I25" i="78"/>
  <c r="I69" i="78"/>
  <c r="I7" i="78"/>
  <c r="I72" i="78"/>
  <c r="I11" i="78"/>
  <c r="I45" i="78"/>
  <c r="I109" i="78"/>
  <c r="I78" i="78"/>
  <c r="I87" i="78"/>
  <c r="I53" i="78"/>
  <c r="I89" i="78"/>
  <c r="I33" i="78"/>
  <c r="I104" i="78"/>
  <c r="I110" i="78"/>
  <c r="I27" i="78"/>
  <c r="I35" i="78"/>
  <c r="I13" i="78"/>
  <c r="I56" i="78"/>
  <c r="I41" i="78"/>
  <c r="I14" i="78"/>
  <c r="I59" i="78"/>
  <c r="I101" i="78"/>
  <c r="I32" i="78"/>
  <c r="I88" i="78"/>
  <c r="I55" i="78"/>
  <c r="I80" i="78"/>
  <c r="I9" i="78"/>
  <c r="I15" i="78"/>
  <c r="I20" i="78"/>
  <c r="I68" i="78"/>
  <c r="I67" i="78"/>
  <c r="I96" i="78"/>
  <c r="I61" i="78"/>
  <c r="E111" i="78"/>
  <c r="I111" i="78" s="1"/>
  <c r="J111" i="78" s="1"/>
  <c r="E21" i="78"/>
  <c r="G21" i="78" s="1"/>
  <c r="E48" i="78"/>
  <c r="I48" i="78" s="1"/>
  <c r="J48" i="78" s="1"/>
  <c r="E102" i="78"/>
  <c r="I102" i="78" s="1"/>
  <c r="J102" i="78" s="1"/>
  <c r="E57" i="78"/>
  <c r="G57" i="78" s="1"/>
  <c r="E84" i="78"/>
  <c r="E93" i="78"/>
  <c r="I93" i="78" s="1"/>
  <c r="J93" i="78" s="1"/>
  <c r="E12" i="78"/>
  <c r="I12" i="78" s="1"/>
  <c r="J12" i="78" s="1"/>
  <c r="E39" i="78"/>
  <c r="G39" i="78" s="1"/>
  <c r="E66" i="78"/>
  <c r="G66" i="78" s="1"/>
  <c r="E30" i="78"/>
  <c r="E75" i="78"/>
  <c r="G75" i="78" s="1"/>
  <c r="C9" i="55"/>
  <c r="B82" i="57"/>
  <c r="B3" i="11" s="1"/>
  <c r="F42" i="11"/>
  <c r="F36" i="11"/>
  <c r="G68" i="11"/>
  <c r="G156" i="11" s="1"/>
  <c r="K24" i="60"/>
  <c r="D54" i="11"/>
  <c r="J11" i="60"/>
  <c r="I11" i="60"/>
  <c r="N11" i="60"/>
  <c r="L26" i="60"/>
  <c r="L27" i="60" s="1"/>
  <c r="L57" i="60" s="1"/>
  <c r="D64" i="60" s="1"/>
  <c r="E64" i="60" s="1"/>
  <c r="F64" i="60" s="1"/>
  <c r="H26" i="60"/>
  <c r="H25" i="60"/>
  <c r="B89" i="57"/>
  <c r="C25" i="66" s="1"/>
  <c r="B94" i="57"/>
  <c r="M25" i="15"/>
  <c r="M26" i="15"/>
  <c r="K26" i="14"/>
  <c r="L48" i="55"/>
  <c r="L41" i="55"/>
  <c r="K19" i="14"/>
  <c r="L45" i="55"/>
  <c r="K23" i="14"/>
  <c r="K22" i="14"/>
  <c r="L44" i="55"/>
  <c r="J16" i="14"/>
  <c r="K38" i="55"/>
  <c r="K13" i="14"/>
  <c r="L35" i="55"/>
  <c r="L49" i="55"/>
  <c r="K27" i="14"/>
  <c r="K18" i="14"/>
  <c r="L40" i="55"/>
  <c r="N10" i="7"/>
  <c r="L170" i="7" s="1"/>
  <c r="D256" i="74" s="1"/>
  <c r="O10" i="7"/>
  <c r="L173" i="7" s="1"/>
  <c r="D259" i="74" s="1"/>
  <c r="O36" i="15"/>
  <c r="O51" i="15" s="1"/>
  <c r="O8" i="15"/>
  <c r="O39" i="33"/>
  <c r="N12" i="15"/>
  <c r="N28" i="15"/>
  <c r="N54" i="15" s="1"/>
  <c r="N51" i="15"/>
  <c r="P7" i="15"/>
  <c r="M21" i="14"/>
  <c r="N43" i="55"/>
  <c r="M24" i="14"/>
  <c r="N46" i="55"/>
  <c r="M34" i="55"/>
  <c r="L12" i="14"/>
  <c r="M42" i="55"/>
  <c r="L20" i="14"/>
  <c r="N47" i="55"/>
  <c r="M25" i="14"/>
  <c r="M17" i="14"/>
  <c r="N39" i="55"/>
  <c r="M15" i="14"/>
  <c r="L14" i="14"/>
  <c r="E26" i="10"/>
  <c r="F55" i="15"/>
  <c r="F56" i="15"/>
  <c r="O54" i="60"/>
  <c r="K54" i="60"/>
  <c r="F67" i="56"/>
  <c r="E181" i="57" l="1"/>
  <c r="D42" i="74" s="1"/>
  <c r="E145" i="57"/>
  <c r="D6" i="74" s="1"/>
  <c r="G144" i="57"/>
  <c r="F5" i="74" s="1"/>
  <c r="I144" i="57"/>
  <c r="H5" i="74" s="1"/>
  <c r="B95" i="57"/>
  <c r="B174" i="57"/>
  <c r="A23" i="74"/>
  <c r="H240" i="57"/>
  <c r="G101" i="74" s="1"/>
  <c r="F101" i="74"/>
  <c r="I241" i="57"/>
  <c r="H102" i="74" s="1"/>
  <c r="C102" i="74"/>
  <c r="B170" i="57"/>
  <c r="A19" i="74"/>
  <c r="B169" i="57"/>
  <c r="A18" i="74"/>
  <c r="B168" i="57"/>
  <c r="A17" i="74"/>
  <c r="B167" i="57"/>
  <c r="A16" i="74"/>
  <c r="B175" i="57"/>
  <c r="A24" i="74"/>
  <c r="I191" i="57"/>
  <c r="H52" i="74" s="1"/>
  <c r="D52" i="74"/>
  <c r="B166" i="57"/>
  <c r="A15" i="74"/>
  <c r="B177" i="57"/>
  <c r="A26" i="74"/>
  <c r="B176" i="57"/>
  <c r="A25" i="74"/>
  <c r="B173" i="57"/>
  <c r="A22" i="74"/>
  <c r="B172" i="57"/>
  <c r="A21" i="74"/>
  <c r="B171" i="57"/>
  <c r="A20" i="74"/>
  <c r="I145" i="57"/>
  <c r="H6" i="74" s="1"/>
  <c r="B90" i="57"/>
  <c r="C26" i="66" s="1"/>
  <c r="C19" i="66" s="1"/>
  <c r="C32" i="66" s="1"/>
  <c r="G191" i="57"/>
  <c r="F52" i="74" s="1"/>
  <c r="C145" i="57"/>
  <c r="B6" i="74" s="1"/>
  <c r="G145" i="57"/>
  <c r="F6" i="74" s="1"/>
  <c r="C193" i="57"/>
  <c r="B54" i="74" s="1"/>
  <c r="C241" i="57"/>
  <c r="B102" i="74" s="1"/>
  <c r="G241" i="57"/>
  <c r="K238" i="57"/>
  <c r="E240" i="57"/>
  <c r="D101" i="74" s="1"/>
  <c r="J239" i="57"/>
  <c r="E158" i="57"/>
  <c r="D19" i="74" s="1"/>
  <c r="E192" i="57"/>
  <c r="E228" i="57"/>
  <c r="D89" i="74" s="1"/>
  <c r="D242" i="57"/>
  <c r="E216" i="57"/>
  <c r="D77" i="74" s="1"/>
  <c r="E170" i="57"/>
  <c r="D31" i="74" s="1"/>
  <c r="D194" i="57"/>
  <c r="C55" i="74" s="1"/>
  <c r="D146" i="57"/>
  <c r="E182" i="57"/>
  <c r="D43" i="74" s="1"/>
  <c r="E204" i="57"/>
  <c r="D65" i="74" s="1"/>
  <c r="B57" i="78"/>
  <c r="B84" i="78"/>
  <c r="B21" i="78"/>
  <c r="B93" i="78"/>
  <c r="B66" i="78"/>
  <c r="B12" i="78"/>
  <c r="B48" i="78"/>
  <c r="B111" i="78"/>
  <c r="B75" i="78"/>
  <c r="B39" i="78"/>
  <c r="G93" i="78"/>
  <c r="H93" i="78" s="1"/>
  <c r="K93" i="78" s="1"/>
  <c r="L93" i="78" s="1"/>
  <c r="G102" i="78"/>
  <c r="H102" i="78" s="1"/>
  <c r="K102" i="78" s="1"/>
  <c r="L102" i="78" s="1"/>
  <c r="G111" i="78"/>
  <c r="H111" i="78" s="1"/>
  <c r="K111" i="78" s="1"/>
  <c r="L111" i="78" s="1"/>
  <c r="G30" i="78"/>
  <c r="H30" i="78" s="1"/>
  <c r="H66" i="78"/>
  <c r="H21" i="78"/>
  <c r="H39" i="78"/>
  <c r="H57" i="78"/>
  <c r="G84" i="78"/>
  <c r="H84" i="78" s="1"/>
  <c r="G48" i="78"/>
  <c r="H48" i="78" s="1"/>
  <c r="K48" i="78" s="1"/>
  <c r="L48" i="78" s="1"/>
  <c r="H75" i="78"/>
  <c r="G12" i="78"/>
  <c r="H12" i="78" s="1"/>
  <c r="K12" i="78" s="1"/>
  <c r="L12" i="78" s="1"/>
  <c r="E67" i="56"/>
  <c r="E130" i="10"/>
  <c r="C10" i="55"/>
  <c r="B93" i="57"/>
  <c r="B88" i="57"/>
  <c r="C24" i="66" s="1"/>
  <c r="C17" i="66" s="1"/>
  <c r="C30" i="66" s="1"/>
  <c r="E120" i="10"/>
  <c r="E128" i="10"/>
  <c r="E122" i="10"/>
  <c r="E124" i="10"/>
  <c r="E125" i="10"/>
  <c r="I84" i="78"/>
  <c r="J84" i="78" s="1"/>
  <c r="I21" i="78"/>
  <c r="J21" i="78" s="1"/>
  <c r="I30" i="78"/>
  <c r="J30" i="78" s="1"/>
  <c r="I66" i="78"/>
  <c r="J66" i="78" s="1"/>
  <c r="I75" i="78"/>
  <c r="J75" i="78" s="1"/>
  <c r="I39" i="78"/>
  <c r="J39" i="78" s="1"/>
  <c r="I57" i="78"/>
  <c r="J57" i="78" s="1"/>
  <c r="B87" i="57"/>
  <c r="C23" i="66" s="1"/>
  <c r="C16" i="66" s="1"/>
  <c r="C29" i="66" s="1"/>
  <c r="B92" i="57"/>
  <c r="G42" i="11"/>
  <c r="G36" i="11"/>
  <c r="C18" i="66"/>
  <c r="C31" i="66" s="1"/>
  <c r="C47" i="66"/>
  <c r="G27" i="60"/>
  <c r="H68" i="11"/>
  <c r="H156" i="11" s="1"/>
  <c r="O11" i="60"/>
  <c r="I25" i="60"/>
  <c r="D64" i="11"/>
  <c r="N25" i="60"/>
  <c r="O25" i="60" s="1"/>
  <c r="J25" i="60"/>
  <c r="H27" i="60"/>
  <c r="I26" i="60"/>
  <c r="D65" i="11"/>
  <c r="J26" i="60"/>
  <c r="N26" i="60"/>
  <c r="O26" i="60" s="1"/>
  <c r="K11" i="60"/>
  <c r="P51" i="15"/>
  <c r="N25" i="15"/>
  <c r="N26" i="15"/>
  <c r="P8" i="15"/>
  <c r="O27" i="15"/>
  <c r="P27" i="15" s="1"/>
  <c r="M44" i="55"/>
  <c r="L22" i="14"/>
  <c r="L27" i="14"/>
  <c r="M49" i="55"/>
  <c r="M45" i="55"/>
  <c r="L23" i="14"/>
  <c r="L18" i="14"/>
  <c r="M40" i="55"/>
  <c r="M35" i="55"/>
  <c r="L13" i="14"/>
  <c r="M41" i="55"/>
  <c r="L19" i="14"/>
  <c r="K16" i="14"/>
  <c r="L38" i="55"/>
  <c r="M48" i="55"/>
  <c r="L26" i="14"/>
  <c r="E5" i="19"/>
  <c r="O12" i="15"/>
  <c r="O28" i="15"/>
  <c r="O54" i="15" s="1"/>
  <c r="P36" i="15"/>
  <c r="O15" i="14"/>
  <c r="N15" i="14"/>
  <c r="N17" i="14"/>
  <c r="O39" i="55"/>
  <c r="O17" i="14" s="1"/>
  <c r="O46" i="55"/>
  <c r="O24" i="14" s="1"/>
  <c r="N24" i="14"/>
  <c r="O47" i="55"/>
  <c r="O25" i="14" s="1"/>
  <c r="N25" i="14"/>
  <c r="M12" i="14"/>
  <c r="N34" i="55"/>
  <c r="N42" i="55"/>
  <c r="M20" i="14"/>
  <c r="N21" i="14"/>
  <c r="O43" i="55"/>
  <c r="O21" i="14" s="1"/>
  <c r="M14" i="14"/>
  <c r="G64" i="60"/>
  <c r="G55" i="15"/>
  <c r="G56" i="15"/>
  <c r="N13" i="18"/>
  <c r="M13" i="18"/>
  <c r="L13" i="18"/>
  <c r="K13" i="18"/>
  <c r="J13" i="18"/>
  <c r="I13" i="18"/>
  <c r="H13" i="18"/>
  <c r="G13" i="18"/>
  <c r="F13" i="18"/>
  <c r="E13" i="18"/>
  <c r="D13" i="18"/>
  <c r="N12" i="18"/>
  <c r="M12" i="18"/>
  <c r="L12" i="18"/>
  <c r="K12" i="18"/>
  <c r="J12" i="18"/>
  <c r="I12" i="18"/>
  <c r="H12" i="18"/>
  <c r="G12" i="18"/>
  <c r="F12" i="18"/>
  <c r="E12" i="18"/>
  <c r="D12" i="18"/>
  <c r="N11" i="18"/>
  <c r="M11" i="18"/>
  <c r="L11" i="18"/>
  <c r="K11" i="18"/>
  <c r="J11" i="18"/>
  <c r="I11" i="18"/>
  <c r="H11" i="18"/>
  <c r="G11" i="18"/>
  <c r="F11" i="18"/>
  <c r="E11" i="18"/>
  <c r="D11" i="18"/>
  <c r="N10" i="18"/>
  <c r="M10" i="18"/>
  <c r="L10" i="18"/>
  <c r="K10" i="18"/>
  <c r="J10" i="18"/>
  <c r="I10" i="18"/>
  <c r="H10" i="18"/>
  <c r="G10" i="18"/>
  <c r="F10" i="18"/>
  <c r="E10" i="18"/>
  <c r="D10" i="18"/>
  <c r="N4" i="18"/>
  <c r="M4" i="18"/>
  <c r="L4" i="18"/>
  <c r="K4" i="18"/>
  <c r="J4" i="18"/>
  <c r="I4" i="18"/>
  <c r="H4" i="18"/>
  <c r="G4" i="18"/>
  <c r="F4" i="18"/>
  <c r="E4" i="18"/>
  <c r="D4" i="18"/>
  <c r="N3" i="18"/>
  <c r="M3" i="18"/>
  <c r="L3" i="18"/>
  <c r="K3" i="18"/>
  <c r="J3" i="18"/>
  <c r="I3" i="18"/>
  <c r="H3" i="18"/>
  <c r="G3" i="18"/>
  <c r="F3" i="18"/>
  <c r="E3" i="18"/>
  <c r="D3" i="18"/>
  <c r="C13" i="18"/>
  <c r="C12" i="18"/>
  <c r="C11" i="18"/>
  <c r="C10" i="18"/>
  <c r="C7" i="18"/>
  <c r="C6" i="18"/>
  <c r="C5" i="18"/>
  <c r="C4" i="18"/>
  <c r="C3" i="18"/>
  <c r="O21" i="32"/>
  <c r="M28" i="32"/>
  <c r="N28" i="32" s="1"/>
  <c r="N9" i="18" s="1"/>
  <c r="L28" i="32"/>
  <c r="L9" i="18" s="1"/>
  <c r="K28" i="32"/>
  <c r="K9" i="18" s="1"/>
  <c r="J28" i="32"/>
  <c r="J9" i="18" s="1"/>
  <c r="I28" i="32"/>
  <c r="I9" i="18" s="1"/>
  <c r="H28" i="32"/>
  <c r="H9" i="18" s="1"/>
  <c r="G28" i="32"/>
  <c r="G9" i="18" s="1"/>
  <c r="F28" i="32"/>
  <c r="F9" i="18" s="1"/>
  <c r="E28" i="32"/>
  <c r="E9" i="18" s="1"/>
  <c r="D28" i="32"/>
  <c r="D9" i="18" s="1"/>
  <c r="C34" i="32"/>
  <c r="C14" i="18" s="1"/>
  <c r="C28" i="32"/>
  <c r="C9" i="18" s="1"/>
  <c r="B34" i="32"/>
  <c r="B14" i="18" s="1"/>
  <c r="B28" i="32"/>
  <c r="E146" i="57" l="1"/>
  <c r="D7" i="74" s="1"/>
  <c r="B188" i="57"/>
  <c r="A37" i="74"/>
  <c r="B187" i="57"/>
  <c r="A36" i="74"/>
  <c r="B182" i="57"/>
  <c r="A31" i="74"/>
  <c r="I242" i="57"/>
  <c r="H103" i="74" s="1"/>
  <c r="C103" i="74"/>
  <c r="H241" i="57"/>
  <c r="G102" i="74" s="1"/>
  <c r="F102" i="74"/>
  <c r="B183" i="57"/>
  <c r="A32" i="74"/>
  <c r="B189" i="57"/>
  <c r="A38" i="74"/>
  <c r="B179" i="57"/>
  <c r="A28" i="74"/>
  <c r="I192" i="57"/>
  <c r="H53" i="74" s="1"/>
  <c r="D53" i="74"/>
  <c r="B184" i="57"/>
  <c r="A33" i="74"/>
  <c r="B178" i="57"/>
  <c r="A27" i="74"/>
  <c r="B180" i="57"/>
  <c r="A29" i="74"/>
  <c r="C7" i="74"/>
  <c r="B185" i="57"/>
  <c r="A34" i="74"/>
  <c r="B181" i="57"/>
  <c r="A30" i="74"/>
  <c r="B186" i="57"/>
  <c r="A35" i="74"/>
  <c r="K239" i="57"/>
  <c r="I100" i="74"/>
  <c r="L238" i="57"/>
  <c r="K99" i="74" s="1"/>
  <c r="J99" i="74"/>
  <c r="G192" i="57"/>
  <c r="F53" i="74" s="1"/>
  <c r="C146" i="57"/>
  <c r="B7" i="74" s="1"/>
  <c r="G146" i="57"/>
  <c r="F7" i="74" s="1"/>
  <c r="C194" i="57"/>
  <c r="B55" i="74" s="1"/>
  <c r="C242" i="57"/>
  <c r="B103" i="74" s="1"/>
  <c r="G242" i="57"/>
  <c r="D243" i="57"/>
  <c r="E171" i="57"/>
  <c r="D32" i="74" s="1"/>
  <c r="E147" i="57"/>
  <c r="D8" i="74" s="1"/>
  <c r="E229" i="57"/>
  <c r="D90" i="74" s="1"/>
  <c r="E159" i="57"/>
  <c r="D20" i="74" s="1"/>
  <c r="E205" i="57"/>
  <c r="D66" i="74" s="1"/>
  <c r="D147" i="57"/>
  <c r="E217" i="57"/>
  <c r="D78" i="74" s="1"/>
  <c r="D195" i="57"/>
  <c r="C56" i="74" s="1"/>
  <c r="E183" i="57"/>
  <c r="D44" i="74" s="1"/>
  <c r="E193" i="57"/>
  <c r="E241" i="57"/>
  <c r="D102" i="74" s="1"/>
  <c r="J240" i="57"/>
  <c r="I101" i="74" s="1"/>
  <c r="K57" i="78"/>
  <c r="L57" i="78" s="1"/>
  <c r="K39" i="78"/>
  <c r="L39" i="78" s="1"/>
  <c r="K75" i="78"/>
  <c r="L75" i="78" s="1"/>
  <c r="K66" i="78"/>
  <c r="L66" i="78" s="1"/>
  <c r="K30" i="78"/>
  <c r="L30" i="78" s="1"/>
  <c r="K21" i="78"/>
  <c r="L21" i="78" s="1"/>
  <c r="K84" i="78"/>
  <c r="L84" i="78" s="1"/>
  <c r="E139" i="10"/>
  <c r="C41" i="66"/>
  <c r="E133" i="10"/>
  <c r="E131" i="10"/>
  <c r="E137" i="10"/>
  <c r="E134" i="10"/>
  <c r="E129" i="10"/>
  <c r="C35" i="66"/>
  <c r="H42" i="11"/>
  <c r="H36" i="11"/>
  <c r="O27" i="60"/>
  <c r="D66" i="11"/>
  <c r="I68" i="11"/>
  <c r="I156" i="11" s="1"/>
  <c r="N27" i="60"/>
  <c r="K25" i="60"/>
  <c r="J27" i="60"/>
  <c r="K26" i="60"/>
  <c r="I27" i="60"/>
  <c r="P12" i="15"/>
  <c r="O26" i="15"/>
  <c r="P26" i="15" s="1"/>
  <c r="O25" i="15"/>
  <c r="P25" i="15" s="1"/>
  <c r="M18" i="14"/>
  <c r="N40" i="55"/>
  <c r="L16" i="14"/>
  <c r="M38" i="55"/>
  <c r="N48" i="55"/>
  <c r="M26" i="14"/>
  <c r="N45" i="55"/>
  <c r="M23" i="14"/>
  <c r="N49" i="55"/>
  <c r="M27" i="14"/>
  <c r="M19" i="14"/>
  <c r="N41" i="55"/>
  <c r="N35" i="55"/>
  <c r="M13" i="14"/>
  <c r="M22" i="14"/>
  <c r="N44" i="55"/>
  <c r="O42" i="55"/>
  <c r="O20" i="14" s="1"/>
  <c r="N20" i="14"/>
  <c r="O34" i="55"/>
  <c r="O12" i="14" s="1"/>
  <c r="N12" i="14"/>
  <c r="O14" i="14"/>
  <c r="N14" i="14"/>
  <c r="H64" i="60"/>
  <c r="F26" i="10"/>
  <c r="H55" i="15"/>
  <c r="H56" i="15"/>
  <c r="M9" i="18"/>
  <c r="O28" i="32"/>
  <c r="I146" i="57" l="1"/>
  <c r="H7" i="74" s="1"/>
  <c r="B198" i="57"/>
  <c r="A47" i="74"/>
  <c r="B192" i="57"/>
  <c r="A41" i="74"/>
  <c r="B191" i="57"/>
  <c r="A40" i="74"/>
  <c r="I193" i="57"/>
  <c r="H54" i="74" s="1"/>
  <c r="D54" i="74"/>
  <c r="B193" i="57"/>
  <c r="A42" i="74"/>
  <c r="B190" i="57"/>
  <c r="A39" i="74"/>
  <c r="B201" i="57"/>
  <c r="A50" i="74"/>
  <c r="B194" i="57"/>
  <c r="A43" i="74"/>
  <c r="I243" i="57"/>
  <c r="H104" i="74" s="1"/>
  <c r="C104" i="74"/>
  <c r="B197" i="57"/>
  <c r="A46" i="74"/>
  <c r="B196" i="57"/>
  <c r="A45" i="74"/>
  <c r="B195" i="57"/>
  <c r="A44" i="74"/>
  <c r="B199" i="57"/>
  <c r="A48" i="74"/>
  <c r="H242" i="57"/>
  <c r="G103" i="74" s="1"/>
  <c r="F103" i="74"/>
  <c r="I147" i="57"/>
  <c r="H8" i="74" s="1"/>
  <c r="C8" i="74"/>
  <c r="B200" i="57"/>
  <c r="A49" i="74"/>
  <c r="J100" i="74"/>
  <c r="L239" i="57"/>
  <c r="K100" i="74" s="1"/>
  <c r="G193" i="57"/>
  <c r="F54" i="74" s="1"/>
  <c r="C195" i="57"/>
  <c r="B56" i="74" s="1"/>
  <c r="C243" i="57"/>
  <c r="B104" i="74" s="1"/>
  <c r="G243" i="57"/>
  <c r="C147" i="57"/>
  <c r="B8" i="74" s="1"/>
  <c r="G147" i="57"/>
  <c r="F8" i="74" s="1"/>
  <c r="K240" i="57"/>
  <c r="E218" i="57"/>
  <c r="D79" i="74" s="1"/>
  <c r="E184" i="57"/>
  <c r="D45" i="74" s="1"/>
  <c r="E230" i="57"/>
  <c r="D91" i="74" s="1"/>
  <c r="E172" i="57"/>
  <c r="D33" i="74" s="1"/>
  <c r="D148" i="57"/>
  <c r="C9" i="74" s="1"/>
  <c r="E194" i="57"/>
  <c r="E242" i="57"/>
  <c r="D103" i="74" s="1"/>
  <c r="J241" i="57"/>
  <c r="D196" i="57"/>
  <c r="C57" i="74" s="1"/>
  <c r="E206" i="57"/>
  <c r="D67" i="74" s="1"/>
  <c r="D244" i="57"/>
  <c r="E160" i="57"/>
  <c r="D21" i="74" s="1"/>
  <c r="E148" i="57"/>
  <c r="D9" i="74" s="1"/>
  <c r="E148" i="10"/>
  <c r="E146" i="10"/>
  <c r="E140" i="10"/>
  <c r="E143" i="10"/>
  <c r="E138" i="10"/>
  <c r="E142" i="10"/>
  <c r="I42" i="11"/>
  <c r="I36" i="11"/>
  <c r="K27" i="60"/>
  <c r="J68" i="11"/>
  <c r="J156" i="11" s="1"/>
  <c r="N23" i="14"/>
  <c r="O45" i="55"/>
  <c r="O23" i="14" s="1"/>
  <c r="O35" i="55"/>
  <c r="O13" i="14" s="1"/>
  <c r="N13" i="14"/>
  <c r="O48" i="55"/>
  <c r="O26" i="14" s="1"/>
  <c r="N26" i="14"/>
  <c r="N19" i="14"/>
  <c r="O41" i="55"/>
  <c r="O19" i="14" s="1"/>
  <c r="M16" i="14"/>
  <c r="N38" i="55"/>
  <c r="O44" i="55"/>
  <c r="O22" i="14" s="1"/>
  <c r="N22" i="14"/>
  <c r="N18" i="14"/>
  <c r="O40" i="55"/>
  <c r="O18" i="14" s="1"/>
  <c r="O49" i="55"/>
  <c r="O27" i="14" s="1"/>
  <c r="N27" i="14"/>
  <c r="F5" i="19"/>
  <c r="F75" i="19" s="1"/>
  <c r="I64" i="60"/>
  <c r="I55" i="15"/>
  <c r="I56" i="15"/>
  <c r="G26" i="10"/>
  <c r="G5" i="19" s="1"/>
  <c r="O61" i="15"/>
  <c r="O83" i="15" s="1"/>
  <c r="N52" i="19" s="1"/>
  <c r="N61" i="15"/>
  <c r="N83" i="15" s="1"/>
  <c r="M52" i="19" s="1"/>
  <c r="M61" i="15"/>
  <c r="M83" i="15" s="1"/>
  <c r="L52" i="19" s="1"/>
  <c r="L61" i="15"/>
  <c r="L83" i="15" s="1"/>
  <c r="K52" i="19" s="1"/>
  <c r="K61" i="15"/>
  <c r="K83" i="15" s="1"/>
  <c r="J52" i="19" s="1"/>
  <c r="J61" i="15"/>
  <c r="J83" i="15" s="1"/>
  <c r="I52" i="19" s="1"/>
  <c r="I61" i="15"/>
  <c r="I83" i="15" s="1"/>
  <c r="H52" i="19" s="1"/>
  <c r="H61" i="15"/>
  <c r="H83" i="15" s="1"/>
  <c r="G52" i="19" s="1"/>
  <c r="G61" i="15"/>
  <c r="G83" i="15" s="1"/>
  <c r="F52" i="19" s="1"/>
  <c r="F61" i="15"/>
  <c r="F83" i="15" s="1"/>
  <c r="E52" i="19" s="1"/>
  <c r="E61" i="15"/>
  <c r="E83" i="15" s="1"/>
  <c r="D52" i="19" s="1"/>
  <c r="D61" i="15"/>
  <c r="D83" i="15" s="1"/>
  <c r="C52" i="19" s="1"/>
  <c r="D50" i="55"/>
  <c r="D90" i="8"/>
  <c r="D89" i="8"/>
  <c r="D91" i="8" s="1"/>
  <c r="D88" i="8"/>
  <c r="O10" i="14"/>
  <c r="N10" i="14"/>
  <c r="M10" i="14"/>
  <c r="L10" i="14"/>
  <c r="K10" i="14"/>
  <c r="J10" i="14"/>
  <c r="I10" i="14"/>
  <c r="H10" i="14"/>
  <c r="G10" i="14"/>
  <c r="F10" i="14"/>
  <c r="E10" i="14"/>
  <c r="O9" i="14"/>
  <c r="N9" i="14"/>
  <c r="M9" i="14"/>
  <c r="M40" i="14" s="1"/>
  <c r="L51" i="19" s="1"/>
  <c r="L9" i="14"/>
  <c r="K9" i="14"/>
  <c r="J9" i="14"/>
  <c r="I9" i="14"/>
  <c r="I40" i="14" s="1"/>
  <c r="H51" i="19" s="1"/>
  <c r="H9" i="14"/>
  <c r="G9" i="14"/>
  <c r="G40" i="14" s="1"/>
  <c r="F51" i="19" s="1"/>
  <c r="F9" i="14"/>
  <c r="F40" i="14" s="1"/>
  <c r="E51" i="19" s="1"/>
  <c r="E9" i="14"/>
  <c r="E40" i="14" s="1"/>
  <c r="D51" i="19" s="1"/>
  <c r="D12" i="14"/>
  <c r="D10" i="14"/>
  <c r="D9" i="14"/>
  <c r="P47" i="55"/>
  <c r="P46" i="55"/>
  <c r="P43" i="55"/>
  <c r="P42" i="55"/>
  <c r="P39" i="55"/>
  <c r="P34" i="55"/>
  <c r="P32" i="55"/>
  <c r="B210" i="57" l="1"/>
  <c r="A59" i="74"/>
  <c r="I194" i="57"/>
  <c r="H55" i="74" s="1"/>
  <c r="D55" i="74"/>
  <c r="B212" i="57"/>
  <c r="A61" i="74"/>
  <c r="B207" i="57"/>
  <c r="A56" i="74"/>
  <c r="B206" i="57"/>
  <c r="A55" i="74"/>
  <c r="B211" i="57"/>
  <c r="A60" i="74"/>
  <c r="B205" i="57"/>
  <c r="A54" i="74"/>
  <c r="H243" i="57"/>
  <c r="G104" i="74" s="1"/>
  <c r="F104" i="74"/>
  <c r="B208" i="57"/>
  <c r="A57" i="74"/>
  <c r="B213" i="57"/>
  <c r="A62" i="74"/>
  <c r="B203" i="57"/>
  <c r="A52" i="74"/>
  <c r="I244" i="57"/>
  <c r="H105" i="74" s="1"/>
  <c r="C105" i="74"/>
  <c r="B209" i="57"/>
  <c r="A58" i="74"/>
  <c r="B202" i="57"/>
  <c r="A51" i="74"/>
  <c r="B204" i="57"/>
  <c r="A53" i="74"/>
  <c r="K241" i="57"/>
  <c r="I102" i="74"/>
  <c r="L240" i="57"/>
  <c r="K101" i="74" s="1"/>
  <c r="J101" i="74"/>
  <c r="I148" i="57"/>
  <c r="H9" i="74" s="1"/>
  <c r="C244" i="57"/>
  <c r="B105" i="74" s="1"/>
  <c r="G244" i="57"/>
  <c r="C196" i="57"/>
  <c r="B57" i="74" s="1"/>
  <c r="G194" i="57"/>
  <c r="F55" i="74" s="1"/>
  <c r="G148" i="57"/>
  <c r="F9" i="74" s="1"/>
  <c r="C148" i="57"/>
  <c r="B9" i="74" s="1"/>
  <c r="E161" i="57"/>
  <c r="D22" i="74" s="1"/>
  <c r="D197" i="57"/>
  <c r="C58" i="74" s="1"/>
  <c r="E207" i="57"/>
  <c r="D68" i="74" s="1"/>
  <c r="D245" i="57"/>
  <c r="D149" i="57"/>
  <c r="C10" i="74" s="1"/>
  <c r="E149" i="57"/>
  <c r="D10" i="74" s="1"/>
  <c r="E243" i="57"/>
  <c r="D104" i="74" s="1"/>
  <c r="J242" i="57"/>
  <c r="I103" i="74" s="1"/>
  <c r="E185" i="57"/>
  <c r="D46" i="74" s="1"/>
  <c r="E173" i="57"/>
  <c r="D34" i="74" s="1"/>
  <c r="E219" i="57"/>
  <c r="D80" i="74" s="1"/>
  <c r="E195" i="57"/>
  <c r="E231" i="57"/>
  <c r="D92" i="74" s="1"/>
  <c r="E157" i="10"/>
  <c r="E152" i="10"/>
  <c r="E147" i="10"/>
  <c r="E149" i="10"/>
  <c r="E151" i="10"/>
  <c r="E155" i="10"/>
  <c r="L40" i="14"/>
  <c r="K51" i="19" s="1"/>
  <c r="P45" i="55"/>
  <c r="H40" i="14"/>
  <c r="G51" i="19" s="1"/>
  <c r="P48" i="55"/>
  <c r="P35" i="55"/>
  <c r="D40" i="14"/>
  <c r="J40" i="14"/>
  <c r="I51" i="19" s="1"/>
  <c r="K40" i="14"/>
  <c r="J51" i="19" s="1"/>
  <c r="O52" i="19"/>
  <c r="P83" i="15"/>
  <c r="J42" i="11"/>
  <c r="J36" i="11"/>
  <c r="K68" i="11"/>
  <c r="K156" i="11" s="1"/>
  <c r="P40" i="55"/>
  <c r="P44" i="55"/>
  <c r="P41" i="55"/>
  <c r="P49" i="55"/>
  <c r="O38" i="55"/>
  <c r="N16" i="14"/>
  <c r="N40" i="14" s="1"/>
  <c r="M51" i="19" s="1"/>
  <c r="J64" i="60"/>
  <c r="H26" i="10"/>
  <c r="E91" i="8"/>
  <c r="B219" i="57" l="1"/>
  <c r="A68" i="74"/>
  <c r="I195" i="57"/>
  <c r="H56" i="74" s="1"/>
  <c r="D56" i="74"/>
  <c r="I245" i="57"/>
  <c r="H106" i="74" s="1"/>
  <c r="C106" i="74"/>
  <c r="H244" i="57"/>
  <c r="G105" i="74" s="1"/>
  <c r="F105" i="74"/>
  <c r="B216" i="57"/>
  <c r="A65" i="74"/>
  <c r="B215" i="57"/>
  <c r="A64" i="74"/>
  <c r="B217" i="57"/>
  <c r="A66" i="74"/>
  <c r="B224" i="57"/>
  <c r="A73" i="74"/>
  <c r="B214" i="57"/>
  <c r="A63" i="74"/>
  <c r="B225" i="57"/>
  <c r="A74" i="74"/>
  <c r="B223" i="57"/>
  <c r="A72" i="74"/>
  <c r="B221" i="57"/>
  <c r="A70" i="74"/>
  <c r="B220" i="57"/>
  <c r="A69" i="74"/>
  <c r="B218" i="57"/>
  <c r="A67" i="74"/>
  <c r="B222" i="57"/>
  <c r="A71" i="74"/>
  <c r="L241" i="57"/>
  <c r="K102" i="74" s="1"/>
  <c r="J102" i="74"/>
  <c r="I149" i="57"/>
  <c r="H10" i="74" s="1"/>
  <c r="G149" i="57"/>
  <c r="F10" i="74" s="1"/>
  <c r="C149" i="57"/>
  <c r="B10" i="74" s="1"/>
  <c r="G245" i="57"/>
  <c r="C245" i="57"/>
  <c r="B106" i="74" s="1"/>
  <c r="C197" i="57"/>
  <c r="B58" i="74" s="1"/>
  <c r="G195" i="57"/>
  <c r="F56" i="74" s="1"/>
  <c r="K242" i="57"/>
  <c r="E208" i="57"/>
  <c r="D69" i="74" s="1"/>
  <c r="E220" i="57"/>
  <c r="D81" i="74" s="1"/>
  <c r="D150" i="57"/>
  <c r="C11" i="74" s="1"/>
  <c r="D198" i="57"/>
  <c r="C59" i="74" s="1"/>
  <c r="E232" i="57"/>
  <c r="D93" i="74" s="1"/>
  <c r="E174" i="57"/>
  <c r="D35" i="74" s="1"/>
  <c r="E244" i="57"/>
  <c r="D105" i="74" s="1"/>
  <c r="J243" i="57"/>
  <c r="D246" i="57"/>
  <c r="C107" i="74" s="1"/>
  <c r="E150" i="57"/>
  <c r="D11" i="74" s="1"/>
  <c r="E162" i="57"/>
  <c r="D23" i="74" s="1"/>
  <c r="E196" i="57"/>
  <c r="E186" i="57"/>
  <c r="D47" i="74" s="1"/>
  <c r="E166" i="10"/>
  <c r="E158" i="10"/>
  <c r="E160" i="10"/>
  <c r="E156" i="10"/>
  <c r="E164" i="10"/>
  <c r="E161" i="10"/>
  <c r="C51" i="19"/>
  <c r="K42" i="11"/>
  <c r="K36" i="11"/>
  <c r="L68" i="11"/>
  <c r="L156" i="11" s="1"/>
  <c r="O16" i="14"/>
  <c r="O40" i="14" s="1"/>
  <c r="N51" i="19" s="1"/>
  <c r="P38" i="55"/>
  <c r="H5" i="19"/>
  <c r="H75" i="19" s="1"/>
  <c r="K64" i="60"/>
  <c r="I26" i="10"/>
  <c r="I5" i="19" s="1"/>
  <c r="J56" i="15"/>
  <c r="J26" i="10"/>
  <c r="J5" i="19" s="1"/>
  <c r="K56" i="15"/>
  <c r="K55" i="15"/>
  <c r="J55" i="15"/>
  <c r="P37" i="55"/>
  <c r="J21" i="10"/>
  <c r="E50" i="55"/>
  <c r="B233" i="57" l="1"/>
  <c r="A82" i="74"/>
  <c r="B236" i="57"/>
  <c r="A85" i="74"/>
  <c r="B234" i="57"/>
  <c r="A83" i="74"/>
  <c r="B235" i="57"/>
  <c r="A84" i="74"/>
  <c r="B229" i="57"/>
  <c r="A78" i="74"/>
  <c r="I196" i="57"/>
  <c r="H57" i="74" s="1"/>
  <c r="D57" i="74"/>
  <c r="H245" i="57"/>
  <c r="G106" i="74" s="1"/>
  <c r="F106" i="74"/>
  <c r="B230" i="57"/>
  <c r="A79" i="74"/>
  <c r="B237" i="57"/>
  <c r="A86" i="74"/>
  <c r="B227" i="57"/>
  <c r="A76" i="74"/>
  <c r="B232" i="57"/>
  <c r="A81" i="74"/>
  <c r="B226" i="57"/>
  <c r="A75" i="74"/>
  <c r="B228" i="57"/>
  <c r="A77" i="74"/>
  <c r="B231" i="57"/>
  <c r="A80" i="74"/>
  <c r="K243" i="57"/>
  <c r="I104" i="74"/>
  <c r="L242" i="57"/>
  <c r="K103" i="74" s="1"/>
  <c r="J103" i="74"/>
  <c r="I150" i="57"/>
  <c r="H11" i="74" s="1"/>
  <c r="C246" i="57"/>
  <c r="B107" i="74" s="1"/>
  <c r="I246" i="57"/>
  <c r="H107" i="74" s="1"/>
  <c r="C198" i="57"/>
  <c r="B59" i="74" s="1"/>
  <c r="C150" i="57"/>
  <c r="B11" i="74" s="1"/>
  <c r="G150" i="57"/>
  <c r="F11" i="74" s="1"/>
  <c r="G246" i="57"/>
  <c r="G196" i="57"/>
  <c r="F57" i="74" s="1"/>
  <c r="E175" i="57"/>
  <c r="D36" i="74" s="1"/>
  <c r="E233" i="57"/>
  <c r="D94" i="74" s="1"/>
  <c r="E163" i="57"/>
  <c r="D24" i="74" s="1"/>
  <c r="D247" i="57"/>
  <c r="D151" i="57"/>
  <c r="C12" i="74" s="1"/>
  <c r="E197" i="57"/>
  <c r="E151" i="57"/>
  <c r="D12" i="74" s="1"/>
  <c r="E187" i="57"/>
  <c r="D48" i="74" s="1"/>
  <c r="D199" i="57"/>
  <c r="C60" i="74" s="1"/>
  <c r="E221" i="57"/>
  <c r="D82" i="74" s="1"/>
  <c r="E245" i="57"/>
  <c r="D106" i="74" s="1"/>
  <c r="J244" i="57"/>
  <c r="I105" i="74" s="1"/>
  <c r="E209" i="57"/>
  <c r="D70" i="74" s="1"/>
  <c r="E165" i="10"/>
  <c r="P40" i="14"/>
  <c r="O51" i="19"/>
  <c r="L42" i="11"/>
  <c r="L36" i="11"/>
  <c r="M68" i="11"/>
  <c r="M156" i="11" s="1"/>
  <c r="L64" i="60"/>
  <c r="L56" i="15"/>
  <c r="L55" i="15"/>
  <c r="K21" i="10"/>
  <c r="F50" i="55"/>
  <c r="B249" i="57" l="1"/>
  <c r="A110" i="74" s="1"/>
  <c r="A98" i="74"/>
  <c r="H246" i="57"/>
  <c r="G107" i="74" s="1"/>
  <c r="F107" i="74"/>
  <c r="B238" i="57"/>
  <c r="A99" i="74" s="1"/>
  <c r="A87" i="74"/>
  <c r="B242" i="57"/>
  <c r="A103" i="74" s="1"/>
  <c r="A91" i="74"/>
  <c r="B247" i="57"/>
  <c r="A108" i="74" s="1"/>
  <c r="A96" i="74"/>
  <c r="B240" i="57"/>
  <c r="A101" i="74" s="1"/>
  <c r="A89" i="74"/>
  <c r="B241" i="57"/>
  <c r="A102" i="74" s="1"/>
  <c r="A90" i="74"/>
  <c r="B245" i="57"/>
  <c r="A106" i="74" s="1"/>
  <c r="A94" i="74"/>
  <c r="I197" i="57"/>
  <c r="H58" i="74" s="1"/>
  <c r="D58" i="74"/>
  <c r="B244" i="57"/>
  <c r="A105" i="74" s="1"/>
  <c r="A93" i="74"/>
  <c r="B246" i="57"/>
  <c r="A107" i="74" s="1"/>
  <c r="A95" i="74"/>
  <c r="I247" i="57"/>
  <c r="H108" i="74" s="1"/>
  <c r="C108" i="74"/>
  <c r="B243" i="57"/>
  <c r="A104" i="74" s="1"/>
  <c r="A92" i="74"/>
  <c r="B239" i="57"/>
  <c r="A100" i="74" s="1"/>
  <c r="A88" i="74"/>
  <c r="B248" i="57"/>
  <c r="A109" i="74" s="1"/>
  <c r="A97" i="74"/>
  <c r="L243" i="57"/>
  <c r="K104" i="74" s="1"/>
  <c r="J104" i="74"/>
  <c r="I151" i="57"/>
  <c r="H12" i="74" s="1"/>
  <c r="G247" i="57"/>
  <c r="C247" i="57"/>
  <c r="B108" i="74" s="1"/>
  <c r="G151" i="57"/>
  <c r="F12" i="74" s="1"/>
  <c r="C151" i="57"/>
  <c r="B12" i="74" s="1"/>
  <c r="C199" i="57"/>
  <c r="B60" i="74" s="1"/>
  <c r="G197" i="57"/>
  <c r="F58" i="74" s="1"/>
  <c r="K244" i="57"/>
  <c r="E246" i="57"/>
  <c r="D107" i="74" s="1"/>
  <c r="J245" i="57"/>
  <c r="E188" i="57"/>
  <c r="D49" i="74" s="1"/>
  <c r="D248" i="57"/>
  <c r="E198" i="57"/>
  <c r="E164" i="57"/>
  <c r="D25" i="74" s="1"/>
  <c r="E222" i="57"/>
  <c r="D83" i="74" s="1"/>
  <c r="E152" i="57"/>
  <c r="D13" i="74" s="1"/>
  <c r="E210" i="57"/>
  <c r="D71" i="74" s="1"/>
  <c r="D152" i="57"/>
  <c r="C13" i="74" s="1"/>
  <c r="E234" i="57"/>
  <c r="D95" i="74" s="1"/>
  <c r="D200" i="57"/>
  <c r="C61" i="74" s="1"/>
  <c r="E176" i="57"/>
  <c r="D37" i="74" s="1"/>
  <c r="M42" i="11"/>
  <c r="M36" i="11"/>
  <c r="N68" i="11"/>
  <c r="N156" i="11" s="1"/>
  <c r="M64" i="60"/>
  <c r="K26" i="10"/>
  <c r="K5" i="19" s="1"/>
  <c r="L26" i="10"/>
  <c r="L5" i="19" s="1"/>
  <c r="L21" i="10"/>
  <c r="G50" i="55"/>
  <c r="D15" i="32"/>
  <c r="D9" i="32"/>
  <c r="B9" i="32"/>
  <c r="B8" i="32"/>
  <c r="B7" i="32"/>
  <c r="B6" i="32"/>
  <c r="P9" i="14"/>
  <c r="E84" i="8"/>
  <c r="E82" i="8"/>
  <c r="C81" i="8"/>
  <c r="B99" i="8"/>
  <c r="D39" i="7"/>
  <c r="E39" i="7" s="1"/>
  <c r="F39" i="7" s="1"/>
  <c r="G39" i="7" s="1"/>
  <c r="H39" i="7" s="1"/>
  <c r="I39" i="7" s="1"/>
  <c r="J39" i="7" s="1"/>
  <c r="K39" i="7" s="1"/>
  <c r="D41" i="7"/>
  <c r="E41" i="7" s="1"/>
  <c r="D40" i="7"/>
  <c r="I198" i="57" l="1"/>
  <c r="H59" i="74" s="1"/>
  <c r="D59" i="74"/>
  <c r="I248" i="57"/>
  <c r="H109" i="74" s="1"/>
  <c r="C109" i="74"/>
  <c r="H247" i="57"/>
  <c r="G108" i="74" s="1"/>
  <c r="F108" i="74"/>
  <c r="K245" i="57"/>
  <c r="I106" i="74"/>
  <c r="J105" i="74"/>
  <c r="L244" i="57"/>
  <c r="K105" i="74" s="1"/>
  <c r="I152" i="57"/>
  <c r="H13" i="74" s="1"/>
  <c r="L39" i="7"/>
  <c r="G198" i="57"/>
  <c r="F59" i="74" s="1"/>
  <c r="G248" i="57"/>
  <c r="C248" i="57"/>
  <c r="B109" i="74" s="1"/>
  <c r="C152" i="57"/>
  <c r="B13" i="74" s="1"/>
  <c r="G152" i="57"/>
  <c r="F13" i="74" s="1"/>
  <c r="C200" i="57"/>
  <c r="B61" i="74" s="1"/>
  <c r="D249" i="57"/>
  <c r="E235" i="57"/>
  <c r="D96" i="74" s="1"/>
  <c r="E165" i="57"/>
  <c r="D26" i="74" s="1"/>
  <c r="E189" i="57"/>
  <c r="D50" i="74" s="1"/>
  <c r="E177" i="57"/>
  <c r="D38" i="74" s="1"/>
  <c r="E153" i="57"/>
  <c r="D14" i="74" s="1"/>
  <c r="D153" i="57"/>
  <c r="C14" i="74" s="1"/>
  <c r="E199" i="57"/>
  <c r="E247" i="57"/>
  <c r="D108" i="74" s="1"/>
  <c r="J246" i="57"/>
  <c r="I107" i="74" s="1"/>
  <c r="D201" i="57"/>
  <c r="C62" i="74" s="1"/>
  <c r="E211" i="57"/>
  <c r="D72" i="74" s="1"/>
  <c r="E223" i="57"/>
  <c r="D84" i="74" s="1"/>
  <c r="N42" i="11"/>
  <c r="N36" i="11"/>
  <c r="O68" i="11"/>
  <c r="O156" i="11" s="1"/>
  <c r="P156" i="11" s="1"/>
  <c r="N64" i="60"/>
  <c r="M26" i="10"/>
  <c r="M5" i="19" s="1"/>
  <c r="D19" i="32"/>
  <c r="D34" i="32" s="1"/>
  <c r="D14" i="18" s="1"/>
  <c r="O9" i="32"/>
  <c r="M21" i="10"/>
  <c r="F41" i="7"/>
  <c r="D10" i="32"/>
  <c r="H50" i="55"/>
  <c r="E40" i="7"/>
  <c r="H248" i="57" l="1"/>
  <c r="G109" i="74" s="1"/>
  <c r="F109" i="74"/>
  <c r="I249" i="57"/>
  <c r="H110" i="74" s="1"/>
  <c r="C110" i="74"/>
  <c r="I199" i="57"/>
  <c r="H60" i="74" s="1"/>
  <c r="D60" i="74"/>
  <c r="J106" i="74"/>
  <c r="L245" i="57"/>
  <c r="K106" i="74" s="1"/>
  <c r="I153" i="57"/>
  <c r="H14" i="74" s="1"/>
  <c r="C201" i="57"/>
  <c r="B62" i="74" s="1"/>
  <c r="G199" i="57"/>
  <c r="F60" i="74" s="1"/>
  <c r="G249" i="57"/>
  <c r="C249" i="57"/>
  <c r="B110" i="74" s="1"/>
  <c r="C153" i="57"/>
  <c r="B14" i="74" s="1"/>
  <c r="G153" i="57"/>
  <c r="F14" i="74" s="1"/>
  <c r="K246" i="57"/>
  <c r="E212" i="57"/>
  <c r="D73" i="74" s="1"/>
  <c r="E236" i="57"/>
  <c r="D97" i="74" s="1"/>
  <c r="D202" i="57"/>
  <c r="D154" i="57"/>
  <c r="E224" i="57"/>
  <c r="D85" i="74" s="1"/>
  <c r="E200" i="57"/>
  <c r="E248" i="57"/>
  <c r="D109" i="74" s="1"/>
  <c r="J247" i="57"/>
  <c r="O42" i="11"/>
  <c r="O36" i="11"/>
  <c r="P68" i="11"/>
  <c r="O64" i="60"/>
  <c r="N26" i="10"/>
  <c r="N5" i="19" s="1"/>
  <c r="O55" i="15"/>
  <c r="O56" i="15"/>
  <c r="N56" i="15"/>
  <c r="N55" i="15"/>
  <c r="N21" i="10"/>
  <c r="O5" i="57"/>
  <c r="O6" i="10"/>
  <c r="G41" i="7"/>
  <c r="I50" i="55"/>
  <c r="F40" i="7"/>
  <c r="P57" i="22"/>
  <c r="P56" i="22"/>
  <c r="O56" i="22"/>
  <c r="N56" i="22"/>
  <c r="M56" i="22"/>
  <c r="L56" i="22"/>
  <c r="K56" i="22"/>
  <c r="J56" i="22"/>
  <c r="I56" i="22"/>
  <c r="H56" i="22"/>
  <c r="G56" i="22"/>
  <c r="F56" i="22"/>
  <c r="E56" i="22"/>
  <c r="D56" i="22"/>
  <c r="C56" i="22"/>
  <c r="O9" i="53"/>
  <c r="O16" i="53" s="1"/>
  <c r="N9" i="53"/>
  <c r="N16" i="53" s="1"/>
  <c r="M9" i="53"/>
  <c r="M16" i="53" s="1"/>
  <c r="L9" i="53"/>
  <c r="L16" i="53" s="1"/>
  <c r="K9" i="53"/>
  <c r="K16" i="53" s="1"/>
  <c r="J9" i="53"/>
  <c r="J16" i="53" s="1"/>
  <c r="I9" i="53"/>
  <c r="I16" i="53" s="1"/>
  <c r="H9" i="53"/>
  <c r="H16" i="53" s="1"/>
  <c r="G9" i="53"/>
  <c r="G16" i="53" s="1"/>
  <c r="F9" i="53"/>
  <c r="F16" i="53" s="1"/>
  <c r="E9" i="53"/>
  <c r="E16" i="53" s="1"/>
  <c r="D9" i="53"/>
  <c r="D16" i="53" s="1"/>
  <c r="C9" i="53"/>
  <c r="C16" i="53" s="1"/>
  <c r="A21" i="52"/>
  <c r="A22" i="52" s="1"/>
  <c r="B15" i="52"/>
  <c r="B16" i="52" s="1"/>
  <c r="B17" i="52" s="1"/>
  <c r="B18" i="52" s="1"/>
  <c r="B19" i="52" s="1"/>
  <c r="E8" i="52"/>
  <c r="I200" i="57" l="1"/>
  <c r="H61" i="74" s="1"/>
  <c r="D61" i="74"/>
  <c r="I154" i="57"/>
  <c r="H15" i="74" s="1"/>
  <c r="C15" i="74"/>
  <c r="I202" i="57"/>
  <c r="H63" i="74" s="1"/>
  <c r="C63" i="74"/>
  <c r="H249" i="57"/>
  <c r="G110" i="74" s="1"/>
  <c r="F110" i="74"/>
  <c r="K247" i="57"/>
  <c r="I108" i="74"/>
  <c r="L246" i="57"/>
  <c r="K107" i="74" s="1"/>
  <c r="J107" i="74"/>
  <c r="C154" i="57"/>
  <c r="B15" i="74" s="1"/>
  <c r="G154" i="57"/>
  <c r="F15" i="74" s="1"/>
  <c r="C202" i="57"/>
  <c r="B63" i="74" s="1"/>
  <c r="G202" i="57"/>
  <c r="F63" i="74" s="1"/>
  <c r="G200" i="57"/>
  <c r="F61" i="74" s="1"/>
  <c r="E201" i="57"/>
  <c r="D155" i="57"/>
  <c r="E237" i="57"/>
  <c r="D98" i="74" s="1"/>
  <c r="E213" i="57"/>
  <c r="D74" i="74" s="1"/>
  <c r="E249" i="57"/>
  <c r="J248" i="57"/>
  <c r="I109" i="74" s="1"/>
  <c r="E225" i="57"/>
  <c r="D86" i="74" s="1"/>
  <c r="D203" i="57"/>
  <c r="P42" i="11"/>
  <c r="P36" i="11"/>
  <c r="P64" i="60"/>
  <c r="P56" i="15"/>
  <c r="P55" i="15"/>
  <c r="O11" i="10"/>
  <c r="P38" i="15"/>
  <c r="P37" i="15"/>
  <c r="O21" i="10"/>
  <c r="O26" i="10"/>
  <c r="H41" i="7"/>
  <c r="B20" i="52"/>
  <c r="B21" i="52" s="1"/>
  <c r="B22" i="52" s="1"/>
  <c r="B23" i="52" s="1"/>
  <c r="B24" i="52" s="1"/>
  <c r="B25" i="52" s="1"/>
  <c r="B26" i="52" s="1"/>
  <c r="B27" i="52" s="1"/>
  <c r="B28" i="52" s="1"/>
  <c r="B29" i="52" s="1"/>
  <c r="B30" i="52" s="1"/>
  <c r="B31" i="52" s="1"/>
  <c r="B32" i="52" s="1"/>
  <c r="B33" i="52" s="1"/>
  <c r="B34" i="52" s="1"/>
  <c r="B35" i="52" s="1"/>
  <c r="B36" i="52" s="1"/>
  <c r="B37" i="52" s="1"/>
  <c r="B38" i="52" s="1"/>
  <c r="B39" i="52" s="1"/>
  <c r="B40" i="52" s="1"/>
  <c r="B41" i="52" s="1"/>
  <c r="B42" i="52" s="1"/>
  <c r="B43" i="52" s="1"/>
  <c r="B44" i="52" s="1"/>
  <c r="B45" i="52" s="1"/>
  <c r="B46" i="52" s="1"/>
  <c r="B47" i="52" s="1"/>
  <c r="B48" i="52" s="1"/>
  <c r="B49" i="52" s="1"/>
  <c r="B50" i="52" s="1"/>
  <c r="B51" i="52" s="1"/>
  <c r="B52" i="52" s="1"/>
  <c r="B53" i="52" s="1"/>
  <c r="B54" i="52" s="1"/>
  <c r="B55" i="52" s="1"/>
  <c r="J50" i="55"/>
  <c r="G40" i="7"/>
  <c r="A23" i="52"/>
  <c r="I203" i="57" l="1"/>
  <c r="H64" i="74" s="1"/>
  <c r="C64" i="74"/>
  <c r="J249" i="57"/>
  <c r="I110" i="74" s="1"/>
  <c r="D110" i="74"/>
  <c r="I155" i="57"/>
  <c r="H16" i="74" s="1"/>
  <c r="C16" i="74"/>
  <c r="I201" i="57"/>
  <c r="H62" i="74" s="1"/>
  <c r="D62" i="74"/>
  <c r="J108" i="74"/>
  <c r="L247" i="57"/>
  <c r="K108" i="74" s="1"/>
  <c r="G201" i="57"/>
  <c r="F62" i="74" s="1"/>
  <c r="G155" i="57"/>
  <c r="F16" i="74" s="1"/>
  <c r="C155" i="57"/>
  <c r="B16" i="74" s="1"/>
  <c r="C203" i="57"/>
  <c r="B64" i="74" s="1"/>
  <c r="G203" i="57"/>
  <c r="F64" i="74" s="1"/>
  <c r="K248" i="57"/>
  <c r="D156" i="57"/>
  <c r="D204" i="57"/>
  <c r="S38" i="15"/>
  <c r="S37" i="15" s="1"/>
  <c r="Q12" i="10"/>
  <c r="R37" i="15"/>
  <c r="P53" i="7"/>
  <c r="I41" i="7"/>
  <c r="B56" i="52"/>
  <c r="B57" i="52" s="1"/>
  <c r="B58" i="52" s="1"/>
  <c r="B59" i="52" s="1"/>
  <c r="B60" i="52" s="1"/>
  <c r="B61" i="52" s="1"/>
  <c r="B62" i="52" s="1"/>
  <c r="B63" i="52" s="1"/>
  <c r="B64" i="52" s="1"/>
  <c r="B65" i="52" s="1"/>
  <c r="B66" i="52" s="1"/>
  <c r="B67" i="52" s="1"/>
  <c r="B68" i="52" s="1"/>
  <c r="B69" i="52" s="1"/>
  <c r="B70" i="52" s="1"/>
  <c r="B71" i="52" s="1"/>
  <c r="B72" i="52" s="1"/>
  <c r="B73" i="52" s="1"/>
  <c r="B74" i="52" s="1"/>
  <c r="B75" i="52" s="1"/>
  <c r="B76" i="52" s="1"/>
  <c r="B77" i="52" s="1"/>
  <c r="B78" i="52" s="1"/>
  <c r="B79" i="52" s="1"/>
  <c r="B80" i="52" s="1"/>
  <c r="B81" i="52" s="1"/>
  <c r="B82" i="52" s="1"/>
  <c r="B83" i="52" s="1"/>
  <c r="B84" i="52" s="1"/>
  <c r="B85" i="52" s="1"/>
  <c r="B86" i="52" s="1"/>
  <c r="B87" i="52" s="1"/>
  <c r="B88" i="52" s="1"/>
  <c r="B89" i="52" s="1"/>
  <c r="B90" i="52" s="1"/>
  <c r="B91" i="52" s="1"/>
  <c r="B92" i="52" s="1"/>
  <c r="B93" i="52" s="1"/>
  <c r="B94" i="52" s="1"/>
  <c r="B95" i="52" s="1"/>
  <c r="B96" i="52" s="1"/>
  <c r="B97" i="52" s="1"/>
  <c r="B98" i="52" s="1"/>
  <c r="B99" i="52" s="1"/>
  <c r="B100" i="52" s="1"/>
  <c r="B101" i="52" s="1"/>
  <c r="B102" i="52" s="1"/>
  <c r="B103" i="52" s="1"/>
  <c r="B104" i="52" s="1"/>
  <c r="B105" i="52" s="1"/>
  <c r="B106" i="52" s="1"/>
  <c r="B107" i="52" s="1"/>
  <c r="B108" i="52" s="1"/>
  <c r="B109" i="52" s="1"/>
  <c r="K50" i="55"/>
  <c r="H40" i="7"/>
  <c r="A24" i="52"/>
  <c r="K249" i="57" l="1"/>
  <c r="L249" i="57" s="1"/>
  <c r="K110" i="74" s="1"/>
  <c r="I156" i="57"/>
  <c r="H17" i="74" s="1"/>
  <c r="C17" i="74"/>
  <c r="I204" i="57"/>
  <c r="H65" i="74" s="1"/>
  <c r="C65" i="74"/>
  <c r="J109" i="74"/>
  <c r="L248" i="57"/>
  <c r="K109" i="74" s="1"/>
  <c r="G204" i="57"/>
  <c r="F65" i="74" s="1"/>
  <c r="C204" i="57"/>
  <c r="B65" i="74" s="1"/>
  <c r="G156" i="57"/>
  <c r="F17" i="74" s="1"/>
  <c r="C156" i="57"/>
  <c r="B17" i="74" s="1"/>
  <c r="D205" i="57"/>
  <c r="D157" i="57"/>
  <c r="T37" i="15"/>
  <c r="U37" i="15" s="1"/>
  <c r="J41" i="7"/>
  <c r="L50" i="55"/>
  <c r="I40" i="7"/>
  <c r="A25" i="52"/>
  <c r="J110" i="74" l="1"/>
  <c r="I157" i="57"/>
  <c r="H18" i="74" s="1"/>
  <c r="C18" i="74"/>
  <c r="I205" i="57"/>
  <c r="H66" i="74" s="1"/>
  <c r="C66" i="74"/>
  <c r="G205" i="57"/>
  <c r="F66" i="74" s="1"/>
  <c r="C205" i="57"/>
  <c r="B66" i="74" s="1"/>
  <c r="G157" i="57"/>
  <c r="F18" i="74" s="1"/>
  <c r="C157" i="57"/>
  <c r="B18" i="74" s="1"/>
  <c r="D158" i="57"/>
  <c r="D206" i="57"/>
  <c r="K41" i="7"/>
  <c r="L41" i="7" s="1"/>
  <c r="M50" i="55"/>
  <c r="J40" i="7"/>
  <c r="A26" i="52"/>
  <c r="I206" i="57" l="1"/>
  <c r="H67" i="74" s="1"/>
  <c r="C67" i="74"/>
  <c r="I158" i="57"/>
  <c r="H19" i="74" s="1"/>
  <c r="C19" i="74"/>
  <c r="C158" i="57"/>
  <c r="B19" i="74" s="1"/>
  <c r="G158" i="57"/>
  <c r="F19" i="74" s="1"/>
  <c r="G206" i="57"/>
  <c r="F67" i="74" s="1"/>
  <c r="C206" i="57"/>
  <c r="B67" i="74" s="1"/>
  <c r="D159" i="57"/>
  <c r="D207" i="57"/>
  <c r="N50" i="55"/>
  <c r="K40" i="7"/>
  <c r="A27" i="52"/>
  <c r="I207" i="57" l="1"/>
  <c r="H68" i="74" s="1"/>
  <c r="C68" i="74"/>
  <c r="I159" i="57"/>
  <c r="H20" i="74" s="1"/>
  <c r="C20" i="74"/>
  <c r="L40" i="7"/>
  <c r="C207" i="57"/>
  <c r="B68" i="74" s="1"/>
  <c r="G207" i="57"/>
  <c r="F68" i="74" s="1"/>
  <c r="C159" i="57"/>
  <c r="B20" i="74" s="1"/>
  <c r="G159" i="57"/>
  <c r="F20" i="74" s="1"/>
  <c r="D160" i="57"/>
  <c r="D208" i="57"/>
  <c r="O50" i="55"/>
  <c r="P36" i="55"/>
  <c r="A28" i="52"/>
  <c r="I208" i="57" l="1"/>
  <c r="H69" i="74" s="1"/>
  <c r="C69" i="74"/>
  <c r="I160" i="57"/>
  <c r="H21" i="74" s="1"/>
  <c r="C21" i="74"/>
  <c r="C208" i="57"/>
  <c r="B69" i="74" s="1"/>
  <c r="G208" i="57"/>
  <c r="F69" i="74" s="1"/>
  <c r="C160" i="57"/>
  <c r="B21" i="74" s="1"/>
  <c r="G160" i="57"/>
  <c r="F21" i="74" s="1"/>
  <c r="D161" i="57"/>
  <c r="D209" i="57"/>
  <c r="P50" i="55"/>
  <c r="A29" i="52"/>
  <c r="I161" i="57" l="1"/>
  <c r="H22" i="74" s="1"/>
  <c r="C22" i="74"/>
  <c r="I209" i="57"/>
  <c r="H70" i="74" s="1"/>
  <c r="C70" i="74"/>
  <c r="C209" i="57"/>
  <c r="B70" i="74" s="1"/>
  <c r="G209" i="57"/>
  <c r="F70" i="74" s="1"/>
  <c r="C161" i="57"/>
  <c r="B22" i="74" s="1"/>
  <c r="G161" i="57"/>
  <c r="F22" i="74" s="1"/>
  <c r="D210" i="57"/>
  <c r="D162" i="57"/>
  <c r="A30" i="52"/>
  <c r="I210" i="57" l="1"/>
  <c r="H71" i="74" s="1"/>
  <c r="C71" i="74"/>
  <c r="I162" i="57"/>
  <c r="H23" i="74" s="1"/>
  <c r="C23" i="74"/>
  <c r="C162" i="57"/>
  <c r="B23" i="74" s="1"/>
  <c r="G162" i="57"/>
  <c r="F23" i="74" s="1"/>
  <c r="C210" i="57"/>
  <c r="B71" i="74" s="1"/>
  <c r="G210" i="57"/>
  <c r="F71" i="74" s="1"/>
  <c r="D211" i="57"/>
  <c r="D163" i="57"/>
  <c r="A31" i="52"/>
  <c r="I211" i="57" l="1"/>
  <c r="H72" i="74" s="1"/>
  <c r="C72" i="74"/>
  <c r="I163" i="57"/>
  <c r="H24" i="74" s="1"/>
  <c r="C24" i="74"/>
  <c r="C163" i="57"/>
  <c r="B24" i="74" s="1"/>
  <c r="G163" i="57"/>
  <c r="F24" i="74" s="1"/>
  <c r="G211" i="57"/>
  <c r="F72" i="74" s="1"/>
  <c r="C211" i="57"/>
  <c r="B72" i="74" s="1"/>
  <c r="D164" i="57"/>
  <c r="D212" i="57"/>
  <c r="A32" i="52"/>
  <c r="I164" i="57" l="1"/>
  <c r="H25" i="74" s="1"/>
  <c r="C25" i="74"/>
  <c r="I212" i="57"/>
  <c r="H73" i="74" s="1"/>
  <c r="C73" i="74"/>
  <c r="G212" i="57"/>
  <c r="F73" i="74" s="1"/>
  <c r="C212" i="57"/>
  <c r="B73" i="74" s="1"/>
  <c r="G164" i="57"/>
  <c r="F25" i="74" s="1"/>
  <c r="C164" i="57"/>
  <c r="B25" i="74" s="1"/>
  <c r="D165" i="57"/>
  <c r="D213" i="57"/>
  <c r="A33" i="52"/>
  <c r="I165" i="57" l="1"/>
  <c r="H26" i="74" s="1"/>
  <c r="C26" i="74"/>
  <c r="I213" i="57"/>
  <c r="H74" i="74" s="1"/>
  <c r="C74" i="74"/>
  <c r="G213" i="57"/>
  <c r="F74" i="74" s="1"/>
  <c r="C213" i="57"/>
  <c r="B74" i="74" s="1"/>
  <c r="G165" i="57"/>
  <c r="F26" i="74" s="1"/>
  <c r="C165" i="57"/>
  <c r="B26" i="74" s="1"/>
  <c r="D166" i="57"/>
  <c r="D214" i="57"/>
  <c r="A34" i="52"/>
  <c r="I166" i="57" l="1"/>
  <c r="H27" i="74" s="1"/>
  <c r="C27" i="74"/>
  <c r="I214" i="57"/>
  <c r="H75" i="74" s="1"/>
  <c r="C75" i="74"/>
  <c r="C166" i="57"/>
  <c r="B27" i="74" s="1"/>
  <c r="G166" i="57"/>
  <c r="F27" i="74" s="1"/>
  <c r="G214" i="57"/>
  <c r="F75" i="74" s="1"/>
  <c r="C214" i="57"/>
  <c r="B75" i="74" s="1"/>
  <c r="D167" i="57"/>
  <c r="D215" i="57"/>
  <c r="A35" i="52"/>
  <c r="I167" i="57" l="1"/>
  <c r="H28" i="74" s="1"/>
  <c r="C28" i="74"/>
  <c r="I215" i="57"/>
  <c r="H76" i="74" s="1"/>
  <c r="C76" i="74"/>
  <c r="G215" i="57"/>
  <c r="F76" i="74" s="1"/>
  <c r="C215" i="57"/>
  <c r="B76" i="74" s="1"/>
  <c r="G167" i="57"/>
  <c r="F28" i="74" s="1"/>
  <c r="C167" i="57"/>
  <c r="B28" i="74" s="1"/>
  <c r="D168" i="57"/>
  <c r="D216" i="57"/>
  <c r="A36" i="52"/>
  <c r="I168" i="57" l="1"/>
  <c r="H29" i="74" s="1"/>
  <c r="C29" i="74"/>
  <c r="I216" i="57"/>
  <c r="H77" i="74" s="1"/>
  <c r="C77" i="74"/>
  <c r="C216" i="57"/>
  <c r="B77" i="74" s="1"/>
  <c r="G216" i="57"/>
  <c r="F77" i="74" s="1"/>
  <c r="C168" i="57"/>
  <c r="B29" i="74" s="1"/>
  <c r="G168" i="57"/>
  <c r="F29" i="74" s="1"/>
  <c r="D217" i="57"/>
  <c r="D169" i="57"/>
  <c r="A37" i="52"/>
  <c r="I169" i="57" l="1"/>
  <c r="H30" i="74" s="1"/>
  <c r="C30" i="74"/>
  <c r="I217" i="57"/>
  <c r="H78" i="74" s="1"/>
  <c r="C78" i="74"/>
  <c r="C169" i="57"/>
  <c r="B30" i="74" s="1"/>
  <c r="G169" i="57"/>
  <c r="F30" i="74" s="1"/>
  <c r="C217" i="57"/>
  <c r="B78" i="74" s="1"/>
  <c r="G217" i="57"/>
  <c r="F78" i="74" s="1"/>
  <c r="D218" i="57"/>
  <c r="D170" i="57"/>
  <c r="A38" i="52"/>
  <c r="I218" i="57" l="1"/>
  <c r="H79" i="74" s="1"/>
  <c r="C79" i="74"/>
  <c r="I170" i="57"/>
  <c r="H31" i="74" s="1"/>
  <c r="C31" i="74"/>
  <c r="C170" i="57"/>
  <c r="B31" i="74" s="1"/>
  <c r="G170" i="57"/>
  <c r="F31" i="74" s="1"/>
  <c r="C218" i="57"/>
  <c r="B79" i="74" s="1"/>
  <c r="G218" i="57"/>
  <c r="F79" i="74" s="1"/>
  <c r="D171" i="57"/>
  <c r="D219" i="57"/>
  <c r="A39" i="52"/>
  <c r="I219" i="57" l="1"/>
  <c r="H80" i="74" s="1"/>
  <c r="C80" i="74"/>
  <c r="I171" i="57"/>
  <c r="H32" i="74" s="1"/>
  <c r="C32" i="74"/>
  <c r="C171" i="57"/>
  <c r="B32" i="74" s="1"/>
  <c r="G171" i="57"/>
  <c r="F32" i="74" s="1"/>
  <c r="C219" i="57"/>
  <c r="B80" i="74" s="1"/>
  <c r="G219" i="57"/>
  <c r="F80" i="74" s="1"/>
  <c r="D220" i="57"/>
  <c r="D172" i="57"/>
  <c r="A40" i="52"/>
  <c r="I220" i="57" l="1"/>
  <c r="H81" i="74" s="1"/>
  <c r="C81" i="74"/>
  <c r="I172" i="57"/>
  <c r="H33" i="74" s="1"/>
  <c r="C33" i="74"/>
  <c r="G172" i="57"/>
  <c r="F33" i="74" s="1"/>
  <c r="C172" i="57"/>
  <c r="B33" i="74" s="1"/>
  <c r="G220" i="57"/>
  <c r="F81" i="74" s="1"/>
  <c r="C220" i="57"/>
  <c r="B81" i="74" s="1"/>
  <c r="D221" i="57"/>
  <c r="D173" i="57"/>
  <c r="A41" i="52"/>
  <c r="I221" i="57" l="1"/>
  <c r="H82" i="74" s="1"/>
  <c r="C82" i="74"/>
  <c r="I173" i="57"/>
  <c r="H34" i="74" s="1"/>
  <c r="C34" i="74"/>
  <c r="G173" i="57"/>
  <c r="F34" i="74" s="1"/>
  <c r="C173" i="57"/>
  <c r="B34" i="74" s="1"/>
  <c r="G221" i="57"/>
  <c r="F82" i="74" s="1"/>
  <c r="C221" i="57"/>
  <c r="B82" i="74" s="1"/>
  <c r="D174" i="57"/>
  <c r="D222" i="57"/>
  <c r="A42" i="52"/>
  <c r="I174" i="57" l="1"/>
  <c r="H35" i="74" s="1"/>
  <c r="C35" i="74"/>
  <c r="I222" i="57"/>
  <c r="H83" i="74" s="1"/>
  <c r="C83" i="74"/>
  <c r="G222" i="57"/>
  <c r="F83" i="74" s="1"/>
  <c r="C222" i="57"/>
  <c r="B83" i="74" s="1"/>
  <c r="G174" i="57"/>
  <c r="F35" i="74" s="1"/>
  <c r="C174" i="57"/>
  <c r="B35" i="74" s="1"/>
  <c r="D175" i="57"/>
  <c r="D223" i="57"/>
  <c r="A43" i="52"/>
  <c r="I175" i="57" l="1"/>
  <c r="H36" i="74" s="1"/>
  <c r="C36" i="74"/>
  <c r="I223" i="57"/>
  <c r="H84" i="74" s="1"/>
  <c r="C84" i="74"/>
  <c r="G223" i="57"/>
  <c r="F84" i="74" s="1"/>
  <c r="C223" i="57"/>
  <c r="B84" i="74" s="1"/>
  <c r="C175" i="57"/>
  <c r="B36" i="74" s="1"/>
  <c r="G175" i="57"/>
  <c r="F36" i="74" s="1"/>
  <c r="D224" i="57"/>
  <c r="D176" i="57"/>
  <c r="A44" i="52"/>
  <c r="I224" i="57" l="1"/>
  <c r="H85" i="74" s="1"/>
  <c r="C85" i="74"/>
  <c r="I176" i="57"/>
  <c r="H37" i="74" s="1"/>
  <c r="C37" i="74"/>
  <c r="C176" i="57"/>
  <c r="B37" i="74" s="1"/>
  <c r="G176" i="57"/>
  <c r="F37" i="74" s="1"/>
  <c r="C224" i="57"/>
  <c r="B85" i="74" s="1"/>
  <c r="G224" i="57"/>
  <c r="F85" i="74" s="1"/>
  <c r="D177" i="57"/>
  <c r="D225" i="57"/>
  <c r="A45" i="52"/>
  <c r="I177" i="57" l="1"/>
  <c r="H38" i="74" s="1"/>
  <c r="C38" i="74"/>
  <c r="I225" i="57"/>
  <c r="H86" i="74" s="1"/>
  <c r="C86" i="74"/>
  <c r="C225" i="57"/>
  <c r="B86" i="74" s="1"/>
  <c r="G225" i="57"/>
  <c r="F86" i="74" s="1"/>
  <c r="C177" i="57"/>
  <c r="B38" i="74" s="1"/>
  <c r="G177" i="57"/>
  <c r="F38" i="74" s="1"/>
  <c r="D178" i="57"/>
  <c r="D226" i="57"/>
  <c r="A46" i="52"/>
  <c r="I178" i="57" l="1"/>
  <c r="H39" i="74" s="1"/>
  <c r="C39" i="74"/>
  <c r="I226" i="57"/>
  <c r="H87" i="74" s="1"/>
  <c r="C87" i="74"/>
  <c r="C226" i="57"/>
  <c r="B87" i="74" s="1"/>
  <c r="G226" i="57"/>
  <c r="F87" i="74" s="1"/>
  <c r="C178" i="57"/>
  <c r="B39" i="74" s="1"/>
  <c r="G178" i="57"/>
  <c r="F39" i="74" s="1"/>
  <c r="D227" i="57"/>
  <c r="D179" i="57"/>
  <c r="A47" i="52"/>
  <c r="I227" i="57" l="1"/>
  <c r="H88" i="74" s="1"/>
  <c r="C88" i="74"/>
  <c r="I179" i="57"/>
  <c r="H40" i="74" s="1"/>
  <c r="C40" i="74"/>
  <c r="G179" i="57"/>
  <c r="F40" i="74" s="1"/>
  <c r="C179" i="57"/>
  <c r="B40" i="74" s="1"/>
  <c r="G227" i="57"/>
  <c r="F88" i="74" s="1"/>
  <c r="C227" i="57"/>
  <c r="B88" i="74" s="1"/>
  <c r="D228" i="57"/>
  <c r="D180" i="57"/>
  <c r="A48" i="52"/>
  <c r="I228" i="57" l="1"/>
  <c r="H89" i="74" s="1"/>
  <c r="C89" i="74"/>
  <c r="I180" i="57"/>
  <c r="H41" i="74" s="1"/>
  <c r="C41" i="74"/>
  <c r="G228" i="57"/>
  <c r="F89" i="74" s="1"/>
  <c r="C228" i="57"/>
  <c r="B89" i="74" s="1"/>
  <c r="G180" i="57"/>
  <c r="F41" i="74" s="1"/>
  <c r="C180" i="57"/>
  <c r="B41" i="74" s="1"/>
  <c r="D229" i="57"/>
  <c r="D181" i="57"/>
  <c r="A49" i="52"/>
  <c r="I229" i="57" l="1"/>
  <c r="H90" i="74" s="1"/>
  <c r="C90" i="74"/>
  <c r="I181" i="57"/>
  <c r="H42" i="74" s="1"/>
  <c r="C42" i="74"/>
  <c r="G229" i="57"/>
  <c r="F90" i="74" s="1"/>
  <c r="C229" i="57"/>
  <c r="B90" i="74" s="1"/>
  <c r="G181" i="57"/>
  <c r="F42" i="74" s="1"/>
  <c r="C181" i="57"/>
  <c r="B42" i="74" s="1"/>
  <c r="D230" i="57"/>
  <c r="D182" i="57"/>
  <c r="A50" i="52"/>
  <c r="I230" i="57" l="1"/>
  <c r="H91" i="74" s="1"/>
  <c r="C91" i="74"/>
  <c r="I182" i="57"/>
  <c r="H43" i="74" s="1"/>
  <c r="C43" i="74"/>
  <c r="C230" i="57"/>
  <c r="B91" i="74" s="1"/>
  <c r="G230" i="57"/>
  <c r="F91" i="74" s="1"/>
  <c r="G182" i="57"/>
  <c r="F43" i="74" s="1"/>
  <c r="C182" i="57"/>
  <c r="B43" i="74" s="1"/>
  <c r="D231" i="57"/>
  <c r="D183" i="57"/>
  <c r="A51" i="52"/>
  <c r="I231" i="57" l="1"/>
  <c r="H92" i="74" s="1"/>
  <c r="C92" i="74"/>
  <c r="I183" i="57"/>
  <c r="H44" i="74" s="1"/>
  <c r="C44" i="74"/>
  <c r="G231" i="57"/>
  <c r="F92" i="74" s="1"/>
  <c r="C231" i="57"/>
  <c r="B92" i="74" s="1"/>
  <c r="C183" i="57"/>
  <c r="B44" i="74" s="1"/>
  <c r="G183" i="57"/>
  <c r="F44" i="74" s="1"/>
  <c r="D184" i="57"/>
  <c r="D232" i="57"/>
  <c r="A52" i="52"/>
  <c r="I184" i="57" l="1"/>
  <c r="H45" i="74" s="1"/>
  <c r="C45" i="74"/>
  <c r="I232" i="57"/>
  <c r="H93" i="74" s="1"/>
  <c r="C93" i="74"/>
  <c r="C232" i="57"/>
  <c r="B93" i="74" s="1"/>
  <c r="G232" i="57"/>
  <c r="F93" i="74" s="1"/>
  <c r="G184" i="57"/>
  <c r="F45" i="74" s="1"/>
  <c r="C184" i="57"/>
  <c r="B45" i="74" s="1"/>
  <c r="D233" i="57"/>
  <c r="D185" i="57"/>
  <c r="A53" i="52"/>
  <c r="I185" i="57" l="1"/>
  <c r="H46" i="74" s="1"/>
  <c r="C46" i="74"/>
  <c r="I233" i="57"/>
  <c r="H94" i="74" s="1"/>
  <c r="C94" i="74"/>
  <c r="C185" i="57"/>
  <c r="B46" i="74" s="1"/>
  <c r="G185" i="57"/>
  <c r="F46" i="74" s="1"/>
  <c r="C233" i="57"/>
  <c r="B94" i="74" s="1"/>
  <c r="G233" i="57"/>
  <c r="F94" i="74" s="1"/>
  <c r="D234" i="57"/>
  <c r="D186" i="57"/>
  <c r="A54" i="52"/>
  <c r="I186" i="57" l="1"/>
  <c r="H47" i="74" s="1"/>
  <c r="C47" i="74"/>
  <c r="I234" i="57"/>
  <c r="H95" i="74" s="1"/>
  <c r="C95" i="74"/>
  <c r="C186" i="57"/>
  <c r="B47" i="74" s="1"/>
  <c r="G186" i="57"/>
  <c r="F47" i="74" s="1"/>
  <c r="C234" i="57"/>
  <c r="B95" i="74" s="1"/>
  <c r="G234" i="57"/>
  <c r="F95" i="74" s="1"/>
  <c r="D187" i="57"/>
  <c r="D235" i="57"/>
  <c r="A55" i="52"/>
  <c r="I187" i="57" l="1"/>
  <c r="H48" i="74" s="1"/>
  <c r="C48" i="74"/>
  <c r="I235" i="57"/>
  <c r="H96" i="74" s="1"/>
  <c r="C96" i="74"/>
  <c r="C187" i="57"/>
  <c r="B48" i="74" s="1"/>
  <c r="G187" i="57"/>
  <c r="F48" i="74" s="1"/>
  <c r="G235" i="57"/>
  <c r="F96" i="74" s="1"/>
  <c r="C235" i="57"/>
  <c r="B96" i="74" s="1"/>
  <c r="D236" i="57"/>
  <c r="D188" i="57"/>
  <c r="H56" i="52"/>
  <c r="I56" i="52"/>
  <c r="G56" i="52"/>
  <c r="A56" i="52"/>
  <c r="E56" i="52"/>
  <c r="F56" i="52"/>
  <c r="I236" i="57" l="1"/>
  <c r="H97" i="74" s="1"/>
  <c r="C97" i="74"/>
  <c r="I188" i="57"/>
  <c r="H49" i="74" s="1"/>
  <c r="C49" i="74"/>
  <c r="G188" i="57"/>
  <c r="F49" i="74" s="1"/>
  <c r="C188" i="57"/>
  <c r="B49" i="74" s="1"/>
  <c r="G236" i="57"/>
  <c r="F97" i="74" s="1"/>
  <c r="C236" i="57"/>
  <c r="B97" i="74" s="1"/>
  <c r="D237" i="57"/>
  <c r="D189" i="57"/>
  <c r="I57" i="52"/>
  <c r="E57" i="52"/>
  <c r="H57" i="52"/>
  <c r="F57" i="52"/>
  <c r="A57" i="52"/>
  <c r="G57" i="52"/>
  <c r="I237" i="57" l="1"/>
  <c r="H98" i="74" s="1"/>
  <c r="C98" i="74"/>
  <c r="I189" i="57"/>
  <c r="H50" i="74" s="1"/>
  <c r="C50" i="74"/>
  <c r="G189" i="57"/>
  <c r="F50" i="74" s="1"/>
  <c r="C189" i="57"/>
  <c r="B50" i="74" s="1"/>
  <c r="G237" i="57"/>
  <c r="F98" i="74" s="1"/>
  <c r="C237" i="57"/>
  <c r="B98" i="74" s="1"/>
  <c r="F58" i="52"/>
  <c r="A58" i="52"/>
  <c r="I58" i="52"/>
  <c r="E58" i="52"/>
  <c r="G58" i="52"/>
  <c r="H58" i="52"/>
  <c r="G59" i="52" l="1"/>
  <c r="A59" i="52"/>
  <c r="F59" i="52"/>
  <c r="H59" i="52"/>
  <c r="I59" i="52"/>
  <c r="E59" i="52"/>
  <c r="H60" i="52" l="1"/>
  <c r="E60" i="52"/>
  <c r="G60" i="52"/>
  <c r="A60" i="52"/>
  <c r="I60" i="52"/>
  <c r="F60" i="52"/>
  <c r="I61" i="52" l="1"/>
  <c r="E61" i="52"/>
  <c r="F61" i="52"/>
  <c r="H61" i="52"/>
  <c r="A61" i="52"/>
  <c r="G61" i="52"/>
  <c r="F62" i="52" l="1"/>
  <c r="G62" i="52"/>
  <c r="I62" i="52"/>
  <c r="E62" i="52"/>
  <c r="A62" i="52"/>
  <c r="H62" i="52"/>
  <c r="G63" i="52" l="1"/>
  <c r="A63" i="52"/>
  <c r="H63" i="52"/>
  <c r="F63" i="52"/>
  <c r="E63" i="52"/>
  <c r="I63" i="52"/>
  <c r="H64" i="52" l="1"/>
  <c r="I64" i="52"/>
  <c r="G64" i="52"/>
  <c r="A64" i="52"/>
  <c r="E64" i="52"/>
  <c r="F64" i="52"/>
  <c r="I65" i="52" l="1"/>
  <c r="E65" i="52"/>
  <c r="H65" i="52"/>
  <c r="F65" i="52"/>
  <c r="A65" i="52"/>
  <c r="G65" i="52"/>
  <c r="F66" i="52" l="1"/>
  <c r="A66" i="52"/>
  <c r="I66" i="52"/>
  <c r="E66" i="52"/>
  <c r="G66" i="52"/>
  <c r="H66" i="52"/>
  <c r="G67" i="52" l="1"/>
  <c r="A67" i="52"/>
  <c r="F67" i="52"/>
  <c r="H67" i="52"/>
  <c r="E67" i="52"/>
  <c r="I67" i="52"/>
  <c r="H68" i="52" l="1"/>
  <c r="E68" i="52"/>
  <c r="G68" i="52"/>
  <c r="A68" i="52"/>
  <c r="I68" i="52"/>
  <c r="F68" i="52"/>
  <c r="I69" i="52" l="1"/>
  <c r="E69" i="52"/>
  <c r="F69" i="52"/>
  <c r="H69" i="52"/>
  <c r="G69" i="52"/>
  <c r="A69" i="52"/>
  <c r="F70" i="52" l="1"/>
  <c r="G70" i="52"/>
  <c r="I70" i="52"/>
  <c r="E70" i="52"/>
  <c r="A70" i="52"/>
  <c r="H70" i="52"/>
  <c r="G71" i="52" l="1"/>
  <c r="A71" i="52"/>
  <c r="H71" i="52"/>
  <c r="F71" i="52"/>
  <c r="I71" i="52"/>
  <c r="E71" i="52"/>
  <c r="H72" i="52" l="1"/>
  <c r="I72" i="52"/>
  <c r="G72" i="52"/>
  <c r="A72" i="52"/>
  <c r="E72" i="52"/>
  <c r="F72" i="52"/>
  <c r="I73" i="52" l="1"/>
  <c r="E73" i="52"/>
  <c r="H73" i="52"/>
  <c r="F73" i="52"/>
  <c r="G73" i="52"/>
  <c r="A73" i="52"/>
  <c r="F74" i="52" l="1"/>
  <c r="G74" i="52"/>
  <c r="I74" i="52"/>
  <c r="E74" i="52"/>
  <c r="A74" i="52"/>
  <c r="H74" i="52"/>
  <c r="G75" i="52" l="1"/>
  <c r="A75" i="52"/>
  <c r="H75" i="52"/>
  <c r="F75" i="52"/>
  <c r="E75" i="52"/>
  <c r="I75" i="52"/>
  <c r="H76" i="52" l="1"/>
  <c r="I76" i="52"/>
  <c r="G76" i="52"/>
  <c r="A76" i="52"/>
  <c r="E76" i="52"/>
  <c r="F76" i="52"/>
  <c r="I77" i="52" l="1"/>
  <c r="E77" i="52"/>
  <c r="H77" i="52"/>
  <c r="F77" i="52"/>
  <c r="A77" i="52"/>
  <c r="G77" i="52"/>
  <c r="F78" i="52" l="1"/>
  <c r="A78" i="52"/>
  <c r="I78" i="52"/>
  <c r="E78" i="52"/>
  <c r="G78" i="52"/>
  <c r="H78" i="52"/>
  <c r="G79" i="52" l="1"/>
  <c r="A79" i="52"/>
  <c r="F79" i="52"/>
  <c r="H79" i="52"/>
  <c r="E79" i="52"/>
  <c r="I79" i="52"/>
  <c r="H80" i="52" l="1"/>
  <c r="E80" i="52"/>
  <c r="G80" i="52"/>
  <c r="A80" i="52"/>
  <c r="I80" i="52"/>
  <c r="F80" i="52"/>
  <c r="I81" i="52" l="1"/>
  <c r="E81" i="52"/>
  <c r="F81" i="52"/>
  <c r="H81" i="52"/>
  <c r="A81" i="52"/>
  <c r="G81" i="52"/>
  <c r="F82" i="52" l="1"/>
  <c r="G82" i="52"/>
  <c r="I82" i="52"/>
  <c r="E82" i="52"/>
  <c r="A82" i="52"/>
  <c r="H82" i="52"/>
  <c r="G83" i="52" l="1"/>
  <c r="A83" i="52"/>
  <c r="H83" i="52"/>
  <c r="F83" i="52"/>
  <c r="E83" i="52"/>
  <c r="I83" i="52"/>
  <c r="H84" i="52" l="1"/>
  <c r="I84" i="52"/>
  <c r="G84" i="52"/>
  <c r="A84" i="52"/>
  <c r="E84" i="52"/>
  <c r="F84" i="52"/>
  <c r="I85" i="52" l="1"/>
  <c r="E85" i="52"/>
  <c r="H85" i="52"/>
  <c r="F85" i="52"/>
  <c r="G85" i="52"/>
  <c r="A85" i="52"/>
  <c r="F86" i="52" l="1"/>
  <c r="G86" i="52"/>
  <c r="I86" i="52"/>
  <c r="E86" i="52"/>
  <c r="A86" i="52"/>
  <c r="H86" i="52"/>
  <c r="G87" i="52" l="1"/>
  <c r="A87" i="52"/>
  <c r="H87" i="52"/>
  <c r="F87" i="52"/>
  <c r="I87" i="52"/>
  <c r="E87" i="52"/>
  <c r="H88" i="52" l="1"/>
  <c r="I88" i="52"/>
  <c r="G88" i="52"/>
  <c r="A88" i="52"/>
  <c r="E88" i="52"/>
  <c r="F88" i="52"/>
  <c r="I89" i="52" l="1"/>
  <c r="E89" i="52"/>
  <c r="H89" i="52"/>
  <c r="F89" i="52"/>
  <c r="A89" i="52"/>
  <c r="G89" i="52"/>
  <c r="F90" i="52" l="1"/>
  <c r="A90" i="52"/>
  <c r="I90" i="52"/>
  <c r="E90" i="52"/>
  <c r="G90" i="52"/>
  <c r="H90" i="52"/>
  <c r="G91" i="52" l="1"/>
  <c r="A91" i="52"/>
  <c r="F91" i="52"/>
  <c r="H91" i="52"/>
  <c r="I91" i="52"/>
  <c r="E91" i="52"/>
  <c r="H92" i="52" l="1"/>
  <c r="E92" i="52"/>
  <c r="G92" i="52"/>
  <c r="A92" i="52"/>
  <c r="I92" i="52"/>
  <c r="F92" i="52"/>
  <c r="I93" i="52" l="1"/>
  <c r="E93" i="52"/>
  <c r="F93" i="52"/>
  <c r="H93" i="52"/>
  <c r="A93" i="52"/>
  <c r="G93" i="52"/>
  <c r="F94" i="52" l="1"/>
  <c r="G94" i="52"/>
  <c r="I94" i="52"/>
  <c r="E94" i="52"/>
  <c r="A94" i="52"/>
  <c r="H94" i="52"/>
  <c r="G95" i="52" l="1"/>
  <c r="A95" i="52"/>
  <c r="H95" i="52"/>
  <c r="F95" i="52"/>
  <c r="E95" i="52"/>
  <c r="I95" i="52"/>
  <c r="H96" i="52" l="1"/>
  <c r="I96" i="52"/>
  <c r="G96" i="52"/>
  <c r="A96" i="52"/>
  <c r="E96" i="52"/>
  <c r="F96" i="52"/>
  <c r="I97" i="52" l="1"/>
  <c r="E97" i="52"/>
  <c r="H97" i="52"/>
  <c r="F97" i="52"/>
  <c r="A97" i="52"/>
  <c r="G97" i="52"/>
  <c r="F98" i="52" l="1"/>
  <c r="A98" i="52"/>
  <c r="I98" i="52"/>
  <c r="E98" i="52"/>
  <c r="G98" i="52"/>
  <c r="H98" i="52"/>
  <c r="G99" i="52" l="1"/>
  <c r="A99" i="52"/>
  <c r="F99" i="52"/>
  <c r="H99" i="52"/>
  <c r="E99" i="52"/>
  <c r="I99" i="52"/>
  <c r="H100" i="52" l="1"/>
  <c r="I100" i="52"/>
  <c r="G100" i="52"/>
  <c r="A100" i="52"/>
  <c r="E100" i="52"/>
  <c r="F100" i="52"/>
  <c r="I101" i="52" l="1"/>
  <c r="E101" i="52"/>
  <c r="H101" i="52"/>
  <c r="F101" i="52"/>
  <c r="G101" i="52"/>
  <c r="A101" i="52"/>
  <c r="F102" i="52" l="1"/>
  <c r="A102" i="52"/>
  <c r="I102" i="52"/>
  <c r="E102" i="52"/>
  <c r="G102" i="52"/>
  <c r="H102" i="52"/>
  <c r="G103" i="52" l="1"/>
  <c r="A103" i="52"/>
  <c r="F103" i="52"/>
  <c r="H103" i="52"/>
  <c r="I103" i="52"/>
  <c r="E103" i="52"/>
  <c r="H104" i="52" l="1"/>
  <c r="E104" i="52"/>
  <c r="G104" i="52"/>
  <c r="A104" i="52"/>
  <c r="I104" i="52"/>
  <c r="F104" i="52"/>
  <c r="I105" i="52" l="1"/>
  <c r="E105" i="52"/>
  <c r="F105" i="52"/>
  <c r="H105" i="52"/>
  <c r="A105" i="52"/>
  <c r="G105" i="52"/>
  <c r="F106" i="52" l="1"/>
  <c r="G106" i="52"/>
  <c r="I106" i="52"/>
  <c r="E106" i="52"/>
  <c r="A106" i="52"/>
  <c r="H106" i="52"/>
  <c r="G107" i="52" l="1"/>
  <c r="A107" i="52"/>
  <c r="H107" i="52"/>
  <c r="F107" i="52"/>
  <c r="I107" i="52"/>
  <c r="E107" i="52"/>
  <c r="H108" i="52" l="1"/>
  <c r="G108" i="52"/>
  <c r="A108" i="52"/>
  <c r="I108" i="52"/>
  <c r="E108" i="52"/>
  <c r="F108" i="52"/>
  <c r="I109" i="52" l="1"/>
  <c r="E109" i="52"/>
  <c r="F109" i="52"/>
  <c r="H109" i="52"/>
  <c r="A109" i="52"/>
  <c r="G109" i="52"/>
  <c r="E19" i="32" l="1"/>
  <c r="O21" i="23"/>
  <c r="N21" i="23"/>
  <c r="M21" i="23"/>
  <c r="L21" i="23"/>
  <c r="K21" i="23"/>
  <c r="J21" i="23"/>
  <c r="I21" i="23"/>
  <c r="H21" i="23"/>
  <c r="G21" i="23"/>
  <c r="F21" i="23"/>
  <c r="K74" i="22"/>
  <c r="H73" i="22"/>
  <c r="H74" i="22" s="1"/>
  <c r="G73" i="22"/>
  <c r="G74" i="22" s="1"/>
  <c r="F73" i="22"/>
  <c r="F74" i="22" s="1"/>
  <c r="C10" i="32"/>
  <c r="L73" i="22"/>
  <c r="L74" i="22" s="1"/>
  <c r="F19" i="32" l="1"/>
  <c r="E34" i="32"/>
  <c r="E14" i="18" s="1"/>
  <c r="E55" i="23"/>
  <c r="F2" i="52"/>
  <c r="F8" i="52"/>
  <c r="K8" i="52" l="1"/>
  <c r="F20" i="52" s="1"/>
  <c r="F21" i="52" s="1"/>
  <c r="F22" i="52" s="1"/>
  <c r="F23" i="52" s="1"/>
  <c r="F24" i="52" s="1"/>
  <c r="F25" i="52" s="1"/>
  <c r="F26" i="52" s="1"/>
  <c r="F27" i="52" s="1"/>
  <c r="F28" i="52" s="1"/>
  <c r="F29" i="52" s="1"/>
  <c r="F30" i="52" s="1"/>
  <c r="F31" i="52" s="1"/>
  <c r="F32" i="52" s="1"/>
  <c r="F33" i="52" s="1"/>
  <c r="F34" i="52" s="1"/>
  <c r="F35" i="52" s="1"/>
  <c r="F36" i="52" s="1"/>
  <c r="F37" i="52" s="1"/>
  <c r="F38" i="52" s="1"/>
  <c r="F39" i="52" s="1"/>
  <c r="F40" i="52" s="1"/>
  <c r="F41" i="52" s="1"/>
  <c r="F42" i="52" s="1"/>
  <c r="F43" i="52" s="1"/>
  <c r="F44" i="52" s="1"/>
  <c r="F45" i="52" s="1"/>
  <c r="F46" i="52" s="1"/>
  <c r="F47" i="52" s="1"/>
  <c r="F48" i="52" s="1"/>
  <c r="F49" i="52" s="1"/>
  <c r="F50" i="52" s="1"/>
  <c r="F51" i="52" s="1"/>
  <c r="F52" i="52" s="1"/>
  <c r="F53" i="52" s="1"/>
  <c r="F54" i="52" s="1"/>
  <c r="F55" i="52" s="1"/>
  <c r="E14" i="52"/>
  <c r="G19" i="32"/>
  <c r="F34" i="32"/>
  <c r="F14" i="18" s="1"/>
  <c r="P58" i="22"/>
  <c r="H19" i="32" l="1"/>
  <c r="G34" i="32"/>
  <c r="G14" i="18" s="1"/>
  <c r="O73" i="22"/>
  <c r="O74" i="22" s="1"/>
  <c r="N73" i="22"/>
  <c r="N74" i="22" s="1"/>
  <c r="M73" i="22"/>
  <c r="M74" i="22" s="1"/>
  <c r="D73" i="22"/>
  <c r="D74" i="22" s="1"/>
  <c r="B33" i="32"/>
  <c r="B32" i="32"/>
  <c r="B31" i="32"/>
  <c r="B30" i="32"/>
  <c r="B29" i="32"/>
  <c r="B23" i="32"/>
  <c r="B22" i="32"/>
  <c r="C14" i="32"/>
  <c r="D14" i="32"/>
  <c r="C15" i="32"/>
  <c r="E15" i="32"/>
  <c r="C16" i="32"/>
  <c r="D16" i="32"/>
  <c r="E16" i="32" s="1"/>
  <c r="C17" i="32"/>
  <c r="D17" i="32"/>
  <c r="O18" i="15"/>
  <c r="N18" i="15"/>
  <c r="M18" i="15"/>
  <c r="L18" i="15"/>
  <c r="K18" i="15"/>
  <c r="J18" i="15"/>
  <c r="I18" i="15"/>
  <c r="H18" i="15"/>
  <c r="G18" i="15"/>
  <c r="F18" i="15"/>
  <c r="E18" i="15"/>
  <c r="D18" i="15"/>
  <c r="D31" i="15" l="1"/>
  <c r="D2" i="15"/>
  <c r="L31" i="15"/>
  <c r="L2" i="15"/>
  <c r="F31" i="15"/>
  <c r="F2" i="15"/>
  <c r="N31" i="15"/>
  <c r="N2" i="15"/>
  <c r="E31" i="15"/>
  <c r="E2" i="15"/>
  <c r="G31" i="15"/>
  <c r="G2" i="15"/>
  <c r="O31" i="15"/>
  <c r="O2" i="15"/>
  <c r="H31" i="15"/>
  <c r="H2" i="15"/>
  <c r="I31" i="15"/>
  <c r="I2" i="15"/>
  <c r="M31" i="15"/>
  <c r="M2" i="15"/>
  <c r="J31" i="15"/>
  <c r="J2" i="15"/>
  <c r="K31" i="15"/>
  <c r="K2" i="15"/>
  <c r="E17" i="32"/>
  <c r="C27" i="32"/>
  <c r="C8" i="18" s="1"/>
  <c r="C15" i="18" s="1"/>
  <c r="F15" i="32"/>
  <c r="D25" i="32"/>
  <c r="D6" i="18" s="1"/>
  <c r="F16" i="32"/>
  <c r="D26" i="32"/>
  <c r="D7" i="18" s="1"/>
  <c r="I19" i="32"/>
  <c r="H34" i="32"/>
  <c r="H14" i="18" s="1"/>
  <c r="E14" i="32"/>
  <c r="D15" i="22"/>
  <c r="K15" i="22"/>
  <c r="O15" i="22"/>
  <c r="G15" i="22"/>
  <c r="E74" i="22"/>
  <c r="F15" i="22"/>
  <c r="J15" i="22"/>
  <c r="N15" i="22"/>
  <c r="E15" i="22"/>
  <c r="M15" i="22"/>
  <c r="H15" i="22"/>
  <c r="L15" i="22"/>
  <c r="G16" i="32" l="1"/>
  <c r="E26" i="32"/>
  <c r="E7" i="18" s="1"/>
  <c r="F17" i="32"/>
  <c r="D27" i="32"/>
  <c r="D8" i="18" s="1"/>
  <c r="F14" i="32"/>
  <c r="D24" i="32"/>
  <c r="D5" i="18" s="1"/>
  <c r="G15" i="32"/>
  <c r="E25" i="32"/>
  <c r="E6" i="18" s="1"/>
  <c r="J19" i="32"/>
  <c r="I34" i="32"/>
  <c r="I14" i="18" s="1"/>
  <c r="D15" i="18" l="1"/>
  <c r="H15" i="32"/>
  <c r="F25" i="32"/>
  <c r="F6" i="18" s="1"/>
  <c r="H16" i="32"/>
  <c r="F26" i="32"/>
  <c r="F7" i="18" s="1"/>
  <c r="G14" i="32"/>
  <c r="E24" i="32"/>
  <c r="E5" i="18" s="1"/>
  <c r="G17" i="32"/>
  <c r="E27" i="32"/>
  <c r="E8" i="18" s="1"/>
  <c r="K19" i="32"/>
  <c r="J34" i="32"/>
  <c r="J14" i="18" s="1"/>
  <c r="E15" i="18" l="1"/>
  <c r="H17" i="32"/>
  <c r="F27" i="32"/>
  <c r="F8" i="18" s="1"/>
  <c r="I16" i="32"/>
  <c r="G26" i="32"/>
  <c r="G7" i="18" s="1"/>
  <c r="H14" i="32"/>
  <c r="F24" i="32"/>
  <c r="F5" i="18" s="1"/>
  <c r="I15" i="32"/>
  <c r="G25" i="32"/>
  <c r="G6" i="18" s="1"/>
  <c r="L19" i="32"/>
  <c r="K34" i="32"/>
  <c r="K14" i="18" s="1"/>
  <c r="F15" i="18" l="1"/>
  <c r="I17" i="32"/>
  <c r="G27" i="32"/>
  <c r="G8" i="18" s="1"/>
  <c r="I14" i="32"/>
  <c r="G24" i="32"/>
  <c r="G5" i="18" s="1"/>
  <c r="J15" i="32"/>
  <c r="H25" i="32"/>
  <c r="H6" i="18" s="1"/>
  <c r="J16" i="32"/>
  <c r="H26" i="32"/>
  <c r="H7" i="18" s="1"/>
  <c r="M19" i="32"/>
  <c r="L34" i="32"/>
  <c r="L14" i="18" s="1"/>
  <c r="G15" i="18" l="1"/>
  <c r="K16" i="32"/>
  <c r="I26" i="32"/>
  <c r="I7" i="18" s="1"/>
  <c r="J17" i="32"/>
  <c r="H27" i="32"/>
  <c r="H8" i="18" s="1"/>
  <c r="K15" i="32"/>
  <c r="I25" i="32"/>
  <c r="I6" i="18" s="1"/>
  <c r="J14" i="32"/>
  <c r="H24" i="32"/>
  <c r="H5" i="18" s="1"/>
  <c r="N19" i="32"/>
  <c r="M34" i="32"/>
  <c r="M14" i="18" s="1"/>
  <c r="H15" i="18" l="1"/>
  <c r="K17" i="32"/>
  <c r="I27" i="32"/>
  <c r="I8" i="18" s="1"/>
  <c r="L16" i="32"/>
  <c r="J26" i="32"/>
  <c r="J7" i="18" s="1"/>
  <c r="L15" i="32"/>
  <c r="J25" i="32"/>
  <c r="J6" i="18" s="1"/>
  <c r="K14" i="32"/>
  <c r="I24" i="32"/>
  <c r="I5" i="18" s="1"/>
  <c r="N34" i="32"/>
  <c r="N14" i="18" s="1"/>
  <c r="O14" i="18" s="1"/>
  <c r="O19" i="32"/>
  <c r="I15" i="18" l="1"/>
  <c r="M15" i="32"/>
  <c r="K25" i="32"/>
  <c r="K6" i="18" s="1"/>
  <c r="L14" i="32"/>
  <c r="J24" i="32"/>
  <c r="J5" i="18" s="1"/>
  <c r="M16" i="32"/>
  <c r="K26" i="32"/>
  <c r="K7" i="18" s="1"/>
  <c r="L17" i="32"/>
  <c r="J27" i="32"/>
  <c r="J8" i="18" s="1"/>
  <c r="O34" i="32"/>
  <c r="J15" i="18" l="1"/>
  <c r="M17" i="32"/>
  <c r="K27" i="32"/>
  <c r="K8" i="18" s="1"/>
  <c r="M14" i="32"/>
  <c r="K24" i="32"/>
  <c r="K5" i="18" s="1"/>
  <c r="N16" i="32"/>
  <c r="L26" i="32"/>
  <c r="L7" i="18" s="1"/>
  <c r="N15" i="32"/>
  <c r="M25" i="32" s="1"/>
  <c r="L25" i="32"/>
  <c r="L6" i="18" s="1"/>
  <c r="N25" i="32" l="1"/>
  <c r="N6" i="18" s="1"/>
  <c r="M6" i="18"/>
  <c r="K15" i="18"/>
  <c r="N17" i="32"/>
  <c r="L27" i="32"/>
  <c r="L8" i="18" s="1"/>
  <c r="N14" i="32"/>
  <c r="M24" i="32" s="1"/>
  <c r="M5" i="18" s="1"/>
  <c r="L24" i="32"/>
  <c r="L5" i="18" s="1"/>
  <c r="L15" i="18" s="1"/>
  <c r="M26" i="32"/>
  <c r="O16" i="32"/>
  <c r="O25" i="32" l="1"/>
  <c r="N26" i="32"/>
  <c r="M7" i="18"/>
  <c r="N24" i="32"/>
  <c r="N5" i="18" s="1"/>
  <c r="M27" i="32"/>
  <c r="O17" i="32"/>
  <c r="O26" i="32" l="1"/>
  <c r="N7" i="18"/>
  <c r="N27" i="32"/>
  <c r="M8" i="18"/>
  <c r="M15" i="18" s="1"/>
  <c r="O24" i="32"/>
  <c r="G14" i="52"/>
  <c r="F14" i="52" l="1"/>
  <c r="I14" i="52" s="1"/>
  <c r="E15" i="52" s="1"/>
  <c r="O27" i="32"/>
  <c r="N8" i="18"/>
  <c r="N15" i="18" s="1"/>
  <c r="G15" i="52" l="1"/>
  <c r="I15" i="52"/>
  <c r="E16" i="52" s="1"/>
  <c r="F15" i="52" l="1"/>
  <c r="I16" i="52"/>
  <c r="E17" i="52" s="1"/>
  <c r="G16" i="52"/>
  <c r="F16" i="52" s="1"/>
  <c r="I17" i="52" l="1"/>
  <c r="E18" i="52" s="1"/>
  <c r="G17" i="52"/>
  <c r="F17" i="52" s="1"/>
  <c r="I18" i="52" l="1"/>
  <c r="E19" i="52" s="1"/>
  <c r="G18" i="52"/>
  <c r="F18" i="52" s="1"/>
  <c r="W43" i="7"/>
  <c r="W39" i="7"/>
  <c r="B8" i="18"/>
  <c r="B27" i="32" s="1"/>
  <c r="B7" i="18"/>
  <c r="B26" i="32" s="1"/>
  <c r="B6" i="18"/>
  <c r="B25" i="32" s="1"/>
  <c r="B13" i="32"/>
  <c r="B17" i="32"/>
  <c r="B16" i="32"/>
  <c r="B15" i="32"/>
  <c r="H12" i="32"/>
  <c r="P10" i="16"/>
  <c r="P9" i="16"/>
  <c r="P8" i="16"/>
  <c r="P7" i="16"/>
  <c r="P6" i="16"/>
  <c r="P4" i="16"/>
  <c r="P77" i="15"/>
  <c r="C136" i="22"/>
  <c r="Q85" i="22"/>
  <c r="C69" i="22"/>
  <c r="C83" i="22"/>
  <c r="U44" i="7" l="1"/>
  <c r="G19" i="52"/>
  <c r="I19" i="52"/>
  <c r="E20" i="52" s="1"/>
  <c r="O6" i="32"/>
  <c r="B161" i="11"/>
  <c r="AA19" i="34"/>
  <c r="Y1" i="34"/>
  <c r="X1" i="34"/>
  <c r="W1" i="34"/>
  <c r="V1" i="34"/>
  <c r="U1" i="34"/>
  <c r="T1" i="34"/>
  <c r="S1" i="34"/>
  <c r="R1" i="34"/>
  <c r="Q1" i="34"/>
  <c r="P1" i="34"/>
  <c r="O1" i="34"/>
  <c r="N1" i="34"/>
  <c r="M1" i="34"/>
  <c r="L1" i="34"/>
  <c r="K1" i="34"/>
  <c r="J1" i="34"/>
  <c r="I1" i="34"/>
  <c r="H1" i="34"/>
  <c r="G1" i="34"/>
  <c r="F1" i="34"/>
  <c r="E1" i="34"/>
  <c r="D1" i="34"/>
  <c r="O20" i="11"/>
  <c r="N20" i="11"/>
  <c r="M20" i="11"/>
  <c r="L20" i="11"/>
  <c r="K20" i="11"/>
  <c r="J20" i="11"/>
  <c r="I20" i="11"/>
  <c r="H20" i="11"/>
  <c r="G20" i="11"/>
  <c r="F20" i="11"/>
  <c r="E20" i="11"/>
  <c r="D20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O22" i="11"/>
  <c r="N22" i="11"/>
  <c r="M22" i="11"/>
  <c r="L22" i="11"/>
  <c r="K22" i="11"/>
  <c r="J22" i="11"/>
  <c r="I22" i="11"/>
  <c r="G22" i="11"/>
  <c r="F22" i="11"/>
  <c r="E22" i="11"/>
  <c r="D22" i="11"/>
  <c r="D24" i="11" l="1"/>
  <c r="G20" i="52"/>
  <c r="H20" i="52" s="1"/>
  <c r="F19" i="52"/>
  <c r="I73" i="22"/>
  <c r="I74" i="22" s="1"/>
  <c r="D160" i="11" l="1"/>
  <c r="D25" i="11"/>
  <c r="I20" i="52"/>
  <c r="D161" i="11" l="1"/>
  <c r="I15" i="22"/>
  <c r="O236" i="22" s="1"/>
  <c r="O8" i="18"/>
  <c r="P15" i="22" l="1"/>
  <c r="O14" i="32" l="1"/>
  <c r="B42" i="7"/>
  <c r="B38" i="7"/>
  <c r="B21" i="7"/>
  <c r="B28" i="7" s="1"/>
  <c r="B10" i="15" s="1"/>
  <c r="O6" i="18" l="1"/>
  <c r="O7" i="18"/>
  <c r="O5" i="18"/>
  <c r="O15" i="32"/>
  <c r="P26" i="7"/>
  <c r="P27" i="7"/>
  <c r="E43" i="7" l="1"/>
  <c r="F43" i="7"/>
  <c r="O43" i="7"/>
  <c r="N43" i="7"/>
  <c r="D43" i="7" l="1"/>
  <c r="N38" i="57"/>
  <c r="M38" i="57"/>
  <c r="E38" i="57"/>
  <c r="D38" i="57"/>
  <c r="C38" i="57"/>
  <c r="E37" i="57"/>
  <c r="D37" i="57"/>
  <c r="L38" i="57" l="1"/>
  <c r="H38" i="57"/>
  <c r="H37" i="57"/>
  <c r="F37" i="57"/>
  <c r="C37" i="57" l="1"/>
  <c r="J38" i="57"/>
  <c r="F38" i="57"/>
  <c r="K38" i="57"/>
  <c r="I38" i="57"/>
  <c r="I43" i="7"/>
  <c r="G38" i="57"/>
  <c r="I42" i="23"/>
  <c r="F39" i="23"/>
  <c r="O38" i="57" l="1"/>
  <c r="M43" i="7"/>
  <c r="P28" i="7"/>
  <c r="O64" i="23"/>
  <c r="N64" i="23"/>
  <c r="M64" i="23"/>
  <c r="L64" i="23"/>
  <c r="K64" i="23"/>
  <c r="J64" i="23"/>
  <c r="I64" i="23"/>
  <c r="G64" i="23"/>
  <c r="F64" i="23"/>
  <c r="E64" i="23"/>
  <c r="D64" i="23"/>
  <c r="C13" i="31"/>
  <c r="K13" i="31"/>
  <c r="H11" i="31"/>
  <c r="H7" i="31"/>
  <c r="G13" i="31"/>
  <c r="E11" i="31"/>
  <c r="F11" i="31" s="1"/>
  <c r="E7" i="31"/>
  <c r="F7" i="31" s="1"/>
  <c r="D12" i="31"/>
  <c r="D11" i="31"/>
  <c r="D10" i="31"/>
  <c r="H10" i="31" s="1"/>
  <c r="D9" i="31"/>
  <c r="D8" i="31"/>
  <c r="D7" i="31"/>
  <c r="D6" i="31"/>
  <c r="H6" i="31" s="1"/>
  <c r="D5" i="31"/>
  <c r="D4" i="31"/>
  <c r="P63" i="23"/>
  <c r="O42" i="23"/>
  <c r="N42" i="23"/>
  <c r="M42" i="23"/>
  <c r="L42" i="23"/>
  <c r="K42" i="23"/>
  <c r="J42" i="23"/>
  <c r="H42" i="23"/>
  <c r="G42" i="23"/>
  <c r="F42" i="23"/>
  <c r="E42" i="23"/>
  <c r="O39" i="23"/>
  <c r="N39" i="23"/>
  <c r="M39" i="23"/>
  <c r="L39" i="23"/>
  <c r="K39" i="23"/>
  <c r="J39" i="23"/>
  <c r="I39" i="23"/>
  <c r="H39" i="23"/>
  <c r="G39" i="23"/>
  <c r="E39" i="23"/>
  <c r="D42" i="23"/>
  <c r="P30" i="7" l="1"/>
  <c r="O40" i="33"/>
  <c r="R34" i="7"/>
  <c r="H4" i="31"/>
  <c r="J7" i="31"/>
  <c r="I7" i="31" s="1"/>
  <c r="L7" i="31" s="1"/>
  <c r="J11" i="31"/>
  <c r="I11" i="31" s="1"/>
  <c r="L11" i="31" s="1"/>
  <c r="E4" i="31"/>
  <c r="J4" i="31" s="1"/>
  <c r="E8" i="31"/>
  <c r="J8" i="31" s="1"/>
  <c r="I8" i="31" s="1"/>
  <c r="L8" i="31" s="1"/>
  <c r="E12" i="31"/>
  <c r="J12" i="31" s="1"/>
  <c r="I12" i="31" s="1"/>
  <c r="L12" i="31" s="1"/>
  <c r="H8" i="31"/>
  <c r="H12" i="31"/>
  <c r="L43" i="7"/>
  <c r="E5" i="31"/>
  <c r="J5" i="31" s="1"/>
  <c r="I5" i="31" s="1"/>
  <c r="L5" i="31" s="1"/>
  <c r="E9" i="31"/>
  <c r="J9" i="31" s="1"/>
  <c r="I9" i="31" s="1"/>
  <c r="L9" i="31" s="1"/>
  <c r="H5" i="31"/>
  <c r="H9" i="31"/>
  <c r="J43" i="7"/>
  <c r="H43" i="7"/>
  <c r="E6" i="31"/>
  <c r="E10" i="31"/>
  <c r="K43" i="7"/>
  <c r="K44" i="7" s="1"/>
  <c r="G43" i="7" l="1"/>
  <c r="P43" i="7" s="1"/>
  <c r="F5" i="31"/>
  <c r="F12" i="31"/>
  <c r="J10" i="31"/>
  <c r="I10" i="31" s="1"/>
  <c r="L10" i="31" s="1"/>
  <c r="F10" i="31"/>
  <c r="F8" i="31"/>
  <c r="J6" i="31"/>
  <c r="I6" i="31" s="1"/>
  <c r="L6" i="31" s="1"/>
  <c r="F6" i="31"/>
  <c r="I4" i="31"/>
  <c r="F9" i="31"/>
  <c r="F4" i="31"/>
  <c r="F110" i="52"/>
  <c r="H23" i="22"/>
  <c r="G23" i="22"/>
  <c r="N8" i="19"/>
  <c r="M8" i="19"/>
  <c r="L8" i="19"/>
  <c r="K8" i="19"/>
  <c r="J8" i="19"/>
  <c r="I8" i="19"/>
  <c r="H8" i="19"/>
  <c r="G8" i="19"/>
  <c r="F8" i="19"/>
  <c r="E8" i="19"/>
  <c r="D8" i="19"/>
  <c r="N7" i="19"/>
  <c r="M7" i="19"/>
  <c r="L7" i="19"/>
  <c r="K7" i="19"/>
  <c r="J7" i="19"/>
  <c r="I7" i="19"/>
  <c r="H7" i="19"/>
  <c r="G7" i="19"/>
  <c r="F7" i="19"/>
  <c r="E7" i="19"/>
  <c r="D7" i="19"/>
  <c r="B8" i="19"/>
  <c r="B7" i="19"/>
  <c r="C8" i="19"/>
  <c r="C7" i="19"/>
  <c r="N33" i="10"/>
  <c r="O120" i="22" s="1"/>
  <c r="M33" i="10"/>
  <c r="N120" i="22" s="1"/>
  <c r="L33" i="10"/>
  <c r="M120" i="22" s="1"/>
  <c r="K33" i="10"/>
  <c r="L120" i="22" s="1"/>
  <c r="J33" i="10"/>
  <c r="K120" i="22" s="1"/>
  <c r="I33" i="10"/>
  <c r="J120" i="22" s="1"/>
  <c r="H33" i="10"/>
  <c r="I120" i="22" s="1"/>
  <c r="G33" i="10"/>
  <c r="H120" i="22" s="1"/>
  <c r="F33" i="10"/>
  <c r="G120" i="22" s="1"/>
  <c r="E33" i="10"/>
  <c r="F120" i="22" s="1"/>
  <c r="D33" i="10"/>
  <c r="E120" i="22" s="1"/>
  <c r="D120" i="22"/>
  <c r="N47" i="22"/>
  <c r="M47" i="22"/>
  <c r="L47" i="22"/>
  <c r="K47" i="22"/>
  <c r="J47" i="22"/>
  <c r="I47" i="22"/>
  <c r="H47" i="22"/>
  <c r="G47" i="22"/>
  <c r="F47" i="22"/>
  <c r="E47" i="22"/>
  <c r="N43" i="22"/>
  <c r="M43" i="22"/>
  <c r="L43" i="22"/>
  <c r="K43" i="22"/>
  <c r="J43" i="22"/>
  <c r="I43" i="22"/>
  <c r="H43" i="22"/>
  <c r="G43" i="22"/>
  <c r="F43" i="22"/>
  <c r="E43" i="22"/>
  <c r="N30" i="22"/>
  <c r="M30" i="22"/>
  <c r="L30" i="22"/>
  <c r="K30" i="22"/>
  <c r="J30" i="22"/>
  <c r="I30" i="22"/>
  <c r="G30" i="22"/>
  <c r="F30" i="22"/>
  <c r="N28" i="22"/>
  <c r="M28" i="22"/>
  <c r="L28" i="22"/>
  <c r="K28" i="22"/>
  <c r="J28" i="22"/>
  <c r="I28" i="22"/>
  <c r="H28" i="22"/>
  <c r="G28" i="22"/>
  <c r="F28" i="22"/>
  <c r="I23" i="22"/>
  <c r="L4" i="31" l="1"/>
  <c r="L13" i="31" s="1"/>
  <c r="I13" i="31"/>
  <c r="J13" i="31"/>
  <c r="E21" i="52"/>
  <c r="E81" i="8"/>
  <c r="C83" i="8"/>
  <c r="E83" i="8" l="1"/>
  <c r="C85" i="8"/>
  <c r="G21" i="52"/>
  <c r="F17" i="26"/>
  <c r="F22" i="26"/>
  <c r="F21" i="26"/>
  <c r="F20" i="26"/>
  <c r="F19" i="26"/>
  <c r="I7" i="26"/>
  <c r="I5" i="26"/>
  <c r="E26" i="26"/>
  <c r="E27" i="26" s="1"/>
  <c r="I14" i="26"/>
  <c r="E22" i="26"/>
  <c r="E21" i="26"/>
  <c r="E20" i="26"/>
  <c r="E19" i="26"/>
  <c r="E17" i="26"/>
  <c r="E85" i="8" l="1"/>
  <c r="E86" i="8" s="1"/>
  <c r="H21" i="52"/>
  <c r="O4" i="32"/>
  <c r="F23" i="26"/>
  <c r="G20" i="26"/>
  <c r="E23" i="26"/>
  <c r="E3" i="8"/>
  <c r="B108" i="8"/>
  <c r="I21" i="52" l="1"/>
  <c r="E22" i="52" s="1"/>
  <c r="G22" i="52" l="1"/>
  <c r="H22" i="52" l="1"/>
  <c r="P133" i="22"/>
  <c r="B126" i="22"/>
  <c r="I22" i="52" l="1"/>
  <c r="E23" i="52" s="1"/>
  <c r="P131" i="22"/>
  <c r="P132" i="22"/>
  <c r="P130" i="22"/>
  <c r="D126" i="22" l="1"/>
  <c r="G23" i="52"/>
  <c r="O18" i="22"/>
  <c r="N18" i="22"/>
  <c r="M18" i="22"/>
  <c r="L18" i="22"/>
  <c r="K18" i="22"/>
  <c r="F18" i="22"/>
  <c r="E18" i="22"/>
  <c r="J18" i="22"/>
  <c r="I18" i="22"/>
  <c r="H18" i="22"/>
  <c r="G18" i="22"/>
  <c r="P77" i="23"/>
  <c r="P76" i="23"/>
  <c r="P75" i="23"/>
  <c r="J75" i="23"/>
  <c r="P74" i="23"/>
  <c r="D71" i="23"/>
  <c r="P66" i="23"/>
  <c r="P65" i="23"/>
  <c r="O57" i="23"/>
  <c r="O59" i="23" s="1"/>
  <c r="N57" i="23"/>
  <c r="N59" i="23" s="1"/>
  <c r="M57" i="23"/>
  <c r="M59" i="23" s="1"/>
  <c r="L57" i="23"/>
  <c r="L59" i="23" s="1"/>
  <c r="K57" i="23"/>
  <c r="K59" i="23" s="1"/>
  <c r="J57" i="23"/>
  <c r="J59" i="23" s="1"/>
  <c r="I57" i="23"/>
  <c r="I59" i="23" s="1"/>
  <c r="H57" i="23"/>
  <c r="H59" i="23" s="1"/>
  <c r="G57" i="23"/>
  <c r="G59" i="23" s="1"/>
  <c r="F57" i="23"/>
  <c r="F59" i="23" s="1"/>
  <c r="E57" i="23"/>
  <c r="D57" i="23"/>
  <c r="P56" i="23"/>
  <c r="P55" i="23"/>
  <c r="P52" i="23"/>
  <c r="P51" i="23"/>
  <c r="O48" i="23"/>
  <c r="N48" i="23"/>
  <c r="M48" i="23"/>
  <c r="L48" i="23"/>
  <c r="K48" i="23"/>
  <c r="J48" i="23"/>
  <c r="I48" i="23"/>
  <c r="H48" i="23"/>
  <c r="G48" i="23"/>
  <c r="F48" i="23"/>
  <c r="E48" i="23"/>
  <c r="D48" i="23"/>
  <c r="P47" i="23"/>
  <c r="P46" i="23"/>
  <c r="O43" i="23"/>
  <c r="N43" i="23"/>
  <c r="N44" i="23" s="1"/>
  <c r="M43" i="23"/>
  <c r="L43" i="23"/>
  <c r="L44" i="23" s="1"/>
  <c r="K43" i="23"/>
  <c r="J43" i="23"/>
  <c r="J44" i="23" s="1"/>
  <c r="H43" i="23"/>
  <c r="H44" i="23" s="1"/>
  <c r="G43" i="23"/>
  <c r="F43" i="23"/>
  <c r="F44" i="23" s="1"/>
  <c r="E43" i="23"/>
  <c r="E44" i="23" s="1"/>
  <c r="D43" i="23"/>
  <c r="D44" i="23" s="1"/>
  <c r="I44" i="23"/>
  <c r="P40" i="23"/>
  <c r="O41" i="23"/>
  <c r="N41" i="23"/>
  <c r="M41" i="23"/>
  <c r="L41" i="23"/>
  <c r="K41" i="23"/>
  <c r="J41" i="23"/>
  <c r="I41" i="23"/>
  <c r="H41" i="23"/>
  <c r="F41" i="23"/>
  <c r="E41" i="23"/>
  <c r="D39" i="23"/>
  <c r="D41" i="23" s="1"/>
  <c r="O35" i="23"/>
  <c r="N35" i="23"/>
  <c r="M35" i="23"/>
  <c r="L35" i="23"/>
  <c r="K35" i="23"/>
  <c r="J35" i="23"/>
  <c r="I35" i="23"/>
  <c r="H35" i="23"/>
  <c r="G35" i="23"/>
  <c r="F35" i="23"/>
  <c r="E35" i="23"/>
  <c r="D35" i="23"/>
  <c r="P34" i="23"/>
  <c r="P33" i="23"/>
  <c r="P32" i="23"/>
  <c r="P29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L25" i="23"/>
  <c r="K25" i="23"/>
  <c r="I25" i="23"/>
  <c r="H25" i="23"/>
  <c r="F25" i="23"/>
  <c r="E25" i="23"/>
  <c r="D25" i="23"/>
  <c r="P13" i="23"/>
  <c r="P12" i="23"/>
  <c r="P11" i="23"/>
  <c r="P10" i="23"/>
  <c r="C3" i="23"/>
  <c r="C2" i="23" s="1"/>
  <c r="P212" i="22"/>
  <c r="P211" i="22"/>
  <c r="B209" i="22"/>
  <c r="P204" i="22"/>
  <c r="P203" i="22"/>
  <c r="B201" i="22"/>
  <c r="P186" i="22"/>
  <c r="P185" i="22"/>
  <c r="C181" i="22"/>
  <c r="D178" i="22" s="1"/>
  <c r="P174" i="22"/>
  <c r="P173" i="22"/>
  <c r="B152" i="22"/>
  <c r="P149" i="22"/>
  <c r="P148" i="22"/>
  <c r="P147" i="22"/>
  <c r="P142" i="22"/>
  <c r="P141" i="22"/>
  <c r="P140" i="22"/>
  <c r="B138" i="22"/>
  <c r="D125" i="22"/>
  <c r="B118" i="22"/>
  <c r="P114" i="22"/>
  <c r="P102" i="22"/>
  <c r="P101" i="22"/>
  <c r="B99" i="22"/>
  <c r="P85" i="22"/>
  <c r="B85" i="22"/>
  <c r="N23" i="22"/>
  <c r="K23" i="22"/>
  <c r="J23" i="22"/>
  <c r="F23" i="22"/>
  <c r="P73" i="22"/>
  <c r="P64" i="22"/>
  <c r="P71" i="22" s="1"/>
  <c r="P78" i="22" s="1"/>
  <c r="P87" i="22" s="1"/>
  <c r="P93" i="22" s="1"/>
  <c r="P99" i="22" s="1"/>
  <c r="P105" i="22" s="1"/>
  <c r="P111" i="22" s="1"/>
  <c r="O64" i="22"/>
  <c r="O71" i="22" s="1"/>
  <c r="O78" i="22" s="1"/>
  <c r="O87" i="22" s="1"/>
  <c r="O93" i="22" s="1"/>
  <c r="O99" i="22" s="1"/>
  <c r="O105" i="22" s="1"/>
  <c r="O111" i="22" s="1"/>
  <c r="N64" i="22"/>
  <c r="N71" i="22" s="1"/>
  <c r="N78" i="22" s="1"/>
  <c r="N87" i="22" s="1"/>
  <c r="N93" i="22" s="1"/>
  <c r="N99" i="22" s="1"/>
  <c r="N105" i="22" s="1"/>
  <c r="N111" i="22" s="1"/>
  <c r="M64" i="22"/>
  <c r="M71" i="22" s="1"/>
  <c r="M78" i="22" s="1"/>
  <c r="M87" i="22" s="1"/>
  <c r="M93" i="22" s="1"/>
  <c r="M99" i="22" s="1"/>
  <c r="M105" i="22" s="1"/>
  <c r="M111" i="22" s="1"/>
  <c r="L64" i="22"/>
  <c r="L71" i="22" s="1"/>
  <c r="L78" i="22" s="1"/>
  <c r="L87" i="22" s="1"/>
  <c r="L93" i="22" s="1"/>
  <c r="L99" i="22" s="1"/>
  <c r="L105" i="22" s="1"/>
  <c r="L111" i="22" s="1"/>
  <c r="L118" i="22" s="1"/>
  <c r="K64" i="22"/>
  <c r="K71" i="22" s="1"/>
  <c r="K78" i="22" s="1"/>
  <c r="K87" i="22" s="1"/>
  <c r="K93" i="22" s="1"/>
  <c r="K99" i="22" s="1"/>
  <c r="K105" i="22" s="1"/>
  <c r="K111" i="22" s="1"/>
  <c r="J64" i="22"/>
  <c r="J71" i="22" s="1"/>
  <c r="J78" i="22" s="1"/>
  <c r="J87" i="22" s="1"/>
  <c r="J93" i="22" s="1"/>
  <c r="J99" i="22" s="1"/>
  <c r="J105" i="22" s="1"/>
  <c r="J111" i="22" s="1"/>
  <c r="I64" i="22"/>
  <c r="I71" i="22" s="1"/>
  <c r="I78" i="22" s="1"/>
  <c r="I87" i="22" s="1"/>
  <c r="I93" i="22" s="1"/>
  <c r="I99" i="22" s="1"/>
  <c r="I105" i="22" s="1"/>
  <c r="I111" i="22" s="1"/>
  <c r="H64" i="22"/>
  <c r="H71" i="22" s="1"/>
  <c r="H78" i="22" s="1"/>
  <c r="H87" i="22" s="1"/>
  <c r="H93" i="22" s="1"/>
  <c r="H99" i="22" s="1"/>
  <c r="H105" i="22" s="1"/>
  <c r="H111" i="22" s="1"/>
  <c r="G64" i="22"/>
  <c r="G71" i="22" s="1"/>
  <c r="G78" i="22" s="1"/>
  <c r="G87" i="22" s="1"/>
  <c r="G93" i="22" s="1"/>
  <c r="G99" i="22" s="1"/>
  <c r="G105" i="22" s="1"/>
  <c r="G111" i="22" s="1"/>
  <c r="F64" i="22"/>
  <c r="F71" i="22" s="1"/>
  <c r="F78" i="22" s="1"/>
  <c r="F87" i="22" s="1"/>
  <c r="F93" i="22" s="1"/>
  <c r="F99" i="22" s="1"/>
  <c r="F105" i="22" s="1"/>
  <c r="F111" i="22" s="1"/>
  <c r="E64" i="22"/>
  <c r="E71" i="22" s="1"/>
  <c r="E78" i="22" s="1"/>
  <c r="E87" i="22" s="1"/>
  <c r="E93" i="22" s="1"/>
  <c r="E99" i="22" s="1"/>
  <c r="E105" i="22" s="1"/>
  <c r="E111" i="22" s="1"/>
  <c r="D64" i="22"/>
  <c r="C64" i="22"/>
  <c r="C71" i="22" s="1"/>
  <c r="C78" i="22" s="1"/>
  <c r="C87" i="22" s="1"/>
  <c r="C93" i="22" s="1"/>
  <c r="C99" i="22" s="1"/>
  <c r="C105" i="22" s="1"/>
  <c r="C111" i="22" s="1"/>
  <c r="D47" i="22"/>
  <c r="D202" i="22"/>
  <c r="C193" i="22"/>
  <c r="D190" i="22" s="1"/>
  <c r="D43" i="22"/>
  <c r="P42" i="22"/>
  <c r="D172" i="22"/>
  <c r="P172" i="22" s="1"/>
  <c r="D162" i="22"/>
  <c r="P162" i="22" s="1"/>
  <c r="D153" i="22"/>
  <c r="C150" i="22"/>
  <c r="D34" i="22"/>
  <c r="D273" i="22" s="1"/>
  <c r="E273" i="22" s="1"/>
  <c r="F273" i="22" s="1"/>
  <c r="G273" i="22" s="1"/>
  <c r="H273" i="22" s="1"/>
  <c r="I273" i="22" s="1"/>
  <c r="J273" i="22" s="1"/>
  <c r="K273" i="22" s="1"/>
  <c r="L273" i="22" s="1"/>
  <c r="M273" i="22" s="1"/>
  <c r="N273" i="22" s="1"/>
  <c r="O273" i="22" s="1"/>
  <c r="C143" i="22"/>
  <c r="D139" i="22" s="1"/>
  <c r="C122" i="22"/>
  <c r="D119" i="22" s="1"/>
  <c r="D121" i="22" s="1"/>
  <c r="D31" i="22" s="1"/>
  <c r="D270" i="22" s="1"/>
  <c r="E30" i="22"/>
  <c r="D30" i="22"/>
  <c r="D269" i="22" s="1"/>
  <c r="C109" i="22"/>
  <c r="D106" i="22" s="1"/>
  <c r="D108" i="22" s="1"/>
  <c r="E28" i="22"/>
  <c r="D28" i="22"/>
  <c r="D267" i="22" s="1"/>
  <c r="C97" i="22"/>
  <c r="D94" i="22" s="1"/>
  <c r="P16" i="22"/>
  <c r="P11" i="22"/>
  <c r="P9" i="22"/>
  <c r="H8" i="22"/>
  <c r="H256" i="22" s="1"/>
  <c r="I256" i="22" s="1"/>
  <c r="J256" i="22" s="1"/>
  <c r="K256" i="22" s="1"/>
  <c r="L256" i="22" s="1"/>
  <c r="M256" i="22" s="1"/>
  <c r="N256" i="22" s="1"/>
  <c r="O256" i="22" s="1"/>
  <c r="P5" i="22"/>
  <c r="P4" i="22"/>
  <c r="P3" i="22"/>
  <c r="E269" i="22" l="1"/>
  <c r="F269" i="22" s="1"/>
  <c r="G269" i="22" s="1"/>
  <c r="E267" i="22"/>
  <c r="F267" i="22" s="1"/>
  <c r="G267" i="22" s="1"/>
  <c r="H267" i="22" s="1"/>
  <c r="I267" i="22" s="1"/>
  <c r="J267" i="22" s="1"/>
  <c r="K267" i="22" s="1"/>
  <c r="L267" i="22" s="1"/>
  <c r="M267" i="22" s="1"/>
  <c r="N267" i="22" s="1"/>
  <c r="O267" i="22" s="1"/>
  <c r="D146" i="22"/>
  <c r="P146" i="22" s="1"/>
  <c r="P48" i="23"/>
  <c r="H23" i="52"/>
  <c r="P139" i="22"/>
  <c r="D71" i="22"/>
  <c r="D78" i="22" s="1"/>
  <c r="H6" i="22"/>
  <c r="H254" i="22" s="1"/>
  <c r="I254" i="22" s="1"/>
  <c r="J254" i="22" s="1"/>
  <c r="K254" i="22" s="1"/>
  <c r="L254" i="22" s="1"/>
  <c r="M254" i="22" s="1"/>
  <c r="N254" i="22" s="1"/>
  <c r="O254" i="22" s="1"/>
  <c r="D18" i="22"/>
  <c r="M44" i="23"/>
  <c r="M45" i="23" s="1"/>
  <c r="L23" i="22"/>
  <c r="M23" i="22"/>
  <c r="P40" i="22"/>
  <c r="L124" i="22"/>
  <c r="L138" i="22" s="1"/>
  <c r="L145" i="22" s="1"/>
  <c r="L152" i="22" s="1"/>
  <c r="P35" i="23"/>
  <c r="P25" i="22"/>
  <c r="P35" i="22"/>
  <c r="E45" i="23"/>
  <c r="F45" i="23"/>
  <c r="N45" i="23"/>
  <c r="D150" i="22"/>
  <c r="P34" i="22"/>
  <c r="I45" i="23"/>
  <c r="K44" i="23"/>
  <c r="K45" i="23" s="1"/>
  <c r="O44" i="23"/>
  <c r="O45" i="23" s="1"/>
  <c r="J45" i="23"/>
  <c r="P26" i="23"/>
  <c r="D45" i="23"/>
  <c r="H45" i="23"/>
  <c r="L45" i="23"/>
  <c r="P18" i="22"/>
  <c r="G118" i="22"/>
  <c r="G124" i="22"/>
  <c r="G138" i="22" s="1"/>
  <c r="G145" i="22" s="1"/>
  <c r="F118" i="22"/>
  <c r="F124" i="22"/>
  <c r="F138" i="22" s="1"/>
  <c r="F145" i="22" s="1"/>
  <c r="N124" i="22"/>
  <c r="N138" i="22" s="1"/>
  <c r="N145" i="22" s="1"/>
  <c r="N118" i="22"/>
  <c r="O118" i="22"/>
  <c r="O124" i="22"/>
  <c r="O138" i="22" s="1"/>
  <c r="O145" i="22" s="1"/>
  <c r="E124" i="22"/>
  <c r="E138" i="22" s="1"/>
  <c r="E145" i="22" s="1"/>
  <c r="E118" i="22"/>
  <c r="I124" i="22"/>
  <c r="I138" i="22" s="1"/>
  <c r="I145" i="22" s="1"/>
  <c r="I118" i="22"/>
  <c r="M124" i="22"/>
  <c r="M138" i="22" s="1"/>
  <c r="M145" i="22" s="1"/>
  <c r="M118" i="22"/>
  <c r="C124" i="22"/>
  <c r="C138" i="22" s="1"/>
  <c r="C145" i="22" s="1"/>
  <c r="C118" i="22"/>
  <c r="K118" i="22"/>
  <c r="K124" i="22"/>
  <c r="K138" i="22" s="1"/>
  <c r="K145" i="22" s="1"/>
  <c r="J118" i="22"/>
  <c r="J124" i="22"/>
  <c r="J138" i="22" s="1"/>
  <c r="J145" i="22" s="1"/>
  <c r="D28" i="23"/>
  <c r="D14" i="23"/>
  <c r="G44" i="23"/>
  <c r="P43" i="23"/>
  <c r="P106" i="22"/>
  <c r="C116" i="22"/>
  <c r="D112" i="22" s="1"/>
  <c r="C213" i="22"/>
  <c r="P48" i="22"/>
  <c r="P118" i="22"/>
  <c r="P124" i="22"/>
  <c r="P138" i="22" s="1"/>
  <c r="P145" i="22" s="1"/>
  <c r="P42" i="23"/>
  <c r="P8" i="22"/>
  <c r="P47" i="22"/>
  <c r="C76" i="22"/>
  <c r="D72" i="22" s="1"/>
  <c r="P120" i="22"/>
  <c r="D65" i="22"/>
  <c r="C91" i="22"/>
  <c r="D88" i="22" s="1"/>
  <c r="P94" i="22"/>
  <c r="C103" i="22"/>
  <c r="D100" i="22" s="1"/>
  <c r="P28" i="22"/>
  <c r="C199" i="22"/>
  <c r="D196" i="22" s="1"/>
  <c r="P74" i="22"/>
  <c r="H118" i="22"/>
  <c r="H124" i="22"/>
  <c r="H138" i="22" s="1"/>
  <c r="H145" i="22" s="1"/>
  <c r="P153" i="22"/>
  <c r="D122" i="22"/>
  <c r="P119" i="22"/>
  <c r="C187" i="22"/>
  <c r="D184" i="22" s="1"/>
  <c r="P43" i="22"/>
  <c r="P178" i="22"/>
  <c r="D79" i="22"/>
  <c r="D143" i="22"/>
  <c r="P190" i="22"/>
  <c r="D205" i="22"/>
  <c r="P202" i="22"/>
  <c r="P205" i="22" s="1"/>
  <c r="E59" i="23"/>
  <c r="P57" i="23"/>
  <c r="P39" i="23"/>
  <c r="P41" i="23" s="1"/>
  <c r="G41" i="23"/>
  <c r="P125" i="22"/>
  <c r="P48" i="7"/>
  <c r="P47" i="7"/>
  <c r="P52" i="15"/>
  <c r="N5" i="17"/>
  <c r="M5" i="17"/>
  <c r="L5" i="17"/>
  <c r="K5" i="17"/>
  <c r="J5" i="17"/>
  <c r="I5" i="17"/>
  <c r="H5" i="17"/>
  <c r="G5" i="17"/>
  <c r="F5" i="17"/>
  <c r="E5" i="17"/>
  <c r="D5" i="17"/>
  <c r="C5" i="17"/>
  <c r="O30" i="10"/>
  <c r="O31" i="10"/>
  <c r="P50" i="7" l="1"/>
  <c r="C158" i="22"/>
  <c r="C6" i="19"/>
  <c r="P150" i="22"/>
  <c r="P143" i="22"/>
  <c r="H154" i="22"/>
  <c r="O33" i="10"/>
  <c r="J154" i="22"/>
  <c r="I23" i="52"/>
  <c r="E24" i="52" s="1"/>
  <c r="G24" i="52" s="1"/>
  <c r="E202" i="22"/>
  <c r="E146" i="22"/>
  <c r="E139" i="22"/>
  <c r="D21" i="23"/>
  <c r="D87" i="22"/>
  <c r="L160" i="22"/>
  <c r="L171" i="22" s="1"/>
  <c r="P6" i="22"/>
  <c r="E119" i="22"/>
  <c r="D154" i="22"/>
  <c r="D155" i="22" s="1"/>
  <c r="K19" i="19"/>
  <c r="L154" i="22"/>
  <c r="D19" i="19"/>
  <c r="E154" i="22"/>
  <c r="H19" i="19"/>
  <c r="I154" i="22"/>
  <c r="L19" i="19"/>
  <c r="M154" i="22"/>
  <c r="E19" i="19"/>
  <c r="F154" i="22"/>
  <c r="M19" i="19"/>
  <c r="N154" i="22"/>
  <c r="F19" i="19"/>
  <c r="G154" i="22"/>
  <c r="J19" i="19"/>
  <c r="K154" i="22"/>
  <c r="N19" i="19"/>
  <c r="O154" i="22"/>
  <c r="C219" i="22"/>
  <c r="P44" i="23"/>
  <c r="P45" i="23" s="1"/>
  <c r="G45" i="23"/>
  <c r="H160" i="22"/>
  <c r="H152" i="22"/>
  <c r="D116" i="22"/>
  <c r="E112" i="22" s="1"/>
  <c r="E116" i="22" s="1"/>
  <c r="F112" i="22" s="1"/>
  <c r="F116" i="22" s="1"/>
  <c r="G112" i="22" s="1"/>
  <c r="G116" i="22" s="1"/>
  <c r="H112" i="22" s="1"/>
  <c r="P112" i="22"/>
  <c r="O160" i="22"/>
  <c r="O152" i="22"/>
  <c r="D103" i="22"/>
  <c r="P100" i="22"/>
  <c r="P103" i="22" s="1"/>
  <c r="D76" i="22"/>
  <c r="P72" i="22"/>
  <c r="P160" i="22"/>
  <c r="P152" i="22"/>
  <c r="J160" i="22"/>
  <c r="J152" i="22"/>
  <c r="I160" i="22"/>
  <c r="I152" i="22"/>
  <c r="F160" i="22"/>
  <c r="F152" i="22"/>
  <c r="G160" i="22"/>
  <c r="G152" i="22"/>
  <c r="P79" i="22"/>
  <c r="D187" i="22"/>
  <c r="P184" i="22"/>
  <c r="P187" i="22" s="1"/>
  <c r="P88" i="22"/>
  <c r="D210" i="22"/>
  <c r="C215" i="22"/>
  <c r="C216" i="22" s="1"/>
  <c r="C160" i="22"/>
  <c r="C152" i="22"/>
  <c r="N152" i="22"/>
  <c r="N160" i="22"/>
  <c r="P196" i="22"/>
  <c r="P65" i="22"/>
  <c r="K160" i="22"/>
  <c r="K152" i="22"/>
  <c r="M160" i="22"/>
  <c r="M152" i="22"/>
  <c r="E160" i="22"/>
  <c r="E152" i="22"/>
  <c r="O7" i="19"/>
  <c r="G19" i="19"/>
  <c r="O8" i="19"/>
  <c r="I19" i="19"/>
  <c r="L177" i="22" l="1"/>
  <c r="L183" i="22" s="1"/>
  <c r="L189" i="22" s="1"/>
  <c r="L195" i="22" s="1"/>
  <c r="L201" i="22" s="1"/>
  <c r="L209" i="22" s="1"/>
  <c r="L225" i="22" s="1"/>
  <c r="D61" i="23"/>
  <c r="H24" i="52"/>
  <c r="E205" i="22"/>
  <c r="E150" i="22"/>
  <c r="E100" i="22"/>
  <c r="E184" i="22"/>
  <c r="E143" i="22"/>
  <c r="D93" i="22"/>
  <c r="E121" i="22"/>
  <c r="E72" i="22"/>
  <c r="E75" i="22" s="1"/>
  <c r="P75" i="22" s="1"/>
  <c r="C229" i="22"/>
  <c r="D226" i="22" s="1"/>
  <c r="C221" i="22"/>
  <c r="C159" i="22"/>
  <c r="C217" i="22"/>
  <c r="H115" i="22"/>
  <c r="P50" i="23"/>
  <c r="D36" i="22"/>
  <c r="P154" i="22"/>
  <c r="D156" i="22"/>
  <c r="K177" i="22"/>
  <c r="K183" i="22" s="1"/>
  <c r="K189" i="22" s="1"/>
  <c r="K195" i="22" s="1"/>
  <c r="K201" i="22" s="1"/>
  <c r="K209" i="22" s="1"/>
  <c r="K225" i="22" s="1"/>
  <c r="K171" i="22"/>
  <c r="F177" i="22"/>
  <c r="F183" i="22" s="1"/>
  <c r="F189" i="22" s="1"/>
  <c r="F195" i="22" s="1"/>
  <c r="F201" i="22" s="1"/>
  <c r="F209" i="22" s="1"/>
  <c r="F225" i="22" s="1"/>
  <c r="F171" i="22"/>
  <c r="O177" i="22"/>
  <c r="O183" i="22" s="1"/>
  <c r="O189" i="22" s="1"/>
  <c r="O195" i="22" s="1"/>
  <c r="O201" i="22" s="1"/>
  <c r="O209" i="22" s="1"/>
  <c r="O225" i="22" s="1"/>
  <c r="O171" i="22"/>
  <c r="D23" i="22"/>
  <c r="D262" i="22" s="1"/>
  <c r="P20" i="23"/>
  <c r="H171" i="22"/>
  <c r="H177" i="22"/>
  <c r="H183" i="22" s="1"/>
  <c r="H189" i="22" s="1"/>
  <c r="H195" i="22" s="1"/>
  <c r="H201" i="22" s="1"/>
  <c r="H209" i="22" s="1"/>
  <c r="H225" i="22" s="1"/>
  <c r="M177" i="22"/>
  <c r="M183" i="22" s="1"/>
  <c r="M189" i="22" s="1"/>
  <c r="M195" i="22" s="1"/>
  <c r="M201" i="22" s="1"/>
  <c r="M209" i="22" s="1"/>
  <c r="M225" i="22" s="1"/>
  <c r="M171" i="22"/>
  <c r="N177" i="22"/>
  <c r="N183" i="22" s="1"/>
  <c r="N189" i="22" s="1"/>
  <c r="N195" i="22" s="1"/>
  <c r="N201" i="22" s="1"/>
  <c r="N209" i="22" s="1"/>
  <c r="N225" i="22" s="1"/>
  <c r="N171" i="22"/>
  <c r="G177" i="22"/>
  <c r="G183" i="22" s="1"/>
  <c r="G189" i="22" s="1"/>
  <c r="G195" i="22" s="1"/>
  <c r="G201" i="22" s="1"/>
  <c r="G209" i="22" s="1"/>
  <c r="G225" i="22" s="1"/>
  <c r="G171" i="22"/>
  <c r="E177" i="22"/>
  <c r="E183" i="22" s="1"/>
  <c r="E189" i="22" s="1"/>
  <c r="E195" i="22" s="1"/>
  <c r="E201" i="22" s="1"/>
  <c r="E209" i="22" s="1"/>
  <c r="E225" i="22" s="1"/>
  <c r="E171" i="22"/>
  <c r="C177" i="22"/>
  <c r="C183" i="22" s="1"/>
  <c r="C189" i="22" s="1"/>
  <c r="C195" i="22" s="1"/>
  <c r="C201" i="22" s="1"/>
  <c r="C209" i="22" s="1"/>
  <c r="C225" i="22" s="1"/>
  <c r="C171" i="22"/>
  <c r="D213" i="22"/>
  <c r="P210" i="22"/>
  <c r="P213" i="22" s="1"/>
  <c r="I177" i="22"/>
  <c r="I183" i="22" s="1"/>
  <c r="I189" i="22" s="1"/>
  <c r="I195" i="22" s="1"/>
  <c r="I201" i="22" s="1"/>
  <c r="I209" i="22" s="1"/>
  <c r="I225" i="22" s="1"/>
  <c r="I171" i="22"/>
  <c r="J177" i="22"/>
  <c r="J183" i="22" s="1"/>
  <c r="J189" i="22" s="1"/>
  <c r="J195" i="22" s="1"/>
  <c r="J201" i="22" s="1"/>
  <c r="J209" i="22" s="1"/>
  <c r="J225" i="22" s="1"/>
  <c r="J171" i="22"/>
  <c r="P171" i="22"/>
  <c r="P175" i="22" s="1"/>
  <c r="P177" i="22"/>
  <c r="P183" i="22" s="1"/>
  <c r="P189" i="22" s="1"/>
  <c r="P195" i="22" s="1"/>
  <c r="P201" i="22" s="1"/>
  <c r="P209" i="22" s="1"/>
  <c r="P225" i="22" s="1"/>
  <c r="E21" i="23" l="1"/>
  <c r="P21" i="23" s="1"/>
  <c r="E23" i="22"/>
  <c r="P23" i="22" s="1"/>
  <c r="I24" i="52"/>
  <c r="E25" i="52" s="1"/>
  <c r="F202" i="22"/>
  <c r="E210" i="22"/>
  <c r="P76" i="22"/>
  <c r="C80" i="23"/>
  <c r="E187" i="22"/>
  <c r="F139" i="22"/>
  <c r="E103" i="22"/>
  <c r="F146" i="22"/>
  <c r="H116" i="22"/>
  <c r="I112" i="22" s="1"/>
  <c r="D99" i="22"/>
  <c r="E153" i="22"/>
  <c r="E155" i="22" s="1"/>
  <c r="E31" i="22"/>
  <c r="E270" i="22" s="1"/>
  <c r="E122" i="22"/>
  <c r="E76" i="22"/>
  <c r="H64" i="23"/>
  <c r="H30" i="22"/>
  <c r="H269" i="22" s="1"/>
  <c r="I269" i="22" s="1"/>
  <c r="J269" i="22" s="1"/>
  <c r="K269" i="22" s="1"/>
  <c r="L269" i="22" s="1"/>
  <c r="M269" i="22" s="1"/>
  <c r="N269" i="22" s="1"/>
  <c r="P115" i="22"/>
  <c r="P226" i="22"/>
  <c r="C218" i="22"/>
  <c r="C230" i="22"/>
  <c r="O24" i="19"/>
  <c r="O22" i="19"/>
  <c r="O21" i="19"/>
  <c r="O19" i="19"/>
  <c r="P19" i="19" s="1"/>
  <c r="O18" i="19"/>
  <c r="O9" i="18"/>
  <c r="O4" i="17"/>
  <c r="O3" i="17"/>
  <c r="P48" i="15"/>
  <c r="P47" i="15"/>
  <c r="P46" i="15"/>
  <c r="P45" i="15"/>
  <c r="P44" i="15"/>
  <c r="P43" i="15"/>
  <c r="P42" i="15"/>
  <c r="P69" i="15"/>
  <c r="P68" i="15"/>
  <c r="P67" i="15"/>
  <c r="P66" i="15"/>
  <c r="P65" i="15"/>
  <c r="P64" i="15"/>
  <c r="P63" i="15"/>
  <c r="P62" i="15"/>
  <c r="P61" i="15"/>
  <c r="P60" i="15"/>
  <c r="P59" i="15"/>
  <c r="P58" i="15"/>
  <c r="P49" i="15"/>
  <c r="O262" i="22" l="1"/>
  <c r="G25" i="52"/>
  <c r="E61" i="23"/>
  <c r="E36" i="22"/>
  <c r="I116" i="22"/>
  <c r="J112" i="22" s="1"/>
  <c r="J116" i="22" s="1"/>
  <c r="K112" i="22" s="1"/>
  <c r="K116" i="22" s="1"/>
  <c r="L112" i="22" s="1"/>
  <c r="L116" i="22" s="1"/>
  <c r="M112" i="22" s="1"/>
  <c r="M116" i="22" s="1"/>
  <c r="N112" i="22" s="1"/>
  <c r="N116" i="22" s="1"/>
  <c r="O112" i="22" s="1"/>
  <c r="E213" i="22"/>
  <c r="F150" i="22"/>
  <c r="F143" i="22"/>
  <c r="F184" i="22"/>
  <c r="F205" i="22"/>
  <c r="F100" i="22"/>
  <c r="D105" i="22"/>
  <c r="F119" i="22"/>
  <c r="E156" i="22"/>
  <c r="F72" i="22"/>
  <c r="P64" i="23"/>
  <c r="C81" i="23"/>
  <c r="C83" i="23" s="1"/>
  <c r="C84" i="23" s="1"/>
  <c r="D72" i="23"/>
  <c r="O5" i="17"/>
  <c r="H25" i="52" l="1"/>
  <c r="C3" i="53" a="1"/>
  <c r="G202" i="22"/>
  <c r="F210" i="22"/>
  <c r="F103" i="22"/>
  <c r="G139" i="22"/>
  <c r="F187" i="22"/>
  <c r="G146" i="22"/>
  <c r="D111" i="22"/>
  <c r="F153" i="22"/>
  <c r="F155" i="22" s="1"/>
  <c r="F121" i="22"/>
  <c r="F122" i="22" s="1"/>
  <c r="F76" i="22"/>
  <c r="P31" i="15" l="1"/>
  <c r="P2" i="15"/>
  <c r="F3" i="53"/>
  <c r="G60" i="22" s="1"/>
  <c r="G62" i="23" s="1"/>
  <c r="G3" i="53"/>
  <c r="H60" i="22" s="1"/>
  <c r="H62" i="23" s="1"/>
  <c r="J3" i="53"/>
  <c r="K60" i="22" s="1"/>
  <c r="N3" i="53"/>
  <c r="O60" i="22" s="1"/>
  <c r="H3" i="53"/>
  <c r="I60" i="22" s="1"/>
  <c r="I62" i="23" s="1"/>
  <c r="M3" i="53"/>
  <c r="N60" i="22" s="1"/>
  <c r="L3" i="53"/>
  <c r="M60" i="22" s="1"/>
  <c r="D3" i="53"/>
  <c r="E60" i="22" s="1"/>
  <c r="E62" i="23" s="1"/>
  <c r="K3" i="53"/>
  <c r="L60" i="22" s="1"/>
  <c r="I3" i="53"/>
  <c r="J60" i="22" s="1"/>
  <c r="C3" i="53"/>
  <c r="D60" i="22" s="1"/>
  <c r="E3" i="53"/>
  <c r="F60" i="22" s="1"/>
  <c r="F62" i="23" s="1"/>
  <c r="I25" i="52"/>
  <c r="E26" i="52" s="1"/>
  <c r="G26" i="52" s="1"/>
  <c r="C10" i="53" a="1"/>
  <c r="F61" i="23"/>
  <c r="F36" i="22"/>
  <c r="G184" i="22"/>
  <c r="F213" i="22"/>
  <c r="G150" i="22"/>
  <c r="G143" i="22"/>
  <c r="G100" i="22"/>
  <c r="G205" i="22"/>
  <c r="D124" i="22"/>
  <c r="D118" i="22"/>
  <c r="G119" i="22"/>
  <c r="F156" i="22"/>
  <c r="F31" i="22"/>
  <c r="F270" i="22" s="1"/>
  <c r="G72" i="22"/>
  <c r="K2" i="16"/>
  <c r="K14" i="16" s="1"/>
  <c r="J2" i="21"/>
  <c r="K41" i="15"/>
  <c r="K74" i="15" s="1"/>
  <c r="K82" i="15" s="1"/>
  <c r="K43" i="14" s="1"/>
  <c r="K122" i="15" s="1"/>
  <c r="J2" i="18"/>
  <c r="J2" i="17"/>
  <c r="J2" i="16"/>
  <c r="J14" i="16" s="1"/>
  <c r="I2" i="21"/>
  <c r="I2" i="17"/>
  <c r="I2" i="18"/>
  <c r="J41" i="15"/>
  <c r="J74" i="15" s="1"/>
  <c r="J82" i="15" s="1"/>
  <c r="J43" i="14" s="1"/>
  <c r="J122" i="15" s="1"/>
  <c r="F2" i="16"/>
  <c r="F14" i="16" s="1"/>
  <c r="E2" i="21"/>
  <c r="E2" i="18"/>
  <c r="F41" i="15"/>
  <c r="F74" i="15" s="1"/>
  <c r="F82" i="15" s="1"/>
  <c r="F43" i="14" s="1"/>
  <c r="F122" i="15" s="1"/>
  <c r="E2" i="17"/>
  <c r="I2" i="16"/>
  <c r="I14" i="16" s="1"/>
  <c r="H2" i="21"/>
  <c r="H2" i="18"/>
  <c r="H2" i="17"/>
  <c r="I41" i="15"/>
  <c r="I74" i="15" s="1"/>
  <c r="I82" i="15" s="1"/>
  <c r="I43" i="14" s="1"/>
  <c r="I122" i="15" s="1"/>
  <c r="H2" i="16"/>
  <c r="H14" i="16" s="1"/>
  <c r="G2" i="21"/>
  <c r="G2" i="18"/>
  <c r="G2" i="17"/>
  <c r="H41" i="15"/>
  <c r="H74" i="15" s="1"/>
  <c r="H82" i="15" s="1"/>
  <c r="H43" i="14" s="1"/>
  <c r="H122" i="15" s="1"/>
  <c r="P2" i="16"/>
  <c r="P14" i="16" s="1"/>
  <c r="O2" i="21"/>
  <c r="O2" i="18"/>
  <c r="O2" i="17"/>
  <c r="P41" i="15"/>
  <c r="P74" i="15" s="1"/>
  <c r="P82" i="15" s="1"/>
  <c r="P43" i="14" s="1"/>
  <c r="P122" i="15" s="1"/>
  <c r="O2" i="16"/>
  <c r="O14" i="16" s="1"/>
  <c r="N2" i="21"/>
  <c r="N2" i="17"/>
  <c r="N2" i="18"/>
  <c r="O41" i="15"/>
  <c r="O74" i="15" s="1"/>
  <c r="O82" i="15" s="1"/>
  <c r="O43" i="14" s="1"/>
  <c r="O122" i="15" s="1"/>
  <c r="N2" i="16"/>
  <c r="N14" i="16" s="1"/>
  <c r="M2" i="21"/>
  <c r="N41" i="15"/>
  <c r="N74" i="15" s="1"/>
  <c r="N82" i="15" s="1"/>
  <c r="N43" i="14" s="1"/>
  <c r="N122" i="15" s="1"/>
  <c r="M2" i="18"/>
  <c r="M2" i="17"/>
  <c r="M2" i="16"/>
  <c r="M14" i="16" s="1"/>
  <c r="L2" i="21"/>
  <c r="L2" i="17"/>
  <c r="M41" i="15"/>
  <c r="M74" i="15" s="1"/>
  <c r="M82" i="15" s="1"/>
  <c r="M43" i="14" s="1"/>
  <c r="M122" i="15" s="1"/>
  <c r="L2" i="18"/>
  <c r="G2" i="16"/>
  <c r="G14" i="16" s="1"/>
  <c r="F2" i="21"/>
  <c r="F2" i="17"/>
  <c r="G41" i="15"/>
  <c r="G74" i="15" s="1"/>
  <c r="G82" i="15" s="1"/>
  <c r="G43" i="14" s="1"/>
  <c r="G122" i="15" s="1"/>
  <c r="F2" i="18"/>
  <c r="E2" i="16"/>
  <c r="E14" i="16" s="1"/>
  <c r="D2" i="21"/>
  <c r="E41" i="15"/>
  <c r="E74" i="15" s="1"/>
  <c r="E82" i="15" s="1"/>
  <c r="E43" i="14" s="1"/>
  <c r="E122" i="15" s="1"/>
  <c r="D2" i="17"/>
  <c r="D2" i="18"/>
  <c r="D2" i="16"/>
  <c r="D14" i="16" s="1"/>
  <c r="C2" i="21"/>
  <c r="D41" i="15"/>
  <c r="D74" i="15" s="1"/>
  <c r="D82" i="15" s="1"/>
  <c r="D43" i="14" s="1"/>
  <c r="D122" i="15" s="1"/>
  <c r="C2" i="17"/>
  <c r="C2" i="18"/>
  <c r="L2" i="16"/>
  <c r="L14" i="16" s="1"/>
  <c r="K2" i="21"/>
  <c r="L41" i="15"/>
  <c r="L74" i="15" s="1"/>
  <c r="L82" i="15" s="1"/>
  <c r="L43" i="14" s="1"/>
  <c r="L122" i="15" s="1"/>
  <c r="K2" i="18"/>
  <c r="K2" i="17"/>
  <c r="N62" i="23" l="1"/>
  <c r="N12" i="22"/>
  <c r="K62" i="23"/>
  <c r="K12" i="22"/>
  <c r="O62" i="23"/>
  <c r="O12" i="22"/>
  <c r="L62" i="23"/>
  <c r="L12" i="22"/>
  <c r="J62" i="23"/>
  <c r="J12" i="22"/>
  <c r="D62" i="23"/>
  <c r="P60" i="22"/>
  <c r="M62" i="23"/>
  <c r="M12" i="22"/>
  <c r="D3" i="21"/>
  <c r="E223" i="22"/>
  <c r="E49" i="23"/>
  <c r="E53" i="23" s="1"/>
  <c r="E54" i="23" s="1"/>
  <c r="M223" i="22"/>
  <c r="L3" i="21"/>
  <c r="M49" i="23"/>
  <c r="M53" i="23" s="1"/>
  <c r="M54" i="23" s="1"/>
  <c r="H26" i="52"/>
  <c r="O223" i="22"/>
  <c r="N3" i="21"/>
  <c r="O49" i="23"/>
  <c r="O53" i="23" s="1"/>
  <c r="O54" i="23" s="1"/>
  <c r="J223" i="22"/>
  <c r="I3" i="21"/>
  <c r="J49" i="23"/>
  <c r="J53" i="23" s="1"/>
  <c r="J54" i="23" s="1"/>
  <c r="G3" i="21"/>
  <c r="H223" i="22"/>
  <c r="H49" i="23"/>
  <c r="H53" i="23" s="1"/>
  <c r="H54" i="23" s="1"/>
  <c r="E10" i="53"/>
  <c r="D10" i="53"/>
  <c r="L10" i="53"/>
  <c r="G10" i="53"/>
  <c r="N10" i="53"/>
  <c r="F10" i="53"/>
  <c r="I10" i="53"/>
  <c r="C10" i="53"/>
  <c r="J10" i="53"/>
  <c r="H10" i="53"/>
  <c r="M10" i="53"/>
  <c r="K10" i="53"/>
  <c r="N223" i="22"/>
  <c r="M3" i="21"/>
  <c r="N49" i="23"/>
  <c r="N53" i="23" s="1"/>
  <c r="N54" i="23" s="1"/>
  <c r="H3" i="21"/>
  <c r="I49" i="23"/>
  <c r="I53" i="23" s="1"/>
  <c r="I54" i="23" s="1"/>
  <c r="I223" i="22"/>
  <c r="E3" i="21"/>
  <c r="F223" i="22"/>
  <c r="F49" i="23"/>
  <c r="F53" i="23" s="1"/>
  <c r="F54" i="23" s="1"/>
  <c r="C3" i="21"/>
  <c r="C25" i="19" s="1"/>
  <c r="D49" i="23"/>
  <c r="D223" i="22"/>
  <c r="O3" i="53"/>
  <c r="K223" i="22"/>
  <c r="J3" i="21"/>
  <c r="K49" i="23"/>
  <c r="K53" i="23" s="1"/>
  <c r="K54" i="23" s="1"/>
  <c r="L223" i="22"/>
  <c r="K3" i="21"/>
  <c r="L49" i="23"/>
  <c r="L53" i="23" s="1"/>
  <c r="L54" i="23" s="1"/>
  <c r="F3" i="21"/>
  <c r="G49" i="23"/>
  <c r="G53" i="23" s="1"/>
  <c r="G54" i="23" s="1"/>
  <c r="G223" i="22"/>
  <c r="G103" i="22"/>
  <c r="H146" i="22"/>
  <c r="G187" i="22"/>
  <c r="H202" i="22"/>
  <c r="H205" i="22" s="1"/>
  <c r="I202" i="22" s="1"/>
  <c r="I205" i="22" s="1"/>
  <c r="J202" i="22" s="1"/>
  <c r="J205" i="22" s="1"/>
  <c r="K202" i="22" s="1"/>
  <c r="K205" i="22" s="1"/>
  <c r="L202" i="22" s="1"/>
  <c r="L205" i="22" s="1"/>
  <c r="M202" i="22" s="1"/>
  <c r="M205" i="22" s="1"/>
  <c r="N202" i="22" s="1"/>
  <c r="N205" i="22" s="1"/>
  <c r="O202" i="22" s="1"/>
  <c r="H139" i="22"/>
  <c r="G210" i="22"/>
  <c r="D138" i="22"/>
  <c r="G153" i="22"/>
  <c r="G155" i="22" s="1"/>
  <c r="G121" i="22"/>
  <c r="G76" i="22"/>
  <c r="I26" i="52" l="1"/>
  <c r="E27" i="52" s="1"/>
  <c r="G27" i="52" s="1"/>
  <c r="K25" i="19"/>
  <c r="K26" i="19" s="1"/>
  <c r="K4" i="21"/>
  <c r="K56" i="19" s="1"/>
  <c r="N17" i="53"/>
  <c r="C26" i="19"/>
  <c r="C4" i="21"/>
  <c r="C56" i="19" s="1"/>
  <c r="O3" i="21"/>
  <c r="O4" i="21" s="1"/>
  <c r="G61" i="22"/>
  <c r="G12" i="22" s="1"/>
  <c r="F17" i="53"/>
  <c r="K17" i="53"/>
  <c r="H61" i="22"/>
  <c r="H12" i="22" s="1"/>
  <c r="G17" i="53"/>
  <c r="I25" i="19"/>
  <c r="I26" i="19" s="1"/>
  <c r="I4" i="21"/>
  <c r="I56" i="19" s="1"/>
  <c r="L25" i="19"/>
  <c r="L26" i="19" s="1"/>
  <c r="L4" i="21"/>
  <c r="L56" i="19" s="1"/>
  <c r="I17" i="53"/>
  <c r="J25" i="19"/>
  <c r="J26" i="19" s="1"/>
  <c r="J4" i="21"/>
  <c r="J56" i="19" s="1"/>
  <c r="L17" i="53"/>
  <c r="M25" i="19"/>
  <c r="M26" i="19" s="1"/>
  <c r="M4" i="21"/>
  <c r="M56" i="19" s="1"/>
  <c r="E25" i="19"/>
  <c r="E26" i="19" s="1"/>
  <c r="E4" i="21"/>
  <c r="E56" i="19" s="1"/>
  <c r="J17" i="53"/>
  <c r="E17" i="53"/>
  <c r="F67" i="23"/>
  <c r="F68" i="23" s="1"/>
  <c r="F61" i="22"/>
  <c r="F12" i="22" s="1"/>
  <c r="N25" i="19"/>
  <c r="N26" i="19" s="1"/>
  <c r="N4" i="21"/>
  <c r="N56" i="19" s="1"/>
  <c r="P49" i="23"/>
  <c r="P53" i="23" s="1"/>
  <c r="P54" i="23" s="1"/>
  <c r="D53" i="23"/>
  <c r="D54" i="23" s="1"/>
  <c r="G25" i="19"/>
  <c r="G26" i="19" s="1"/>
  <c r="G4" i="21"/>
  <c r="G56" i="19" s="1"/>
  <c r="M17" i="53"/>
  <c r="I61" i="22"/>
  <c r="I12" i="22" s="1"/>
  <c r="H17" i="53"/>
  <c r="E61" i="22"/>
  <c r="E12" i="22" s="1"/>
  <c r="D17" i="53"/>
  <c r="E67" i="23"/>
  <c r="E68" i="23" s="1"/>
  <c r="F25" i="19"/>
  <c r="F4" i="21"/>
  <c r="F56" i="19" s="1"/>
  <c r="H25" i="19"/>
  <c r="H26" i="19" s="1"/>
  <c r="H4" i="21"/>
  <c r="H56" i="19" s="1"/>
  <c r="D61" i="22"/>
  <c r="C17" i="53"/>
  <c r="O10" i="53"/>
  <c r="D25" i="19"/>
  <c r="D26" i="19" s="1"/>
  <c r="D4" i="21"/>
  <c r="D56" i="19" s="1"/>
  <c r="G61" i="23"/>
  <c r="G36" i="22"/>
  <c r="H143" i="22"/>
  <c r="H184" i="22"/>
  <c r="H187" i="22" s="1"/>
  <c r="I184" i="22" s="1"/>
  <c r="I187" i="22" s="1"/>
  <c r="J184" i="22" s="1"/>
  <c r="J187" i="22" s="1"/>
  <c r="K184" i="22" s="1"/>
  <c r="K187" i="22" s="1"/>
  <c r="L184" i="22" s="1"/>
  <c r="L187" i="22" s="1"/>
  <c r="M184" i="22" s="1"/>
  <c r="M187" i="22" s="1"/>
  <c r="N184" i="22" s="1"/>
  <c r="N187" i="22" s="1"/>
  <c r="O184" i="22" s="1"/>
  <c r="H100" i="22"/>
  <c r="H103" i="22" s="1"/>
  <c r="I100" i="22" s="1"/>
  <c r="I103" i="22" s="1"/>
  <c r="J100" i="22" s="1"/>
  <c r="J103" i="22" s="1"/>
  <c r="K100" i="22" s="1"/>
  <c r="K103" i="22" s="1"/>
  <c r="L100" i="22" s="1"/>
  <c r="L103" i="22" s="1"/>
  <c r="M100" i="22" s="1"/>
  <c r="M103" i="22" s="1"/>
  <c r="N100" i="22" s="1"/>
  <c r="N103" i="22" s="1"/>
  <c r="O100" i="22" s="1"/>
  <c r="G213" i="22"/>
  <c r="O205" i="22"/>
  <c r="H150" i="22"/>
  <c r="D145" i="22"/>
  <c r="G31" i="22"/>
  <c r="G270" i="22" s="1"/>
  <c r="G156" i="22"/>
  <c r="G122" i="22"/>
  <c r="H72" i="22"/>
  <c r="P18" i="14"/>
  <c r="P22" i="14"/>
  <c r="P14" i="14"/>
  <c r="P26" i="14"/>
  <c r="P17" i="14"/>
  <c r="P21" i="14"/>
  <c r="P10" i="14"/>
  <c r="P16" i="14"/>
  <c r="P15" i="14"/>
  <c r="P19" i="14"/>
  <c r="P23" i="14"/>
  <c r="P27" i="14"/>
  <c r="P13" i="14"/>
  <c r="P25" i="14"/>
  <c r="P12" i="14"/>
  <c r="P20" i="14"/>
  <c r="P24" i="14"/>
  <c r="O56" i="19" l="1"/>
  <c r="D62" i="22"/>
  <c r="E57" i="22" s="1"/>
  <c r="D12" i="22"/>
  <c r="P61" i="22"/>
  <c r="P62" i="22" s="1"/>
  <c r="H27" i="52"/>
  <c r="O25" i="19"/>
  <c r="F26" i="19"/>
  <c r="P62" i="23"/>
  <c r="D67" i="23"/>
  <c r="O17" i="53"/>
  <c r="G67" i="23"/>
  <c r="G68" i="23" s="1"/>
  <c r="O103" i="22"/>
  <c r="I139" i="22"/>
  <c r="I143" i="22" s="1"/>
  <c r="J139" i="22" s="1"/>
  <c r="J143" i="22" s="1"/>
  <c r="K139" i="22" s="1"/>
  <c r="K143" i="22" s="1"/>
  <c r="L139" i="22" s="1"/>
  <c r="L143" i="22" s="1"/>
  <c r="M139" i="22" s="1"/>
  <c r="M143" i="22" s="1"/>
  <c r="N139" i="22" s="1"/>
  <c r="N143" i="22" s="1"/>
  <c r="O139" i="22" s="1"/>
  <c r="I146" i="22"/>
  <c r="I150" i="22" s="1"/>
  <c r="J146" i="22" s="1"/>
  <c r="J150" i="22" s="1"/>
  <c r="K146" i="22" s="1"/>
  <c r="K150" i="22" s="1"/>
  <c r="L146" i="22" s="1"/>
  <c r="L150" i="22" s="1"/>
  <c r="M146" i="22" s="1"/>
  <c r="M150" i="22" s="1"/>
  <c r="N146" i="22" s="1"/>
  <c r="N150" i="22" s="1"/>
  <c r="O146" i="22" s="1"/>
  <c r="H210" i="22"/>
  <c r="H213" i="22" s="1"/>
  <c r="I210" i="22" s="1"/>
  <c r="I213" i="22" s="1"/>
  <c r="J210" i="22" s="1"/>
  <c r="J213" i="22" s="1"/>
  <c r="K210" i="22" s="1"/>
  <c r="K213" i="22" s="1"/>
  <c r="L210" i="22" s="1"/>
  <c r="L213" i="22" s="1"/>
  <c r="M210" i="22" s="1"/>
  <c r="M213" i="22" s="1"/>
  <c r="N210" i="22" s="1"/>
  <c r="N213" i="22" s="1"/>
  <c r="O210" i="22" s="1"/>
  <c r="O187" i="22"/>
  <c r="D160" i="22"/>
  <c r="D152" i="22"/>
  <c r="H153" i="22"/>
  <c r="H155" i="22" s="1"/>
  <c r="H119" i="22"/>
  <c r="H76" i="22"/>
  <c r="D246" i="1"/>
  <c r="E246" i="1"/>
  <c r="F246" i="1"/>
  <c r="E69" i="11"/>
  <c r="E65" i="11"/>
  <c r="E64" i="11"/>
  <c r="E63" i="11"/>
  <c r="E62" i="11"/>
  <c r="E59" i="11"/>
  <c r="E149" i="11" s="1"/>
  <c r="E58" i="11"/>
  <c r="E148" i="11" s="1"/>
  <c r="E57" i="11"/>
  <c r="E147" i="11" s="1"/>
  <c r="E56" i="11"/>
  <c r="E146" i="11" s="1"/>
  <c r="E54" i="11"/>
  <c r="E53" i="11"/>
  <c r="E52" i="11"/>
  <c r="E45" i="11"/>
  <c r="E41" i="11"/>
  <c r="E40" i="11"/>
  <c r="E39" i="11"/>
  <c r="E35" i="11"/>
  <c r="E34" i="11"/>
  <c r="E33" i="11"/>
  <c r="E32" i="11"/>
  <c r="E31" i="11"/>
  <c r="E30" i="11"/>
  <c r="G47" i="8"/>
  <c r="E44" i="11"/>
  <c r="E43" i="11"/>
  <c r="E38" i="11"/>
  <c r="E37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I247" i="1"/>
  <c r="P12" i="22" l="1"/>
  <c r="D261" i="22"/>
  <c r="E261" i="22" s="1"/>
  <c r="F261" i="22" s="1"/>
  <c r="G261" i="22" s="1"/>
  <c r="H261" i="22" s="1"/>
  <c r="I261" i="22" s="1"/>
  <c r="J261" i="22" s="1"/>
  <c r="K261" i="22" s="1"/>
  <c r="L261" i="22" s="1"/>
  <c r="M261" i="22" s="1"/>
  <c r="N261" i="22" s="1"/>
  <c r="O261" i="22" s="1"/>
  <c r="O26" i="19"/>
  <c r="P25" i="19"/>
  <c r="F63" i="11"/>
  <c r="F64" i="11"/>
  <c r="F65" i="11"/>
  <c r="E70" i="11"/>
  <c r="E157" i="11"/>
  <c r="F40" i="11"/>
  <c r="F58" i="11"/>
  <c r="F148" i="11" s="1"/>
  <c r="F52" i="11"/>
  <c r="F53" i="11"/>
  <c r="F41" i="11"/>
  <c r="F45" i="11"/>
  <c r="G45" i="11" s="1"/>
  <c r="F43" i="11"/>
  <c r="G43" i="11" s="1"/>
  <c r="F56" i="11"/>
  <c r="F146" i="11" s="1"/>
  <c r="F59" i="11"/>
  <c r="F149" i="11" s="1"/>
  <c r="F44" i="11"/>
  <c r="F57" i="11"/>
  <c r="F147" i="11" s="1"/>
  <c r="F31" i="11"/>
  <c r="F32" i="11"/>
  <c r="F37" i="11"/>
  <c r="F33" i="11"/>
  <c r="F38" i="11"/>
  <c r="F34" i="11"/>
  <c r="F35" i="11"/>
  <c r="F39" i="11"/>
  <c r="E66" i="11"/>
  <c r="F69" i="11"/>
  <c r="F62" i="11"/>
  <c r="F54" i="11"/>
  <c r="F30" i="11"/>
  <c r="E46" i="11"/>
  <c r="L28" i="11"/>
  <c r="L73" i="11" s="1"/>
  <c r="M28" i="11"/>
  <c r="M73" i="11" s="1"/>
  <c r="F28" i="11"/>
  <c r="F73" i="11" s="1"/>
  <c r="E28" i="11"/>
  <c r="E73" i="11" s="1"/>
  <c r="G28" i="11"/>
  <c r="G73" i="11" s="1"/>
  <c r="P28" i="11"/>
  <c r="P73" i="11" s="1"/>
  <c r="I28" i="11"/>
  <c r="I73" i="11" s="1"/>
  <c r="D28" i="11"/>
  <c r="D73" i="11" s="1"/>
  <c r="H28" i="11"/>
  <c r="H73" i="11" s="1"/>
  <c r="J28" i="11"/>
  <c r="J73" i="11" s="1"/>
  <c r="N28" i="11"/>
  <c r="N73" i="11" s="1"/>
  <c r="O28" i="11"/>
  <c r="O73" i="11" s="1"/>
  <c r="K28" i="11"/>
  <c r="K73" i="11" s="1"/>
  <c r="E62" i="22"/>
  <c r="F57" i="22" s="1"/>
  <c r="F62" i="22" s="1"/>
  <c r="G57" i="22" s="1"/>
  <c r="I27" i="52"/>
  <c r="E28" i="52" s="1"/>
  <c r="G28" i="52" s="1"/>
  <c r="H61" i="23"/>
  <c r="H36" i="22"/>
  <c r="O150" i="22"/>
  <c r="O213" i="22"/>
  <c r="O143" i="22"/>
  <c r="D177" i="22"/>
  <c r="D171" i="22"/>
  <c r="H121" i="22"/>
  <c r="H31" i="22" s="1"/>
  <c r="H270" i="22" s="1"/>
  <c r="H156" i="22"/>
  <c r="I72" i="22"/>
  <c r="G52" i="11" l="1"/>
  <c r="D173" i="11"/>
  <c r="D119" i="11"/>
  <c r="P173" i="11"/>
  <c r="P119" i="11"/>
  <c r="K173" i="11"/>
  <c r="K119" i="11"/>
  <c r="G173" i="11"/>
  <c r="G119" i="11"/>
  <c r="E173" i="11"/>
  <c r="E119" i="11"/>
  <c r="I173" i="11"/>
  <c r="I119" i="11"/>
  <c r="O173" i="11"/>
  <c r="O119" i="11"/>
  <c r="F173" i="11"/>
  <c r="F119" i="11"/>
  <c r="N173" i="11"/>
  <c r="N119" i="11"/>
  <c r="J173" i="11"/>
  <c r="J119" i="11"/>
  <c r="M173" i="11"/>
  <c r="M119" i="11"/>
  <c r="H173" i="11"/>
  <c r="H119" i="11"/>
  <c r="L173" i="11"/>
  <c r="L119" i="11"/>
  <c r="G65" i="11"/>
  <c r="R146" i="11"/>
  <c r="R148" i="11"/>
  <c r="R157" i="11"/>
  <c r="R147" i="11"/>
  <c r="R149" i="11"/>
  <c r="G56" i="11"/>
  <c r="G63" i="11"/>
  <c r="F66" i="11"/>
  <c r="F70" i="11"/>
  <c r="F157" i="11"/>
  <c r="G64" i="11"/>
  <c r="G58" i="11"/>
  <c r="G53" i="11"/>
  <c r="G57" i="11"/>
  <c r="G147" i="11" s="1"/>
  <c r="G44" i="11"/>
  <c r="G54" i="11"/>
  <c r="H52" i="11"/>
  <c r="H43" i="11"/>
  <c r="G59" i="11"/>
  <c r="G149" i="11" s="1"/>
  <c r="G41" i="11"/>
  <c r="H45" i="11"/>
  <c r="G40" i="11"/>
  <c r="G35" i="11"/>
  <c r="G37" i="11"/>
  <c r="G39" i="11"/>
  <c r="G34" i="11"/>
  <c r="G32" i="11"/>
  <c r="G33" i="11"/>
  <c r="G38" i="11"/>
  <c r="G31" i="11"/>
  <c r="G69" i="11"/>
  <c r="G62" i="11"/>
  <c r="G30" i="11"/>
  <c r="F46" i="11"/>
  <c r="G62" i="22"/>
  <c r="H57" i="22" s="1"/>
  <c r="H28" i="52"/>
  <c r="H67" i="23"/>
  <c r="H68" i="23" s="1"/>
  <c r="H122" i="22"/>
  <c r="I119" i="22" s="1"/>
  <c r="D183" i="22"/>
  <c r="D175" i="22"/>
  <c r="I153" i="22"/>
  <c r="I155" i="22" s="1"/>
  <c r="I76" i="22"/>
  <c r="J72" i="22" s="1"/>
  <c r="J76" i="22" s="1"/>
  <c r="K72" i="22" s="1"/>
  <c r="K76" i="22" s="1"/>
  <c r="L72" i="22" s="1"/>
  <c r="L76" i="22" s="1"/>
  <c r="M72" i="22" s="1"/>
  <c r="M76" i="22" s="1"/>
  <c r="N72" i="22" s="1"/>
  <c r="N76" i="22" s="1"/>
  <c r="O72" i="22" s="1"/>
  <c r="O76" i="22" s="1"/>
  <c r="H65" i="11" l="1"/>
  <c r="H63" i="11"/>
  <c r="H54" i="11"/>
  <c r="H58" i="11"/>
  <c r="H148" i="11" s="1"/>
  <c r="G148" i="11"/>
  <c r="H56" i="11"/>
  <c r="H146" i="11" s="1"/>
  <c r="G146" i="11"/>
  <c r="H64" i="11"/>
  <c r="G66" i="11"/>
  <c r="I63" i="11"/>
  <c r="G70" i="11"/>
  <c r="G157" i="11"/>
  <c r="I65" i="11"/>
  <c r="I45" i="11"/>
  <c r="H44" i="11"/>
  <c r="H41" i="11"/>
  <c r="H59" i="11"/>
  <c r="H149" i="11" s="1"/>
  <c r="H57" i="11"/>
  <c r="H147" i="11" s="1"/>
  <c r="I52" i="11"/>
  <c r="H40" i="11"/>
  <c r="I43" i="11"/>
  <c r="H53" i="11"/>
  <c r="H38" i="11"/>
  <c r="H37" i="11"/>
  <c r="H34" i="11"/>
  <c r="H32" i="11"/>
  <c r="H35" i="11"/>
  <c r="H39" i="11"/>
  <c r="H33" i="11"/>
  <c r="H31" i="11"/>
  <c r="H69" i="11"/>
  <c r="H62" i="11"/>
  <c r="H30" i="11"/>
  <c r="G46" i="11"/>
  <c r="H62" i="22"/>
  <c r="I57" i="22" s="1"/>
  <c r="I28" i="52"/>
  <c r="E29" i="52" s="1"/>
  <c r="G29" i="52" s="1"/>
  <c r="I61" i="23"/>
  <c r="I36" i="22"/>
  <c r="E172" i="22"/>
  <c r="D189" i="22"/>
  <c r="I156" i="22"/>
  <c r="J153" i="22" s="1"/>
  <c r="I121" i="22"/>
  <c r="I31" i="22" s="1"/>
  <c r="I270" i="22" s="1"/>
  <c r="O6" i="8"/>
  <c r="N6" i="8"/>
  <c r="M6" i="8"/>
  <c r="L6" i="8"/>
  <c r="K6" i="8"/>
  <c r="J6" i="8"/>
  <c r="I6" i="8"/>
  <c r="H6" i="8"/>
  <c r="G6" i="8"/>
  <c r="F6" i="8"/>
  <c r="E6" i="8"/>
  <c r="D6" i="8"/>
  <c r="C6" i="8"/>
  <c r="O10" i="8"/>
  <c r="N9" i="8"/>
  <c r="M9" i="8"/>
  <c r="L9" i="8"/>
  <c r="K9" i="8"/>
  <c r="J9" i="8"/>
  <c r="I9" i="8"/>
  <c r="H9" i="8"/>
  <c r="G9" i="8"/>
  <c r="F9" i="8"/>
  <c r="E9" i="8"/>
  <c r="D9" i="8"/>
  <c r="N8" i="8"/>
  <c r="M8" i="8"/>
  <c r="L8" i="8"/>
  <c r="K8" i="8"/>
  <c r="J8" i="8"/>
  <c r="I8" i="8"/>
  <c r="H8" i="8"/>
  <c r="G8" i="8"/>
  <c r="F8" i="8"/>
  <c r="E8" i="8"/>
  <c r="D8" i="8"/>
  <c r="C9" i="8"/>
  <c r="C8" i="8"/>
  <c r="I3" i="8"/>
  <c r="I99" i="8"/>
  <c r="F99" i="8"/>
  <c r="G99" i="8" s="1"/>
  <c r="C98" i="8"/>
  <c r="C97" i="8"/>
  <c r="G81" i="8"/>
  <c r="G77" i="8"/>
  <c r="F67" i="8"/>
  <c r="F66" i="8"/>
  <c r="F64" i="8"/>
  <c r="F63" i="8"/>
  <c r="F62" i="8"/>
  <c r="C49" i="8"/>
  <c r="D49" i="8" s="1"/>
  <c r="C48" i="8"/>
  <c r="D48" i="8" s="1"/>
  <c r="C47" i="8"/>
  <c r="D47" i="8" s="1"/>
  <c r="D41" i="8"/>
  <c r="J39" i="8"/>
  <c r="K39" i="8" s="1"/>
  <c r="J36" i="8"/>
  <c r="D34" i="8"/>
  <c r="D33" i="8"/>
  <c r="C32" i="8"/>
  <c r="D32" i="8" s="1"/>
  <c r="C31" i="8"/>
  <c r="G30" i="8"/>
  <c r="C30" i="8"/>
  <c r="D30" i="8" s="1"/>
  <c r="B28" i="8"/>
  <c r="C27" i="8"/>
  <c r="G64" i="8" s="1"/>
  <c r="C26" i="8"/>
  <c r="G63" i="8" s="1"/>
  <c r="C25" i="8"/>
  <c r="I58" i="11" l="1"/>
  <c r="I148" i="11" s="1"/>
  <c r="I56" i="11"/>
  <c r="I146" i="11" s="1"/>
  <c r="I54" i="11"/>
  <c r="J63" i="11"/>
  <c r="J65" i="11"/>
  <c r="I64" i="11"/>
  <c r="H70" i="11"/>
  <c r="H157" i="11"/>
  <c r="H66" i="11"/>
  <c r="I53" i="11"/>
  <c r="I40" i="11"/>
  <c r="J52" i="11"/>
  <c r="I41" i="11"/>
  <c r="I57" i="11"/>
  <c r="I147" i="11" s="1"/>
  <c r="J56" i="11"/>
  <c r="J146" i="11" s="1"/>
  <c r="I44" i="11"/>
  <c r="I59" i="11"/>
  <c r="I149" i="11" s="1"/>
  <c r="J43" i="11"/>
  <c r="J58" i="11"/>
  <c r="J148" i="11" s="1"/>
  <c r="J45" i="11"/>
  <c r="I39" i="11"/>
  <c r="I34" i="11"/>
  <c r="I35" i="11"/>
  <c r="I37" i="11"/>
  <c r="I31" i="11"/>
  <c r="I33" i="11"/>
  <c r="I32" i="11"/>
  <c r="I38" i="11"/>
  <c r="I69" i="11"/>
  <c r="I62" i="11"/>
  <c r="J54" i="11"/>
  <c r="I30" i="11"/>
  <c r="H46" i="11"/>
  <c r="I62" i="22"/>
  <c r="J57" i="22" s="1"/>
  <c r="H29" i="52"/>
  <c r="J155" i="22"/>
  <c r="J156" i="22" s="1"/>
  <c r="K153" i="22" s="1"/>
  <c r="I67" i="23"/>
  <c r="I68" i="23" s="1"/>
  <c r="E175" i="22"/>
  <c r="D195" i="22"/>
  <c r="I122" i="22"/>
  <c r="J119" i="22" s="1"/>
  <c r="G67" i="7"/>
  <c r="I148" i="7" s="1"/>
  <c r="D67" i="7"/>
  <c r="I139" i="7" s="1"/>
  <c r="H67" i="7"/>
  <c r="I151" i="7" s="1"/>
  <c r="P67" i="7"/>
  <c r="O67" i="7"/>
  <c r="I172" i="7" s="1"/>
  <c r="E67" i="7"/>
  <c r="I142" i="7" s="1"/>
  <c r="I17" i="10"/>
  <c r="J67" i="7"/>
  <c r="I157" i="7" s="1"/>
  <c r="H17" i="10"/>
  <c r="I67" i="7"/>
  <c r="I154" i="7" s="1"/>
  <c r="L17" i="10"/>
  <c r="M67" i="7"/>
  <c r="I166" i="7" s="1"/>
  <c r="E17" i="10"/>
  <c r="F67" i="7"/>
  <c r="I145" i="7" s="1"/>
  <c r="M17" i="10"/>
  <c r="N67" i="7"/>
  <c r="I169" i="7" s="1"/>
  <c r="K17" i="10"/>
  <c r="L67" i="7"/>
  <c r="I163" i="7" s="1"/>
  <c r="J10" i="8"/>
  <c r="G10" i="8"/>
  <c r="K10" i="8"/>
  <c r="C10" i="8"/>
  <c r="E10" i="8"/>
  <c r="M10" i="8"/>
  <c r="F10" i="8"/>
  <c r="N10" i="8"/>
  <c r="D10" i="8"/>
  <c r="L10" i="8"/>
  <c r="C86" i="8"/>
  <c r="E87" i="8" s="1"/>
  <c r="B100" i="8"/>
  <c r="B101" i="8" s="1"/>
  <c r="D101" i="8" s="1"/>
  <c r="I10" i="8"/>
  <c r="H10" i="8"/>
  <c r="D27" i="8"/>
  <c r="C28" i="8"/>
  <c r="G67" i="8" s="1"/>
  <c r="C37" i="8"/>
  <c r="F17" i="10"/>
  <c r="N17" i="10"/>
  <c r="D17" i="10"/>
  <c r="D37" i="7"/>
  <c r="C17" i="10"/>
  <c r="J17" i="10"/>
  <c r="G17" i="10"/>
  <c r="O17" i="10"/>
  <c r="O42" i="10" s="1"/>
  <c r="O52" i="10" s="1"/>
  <c r="D26" i="8"/>
  <c r="D31" i="8"/>
  <c r="D37" i="8" s="1"/>
  <c r="G62" i="8"/>
  <c r="G66" i="8" s="1"/>
  <c r="D25" i="8"/>
  <c r="C99" i="8"/>
  <c r="C100" i="8" s="1"/>
  <c r="D100" i="8" s="1"/>
  <c r="I143" i="7" l="1"/>
  <c r="A228" i="74"/>
  <c r="I173" i="7"/>
  <c r="A258" i="74"/>
  <c r="I167" i="7"/>
  <c r="A252" i="74"/>
  <c r="I152" i="7"/>
  <c r="A237" i="74"/>
  <c r="I155" i="7"/>
  <c r="A240" i="74"/>
  <c r="I140" i="7"/>
  <c r="A225" i="74"/>
  <c r="I164" i="7"/>
  <c r="A250" i="74" s="1"/>
  <c r="A249" i="74"/>
  <c r="I149" i="7"/>
  <c r="A234" i="74"/>
  <c r="I146" i="7"/>
  <c r="A231" i="74"/>
  <c r="I170" i="7"/>
  <c r="A255" i="74"/>
  <c r="I158" i="7"/>
  <c r="A243" i="74"/>
  <c r="I42" i="10"/>
  <c r="I52" i="10" s="1"/>
  <c r="D113" i="10" s="1"/>
  <c r="J36" i="10"/>
  <c r="D42" i="10"/>
  <c r="D52" i="10" s="1"/>
  <c r="D68" i="10" s="1"/>
  <c r="E36" i="10"/>
  <c r="E42" i="10"/>
  <c r="E52" i="10" s="1"/>
  <c r="D77" i="10" s="1"/>
  <c r="F36" i="10"/>
  <c r="N42" i="10"/>
  <c r="N52" i="10" s="1"/>
  <c r="D158" i="10" s="1"/>
  <c r="O36" i="10"/>
  <c r="L42" i="10"/>
  <c r="L52" i="10" s="1"/>
  <c r="D140" i="10" s="1"/>
  <c r="M36" i="10"/>
  <c r="G42" i="10"/>
  <c r="G52" i="10" s="1"/>
  <c r="D95" i="10" s="1"/>
  <c r="H36" i="10"/>
  <c r="J42" i="10"/>
  <c r="J52" i="10" s="1"/>
  <c r="D122" i="10" s="1"/>
  <c r="K36" i="10"/>
  <c r="K42" i="10"/>
  <c r="K52" i="10" s="1"/>
  <c r="D131" i="10" s="1"/>
  <c r="L36" i="10"/>
  <c r="H42" i="10"/>
  <c r="H52" i="10" s="1"/>
  <c r="D104" i="10" s="1"/>
  <c r="I36" i="10"/>
  <c r="M42" i="10"/>
  <c r="M52" i="10" s="1"/>
  <c r="D149" i="10" s="1"/>
  <c r="N36" i="10"/>
  <c r="F42" i="10"/>
  <c r="F52" i="10" s="1"/>
  <c r="D86" i="10" s="1"/>
  <c r="G36" i="10"/>
  <c r="C42" i="10"/>
  <c r="C52" i="10" s="1"/>
  <c r="D59" i="10" s="1"/>
  <c r="D36" i="10"/>
  <c r="I161" i="7"/>
  <c r="J64" i="11"/>
  <c r="I66" i="11"/>
  <c r="I70" i="11"/>
  <c r="I157" i="11"/>
  <c r="K65" i="11"/>
  <c r="K63" i="11"/>
  <c r="J44" i="11"/>
  <c r="J41" i="11"/>
  <c r="K43" i="11"/>
  <c r="K52" i="11"/>
  <c r="K56" i="11"/>
  <c r="K146" i="11" s="1"/>
  <c r="J40" i="11"/>
  <c r="K45" i="11"/>
  <c r="J59" i="11"/>
  <c r="J149" i="11" s="1"/>
  <c r="K58" i="11"/>
  <c r="K148" i="11" s="1"/>
  <c r="J57" i="11"/>
  <c r="J147" i="11" s="1"/>
  <c r="J53" i="11"/>
  <c r="J37" i="11"/>
  <c r="J32" i="11"/>
  <c r="J31" i="11"/>
  <c r="J35" i="11"/>
  <c r="J33" i="11"/>
  <c r="J34" i="11"/>
  <c r="J38" i="11"/>
  <c r="J39" i="11"/>
  <c r="J69" i="11"/>
  <c r="J62" i="11"/>
  <c r="K54" i="11"/>
  <c r="J30" i="11"/>
  <c r="I46" i="11"/>
  <c r="J62" i="22"/>
  <c r="K57" i="22" s="1"/>
  <c r="I29" i="52"/>
  <c r="E30" i="52" s="1"/>
  <c r="G30" i="52" s="1"/>
  <c r="J61" i="23"/>
  <c r="J36" i="22"/>
  <c r="K155" i="22"/>
  <c r="K156" i="22" s="1"/>
  <c r="L153" i="22" s="1"/>
  <c r="D201" i="22"/>
  <c r="F172" i="22"/>
  <c r="J121" i="22"/>
  <c r="J31" i="22" s="1"/>
  <c r="J270" i="22" s="1"/>
  <c r="G68" i="8"/>
  <c r="D28" i="8"/>
  <c r="C44" i="8" s="1"/>
  <c r="D44" i="8" s="1"/>
  <c r="I165" i="7" l="1"/>
  <c r="A251" i="74" s="1"/>
  <c r="I162" i="7"/>
  <c r="A248" i="74" s="1"/>
  <c r="A247" i="74"/>
  <c r="D114" i="10"/>
  <c r="C168" i="74"/>
  <c r="I150" i="7"/>
  <c r="A236" i="74" s="1"/>
  <c r="A235" i="74"/>
  <c r="I153" i="7"/>
  <c r="A239" i="74" s="1"/>
  <c r="A238" i="74"/>
  <c r="D105" i="10"/>
  <c r="C159" i="74"/>
  <c r="D159" i="10"/>
  <c r="C213" i="74"/>
  <c r="I159" i="7"/>
  <c r="A245" i="74" s="1"/>
  <c r="A244" i="74"/>
  <c r="I168" i="7"/>
  <c r="A254" i="74" s="1"/>
  <c r="A253" i="74"/>
  <c r="D141" i="10"/>
  <c r="C195" i="74"/>
  <c r="D132" i="10"/>
  <c r="C186" i="74"/>
  <c r="D123" i="10"/>
  <c r="C177" i="74"/>
  <c r="I171" i="7"/>
  <c r="A257" i="74" s="1"/>
  <c r="A256" i="74"/>
  <c r="I141" i="7"/>
  <c r="A227" i="74" s="1"/>
  <c r="A226" i="74"/>
  <c r="I174" i="7"/>
  <c r="A260" i="74" s="1"/>
  <c r="A259" i="74"/>
  <c r="D60" i="10"/>
  <c r="C114" i="74"/>
  <c r="D87" i="10"/>
  <c r="C141" i="74"/>
  <c r="D78" i="10"/>
  <c r="C132" i="74"/>
  <c r="D150" i="10"/>
  <c r="C204" i="74"/>
  <c r="D96" i="10"/>
  <c r="C150" i="74"/>
  <c r="D69" i="10"/>
  <c r="C123" i="74"/>
  <c r="I147" i="7"/>
  <c r="A233" i="74" s="1"/>
  <c r="A232" i="74"/>
  <c r="I156" i="7"/>
  <c r="A242" i="74" s="1"/>
  <c r="A241" i="74"/>
  <c r="I144" i="7"/>
  <c r="A230" i="74" s="1"/>
  <c r="A229" i="74"/>
  <c r="L65" i="11"/>
  <c r="L63" i="11"/>
  <c r="J66" i="11"/>
  <c r="J70" i="11"/>
  <c r="J157" i="11"/>
  <c r="K64" i="11"/>
  <c r="L45" i="11"/>
  <c r="L43" i="11"/>
  <c r="L58" i="11"/>
  <c r="L148" i="11" s="1"/>
  <c r="K41" i="11"/>
  <c r="K53" i="11"/>
  <c r="K59" i="11"/>
  <c r="K149" i="11" s="1"/>
  <c r="K44" i="11"/>
  <c r="K40" i="11"/>
  <c r="L56" i="11"/>
  <c r="L146" i="11" s="1"/>
  <c r="K57" i="11"/>
  <c r="K147" i="11" s="1"/>
  <c r="L52" i="11"/>
  <c r="K31" i="11"/>
  <c r="K34" i="11"/>
  <c r="K33" i="11"/>
  <c r="K39" i="11"/>
  <c r="K32" i="11"/>
  <c r="K35" i="11"/>
  <c r="K38" i="11"/>
  <c r="K37" i="11"/>
  <c r="K69" i="11"/>
  <c r="K62" i="11"/>
  <c r="L54" i="11"/>
  <c r="K30" i="11"/>
  <c r="J46" i="11"/>
  <c r="K62" i="22"/>
  <c r="L57" i="22" s="1"/>
  <c r="H30" i="52"/>
  <c r="K61" i="23"/>
  <c r="K67" i="23" s="1"/>
  <c r="K68" i="23" s="1"/>
  <c r="K36" i="22"/>
  <c r="J67" i="23"/>
  <c r="J68" i="23" s="1"/>
  <c r="L155" i="22"/>
  <c r="L156" i="22" s="1"/>
  <c r="M153" i="22" s="1"/>
  <c r="O10" i="18"/>
  <c r="O29" i="32"/>
  <c r="J122" i="22"/>
  <c r="K119" i="22" s="1"/>
  <c r="K121" i="22" s="1"/>
  <c r="F175" i="22"/>
  <c r="D209" i="22"/>
  <c r="O15" i="11"/>
  <c r="D44" i="7"/>
  <c r="O5" i="32"/>
  <c r="O10" i="32" s="1"/>
  <c r="O7" i="32"/>
  <c r="E44" i="7"/>
  <c r="J44" i="7"/>
  <c r="F44" i="7"/>
  <c r="H44" i="7"/>
  <c r="G44" i="7"/>
  <c r="I44" i="7"/>
  <c r="F44" i="8"/>
  <c r="G44" i="8" s="1"/>
  <c r="D70" i="10" l="1"/>
  <c r="C124" i="74"/>
  <c r="D97" i="10"/>
  <c r="C151" i="74"/>
  <c r="D61" i="10"/>
  <c r="C115" i="74"/>
  <c r="D124" i="10"/>
  <c r="C178" i="74"/>
  <c r="D88" i="10"/>
  <c r="C142" i="74"/>
  <c r="D151" i="10"/>
  <c r="C205" i="74"/>
  <c r="D133" i="10"/>
  <c r="C187" i="74"/>
  <c r="D160" i="10"/>
  <c r="C214" i="74"/>
  <c r="D115" i="10"/>
  <c r="C169" i="74"/>
  <c r="D79" i="10"/>
  <c r="C133" i="74"/>
  <c r="D142" i="10"/>
  <c r="C196" i="74"/>
  <c r="D106" i="10"/>
  <c r="C160" i="74"/>
  <c r="L64" i="11"/>
  <c r="M63" i="11"/>
  <c r="K66" i="11"/>
  <c r="K70" i="11"/>
  <c r="K157" i="11"/>
  <c r="M65" i="11"/>
  <c r="M56" i="11"/>
  <c r="M146" i="11" s="1"/>
  <c r="L41" i="11"/>
  <c r="M58" i="11"/>
  <c r="M148" i="11" s="1"/>
  <c r="L59" i="11"/>
  <c r="L149" i="11" s="1"/>
  <c r="M43" i="11"/>
  <c r="L40" i="11"/>
  <c r="L53" i="11"/>
  <c r="M52" i="11"/>
  <c r="L44" i="11"/>
  <c r="M45" i="11"/>
  <c r="L57" i="11"/>
  <c r="L147" i="11" s="1"/>
  <c r="L38" i="11"/>
  <c r="L33" i="11"/>
  <c r="L39" i="11"/>
  <c r="L32" i="11"/>
  <c r="L34" i="11"/>
  <c r="L35" i="11"/>
  <c r="L37" i="11"/>
  <c r="L31" i="11"/>
  <c r="L69" i="11"/>
  <c r="L62" i="11"/>
  <c r="M54" i="11"/>
  <c r="L30" i="11"/>
  <c r="K46" i="11"/>
  <c r="O24" i="11"/>
  <c r="L62" i="22"/>
  <c r="M57" i="22" s="1"/>
  <c r="I30" i="52"/>
  <c r="E31" i="52" s="1"/>
  <c r="M155" i="22"/>
  <c r="M156" i="22" s="1"/>
  <c r="N153" i="22" s="1"/>
  <c r="L61" i="23"/>
  <c r="L67" i="23" s="1"/>
  <c r="L68" i="23" s="1"/>
  <c r="L36" i="22"/>
  <c r="K31" i="22"/>
  <c r="K270" i="22" s="1"/>
  <c r="K122" i="22"/>
  <c r="L119" i="22" s="1"/>
  <c r="L121" i="22" s="1"/>
  <c r="L31" i="22" s="1"/>
  <c r="D225" i="22"/>
  <c r="G172" i="22"/>
  <c r="N15" i="11"/>
  <c r="M15" i="11"/>
  <c r="H15" i="11"/>
  <c r="E15" i="11"/>
  <c r="G15" i="11"/>
  <c r="I15" i="11"/>
  <c r="J15" i="11"/>
  <c r="F15" i="11"/>
  <c r="K15" i="11"/>
  <c r="D62" i="10" l="1"/>
  <c r="C116" i="74"/>
  <c r="D161" i="10"/>
  <c r="C215" i="74"/>
  <c r="D98" i="10"/>
  <c r="C152" i="74"/>
  <c r="D107" i="10"/>
  <c r="C161" i="74"/>
  <c r="D143" i="10"/>
  <c r="C197" i="74"/>
  <c r="D152" i="10"/>
  <c r="C206" i="74"/>
  <c r="D125" i="10"/>
  <c r="C179" i="74"/>
  <c r="D134" i="10"/>
  <c r="C188" i="74"/>
  <c r="D80" i="10"/>
  <c r="C134" i="74"/>
  <c r="D116" i="10"/>
  <c r="C170" i="74"/>
  <c r="D89" i="10"/>
  <c r="C143" i="74"/>
  <c r="D71" i="10"/>
  <c r="C125" i="74"/>
  <c r="L270" i="22"/>
  <c r="O160" i="11"/>
  <c r="E24" i="11"/>
  <c r="N63" i="11"/>
  <c r="N65" i="11"/>
  <c r="L66" i="11"/>
  <c r="L70" i="11"/>
  <c r="L157" i="11"/>
  <c r="M64" i="11"/>
  <c r="M53" i="11"/>
  <c r="N58" i="11"/>
  <c r="N148" i="11" s="1"/>
  <c r="M44" i="11"/>
  <c r="M40" i="11"/>
  <c r="M41" i="11"/>
  <c r="N43" i="11"/>
  <c r="N52" i="11"/>
  <c r="N56" i="11"/>
  <c r="N146" i="11" s="1"/>
  <c r="M57" i="11"/>
  <c r="M147" i="11" s="1"/>
  <c r="N45" i="11"/>
  <c r="M59" i="11"/>
  <c r="M149" i="11" s="1"/>
  <c r="M31" i="11"/>
  <c r="M39" i="11"/>
  <c r="M35" i="11"/>
  <c r="M34" i="11"/>
  <c r="M33" i="11"/>
  <c r="M37" i="11"/>
  <c r="M32" i="11"/>
  <c r="M38" i="11"/>
  <c r="M69" i="11"/>
  <c r="M62" i="11"/>
  <c r="M24" i="11"/>
  <c r="H24" i="11"/>
  <c r="G24" i="11"/>
  <c r="F24" i="11"/>
  <c r="N54" i="11"/>
  <c r="K24" i="11"/>
  <c r="N24" i="11"/>
  <c r="M30" i="11"/>
  <c r="L46" i="11"/>
  <c r="I24" i="11"/>
  <c r="J24" i="11"/>
  <c r="M62" i="22"/>
  <c r="N57" i="22" s="1"/>
  <c r="G31" i="52"/>
  <c r="H31" i="52" s="1"/>
  <c r="I31" i="52" s="1"/>
  <c r="E32" i="52" s="1"/>
  <c r="M61" i="23"/>
  <c r="M67" i="23" s="1"/>
  <c r="M68" i="23" s="1"/>
  <c r="M36" i="22"/>
  <c r="N155" i="22"/>
  <c r="N156" i="22" s="1"/>
  <c r="O153" i="22" s="1"/>
  <c r="G175" i="22"/>
  <c r="L122" i="22"/>
  <c r="M119" i="22" s="1"/>
  <c r="G32" i="52" l="1"/>
  <c r="H32" i="52" s="1"/>
  <c r="I32" i="52" s="1"/>
  <c r="E33" i="52" s="1"/>
  <c r="D135" i="10"/>
  <c r="C189" i="74"/>
  <c r="D126" i="10"/>
  <c r="C180" i="74"/>
  <c r="D99" i="10"/>
  <c r="C153" i="74"/>
  <c r="D108" i="10"/>
  <c r="C162" i="74"/>
  <c r="D72" i="10"/>
  <c r="C126" i="74"/>
  <c r="D153" i="10"/>
  <c r="C207" i="74"/>
  <c r="D162" i="10"/>
  <c r="C216" i="74"/>
  <c r="D90" i="10"/>
  <c r="C144" i="74"/>
  <c r="D117" i="10"/>
  <c r="C171" i="74"/>
  <c r="D81" i="10"/>
  <c r="C135" i="74"/>
  <c r="D144" i="10"/>
  <c r="C198" i="74"/>
  <c r="D63" i="10"/>
  <c r="C117" i="74"/>
  <c r="J160" i="11"/>
  <c r="F160" i="11"/>
  <c r="I160" i="11"/>
  <c r="N160" i="11"/>
  <c r="K160" i="11"/>
  <c r="G160" i="11"/>
  <c r="H160" i="11"/>
  <c r="M160" i="11"/>
  <c r="E160" i="11"/>
  <c r="O65" i="11"/>
  <c r="N64" i="11"/>
  <c r="M66" i="11"/>
  <c r="M70" i="11"/>
  <c r="M157" i="11"/>
  <c r="O63" i="11"/>
  <c r="O58" i="11"/>
  <c r="O148" i="11" s="1"/>
  <c r="N57" i="11"/>
  <c r="N147" i="11" s="1"/>
  <c r="N59" i="11"/>
  <c r="N149" i="11" s="1"/>
  <c r="N44" i="11"/>
  <c r="O56" i="11"/>
  <c r="O146" i="11" s="1"/>
  <c r="N41" i="11"/>
  <c r="O43" i="11"/>
  <c r="O45" i="11"/>
  <c r="O52" i="11"/>
  <c r="N53" i="11"/>
  <c r="N40" i="11"/>
  <c r="N35" i="11"/>
  <c r="N37" i="11"/>
  <c r="N39" i="11"/>
  <c r="N38" i="11"/>
  <c r="N32" i="11"/>
  <c r="N33" i="11"/>
  <c r="N34" i="11"/>
  <c r="N31" i="11"/>
  <c r="N69" i="11"/>
  <c r="N62" i="11"/>
  <c r="O54" i="11"/>
  <c r="N30" i="11"/>
  <c r="M46" i="11"/>
  <c r="N62" i="22"/>
  <c r="O57" i="22" s="1"/>
  <c r="O62" i="22" s="1"/>
  <c r="O155" i="22"/>
  <c r="O156" i="22" s="1"/>
  <c r="N61" i="23"/>
  <c r="N67" i="23" s="1"/>
  <c r="N68" i="23" s="1"/>
  <c r="N36" i="22"/>
  <c r="P17" i="11"/>
  <c r="L15" i="11"/>
  <c r="P18" i="11"/>
  <c r="H172" i="22"/>
  <c r="M121" i="22"/>
  <c r="M122" i="22" s="1"/>
  <c r="N119" i="22" s="1"/>
  <c r="P22" i="11"/>
  <c r="P23" i="11"/>
  <c r="P20" i="11"/>
  <c r="G33" i="52" l="1"/>
  <c r="H33" i="52" s="1"/>
  <c r="I33" i="52" s="1"/>
  <c r="E34" i="52" s="1"/>
  <c r="D109" i="10"/>
  <c r="C163" i="74"/>
  <c r="D64" i="10"/>
  <c r="C118" i="74"/>
  <c r="D163" i="10"/>
  <c r="C217" i="74"/>
  <c r="D100" i="10"/>
  <c r="C154" i="74"/>
  <c r="D127" i="10"/>
  <c r="C181" i="74"/>
  <c r="D91" i="10"/>
  <c r="C145" i="74"/>
  <c r="D145" i="10"/>
  <c r="C199" i="74"/>
  <c r="D82" i="10"/>
  <c r="C136" i="74"/>
  <c r="D154" i="10"/>
  <c r="C208" i="74"/>
  <c r="D118" i="10"/>
  <c r="C172" i="74"/>
  <c r="D73" i="10"/>
  <c r="C127" i="74"/>
  <c r="D136" i="10"/>
  <c r="C190" i="74"/>
  <c r="P146" i="11"/>
  <c r="O64" i="11"/>
  <c r="P63" i="11"/>
  <c r="N66" i="11"/>
  <c r="N70" i="11"/>
  <c r="N157" i="11"/>
  <c r="P65" i="11"/>
  <c r="P45" i="11"/>
  <c r="P56" i="11"/>
  <c r="O59" i="11"/>
  <c r="O149" i="11" s="1"/>
  <c r="O57" i="11"/>
  <c r="O147" i="11" s="1"/>
  <c r="O40" i="11"/>
  <c r="P148" i="11"/>
  <c r="P58" i="11"/>
  <c r="O53" i="11"/>
  <c r="O44" i="11"/>
  <c r="P43" i="11"/>
  <c r="P52" i="11"/>
  <c r="O41" i="11"/>
  <c r="O33" i="11"/>
  <c r="O39" i="11"/>
  <c r="O32" i="11"/>
  <c r="O37" i="11"/>
  <c r="O31" i="11"/>
  <c r="O34" i="11"/>
  <c r="O38" i="11"/>
  <c r="O35" i="11"/>
  <c r="O69" i="11"/>
  <c r="O62" i="11"/>
  <c r="P54" i="11"/>
  <c r="O30" i="11"/>
  <c r="N46" i="11"/>
  <c r="P15" i="11"/>
  <c r="P24" i="11" s="1"/>
  <c r="L24" i="11"/>
  <c r="O61" i="23"/>
  <c r="P155" i="22"/>
  <c r="H175" i="22"/>
  <c r="N121" i="22"/>
  <c r="N31" i="22" s="1"/>
  <c r="M31" i="22"/>
  <c r="M270" i="22" s="1"/>
  <c r="G34" i="52" l="1"/>
  <c r="H34" i="52" s="1"/>
  <c r="I34" i="52"/>
  <c r="E35" i="52" s="1"/>
  <c r="D146" i="10"/>
  <c r="C200" i="74"/>
  <c r="D137" i="10"/>
  <c r="C191" i="74"/>
  <c r="D83" i="10"/>
  <c r="C137" i="74"/>
  <c r="D65" i="10"/>
  <c r="C119" i="74"/>
  <c r="D74" i="10"/>
  <c r="C128" i="74"/>
  <c r="D164" i="10"/>
  <c r="C218" i="74"/>
  <c r="D92" i="10"/>
  <c r="C146" i="74"/>
  <c r="D101" i="10"/>
  <c r="C155" i="74"/>
  <c r="D119" i="10"/>
  <c r="C173" i="74"/>
  <c r="D155" i="10"/>
  <c r="C209" i="74"/>
  <c r="D128" i="10"/>
  <c r="C182" i="74"/>
  <c r="D110" i="10"/>
  <c r="C164" i="74"/>
  <c r="N270" i="22"/>
  <c r="L160" i="11"/>
  <c r="P160" i="11" s="1"/>
  <c r="P53" i="11"/>
  <c r="P34" i="11"/>
  <c r="O70" i="11"/>
  <c r="O157" i="11"/>
  <c r="P157" i="11" s="1"/>
  <c r="O66" i="11"/>
  <c r="P64" i="11"/>
  <c r="P147" i="11"/>
  <c r="P57" i="11"/>
  <c r="P44" i="11"/>
  <c r="P149" i="11"/>
  <c r="P59" i="11"/>
  <c r="P31" i="11"/>
  <c r="P41" i="11"/>
  <c r="P40" i="11"/>
  <c r="P37" i="11"/>
  <c r="P32" i="11"/>
  <c r="P38" i="11"/>
  <c r="P39" i="11"/>
  <c r="P35" i="11"/>
  <c r="P33" i="11"/>
  <c r="P69" i="11"/>
  <c r="P70" i="11" s="1"/>
  <c r="P62" i="11"/>
  <c r="O46" i="11"/>
  <c r="P30" i="11"/>
  <c r="P36" i="22"/>
  <c r="P156" i="22"/>
  <c r="O67" i="23"/>
  <c r="O68" i="23" s="1"/>
  <c r="P61" i="23"/>
  <c r="P67" i="23" s="1"/>
  <c r="I172" i="22"/>
  <c r="N122" i="22"/>
  <c r="O119" i="22" s="1"/>
  <c r="G35" i="52" l="1"/>
  <c r="D111" i="10"/>
  <c r="C165" i="74"/>
  <c r="D84" i="10"/>
  <c r="C138" i="74"/>
  <c r="D93" i="10"/>
  <c r="C147" i="74"/>
  <c r="D165" i="10"/>
  <c r="C219" i="74"/>
  <c r="D138" i="10"/>
  <c r="C192" i="74"/>
  <c r="D66" i="10"/>
  <c r="C120" i="74"/>
  <c r="D129" i="10"/>
  <c r="C183" i="74"/>
  <c r="D156" i="10"/>
  <c r="C210" i="74"/>
  <c r="D102" i="10"/>
  <c r="C156" i="74"/>
  <c r="D120" i="10"/>
  <c r="C174" i="74"/>
  <c r="D75" i="10"/>
  <c r="C129" i="74"/>
  <c r="D147" i="10"/>
  <c r="C201" i="74"/>
  <c r="P66" i="11"/>
  <c r="P46" i="11"/>
  <c r="I175" i="22"/>
  <c r="J172" i="22" s="1"/>
  <c r="J175" i="22" s="1"/>
  <c r="K172" i="22" s="1"/>
  <c r="K175" i="22" s="1"/>
  <c r="L172" i="22" s="1"/>
  <c r="L175" i="22" s="1"/>
  <c r="M172" i="22" s="1"/>
  <c r="M175" i="22" s="1"/>
  <c r="N172" i="22" s="1"/>
  <c r="N175" i="22" s="1"/>
  <c r="O172" i="22" s="1"/>
  <c r="O175" i="22" s="1"/>
  <c r="O121" i="22"/>
  <c r="H35" i="52" l="1"/>
  <c r="D166" i="10"/>
  <c r="C221" i="74" s="1"/>
  <c r="C220" i="74"/>
  <c r="D94" i="10"/>
  <c r="C149" i="74" s="1"/>
  <c r="C148" i="74"/>
  <c r="D121" i="10"/>
  <c r="C176" i="74" s="1"/>
  <c r="C175" i="74"/>
  <c r="D85" i="10"/>
  <c r="C140" i="74" s="1"/>
  <c r="C139" i="74"/>
  <c r="D148" i="10"/>
  <c r="C203" i="74" s="1"/>
  <c r="C202" i="74"/>
  <c r="D130" i="10"/>
  <c r="C185" i="74" s="1"/>
  <c r="C184" i="74"/>
  <c r="D67" i="10"/>
  <c r="C122" i="74" s="1"/>
  <c r="C121" i="74"/>
  <c r="D157" i="10"/>
  <c r="C212" i="74" s="1"/>
  <c r="C211" i="74"/>
  <c r="D76" i="10"/>
  <c r="C131" i="74" s="1"/>
  <c r="C130" i="74"/>
  <c r="D103" i="10"/>
  <c r="C158" i="74" s="1"/>
  <c r="C157" i="74"/>
  <c r="D139" i="10"/>
  <c r="C194" i="74" s="1"/>
  <c r="C193" i="74"/>
  <c r="D112" i="10"/>
  <c r="C167" i="74" s="1"/>
  <c r="C166" i="74"/>
  <c r="O122" i="22"/>
  <c r="O31" i="22"/>
  <c r="D81" i="15"/>
  <c r="E37" i="14"/>
  <c r="O270" i="22"/>
  <c r="P121" i="22"/>
  <c r="D37" i="14"/>
  <c r="B2" i="1"/>
  <c r="C246" i="1"/>
  <c r="I35" i="52" l="1"/>
  <c r="E36" i="52" s="1"/>
  <c r="D11" i="16"/>
  <c r="D134" i="22" s="1"/>
  <c r="P31" i="22"/>
  <c r="P122" i="22"/>
  <c r="E81" i="15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09" i="1"/>
  <c r="L208" i="1"/>
  <c r="L207" i="1"/>
  <c r="L206" i="1"/>
  <c r="L205" i="1"/>
  <c r="L204" i="1"/>
  <c r="L203" i="1"/>
  <c r="L202" i="1"/>
  <c r="L201" i="1"/>
  <c r="L198" i="1"/>
  <c r="L197" i="1"/>
  <c r="L195" i="1"/>
  <c r="L194" i="1"/>
  <c r="L193" i="1"/>
  <c r="L192" i="1"/>
  <c r="L191" i="1"/>
  <c r="L150" i="1"/>
  <c r="L149" i="1"/>
  <c r="L148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H223" i="1"/>
  <c r="G223" i="1"/>
  <c r="H222" i="1"/>
  <c r="G222" i="1"/>
  <c r="H221" i="1"/>
  <c r="G221" i="1"/>
  <c r="H220" i="1"/>
  <c r="G220" i="1"/>
  <c r="H219" i="1"/>
  <c r="G219" i="1"/>
  <c r="H218" i="1"/>
  <c r="G218" i="1"/>
  <c r="H217" i="1"/>
  <c r="G217" i="1"/>
  <c r="H215" i="1"/>
  <c r="G215" i="1"/>
  <c r="H214" i="1"/>
  <c r="G214" i="1"/>
  <c r="H213" i="1"/>
  <c r="G213" i="1"/>
  <c r="H212" i="1"/>
  <c r="G212" i="1"/>
  <c r="H210" i="1"/>
  <c r="H211" i="1" s="1"/>
  <c r="G210" i="1"/>
  <c r="G211" i="1" s="1"/>
  <c r="H209" i="1"/>
  <c r="G209" i="1"/>
  <c r="H202" i="1"/>
  <c r="G202" i="1"/>
  <c r="H201" i="1"/>
  <c r="G201" i="1"/>
  <c r="H200" i="1"/>
  <c r="G200" i="1"/>
  <c r="H199" i="1"/>
  <c r="G199" i="1"/>
  <c r="H197" i="1"/>
  <c r="H198" i="1" s="1"/>
  <c r="G197" i="1"/>
  <c r="G198" i="1" s="1"/>
  <c r="H194" i="1"/>
  <c r="G194" i="1"/>
  <c r="H193" i="1"/>
  <c r="G193" i="1"/>
  <c r="H192" i="1"/>
  <c r="G192" i="1"/>
  <c r="H191" i="1"/>
  <c r="G191" i="1"/>
  <c r="H188" i="1"/>
  <c r="G188" i="1"/>
  <c r="H187" i="1"/>
  <c r="G187" i="1"/>
  <c r="H186" i="1"/>
  <c r="G186" i="1"/>
  <c r="H185" i="1"/>
  <c r="G185" i="1"/>
  <c r="H184" i="1"/>
  <c r="G184" i="1"/>
  <c r="H183" i="1"/>
  <c r="G183" i="1"/>
  <c r="H182" i="1"/>
  <c r="G182" i="1"/>
  <c r="H177" i="1"/>
  <c r="G177" i="1"/>
  <c r="H176" i="1"/>
  <c r="G176" i="1"/>
  <c r="H175" i="1"/>
  <c r="G175" i="1"/>
  <c r="H174" i="1"/>
  <c r="G174" i="1"/>
  <c r="H173" i="1"/>
  <c r="G173" i="1"/>
  <c r="H172" i="1"/>
  <c r="G172" i="1"/>
  <c r="H171" i="1"/>
  <c r="G171" i="1"/>
  <c r="H170" i="1"/>
  <c r="G170" i="1"/>
  <c r="H169" i="1"/>
  <c r="G169" i="1"/>
  <c r="H168" i="1"/>
  <c r="G168" i="1"/>
  <c r="H167" i="1"/>
  <c r="G167" i="1"/>
  <c r="H166" i="1"/>
  <c r="G166" i="1"/>
  <c r="H165" i="1"/>
  <c r="G165" i="1"/>
  <c r="H164" i="1"/>
  <c r="G164" i="1"/>
  <c r="H163" i="1"/>
  <c r="G163" i="1"/>
  <c r="H162" i="1"/>
  <c r="G162" i="1"/>
  <c r="H161" i="1"/>
  <c r="G161" i="1"/>
  <c r="H160" i="1"/>
  <c r="G160" i="1"/>
  <c r="H159" i="1"/>
  <c r="G159" i="1"/>
  <c r="H158" i="1"/>
  <c r="G158" i="1"/>
  <c r="H157" i="1"/>
  <c r="G157" i="1"/>
  <c r="H156" i="1"/>
  <c r="G156" i="1"/>
  <c r="H154" i="1"/>
  <c r="G154" i="1"/>
  <c r="H153" i="1"/>
  <c r="G153" i="1"/>
  <c r="H152" i="1"/>
  <c r="G152" i="1"/>
  <c r="H151" i="1"/>
  <c r="G151" i="1"/>
  <c r="H150" i="1"/>
  <c r="G150" i="1"/>
  <c r="H149" i="1"/>
  <c r="G149" i="1"/>
  <c r="H148" i="1"/>
  <c r="G148" i="1"/>
  <c r="H146" i="1"/>
  <c r="G146" i="1"/>
  <c r="H145" i="1"/>
  <c r="G145" i="1"/>
  <c r="H144" i="1"/>
  <c r="G144" i="1"/>
  <c r="H143" i="1"/>
  <c r="G143" i="1"/>
  <c r="H142" i="1"/>
  <c r="G142" i="1"/>
  <c r="H141" i="1"/>
  <c r="G141" i="1"/>
  <c r="N8" i="5"/>
  <c r="N7" i="5"/>
  <c r="N6" i="5"/>
  <c r="G36" i="52" l="1"/>
  <c r="E11" i="16"/>
  <c r="E134" i="22" s="1"/>
  <c r="G155" i="1"/>
  <c r="G195" i="1"/>
  <c r="H203" i="1"/>
  <c r="H189" i="1"/>
  <c r="H216" i="1"/>
  <c r="G178" i="1"/>
  <c r="G203" i="1"/>
  <c r="G224" i="1"/>
  <c r="H147" i="1"/>
  <c r="G147" i="1"/>
  <c r="G189" i="1"/>
  <c r="G216" i="1"/>
  <c r="H155" i="1"/>
  <c r="H195" i="1"/>
  <c r="H178" i="1"/>
  <c r="H224" i="1"/>
  <c r="L246" i="1"/>
  <c r="C247" i="1" s="1"/>
  <c r="H36" i="52" l="1"/>
  <c r="G37" i="14"/>
  <c r="F81" i="15"/>
  <c r="H246" i="1"/>
  <c r="H247" i="1" s="1"/>
  <c r="G246" i="1"/>
  <c r="G247" i="1" s="1"/>
  <c r="H19" i="6"/>
  <c r="H7" i="6"/>
  <c r="Z78" i="1"/>
  <c r="Z77" i="1"/>
  <c r="Z76" i="1"/>
  <c r="Z75" i="1"/>
  <c r="Z74" i="1"/>
  <c r="Z73" i="1"/>
  <c r="Z72" i="1"/>
  <c r="Z71" i="1"/>
  <c r="Z70" i="1"/>
  <c r="Z69" i="1"/>
  <c r="Z68" i="1"/>
  <c r="Z67" i="1"/>
  <c r="Z66" i="1"/>
  <c r="Z65" i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E139" i="1"/>
  <c r="Y5" i="1"/>
  <c r="X5" i="1"/>
  <c r="W5" i="1"/>
  <c r="V5" i="1"/>
  <c r="U5" i="1"/>
  <c r="U139" i="1" s="1"/>
  <c r="T5" i="1"/>
  <c r="T139" i="1" s="1"/>
  <c r="S5" i="1"/>
  <c r="S139" i="1" s="1"/>
  <c r="R5" i="1"/>
  <c r="R139" i="1" s="1"/>
  <c r="Q5" i="1"/>
  <c r="Q139" i="1" s="1"/>
  <c r="P5" i="1"/>
  <c r="P139" i="1" s="1"/>
  <c r="O5" i="1"/>
  <c r="O139" i="1" s="1"/>
  <c r="N5" i="1"/>
  <c r="N139" i="1" s="1"/>
  <c r="M5" i="1"/>
  <c r="M139" i="1" s="1"/>
  <c r="L5" i="1"/>
  <c r="L139" i="1" s="1"/>
  <c r="K5" i="1"/>
  <c r="J5" i="1"/>
  <c r="I5" i="1"/>
  <c r="H5" i="1"/>
  <c r="G5" i="1"/>
  <c r="D5" i="1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G78" i="4"/>
  <c r="W78" i="4"/>
  <c r="V78" i="4"/>
  <c r="U78" i="4"/>
  <c r="F78" i="4"/>
  <c r="D78" i="4"/>
  <c r="C78" i="4"/>
  <c r="B78" i="4"/>
  <c r="A78" i="4"/>
  <c r="W77" i="4"/>
  <c r="V77" i="4"/>
  <c r="U77" i="4"/>
  <c r="F77" i="4"/>
  <c r="D77" i="4"/>
  <c r="C77" i="4"/>
  <c r="B77" i="4"/>
  <c r="A77" i="4"/>
  <c r="W76" i="4"/>
  <c r="V76" i="4"/>
  <c r="U76" i="4"/>
  <c r="F76" i="4"/>
  <c r="D76" i="4"/>
  <c r="C76" i="4"/>
  <c r="B76" i="4"/>
  <c r="A76" i="4"/>
  <c r="W75" i="4"/>
  <c r="V75" i="4"/>
  <c r="U75" i="4"/>
  <c r="F75" i="4"/>
  <c r="D75" i="4"/>
  <c r="C75" i="4"/>
  <c r="B75" i="4"/>
  <c r="A75" i="4"/>
  <c r="W74" i="4"/>
  <c r="V74" i="4"/>
  <c r="U74" i="4"/>
  <c r="F74" i="4"/>
  <c r="D74" i="4"/>
  <c r="C74" i="4"/>
  <c r="B74" i="4"/>
  <c r="A74" i="4"/>
  <c r="W73" i="4"/>
  <c r="V73" i="4"/>
  <c r="U73" i="4"/>
  <c r="F73" i="4"/>
  <c r="D73" i="4"/>
  <c r="C73" i="4"/>
  <c r="B73" i="4"/>
  <c r="A73" i="4"/>
  <c r="W72" i="4"/>
  <c r="V72" i="4"/>
  <c r="U72" i="4"/>
  <c r="F72" i="4"/>
  <c r="D72" i="4"/>
  <c r="C72" i="4"/>
  <c r="B72" i="4"/>
  <c r="A72" i="4"/>
  <c r="W71" i="4"/>
  <c r="V71" i="4"/>
  <c r="U71" i="4"/>
  <c r="F71" i="4"/>
  <c r="D71" i="4"/>
  <c r="C71" i="4"/>
  <c r="B71" i="4"/>
  <c r="A71" i="4"/>
  <c r="W70" i="4"/>
  <c r="V70" i="4"/>
  <c r="U70" i="4"/>
  <c r="F70" i="4"/>
  <c r="D70" i="4"/>
  <c r="C70" i="4"/>
  <c r="B70" i="4"/>
  <c r="A70" i="4"/>
  <c r="W69" i="4"/>
  <c r="V69" i="4"/>
  <c r="U69" i="4"/>
  <c r="F69" i="4"/>
  <c r="D69" i="4"/>
  <c r="C69" i="4"/>
  <c r="B69" i="4"/>
  <c r="A69" i="4"/>
  <c r="W68" i="4"/>
  <c r="V68" i="4"/>
  <c r="U68" i="4"/>
  <c r="F68" i="4"/>
  <c r="D68" i="4"/>
  <c r="C68" i="4"/>
  <c r="B68" i="4"/>
  <c r="A68" i="4"/>
  <c r="W67" i="4"/>
  <c r="V67" i="4"/>
  <c r="U67" i="4"/>
  <c r="F67" i="4"/>
  <c r="D67" i="4"/>
  <c r="C67" i="4"/>
  <c r="B67" i="4"/>
  <c r="A67" i="4"/>
  <c r="W66" i="4"/>
  <c r="V66" i="4"/>
  <c r="U66" i="4"/>
  <c r="F66" i="4"/>
  <c r="D66" i="4"/>
  <c r="C66" i="4"/>
  <c r="B66" i="4"/>
  <c r="A66" i="4"/>
  <c r="W65" i="4"/>
  <c r="V65" i="4"/>
  <c r="U65" i="4"/>
  <c r="F65" i="4"/>
  <c r="D65" i="4"/>
  <c r="C65" i="4"/>
  <c r="B65" i="4"/>
  <c r="A65" i="4"/>
  <c r="W64" i="4"/>
  <c r="V64" i="4"/>
  <c r="U64" i="4"/>
  <c r="F64" i="4"/>
  <c r="D64" i="4"/>
  <c r="C64" i="4"/>
  <c r="B64" i="4"/>
  <c r="A64" i="4"/>
  <c r="W63" i="4"/>
  <c r="V63" i="4"/>
  <c r="U63" i="4"/>
  <c r="F63" i="4"/>
  <c r="D63" i="4"/>
  <c r="C63" i="4"/>
  <c r="B63" i="4"/>
  <c r="A63" i="4"/>
  <c r="W62" i="4"/>
  <c r="V62" i="4"/>
  <c r="U62" i="4"/>
  <c r="F62" i="4"/>
  <c r="D62" i="4"/>
  <c r="C62" i="4"/>
  <c r="B62" i="4"/>
  <c r="A62" i="4"/>
  <c r="W61" i="4"/>
  <c r="V61" i="4"/>
  <c r="U61" i="4"/>
  <c r="F61" i="4"/>
  <c r="D61" i="4"/>
  <c r="C61" i="4"/>
  <c r="B61" i="4"/>
  <c r="A61" i="4"/>
  <c r="W60" i="4"/>
  <c r="V60" i="4"/>
  <c r="U60" i="4"/>
  <c r="F60" i="4"/>
  <c r="D60" i="4"/>
  <c r="C60" i="4"/>
  <c r="B60" i="4"/>
  <c r="A60" i="4"/>
  <c r="W59" i="4"/>
  <c r="V59" i="4"/>
  <c r="U59" i="4"/>
  <c r="F59" i="4"/>
  <c r="D59" i="4"/>
  <c r="C59" i="4"/>
  <c r="B59" i="4"/>
  <c r="A59" i="4"/>
  <c r="W58" i="4"/>
  <c r="V58" i="4"/>
  <c r="U58" i="4"/>
  <c r="F58" i="4"/>
  <c r="D58" i="4"/>
  <c r="C58" i="4"/>
  <c r="B58" i="4"/>
  <c r="A58" i="4"/>
  <c r="W57" i="4"/>
  <c r="V57" i="4"/>
  <c r="U57" i="4"/>
  <c r="F57" i="4"/>
  <c r="D57" i="4"/>
  <c r="C57" i="4"/>
  <c r="B57" i="4"/>
  <c r="A57" i="4"/>
  <c r="W56" i="4"/>
  <c r="V56" i="4"/>
  <c r="U56" i="4"/>
  <c r="F56" i="4"/>
  <c r="D56" i="4"/>
  <c r="C56" i="4"/>
  <c r="B56" i="4"/>
  <c r="A56" i="4"/>
  <c r="W55" i="4"/>
  <c r="V55" i="4"/>
  <c r="U55" i="4"/>
  <c r="F55" i="4"/>
  <c r="D55" i="4"/>
  <c r="C55" i="4"/>
  <c r="B55" i="4"/>
  <c r="A55" i="4"/>
  <c r="W54" i="4"/>
  <c r="V54" i="4"/>
  <c r="U54" i="4"/>
  <c r="F54" i="4"/>
  <c r="D54" i="4"/>
  <c r="C54" i="4"/>
  <c r="B54" i="4"/>
  <c r="A54" i="4"/>
  <c r="W53" i="4"/>
  <c r="V53" i="4"/>
  <c r="U53" i="4"/>
  <c r="F53" i="4"/>
  <c r="D53" i="4"/>
  <c r="C53" i="4"/>
  <c r="B53" i="4"/>
  <c r="A53" i="4"/>
  <c r="W52" i="4"/>
  <c r="V52" i="4"/>
  <c r="U52" i="4"/>
  <c r="F52" i="4"/>
  <c r="D52" i="4"/>
  <c r="C52" i="4"/>
  <c r="B52" i="4"/>
  <c r="A52" i="4"/>
  <c r="W51" i="4"/>
  <c r="V51" i="4"/>
  <c r="U51" i="4"/>
  <c r="F51" i="4"/>
  <c r="D51" i="4"/>
  <c r="C51" i="4"/>
  <c r="B51" i="4"/>
  <c r="A51" i="4"/>
  <c r="W50" i="4"/>
  <c r="V50" i="4"/>
  <c r="U50" i="4"/>
  <c r="F50" i="4"/>
  <c r="D50" i="4"/>
  <c r="C50" i="4"/>
  <c r="B50" i="4"/>
  <c r="A50" i="4"/>
  <c r="W49" i="4"/>
  <c r="V49" i="4"/>
  <c r="U49" i="4"/>
  <c r="F49" i="4"/>
  <c r="D49" i="4"/>
  <c r="C49" i="4"/>
  <c r="B49" i="4"/>
  <c r="A49" i="4"/>
  <c r="W48" i="4"/>
  <c r="V48" i="4"/>
  <c r="U48" i="4"/>
  <c r="F48" i="4"/>
  <c r="D48" i="4"/>
  <c r="C48" i="4"/>
  <c r="B48" i="4"/>
  <c r="A48" i="4"/>
  <c r="W47" i="4"/>
  <c r="V47" i="4"/>
  <c r="U47" i="4"/>
  <c r="F47" i="4"/>
  <c r="D47" i="4"/>
  <c r="C47" i="4"/>
  <c r="B47" i="4"/>
  <c r="A47" i="4"/>
  <c r="W46" i="4"/>
  <c r="V46" i="4"/>
  <c r="U46" i="4"/>
  <c r="F46" i="4"/>
  <c r="D46" i="4"/>
  <c r="C46" i="4"/>
  <c r="B46" i="4"/>
  <c r="A46" i="4"/>
  <c r="W45" i="4"/>
  <c r="V45" i="4"/>
  <c r="U45" i="4"/>
  <c r="F45" i="4"/>
  <c r="D45" i="4"/>
  <c r="C45" i="4"/>
  <c r="B45" i="4"/>
  <c r="A45" i="4"/>
  <c r="W44" i="4"/>
  <c r="V44" i="4"/>
  <c r="U44" i="4"/>
  <c r="F44" i="4"/>
  <c r="D44" i="4"/>
  <c r="C44" i="4"/>
  <c r="B44" i="4"/>
  <c r="A44" i="4"/>
  <c r="W43" i="4"/>
  <c r="V43" i="4"/>
  <c r="U43" i="4"/>
  <c r="F43" i="4"/>
  <c r="D43" i="4"/>
  <c r="C43" i="4"/>
  <c r="B43" i="4"/>
  <c r="A43" i="4"/>
  <c r="W42" i="4"/>
  <c r="V42" i="4"/>
  <c r="U42" i="4"/>
  <c r="F42" i="4"/>
  <c r="D42" i="4"/>
  <c r="C42" i="4"/>
  <c r="B42" i="4"/>
  <c r="A42" i="4"/>
  <c r="W41" i="4"/>
  <c r="V41" i="4"/>
  <c r="U41" i="4"/>
  <c r="F41" i="4"/>
  <c r="D41" i="4"/>
  <c r="C41" i="4"/>
  <c r="B41" i="4"/>
  <c r="A41" i="4"/>
  <c r="W40" i="4"/>
  <c r="V40" i="4"/>
  <c r="U40" i="4"/>
  <c r="F40" i="4"/>
  <c r="D40" i="4"/>
  <c r="C40" i="4"/>
  <c r="B40" i="4"/>
  <c r="A40" i="4"/>
  <c r="W39" i="4"/>
  <c r="V39" i="4"/>
  <c r="U39" i="4"/>
  <c r="F39" i="4"/>
  <c r="D39" i="4"/>
  <c r="C39" i="4"/>
  <c r="B39" i="4"/>
  <c r="A39" i="4"/>
  <c r="W38" i="4"/>
  <c r="V38" i="4"/>
  <c r="U38" i="4"/>
  <c r="F38" i="4"/>
  <c r="D38" i="4"/>
  <c r="C38" i="4"/>
  <c r="B38" i="4"/>
  <c r="A38" i="4"/>
  <c r="W37" i="4"/>
  <c r="V37" i="4"/>
  <c r="U37" i="4"/>
  <c r="F37" i="4"/>
  <c r="D37" i="4"/>
  <c r="C37" i="4"/>
  <c r="B37" i="4"/>
  <c r="A37" i="4"/>
  <c r="W36" i="4"/>
  <c r="V36" i="4"/>
  <c r="U36" i="4"/>
  <c r="F36" i="4"/>
  <c r="D36" i="4"/>
  <c r="C36" i="4"/>
  <c r="B36" i="4"/>
  <c r="A36" i="4"/>
  <c r="W35" i="4"/>
  <c r="V35" i="4"/>
  <c r="U35" i="4"/>
  <c r="F35" i="4"/>
  <c r="D35" i="4"/>
  <c r="C35" i="4"/>
  <c r="B35" i="4"/>
  <c r="A35" i="4"/>
  <c r="W34" i="4"/>
  <c r="V34" i="4"/>
  <c r="U34" i="4"/>
  <c r="F34" i="4"/>
  <c r="D34" i="4"/>
  <c r="C34" i="4"/>
  <c r="B34" i="4"/>
  <c r="A34" i="4"/>
  <c r="W33" i="4"/>
  <c r="V33" i="4"/>
  <c r="U33" i="4"/>
  <c r="F33" i="4"/>
  <c r="D33" i="4"/>
  <c r="C33" i="4"/>
  <c r="B33" i="4"/>
  <c r="A33" i="4"/>
  <c r="W32" i="4"/>
  <c r="V32" i="4"/>
  <c r="U32" i="4"/>
  <c r="F32" i="4"/>
  <c r="D32" i="4"/>
  <c r="C32" i="4"/>
  <c r="B32" i="4"/>
  <c r="A32" i="4"/>
  <c r="W31" i="4"/>
  <c r="V31" i="4"/>
  <c r="U31" i="4"/>
  <c r="F31" i="4"/>
  <c r="D31" i="4"/>
  <c r="C31" i="4"/>
  <c r="B31" i="4"/>
  <c r="A31" i="4"/>
  <c r="W30" i="4"/>
  <c r="V30" i="4"/>
  <c r="U30" i="4"/>
  <c r="F30" i="4"/>
  <c r="D30" i="4"/>
  <c r="C30" i="4"/>
  <c r="B30" i="4"/>
  <c r="A30" i="4"/>
  <c r="W29" i="4"/>
  <c r="V29" i="4"/>
  <c r="U29" i="4"/>
  <c r="F29" i="4"/>
  <c r="D29" i="4"/>
  <c r="C29" i="4"/>
  <c r="B29" i="4"/>
  <c r="A29" i="4"/>
  <c r="W28" i="4"/>
  <c r="V28" i="4"/>
  <c r="U28" i="4"/>
  <c r="F28" i="4"/>
  <c r="D28" i="4"/>
  <c r="C28" i="4"/>
  <c r="B28" i="4"/>
  <c r="A28" i="4"/>
  <c r="W27" i="4"/>
  <c r="V27" i="4"/>
  <c r="U27" i="4"/>
  <c r="F27" i="4"/>
  <c r="D27" i="4"/>
  <c r="C27" i="4"/>
  <c r="B27" i="4"/>
  <c r="A27" i="4"/>
  <c r="W26" i="4"/>
  <c r="V26" i="4"/>
  <c r="U26" i="4"/>
  <c r="F26" i="4"/>
  <c r="D26" i="4"/>
  <c r="C26" i="4"/>
  <c r="B26" i="4"/>
  <c r="A26" i="4"/>
  <c r="W25" i="4"/>
  <c r="V25" i="4"/>
  <c r="U25" i="4"/>
  <c r="F25" i="4"/>
  <c r="D25" i="4"/>
  <c r="C25" i="4"/>
  <c r="B25" i="4"/>
  <c r="A25" i="4"/>
  <c r="W24" i="4"/>
  <c r="V24" i="4"/>
  <c r="U24" i="4"/>
  <c r="F24" i="4"/>
  <c r="D24" i="4"/>
  <c r="C24" i="4"/>
  <c r="B24" i="4"/>
  <c r="A24" i="4"/>
  <c r="W23" i="4"/>
  <c r="V23" i="4"/>
  <c r="U23" i="4"/>
  <c r="F23" i="4"/>
  <c r="D23" i="4"/>
  <c r="C23" i="4"/>
  <c r="B23" i="4"/>
  <c r="A23" i="4"/>
  <c r="W22" i="4"/>
  <c r="V22" i="4"/>
  <c r="U22" i="4"/>
  <c r="F22" i="4"/>
  <c r="D22" i="4"/>
  <c r="C22" i="4"/>
  <c r="B22" i="4"/>
  <c r="A22" i="4"/>
  <c r="W21" i="4"/>
  <c r="V21" i="4"/>
  <c r="U21" i="4"/>
  <c r="F21" i="4"/>
  <c r="D21" i="4"/>
  <c r="C21" i="4"/>
  <c r="B21" i="4"/>
  <c r="A21" i="4"/>
  <c r="W20" i="4"/>
  <c r="V20" i="4"/>
  <c r="U20" i="4"/>
  <c r="F20" i="4"/>
  <c r="D20" i="4"/>
  <c r="C20" i="4"/>
  <c r="B20" i="4"/>
  <c r="A20" i="4"/>
  <c r="W19" i="4"/>
  <c r="V19" i="4"/>
  <c r="U19" i="4"/>
  <c r="F19" i="4"/>
  <c r="D19" i="4"/>
  <c r="C19" i="4"/>
  <c r="B19" i="4"/>
  <c r="A19" i="4"/>
  <c r="W18" i="4"/>
  <c r="V18" i="4"/>
  <c r="U18" i="4"/>
  <c r="F18" i="4"/>
  <c r="D18" i="4"/>
  <c r="C18" i="4"/>
  <c r="B18" i="4"/>
  <c r="A18" i="4"/>
  <c r="W17" i="4"/>
  <c r="V17" i="4"/>
  <c r="U17" i="4"/>
  <c r="F17" i="4"/>
  <c r="D17" i="4"/>
  <c r="C17" i="4"/>
  <c r="B17" i="4"/>
  <c r="A17" i="4"/>
  <c r="W16" i="4"/>
  <c r="V16" i="4"/>
  <c r="U16" i="4"/>
  <c r="F16" i="4"/>
  <c r="D16" i="4"/>
  <c r="C16" i="4"/>
  <c r="B16" i="4"/>
  <c r="A16" i="4"/>
  <c r="W15" i="4"/>
  <c r="V15" i="4"/>
  <c r="U15" i="4"/>
  <c r="F15" i="4"/>
  <c r="D15" i="4"/>
  <c r="C15" i="4"/>
  <c r="B15" i="4"/>
  <c r="A15" i="4"/>
  <c r="W14" i="4"/>
  <c r="V14" i="4"/>
  <c r="U14" i="4"/>
  <c r="F14" i="4"/>
  <c r="D14" i="4"/>
  <c r="C14" i="4"/>
  <c r="B14" i="4"/>
  <c r="A14" i="4"/>
  <c r="W13" i="4"/>
  <c r="V13" i="4"/>
  <c r="U13" i="4"/>
  <c r="F13" i="4"/>
  <c r="D13" i="4"/>
  <c r="C13" i="4"/>
  <c r="B13" i="4"/>
  <c r="A13" i="4"/>
  <c r="W12" i="4"/>
  <c r="V12" i="4"/>
  <c r="U12" i="4"/>
  <c r="F12" i="4"/>
  <c r="D12" i="4"/>
  <c r="C12" i="4"/>
  <c r="B12" i="4"/>
  <c r="A12" i="4"/>
  <c r="W11" i="4"/>
  <c r="V11" i="4"/>
  <c r="U11" i="4"/>
  <c r="F11" i="4"/>
  <c r="D11" i="4"/>
  <c r="C11" i="4"/>
  <c r="B11" i="4"/>
  <c r="A11" i="4"/>
  <c r="W10" i="4"/>
  <c r="V10" i="4"/>
  <c r="U10" i="4"/>
  <c r="F10" i="4"/>
  <c r="D10" i="4"/>
  <c r="C10" i="4"/>
  <c r="B10" i="4"/>
  <c r="A10" i="4"/>
  <c r="W9" i="4"/>
  <c r="V9" i="4"/>
  <c r="U9" i="4"/>
  <c r="F9" i="4"/>
  <c r="D9" i="4"/>
  <c r="C9" i="4"/>
  <c r="B9" i="4"/>
  <c r="A9" i="4"/>
  <c r="W8" i="4"/>
  <c r="V8" i="4"/>
  <c r="U8" i="4"/>
  <c r="F8" i="4"/>
  <c r="D8" i="4"/>
  <c r="C8" i="4"/>
  <c r="B8" i="4"/>
  <c r="A8" i="4"/>
  <c r="W7" i="4"/>
  <c r="V7" i="4"/>
  <c r="U7" i="4"/>
  <c r="F7" i="4"/>
  <c r="D7" i="4"/>
  <c r="C7" i="4"/>
  <c r="B7" i="4"/>
  <c r="A7" i="4"/>
  <c r="W6" i="4"/>
  <c r="V6" i="4"/>
  <c r="U6" i="4"/>
  <c r="F6" i="4"/>
  <c r="D6" i="4"/>
  <c r="C6" i="4"/>
  <c r="B6" i="4"/>
  <c r="A6" i="4"/>
  <c r="W5" i="4"/>
  <c r="V5" i="4"/>
  <c r="U5" i="4"/>
  <c r="F5" i="4"/>
  <c r="D5" i="4"/>
  <c r="C5" i="4"/>
  <c r="B5" i="4"/>
  <c r="A5" i="4"/>
  <c r="W4" i="4"/>
  <c r="V4" i="4"/>
  <c r="U4" i="4"/>
  <c r="F4" i="4"/>
  <c r="D4" i="4"/>
  <c r="C4" i="4"/>
  <c r="B4" i="4"/>
  <c r="A4" i="4"/>
  <c r="W3" i="4"/>
  <c r="V3" i="4"/>
  <c r="U3" i="4"/>
  <c r="F3" i="4"/>
  <c r="D3" i="4"/>
  <c r="C3" i="4"/>
  <c r="B3" i="4"/>
  <c r="A3" i="4"/>
  <c r="W2" i="4"/>
  <c r="V2" i="4"/>
  <c r="U2" i="4"/>
  <c r="F2" i="4"/>
  <c r="D2" i="4"/>
  <c r="C2" i="4"/>
  <c r="B2" i="4"/>
  <c r="A2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1" i="4"/>
  <c r="H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G138" i="1"/>
  <c r="L11" i="3"/>
  <c r="K11" i="3"/>
  <c r="J11" i="3"/>
  <c r="I11" i="3"/>
  <c r="H11" i="3"/>
  <c r="G11" i="3"/>
  <c r="M10" i="3"/>
  <c r="N10" i="3"/>
  <c r="M9" i="3"/>
  <c r="N9" i="3"/>
  <c r="F11" i="3"/>
  <c r="E11" i="3"/>
  <c r="O3" i="3"/>
  <c r="I36" i="52" l="1"/>
  <c r="E37" i="52" s="1"/>
  <c r="H81" i="15"/>
  <c r="B11" i="3"/>
  <c r="J3" i="1"/>
  <c r="D11" i="3"/>
  <c r="Z5" i="1"/>
  <c r="C11" i="3"/>
  <c r="O10" i="3"/>
  <c r="O9" i="3"/>
  <c r="M8" i="3"/>
  <c r="N8" i="3"/>
  <c r="N11" i="3" s="1"/>
  <c r="G37" i="52" l="1"/>
  <c r="O11" i="18"/>
  <c r="O30" i="32"/>
  <c r="F37" i="14"/>
  <c r="G81" i="15"/>
  <c r="M11" i="3"/>
  <c r="C248" i="1" s="1"/>
  <c r="C249" i="1" s="1"/>
  <c r="O8" i="3"/>
  <c r="O11" i="3" s="1"/>
  <c r="H37" i="52" l="1"/>
  <c r="C4" i="53" a="1"/>
  <c r="I81" i="15"/>
  <c r="F11" i="16"/>
  <c r="F134" i="22" s="1"/>
  <c r="G11" i="16"/>
  <c r="G134" i="22" s="1"/>
  <c r="A6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A138" i="1"/>
  <c r="B138" i="1"/>
  <c r="C138" i="1"/>
  <c r="D138" i="1"/>
  <c r="F138" i="1"/>
  <c r="V138" i="1"/>
  <c r="W138" i="1"/>
  <c r="X138" i="1"/>
  <c r="Y138" i="1"/>
  <c r="E4" i="53" l="1"/>
  <c r="H4" i="53"/>
  <c r="F4" i="53"/>
  <c r="M4" i="53"/>
  <c r="J4" i="53"/>
  <c r="I4" i="53"/>
  <c r="D4" i="53"/>
  <c r="C4" i="53"/>
  <c r="O4" i="53" s="1"/>
  <c r="K4" i="53"/>
  <c r="G4" i="53"/>
  <c r="L4" i="53"/>
  <c r="N4" i="53"/>
  <c r="C11" i="53" a="1"/>
  <c r="I37" i="52"/>
  <c r="E38" i="52" s="1"/>
  <c r="G38" i="52" s="1"/>
  <c r="H37" i="14"/>
  <c r="J37" i="14"/>
  <c r="H38" i="52" l="1"/>
  <c r="F11" i="53"/>
  <c r="F18" i="53" s="1"/>
  <c r="M11" i="53"/>
  <c r="M18" i="53" s="1"/>
  <c r="D11" i="53"/>
  <c r="D18" i="53" s="1"/>
  <c r="I11" i="53"/>
  <c r="I18" i="53" s="1"/>
  <c r="L11" i="53"/>
  <c r="L18" i="53" s="1"/>
  <c r="C11" i="53"/>
  <c r="G11" i="53"/>
  <c r="G18" i="53" s="1"/>
  <c r="K11" i="53"/>
  <c r="K18" i="53" s="1"/>
  <c r="E11" i="53"/>
  <c r="E18" i="53" s="1"/>
  <c r="J11" i="53"/>
  <c r="J18" i="53" s="1"/>
  <c r="H11" i="53"/>
  <c r="H18" i="53" s="1"/>
  <c r="N11" i="53"/>
  <c r="N18" i="53" s="1"/>
  <c r="H11" i="16"/>
  <c r="H134" i="22" s="1"/>
  <c r="J81" i="15"/>
  <c r="J11" i="16" s="1"/>
  <c r="J134" i="22" s="1"/>
  <c r="I38" i="52" l="1"/>
  <c r="E39" i="52" s="1"/>
  <c r="G39" i="52" s="1"/>
  <c r="H39" i="52" s="1"/>
  <c r="I39" i="52" s="1"/>
  <c r="E40" i="52" s="1"/>
  <c r="G40" i="52" s="1"/>
  <c r="H40" i="52" s="1"/>
  <c r="I40" i="52" s="1"/>
  <c r="E41" i="52" s="1"/>
  <c r="G41" i="52" s="1"/>
  <c r="H41" i="52" s="1"/>
  <c r="I41" i="52" s="1"/>
  <c r="E42" i="52" s="1"/>
  <c r="G42" i="52" s="1"/>
  <c r="H42" i="52" s="1"/>
  <c r="I42" i="52" s="1"/>
  <c r="E43" i="52" s="1"/>
  <c r="G43" i="52" s="1"/>
  <c r="H43" i="52" s="1"/>
  <c r="I43" i="52" s="1"/>
  <c r="E44" i="52" s="1"/>
  <c r="G44" i="52" s="1"/>
  <c r="H44" i="52" s="1"/>
  <c r="I44" i="52" s="1"/>
  <c r="E45" i="52" s="1"/>
  <c r="C18" i="53"/>
  <c r="O18" i="53" s="1"/>
  <c r="O11" i="53"/>
  <c r="I37" i="14"/>
  <c r="G45" i="52" l="1"/>
  <c r="H45" i="52" s="1"/>
  <c r="I45" i="52" s="1"/>
  <c r="E46" i="52" s="1"/>
  <c r="K81" i="15"/>
  <c r="L81" i="15"/>
  <c r="I11" i="16"/>
  <c r="I134" i="22" s="1"/>
  <c r="L37" i="14"/>
  <c r="G46" i="52" l="1"/>
  <c r="H46" i="52" s="1"/>
  <c r="I46" i="52" s="1"/>
  <c r="E47" i="52" s="1"/>
  <c r="L11" i="16"/>
  <c r="L134" i="22" s="1"/>
  <c r="M37" i="14"/>
  <c r="O5" i="19"/>
  <c r="G47" i="52" l="1"/>
  <c r="H47" i="52" s="1"/>
  <c r="I47" i="52" s="1"/>
  <c r="E48" i="52" s="1"/>
  <c r="N81" i="15"/>
  <c r="M81" i="15"/>
  <c r="M11" i="16" s="1"/>
  <c r="M134" i="22" s="1"/>
  <c r="G52" i="52"/>
  <c r="H52" i="52" s="1"/>
  <c r="I52" i="52" s="1"/>
  <c r="E53" i="52" s="1"/>
  <c r="K37" i="14"/>
  <c r="G48" i="52" l="1"/>
  <c r="H48" i="52" s="1"/>
  <c r="I48" i="52" s="1"/>
  <c r="E49" i="52" s="1"/>
  <c r="G49" i="52" s="1"/>
  <c r="G53" i="52"/>
  <c r="H53" i="52" s="1"/>
  <c r="I53" i="52" s="1"/>
  <c r="E54" i="52" s="1"/>
  <c r="G54" i="52" s="1"/>
  <c r="H54" i="52" s="1"/>
  <c r="I54" i="52" s="1"/>
  <c r="E55" i="52" s="1"/>
  <c r="G55" i="52" s="1"/>
  <c r="K11" i="16"/>
  <c r="K134" i="22" s="1"/>
  <c r="H49" i="52" l="1"/>
  <c r="C5" i="53" a="1"/>
  <c r="H55" i="52"/>
  <c r="O37" i="14"/>
  <c r="I49" i="52" l="1"/>
  <c r="E50" i="52" s="1"/>
  <c r="G50" i="52" s="1"/>
  <c r="C12" i="53" a="1"/>
  <c r="C5" i="53"/>
  <c r="J5" i="53"/>
  <c r="I5" i="53"/>
  <c r="D5" i="53"/>
  <c r="H5" i="53"/>
  <c r="K5" i="53"/>
  <c r="G5" i="53"/>
  <c r="N5" i="53"/>
  <c r="L5" i="53"/>
  <c r="F5" i="53"/>
  <c r="M5" i="53"/>
  <c r="E5" i="53"/>
  <c r="I55" i="52"/>
  <c r="N37" i="14"/>
  <c r="C12" i="53" l="1"/>
  <c r="H12" i="53"/>
  <c r="H19" i="53" s="1"/>
  <c r="H21" i="53" s="1"/>
  <c r="I12" i="53"/>
  <c r="I19" i="53" s="1"/>
  <c r="I21" i="53" s="1"/>
  <c r="J12" i="53"/>
  <c r="J19" i="53" s="1"/>
  <c r="J21" i="53" s="1"/>
  <c r="N12" i="53"/>
  <c r="N19" i="53" s="1"/>
  <c r="N21" i="53" s="1"/>
  <c r="F12" i="53"/>
  <c r="F19" i="53" s="1"/>
  <c r="F21" i="53" s="1"/>
  <c r="M12" i="53"/>
  <c r="M19" i="53" s="1"/>
  <c r="M21" i="53" s="1"/>
  <c r="E12" i="53"/>
  <c r="E19" i="53" s="1"/>
  <c r="E21" i="53" s="1"/>
  <c r="L12" i="53"/>
  <c r="L19" i="53" s="1"/>
  <c r="L21" i="53" s="1"/>
  <c r="D12" i="53"/>
  <c r="D19" i="53" s="1"/>
  <c r="D21" i="53" s="1"/>
  <c r="K12" i="53"/>
  <c r="K19" i="53" s="1"/>
  <c r="K21" i="53" s="1"/>
  <c r="G12" i="53"/>
  <c r="H50" i="52"/>
  <c r="O5" i="53"/>
  <c r="N11" i="16"/>
  <c r="N134" i="22" s="1"/>
  <c r="P37" i="14"/>
  <c r="O81" i="15"/>
  <c r="G19" i="53" l="1"/>
  <c r="G21" i="53" s="1"/>
  <c r="C19" i="53"/>
  <c r="O19" i="53" s="1"/>
  <c r="O12" i="53"/>
  <c r="I50" i="52"/>
  <c r="E51" i="52" s="1"/>
  <c r="G51" i="52" s="1"/>
  <c r="O12" i="18"/>
  <c r="O31" i="32"/>
  <c r="O11" i="16"/>
  <c r="O134" i="22" s="1"/>
  <c r="P81" i="15"/>
  <c r="H51" i="52" l="1"/>
  <c r="G110" i="52"/>
  <c r="C6" i="53" a="1"/>
  <c r="O21" i="53"/>
  <c r="P21" i="53" s="1"/>
  <c r="C21" i="53"/>
  <c r="P11" i="16"/>
  <c r="J6" i="53" l="1"/>
  <c r="J7" i="53" s="1"/>
  <c r="H6" i="53"/>
  <c r="H7" i="53" s="1"/>
  <c r="K6" i="53"/>
  <c r="K7" i="53" s="1"/>
  <c r="G6" i="53"/>
  <c r="G7" i="53" s="1"/>
  <c r="C6" i="53"/>
  <c r="I6" i="53"/>
  <c r="I7" i="53" s="1"/>
  <c r="N6" i="53"/>
  <c r="N7" i="53" s="1"/>
  <c r="F6" i="53"/>
  <c r="F7" i="53" s="1"/>
  <c r="L6" i="53"/>
  <c r="L7" i="53" s="1"/>
  <c r="M6" i="53"/>
  <c r="M7" i="53" s="1"/>
  <c r="E6" i="53"/>
  <c r="E7" i="53" s="1"/>
  <c r="D6" i="53"/>
  <c r="D7" i="53" s="1"/>
  <c r="I51" i="52"/>
  <c r="E52" i="52" s="1"/>
  <c r="H110" i="52"/>
  <c r="C13" i="53" a="1"/>
  <c r="P134" i="22"/>
  <c r="O6" i="53" l="1"/>
  <c r="O7" i="53" s="1"/>
  <c r="P7" i="53" s="1"/>
  <c r="C7" i="53"/>
  <c r="C13" i="53"/>
  <c r="J13" i="53"/>
  <c r="J14" i="53" s="1"/>
  <c r="N13" i="53"/>
  <c r="N14" i="53" s="1"/>
  <c r="F13" i="53"/>
  <c r="F14" i="53" s="1"/>
  <c r="M13" i="53"/>
  <c r="M14" i="53" s="1"/>
  <c r="E13" i="53"/>
  <c r="E14" i="53" s="1"/>
  <c r="G13" i="53"/>
  <c r="G14" i="53" s="1"/>
  <c r="L13" i="53"/>
  <c r="L14" i="53" s="1"/>
  <c r="I13" i="53"/>
  <c r="I14" i="53" s="1"/>
  <c r="D13" i="53"/>
  <c r="D14" i="53" s="1"/>
  <c r="H13" i="53"/>
  <c r="H14" i="53" s="1"/>
  <c r="K13" i="53"/>
  <c r="K14" i="53" s="1"/>
  <c r="P81" i="22"/>
  <c r="O13" i="53" l="1"/>
  <c r="O14" i="53" s="1"/>
  <c r="P14" i="53" s="1"/>
  <c r="C14" i="53"/>
  <c r="O13" i="18"/>
  <c r="O32" i="32"/>
  <c r="O33" i="32" l="1"/>
  <c r="E14" i="23" l="1"/>
  <c r="F14" i="23" l="1"/>
  <c r="G14" i="23" l="1"/>
  <c r="H14" i="23" l="1"/>
  <c r="I14" i="23" l="1"/>
  <c r="J14" i="23" l="1"/>
  <c r="K14" i="23" l="1"/>
  <c r="L14" i="23" l="1"/>
  <c r="M14" i="23" l="1"/>
  <c r="P24" i="23"/>
  <c r="N14" i="23" l="1"/>
  <c r="O14" i="23" l="1"/>
  <c r="P198" i="22"/>
  <c r="P14" i="23" l="1"/>
  <c r="P67" i="22" l="1"/>
  <c r="T42" i="7" l="1"/>
  <c r="U42" i="7" s="1"/>
  <c r="P58" i="23" l="1"/>
  <c r="P59" i="23" s="1"/>
  <c r="P68" i="23" s="1"/>
  <c r="D59" i="23"/>
  <c r="D68" i="23" l="1"/>
  <c r="C43" i="33" l="1"/>
  <c r="C45" i="33" s="1"/>
  <c r="C2" i="33" s="1"/>
  <c r="C72" i="19" s="1"/>
  <c r="D20" i="19" l="1"/>
  <c r="E20" i="19"/>
  <c r="F20" i="19"/>
  <c r="G10" i="22" s="1"/>
  <c r="G20" i="19"/>
  <c r="H20" i="19"/>
  <c r="K20" i="19"/>
  <c r="L20" i="19"/>
  <c r="M10" i="22" s="1"/>
  <c r="M20" i="19"/>
  <c r="N20" i="19"/>
  <c r="O10" i="22" s="1"/>
  <c r="I20" i="19"/>
  <c r="J20" i="19"/>
  <c r="K10" i="22" s="1"/>
  <c r="H10" i="22" l="1"/>
  <c r="J10" i="22"/>
  <c r="N10" i="22"/>
  <c r="F10" i="22"/>
  <c r="L10" i="22"/>
  <c r="I10" i="22"/>
  <c r="E10" i="22"/>
  <c r="O3" i="18" l="1"/>
  <c r="O22" i="32"/>
  <c r="O23" i="32"/>
  <c r="C35" i="32"/>
  <c r="D35" i="32"/>
  <c r="E35" i="32"/>
  <c r="F35" i="32"/>
  <c r="G35" i="32"/>
  <c r="H35" i="32"/>
  <c r="I35" i="32"/>
  <c r="J35" i="32"/>
  <c r="K35" i="32"/>
  <c r="L35" i="32"/>
  <c r="M35" i="32"/>
  <c r="N35" i="32"/>
  <c r="O35" i="32" l="1"/>
  <c r="O20" i="19"/>
  <c r="P20" i="19" s="1"/>
  <c r="D10" i="22"/>
  <c r="O4" i="18"/>
  <c r="D258" i="22" l="1"/>
  <c r="E258" i="22" s="1"/>
  <c r="F258" i="22" s="1"/>
  <c r="G258" i="22" s="1"/>
  <c r="H258" i="22" s="1"/>
  <c r="I258" i="22" s="1"/>
  <c r="J258" i="22" s="1"/>
  <c r="K258" i="22" s="1"/>
  <c r="L258" i="22" s="1"/>
  <c r="M258" i="22" s="1"/>
  <c r="N258" i="22" s="1"/>
  <c r="O258" i="22" s="1"/>
  <c r="P10" i="22"/>
  <c r="O15" i="18"/>
  <c r="O36" i="32" l="1"/>
  <c r="O37" i="32" s="1"/>
  <c r="H15" i="10" l="1"/>
  <c r="E43" i="33"/>
  <c r="E45" i="33" s="1"/>
  <c r="E2" i="33" s="1"/>
  <c r="E72" i="19" s="1"/>
  <c r="E15" i="10"/>
  <c r="F15" i="10"/>
  <c r="G23" i="15" l="1"/>
  <c r="G24" i="15" s="1"/>
  <c r="F53" i="10"/>
  <c r="F23" i="15"/>
  <c r="F24" i="15" s="1"/>
  <c r="E53" i="10"/>
  <c r="I23" i="15"/>
  <c r="I24" i="15" s="1"/>
  <c r="H53" i="10"/>
  <c r="I53" i="15"/>
  <c r="H43" i="33"/>
  <c r="H45" i="33" s="1"/>
  <c r="H2" i="33" s="1"/>
  <c r="H72" i="19" s="1"/>
  <c r="H76" i="19" s="1"/>
  <c r="G43" i="33"/>
  <c r="F43" i="33"/>
  <c r="F45" i="33" s="1"/>
  <c r="F2" i="33" s="1"/>
  <c r="F72" i="19" s="1"/>
  <c r="F76" i="19" s="1"/>
  <c r="G53" i="15"/>
  <c r="D15" i="10"/>
  <c r="D43" i="33"/>
  <c r="D45" i="33" s="1"/>
  <c r="D2" i="33" s="1"/>
  <c r="D72" i="19" s="1"/>
  <c r="F53" i="15"/>
  <c r="E6" i="19"/>
  <c r="E75" i="19" s="1"/>
  <c r="E76" i="19" s="1"/>
  <c r="E23" i="15" l="1"/>
  <c r="E24" i="15" s="1"/>
  <c r="D53" i="10"/>
  <c r="H55" i="10"/>
  <c r="H54" i="10"/>
  <c r="E55" i="10"/>
  <c r="E54" i="10"/>
  <c r="F55" i="10"/>
  <c r="F54" i="10"/>
  <c r="D6" i="19"/>
  <c r="D75" i="19" s="1"/>
  <c r="D76" i="19" s="1"/>
  <c r="N39" i="7"/>
  <c r="O39" i="7"/>
  <c r="O44" i="7" s="1"/>
  <c r="D54" i="10" l="1"/>
  <c r="D55" i="10"/>
  <c r="F25" i="11"/>
  <c r="N44" i="7"/>
  <c r="E53" i="15"/>
  <c r="F161" i="11" l="1"/>
  <c r="F24" i="55"/>
  <c r="P3" i="16"/>
  <c r="F26" i="11"/>
  <c r="G23" i="26"/>
  <c r="E26" i="55"/>
  <c r="F162" i="11" l="1"/>
  <c r="F164" i="11" s="1"/>
  <c r="F26" i="55"/>
  <c r="F7" i="14" s="1"/>
  <c r="G24" i="55"/>
  <c r="I24" i="55"/>
  <c r="I25" i="11"/>
  <c r="G25" i="11"/>
  <c r="P126" i="22"/>
  <c r="F29" i="15"/>
  <c r="I162" i="11"/>
  <c r="E29" i="15"/>
  <c r="G161" i="11" l="1"/>
  <c r="I26" i="11"/>
  <c r="I161" i="11"/>
  <c r="G162" i="11"/>
  <c r="G26" i="55"/>
  <c r="G7" i="14" s="1"/>
  <c r="I26" i="55"/>
  <c r="I7" i="14" s="1"/>
  <c r="G26" i="11"/>
  <c r="G29" i="15"/>
  <c r="E7" i="14"/>
  <c r="G164" i="11" l="1"/>
  <c r="I164" i="11"/>
  <c r="E25" i="11"/>
  <c r="E26" i="11" l="1"/>
  <c r="E161" i="11"/>
  <c r="I29" i="15"/>
  <c r="E162" i="11"/>
  <c r="E164" i="11" l="1"/>
  <c r="L86" i="56" l="1"/>
  <c r="K86" i="56" l="1"/>
  <c r="J74" i="56"/>
  <c r="J86" i="56" s="1"/>
  <c r="J43" i="33" l="1"/>
  <c r="I43" i="33"/>
  <c r="L43" i="33" l="1"/>
  <c r="K43" i="33"/>
  <c r="M43" i="33" l="1"/>
  <c r="N43" i="33"/>
  <c r="O42" i="33" l="1"/>
  <c r="O43" i="33" s="1"/>
  <c r="O14" i="10"/>
  <c r="P61" i="7" l="1"/>
  <c r="O28" i="10"/>
  <c r="O6" i="19" l="1"/>
  <c r="C15" i="10" l="1"/>
  <c r="C19" i="10"/>
  <c r="O4" i="10"/>
  <c r="C32" i="10" l="1"/>
  <c r="D23" i="15"/>
  <c r="D24" i="15" s="1"/>
  <c r="C53" i="10"/>
  <c r="C4" i="19"/>
  <c r="C75" i="19" s="1"/>
  <c r="C76" i="19" s="1"/>
  <c r="O19" i="10"/>
  <c r="C55" i="10" l="1"/>
  <c r="C54" i="10"/>
  <c r="D53" i="15"/>
  <c r="B19" i="10" l="1"/>
  <c r="C79" i="56"/>
  <c r="H59" i="10" l="1"/>
  <c r="G114" i="74" s="1"/>
  <c r="H68" i="10"/>
  <c r="H77" i="10"/>
  <c r="H86" i="10"/>
  <c r="H95" i="10"/>
  <c r="H104" i="10"/>
  <c r="H113" i="10"/>
  <c r="H122" i="10"/>
  <c r="H131" i="10"/>
  <c r="H140" i="10"/>
  <c r="H149" i="10"/>
  <c r="H158" i="10"/>
  <c r="F67" i="10"/>
  <c r="E122" i="74" s="1"/>
  <c r="F76" i="10"/>
  <c r="E131" i="74" s="1"/>
  <c r="F85" i="10"/>
  <c r="E140" i="74" s="1"/>
  <c r="F94" i="10"/>
  <c r="E149" i="74" s="1"/>
  <c r="F103" i="10"/>
  <c r="E158" i="74" s="1"/>
  <c r="F112" i="10"/>
  <c r="E167" i="74" s="1"/>
  <c r="F121" i="10"/>
  <c r="E176" i="74" s="1"/>
  <c r="F130" i="10"/>
  <c r="E185" i="74" s="1"/>
  <c r="F139" i="10"/>
  <c r="E194" i="74" s="1"/>
  <c r="F148" i="10"/>
  <c r="E203" i="74" s="1"/>
  <c r="F157" i="10"/>
  <c r="E212" i="74" s="1"/>
  <c r="F166" i="10"/>
  <c r="E221" i="74" s="1"/>
  <c r="I74" i="56"/>
  <c r="I80" i="56" s="1"/>
  <c r="F59" i="10"/>
  <c r="E114" i="74" s="1"/>
  <c r="I59" i="10"/>
  <c r="H114" i="74" s="1"/>
  <c r="F68" i="10"/>
  <c r="E123" i="74" s="1"/>
  <c r="F77" i="10"/>
  <c r="E132" i="74" s="1"/>
  <c r="F86" i="10"/>
  <c r="E141" i="74" s="1"/>
  <c r="F95" i="10"/>
  <c r="E150" i="74" s="1"/>
  <c r="F104" i="10"/>
  <c r="E159" i="74" s="1"/>
  <c r="F113" i="10"/>
  <c r="E168" i="74" s="1"/>
  <c r="F122" i="10"/>
  <c r="E177" i="74" s="1"/>
  <c r="F131" i="10"/>
  <c r="E186" i="74" s="1"/>
  <c r="F140" i="10"/>
  <c r="E195" i="74" s="1"/>
  <c r="F149" i="10"/>
  <c r="E204" i="74" s="1"/>
  <c r="F158" i="10"/>
  <c r="E213" i="74" s="1"/>
  <c r="B26" i="7"/>
  <c r="B45" i="10"/>
  <c r="C101" i="56"/>
  <c r="I113" i="10" l="1"/>
  <c r="H168" i="74" s="1"/>
  <c r="G168" i="74"/>
  <c r="I68" i="10"/>
  <c r="H123" i="74" s="1"/>
  <c r="G123" i="74"/>
  <c r="I140" i="10"/>
  <c r="H195" i="74" s="1"/>
  <c r="G195" i="74"/>
  <c r="I95" i="10"/>
  <c r="H150" i="74" s="1"/>
  <c r="G150" i="74"/>
  <c r="I77" i="10"/>
  <c r="H132" i="74" s="1"/>
  <c r="G132" i="74"/>
  <c r="I122" i="10"/>
  <c r="H177" i="74" s="1"/>
  <c r="G177" i="74"/>
  <c r="I104" i="10"/>
  <c r="H159" i="74" s="1"/>
  <c r="G159" i="74"/>
  <c r="I149" i="10"/>
  <c r="H204" i="74" s="1"/>
  <c r="G204" i="74"/>
  <c r="I86" i="10"/>
  <c r="H141" i="74" s="1"/>
  <c r="G141" i="74"/>
  <c r="I131" i="10"/>
  <c r="H186" i="74" s="1"/>
  <c r="G186" i="74"/>
  <c r="I158" i="10"/>
  <c r="H213" i="74" s="1"/>
  <c r="G213" i="74"/>
  <c r="K85" i="10"/>
  <c r="J140" i="74" s="1"/>
  <c r="J85" i="10"/>
  <c r="I140" i="74" s="1"/>
  <c r="K148" i="10"/>
  <c r="J203" i="74" s="1"/>
  <c r="J148" i="10"/>
  <c r="I203" i="74" s="1"/>
  <c r="K112" i="10"/>
  <c r="J167" i="74" s="1"/>
  <c r="J112" i="10"/>
  <c r="I167" i="74" s="1"/>
  <c r="K76" i="10"/>
  <c r="J131" i="74" s="1"/>
  <c r="J76" i="10"/>
  <c r="I131" i="74" s="1"/>
  <c r="K157" i="10"/>
  <c r="J212" i="74" s="1"/>
  <c r="J157" i="10"/>
  <c r="I212" i="74" s="1"/>
  <c r="K103" i="10"/>
  <c r="J158" i="74" s="1"/>
  <c r="J103" i="10"/>
  <c r="I158" i="74" s="1"/>
  <c r="K67" i="10"/>
  <c r="J122" i="74" s="1"/>
  <c r="J67" i="10"/>
  <c r="I122" i="74" s="1"/>
  <c r="K139" i="10"/>
  <c r="J194" i="74" s="1"/>
  <c r="J139" i="10"/>
  <c r="I194" i="74" s="1"/>
  <c r="K166" i="10"/>
  <c r="J221" i="74" s="1"/>
  <c r="J166" i="10"/>
  <c r="I221" i="74" s="1"/>
  <c r="K121" i="10"/>
  <c r="J176" i="74" s="1"/>
  <c r="J121" i="10"/>
  <c r="I176" i="74" s="1"/>
  <c r="K130" i="10"/>
  <c r="J185" i="74" s="1"/>
  <c r="J130" i="10"/>
  <c r="I185" i="74" s="1"/>
  <c r="K94" i="10"/>
  <c r="J149" i="74" s="1"/>
  <c r="J94" i="10"/>
  <c r="I149" i="74" s="1"/>
  <c r="K68" i="10"/>
  <c r="J123" i="74" s="1"/>
  <c r="J68" i="10"/>
  <c r="I123" i="74" s="1"/>
  <c r="K113" i="10"/>
  <c r="J168" i="74" s="1"/>
  <c r="J113" i="10"/>
  <c r="I168" i="74" s="1"/>
  <c r="K104" i="10"/>
  <c r="J159" i="74" s="1"/>
  <c r="J104" i="10"/>
  <c r="I159" i="74" s="1"/>
  <c r="K77" i="10"/>
  <c r="J132" i="74" s="1"/>
  <c r="J77" i="10"/>
  <c r="I132" i="74" s="1"/>
  <c r="K86" i="10"/>
  <c r="J141" i="74" s="1"/>
  <c r="J140" i="10"/>
  <c r="I195" i="74" s="1"/>
  <c r="K59" i="10"/>
  <c r="J114" i="74" s="1"/>
  <c r="J59" i="10"/>
  <c r="I114" i="74" s="1"/>
  <c r="B4" i="15"/>
  <c r="E91" i="15" s="1"/>
  <c r="G91" i="15" s="1"/>
  <c r="B33" i="7"/>
  <c r="B9" i="10"/>
  <c r="B35" i="33"/>
  <c r="B20" i="7"/>
  <c r="B27" i="7" s="1"/>
  <c r="B5" i="15" s="1"/>
  <c r="C80" i="56"/>
  <c r="J158" i="10" l="1"/>
  <c r="I213" i="74" s="1"/>
  <c r="K158" i="10"/>
  <c r="J213" i="74" s="1"/>
  <c r="J86" i="10"/>
  <c r="I141" i="74" s="1"/>
  <c r="J149" i="10"/>
  <c r="I204" i="74" s="1"/>
  <c r="K149" i="10"/>
  <c r="J204" i="74" s="1"/>
  <c r="J122" i="10"/>
  <c r="I177" i="74" s="1"/>
  <c r="J131" i="10"/>
  <c r="I186" i="74" s="1"/>
  <c r="K131" i="10"/>
  <c r="J186" i="74" s="1"/>
  <c r="J95" i="10"/>
  <c r="I150" i="74" s="1"/>
  <c r="K122" i="10"/>
  <c r="J177" i="74" s="1"/>
  <c r="H74" i="10"/>
  <c r="H88" i="10"/>
  <c r="H106" i="10"/>
  <c r="H119" i="10"/>
  <c r="H133" i="10"/>
  <c r="H138" i="10"/>
  <c r="H62" i="10"/>
  <c r="H79" i="10"/>
  <c r="H102" i="10"/>
  <c r="H116" i="10"/>
  <c r="H137" i="10"/>
  <c r="H155" i="10"/>
  <c r="H164" i="10"/>
  <c r="H66" i="10"/>
  <c r="H161" i="10"/>
  <c r="H61" i="10"/>
  <c r="G116" i="74" s="1"/>
  <c r="H75" i="10"/>
  <c r="H92" i="10"/>
  <c r="H110" i="10"/>
  <c r="H120" i="10"/>
  <c r="H129" i="10"/>
  <c r="H160" i="10"/>
  <c r="H142" i="10"/>
  <c r="H65" i="10"/>
  <c r="H80" i="10"/>
  <c r="H93" i="10"/>
  <c r="H125" i="10"/>
  <c r="H134" i="10"/>
  <c r="H147" i="10"/>
  <c r="H165" i="10"/>
  <c r="H98" i="10"/>
  <c r="H71" i="10"/>
  <c r="H83" i="10"/>
  <c r="H101" i="10"/>
  <c r="H107" i="10"/>
  <c r="H143" i="10"/>
  <c r="H152" i="10"/>
  <c r="H70" i="10"/>
  <c r="H111" i="10"/>
  <c r="H124" i="10"/>
  <c r="H151" i="10"/>
  <c r="H115" i="10"/>
  <c r="H84" i="10"/>
  <c r="H97" i="10"/>
  <c r="H128" i="10"/>
  <c r="H146" i="10"/>
  <c r="H156" i="10"/>
  <c r="H89" i="10"/>
  <c r="K140" i="10"/>
  <c r="J195" i="74" s="1"/>
  <c r="K95" i="10"/>
  <c r="J150" i="74" s="1"/>
  <c r="F190" i="10"/>
  <c r="F171" i="10"/>
  <c r="F192" i="10"/>
  <c r="F182" i="10"/>
  <c r="F172" i="10"/>
  <c r="F184" i="10"/>
  <c r="F174" i="10"/>
  <c r="F186" i="10"/>
  <c r="F176" i="10"/>
  <c r="F175" i="10"/>
  <c r="F181" i="10"/>
  <c r="F178" i="10"/>
  <c r="F173" i="10"/>
  <c r="F187" i="10"/>
  <c r="F189" i="10"/>
  <c r="F170" i="10"/>
  <c r="F191" i="10"/>
  <c r="F185" i="10"/>
  <c r="F188" i="10"/>
  <c r="F193" i="10"/>
  <c r="F183" i="10"/>
  <c r="F179" i="10"/>
  <c r="F177" i="10"/>
  <c r="F180" i="10"/>
  <c r="B17" i="33"/>
  <c r="B56" i="33"/>
  <c r="F106" i="10"/>
  <c r="E161" i="74" s="1"/>
  <c r="F125" i="10"/>
  <c r="E180" i="74" s="1"/>
  <c r="F165" i="10"/>
  <c r="E220" i="74" s="1"/>
  <c r="F110" i="10"/>
  <c r="E165" i="74" s="1"/>
  <c r="F107" i="10"/>
  <c r="E162" i="74" s="1"/>
  <c r="F120" i="10"/>
  <c r="E175" i="74" s="1"/>
  <c r="F133" i="10"/>
  <c r="E188" i="74" s="1"/>
  <c r="F146" i="10"/>
  <c r="E201" i="74" s="1"/>
  <c r="F151" i="10"/>
  <c r="E206" i="74" s="1"/>
  <c r="F74" i="10"/>
  <c r="E129" i="74" s="1"/>
  <c r="F80" i="10"/>
  <c r="E135" i="74" s="1"/>
  <c r="F98" i="10"/>
  <c r="E153" i="74" s="1"/>
  <c r="F134" i="10"/>
  <c r="E189" i="74" s="1"/>
  <c r="F142" i="10"/>
  <c r="E197" i="74" s="1"/>
  <c r="F161" i="10"/>
  <c r="E216" i="74" s="1"/>
  <c r="I61" i="10"/>
  <c r="H116" i="74" s="1"/>
  <c r="F71" i="10"/>
  <c r="E126" i="74" s="1"/>
  <c r="F83" i="10"/>
  <c r="E138" i="74" s="1"/>
  <c r="F93" i="10"/>
  <c r="E148" i="74" s="1"/>
  <c r="F115" i="10"/>
  <c r="E170" i="74" s="1"/>
  <c r="F124" i="10"/>
  <c r="E179" i="74" s="1"/>
  <c r="F143" i="10"/>
  <c r="E198" i="74" s="1"/>
  <c r="F147" i="10"/>
  <c r="E202" i="74" s="1"/>
  <c r="F156" i="10"/>
  <c r="E211" i="74" s="1"/>
  <c r="F62" i="10"/>
  <c r="E117" i="74" s="1"/>
  <c r="F88" i="10"/>
  <c r="E143" i="74" s="1"/>
  <c r="F116" i="10"/>
  <c r="E171" i="74" s="1"/>
  <c r="F129" i="10"/>
  <c r="E184" i="74" s="1"/>
  <c r="F61" i="10"/>
  <c r="E116" i="74" s="1"/>
  <c r="F70" i="10"/>
  <c r="E125" i="74" s="1"/>
  <c r="F89" i="10"/>
  <c r="E144" i="74" s="1"/>
  <c r="F97" i="10"/>
  <c r="E152" i="74" s="1"/>
  <c r="F111" i="10"/>
  <c r="E166" i="74" s="1"/>
  <c r="F128" i="10"/>
  <c r="E183" i="74" s="1"/>
  <c r="F137" i="10"/>
  <c r="E192" i="74" s="1"/>
  <c r="F138" i="10"/>
  <c r="E193" i="74" s="1"/>
  <c r="F155" i="10"/>
  <c r="E210" i="74" s="1"/>
  <c r="F164" i="10"/>
  <c r="E219" i="74" s="1"/>
  <c r="F66" i="10"/>
  <c r="E121" i="74" s="1"/>
  <c r="F75" i="10"/>
  <c r="E130" i="74" s="1"/>
  <c r="F92" i="10"/>
  <c r="E147" i="74" s="1"/>
  <c r="F102" i="10"/>
  <c r="E157" i="74" s="1"/>
  <c r="F65" i="10"/>
  <c r="E120" i="74" s="1"/>
  <c r="F79" i="10"/>
  <c r="E134" i="74" s="1"/>
  <c r="F84" i="10"/>
  <c r="E139" i="74" s="1"/>
  <c r="F101" i="10"/>
  <c r="E156" i="74" s="1"/>
  <c r="F119" i="10"/>
  <c r="E174" i="74" s="1"/>
  <c r="F152" i="10"/>
  <c r="E207" i="74" s="1"/>
  <c r="F160" i="10"/>
  <c r="E215" i="74" s="1"/>
  <c r="B24" i="10"/>
  <c r="E63" i="10"/>
  <c r="C102" i="56"/>
  <c r="B5" i="10"/>
  <c r="I75" i="56"/>
  <c r="I81" i="56" s="1"/>
  <c r="I62" i="10" l="1"/>
  <c r="H117" i="74" s="1"/>
  <c r="G117" i="74"/>
  <c r="I89" i="10"/>
  <c r="H144" i="74" s="1"/>
  <c r="G144" i="74"/>
  <c r="I124" i="10"/>
  <c r="H179" i="74" s="1"/>
  <c r="G179" i="74"/>
  <c r="I71" i="10"/>
  <c r="H126" i="74" s="1"/>
  <c r="G126" i="74"/>
  <c r="I65" i="10"/>
  <c r="H120" i="74" s="1"/>
  <c r="G120" i="74"/>
  <c r="I79" i="10"/>
  <c r="H134" i="74" s="1"/>
  <c r="G134" i="74"/>
  <c r="I111" i="10"/>
  <c r="H166" i="74" s="1"/>
  <c r="G166" i="74"/>
  <c r="I146" i="10"/>
  <c r="H201" i="74" s="1"/>
  <c r="G201" i="74"/>
  <c r="I70" i="10"/>
  <c r="H125" i="74" s="1"/>
  <c r="G125" i="74"/>
  <c r="I165" i="10"/>
  <c r="H220" i="74" s="1"/>
  <c r="G220" i="74"/>
  <c r="I160" i="10"/>
  <c r="H215" i="74" s="1"/>
  <c r="G215" i="74"/>
  <c r="I66" i="10"/>
  <c r="H121" i="74" s="1"/>
  <c r="G121" i="74"/>
  <c r="I138" i="10"/>
  <c r="H193" i="74" s="1"/>
  <c r="G193" i="74"/>
  <c r="I156" i="10"/>
  <c r="H211" i="74" s="1"/>
  <c r="G211" i="74"/>
  <c r="I128" i="10"/>
  <c r="H183" i="74" s="1"/>
  <c r="G183" i="74"/>
  <c r="I152" i="10"/>
  <c r="H207" i="74" s="1"/>
  <c r="G207" i="74"/>
  <c r="I147" i="10"/>
  <c r="H202" i="74" s="1"/>
  <c r="G202" i="74"/>
  <c r="I129" i="10"/>
  <c r="H184" i="74" s="1"/>
  <c r="G184" i="74"/>
  <c r="I164" i="10"/>
  <c r="H219" i="74" s="1"/>
  <c r="G219" i="74"/>
  <c r="I133" i="10"/>
  <c r="H188" i="74" s="1"/>
  <c r="G188" i="74"/>
  <c r="I142" i="10"/>
  <c r="H197" i="74" s="1"/>
  <c r="G197" i="74"/>
  <c r="I97" i="10"/>
  <c r="H152" i="74" s="1"/>
  <c r="G152" i="74"/>
  <c r="I143" i="10"/>
  <c r="H198" i="74" s="1"/>
  <c r="G198" i="74"/>
  <c r="I134" i="10"/>
  <c r="H189" i="74" s="1"/>
  <c r="G189" i="74"/>
  <c r="I120" i="10"/>
  <c r="H175" i="74" s="1"/>
  <c r="G175" i="74"/>
  <c r="I155" i="10"/>
  <c r="H210" i="74" s="1"/>
  <c r="G210" i="74"/>
  <c r="I119" i="10"/>
  <c r="H174" i="74" s="1"/>
  <c r="G174" i="74"/>
  <c r="I98" i="10"/>
  <c r="H153" i="74" s="1"/>
  <c r="G153" i="74"/>
  <c r="I84" i="10"/>
  <c r="H139" i="74" s="1"/>
  <c r="G139" i="74"/>
  <c r="I107" i="10"/>
  <c r="H162" i="74" s="1"/>
  <c r="G162" i="74"/>
  <c r="I125" i="10"/>
  <c r="H180" i="74" s="1"/>
  <c r="G180" i="74"/>
  <c r="I110" i="10"/>
  <c r="H165" i="74" s="1"/>
  <c r="G165" i="74"/>
  <c r="I137" i="10"/>
  <c r="H192" i="74" s="1"/>
  <c r="G192" i="74"/>
  <c r="I106" i="10"/>
  <c r="G161" i="74"/>
  <c r="I161" i="10"/>
  <c r="H216" i="74" s="1"/>
  <c r="G216" i="74"/>
  <c r="I115" i="10"/>
  <c r="H170" i="74" s="1"/>
  <c r="G170" i="74"/>
  <c r="I101" i="10"/>
  <c r="H156" i="74" s="1"/>
  <c r="G156" i="74"/>
  <c r="I93" i="10"/>
  <c r="H148" i="74" s="1"/>
  <c r="G148" i="74"/>
  <c r="I92" i="10"/>
  <c r="H147" i="74" s="1"/>
  <c r="G147" i="74"/>
  <c r="I116" i="10"/>
  <c r="H171" i="74" s="1"/>
  <c r="G171" i="74"/>
  <c r="I88" i="10"/>
  <c r="H143" i="74" s="1"/>
  <c r="G143" i="74"/>
  <c r="I151" i="10"/>
  <c r="H206" i="74" s="1"/>
  <c r="G206" i="74"/>
  <c r="I83" i="10"/>
  <c r="H138" i="74" s="1"/>
  <c r="G138" i="74"/>
  <c r="I80" i="10"/>
  <c r="H135" i="74" s="1"/>
  <c r="G135" i="74"/>
  <c r="I75" i="10"/>
  <c r="H130" i="74" s="1"/>
  <c r="G130" i="74"/>
  <c r="I102" i="10"/>
  <c r="H157" i="74" s="1"/>
  <c r="G157" i="74"/>
  <c r="I74" i="10"/>
  <c r="H129" i="74" s="1"/>
  <c r="G129" i="74"/>
  <c r="F63" i="10"/>
  <c r="E118" i="74" s="1"/>
  <c r="H63" i="10"/>
  <c r="J111" i="10"/>
  <c r="I166" i="74" s="1"/>
  <c r="K62" i="10"/>
  <c r="J117" i="74" s="1"/>
  <c r="J62" i="10"/>
  <c r="I117" i="74" s="1"/>
  <c r="K84" i="10"/>
  <c r="J139" i="74" s="1"/>
  <c r="J84" i="10"/>
  <c r="I139" i="74" s="1"/>
  <c r="J97" i="10"/>
  <c r="I152" i="74" s="1"/>
  <c r="K124" i="10"/>
  <c r="J179" i="74" s="1"/>
  <c r="J124" i="10"/>
  <c r="I179" i="74" s="1"/>
  <c r="J102" i="10"/>
  <c r="I157" i="74" s="1"/>
  <c r="K70" i="10"/>
  <c r="J125" i="74" s="1"/>
  <c r="J70" i="10"/>
  <c r="I125" i="74" s="1"/>
  <c r="K165" i="10"/>
  <c r="J220" i="74" s="1"/>
  <c r="J165" i="10"/>
  <c r="I220" i="74" s="1"/>
  <c r="J128" i="10"/>
  <c r="I183" i="74" s="1"/>
  <c r="K142" i="10"/>
  <c r="J197" i="74" s="1"/>
  <c r="J142" i="10"/>
  <c r="I197" i="74" s="1"/>
  <c r="K129" i="10"/>
  <c r="J184" i="74" s="1"/>
  <c r="K65" i="10"/>
  <c r="J120" i="74" s="1"/>
  <c r="J65" i="10"/>
  <c r="I120" i="74" s="1"/>
  <c r="K61" i="10"/>
  <c r="J116" i="74" s="1"/>
  <c r="J61" i="10"/>
  <c r="I116" i="74" s="1"/>
  <c r="K93" i="10"/>
  <c r="J148" i="74" s="1"/>
  <c r="K156" i="10"/>
  <c r="J211" i="74" s="1"/>
  <c r="K137" i="10"/>
  <c r="J192" i="74" s="1"/>
  <c r="J137" i="10"/>
  <c r="I192" i="74" s="1"/>
  <c r="K120" i="10"/>
  <c r="J175" i="74" s="1"/>
  <c r="J120" i="10"/>
  <c r="I175" i="74" s="1"/>
  <c r="J79" i="10"/>
  <c r="I134" i="74" s="1"/>
  <c r="K88" i="10"/>
  <c r="J143" i="74" s="1"/>
  <c r="J88" i="10"/>
  <c r="I143" i="74" s="1"/>
  <c r="J101" i="10"/>
  <c r="I156" i="74" s="1"/>
  <c r="J125" i="10"/>
  <c r="I180" i="74" s="1"/>
  <c r="K147" i="10"/>
  <c r="J202" i="74" s="1"/>
  <c r="J147" i="10"/>
  <c r="I202" i="74" s="1"/>
  <c r="K155" i="10"/>
  <c r="J210" i="74" s="1"/>
  <c r="J155" i="10"/>
  <c r="I210" i="74" s="1"/>
  <c r="K89" i="10"/>
  <c r="J144" i="74" s="1"/>
  <c r="J89" i="10"/>
  <c r="I144" i="74" s="1"/>
  <c r="K75" i="10"/>
  <c r="J130" i="74" s="1"/>
  <c r="J75" i="10"/>
  <c r="I130" i="74" s="1"/>
  <c r="K138" i="10"/>
  <c r="J193" i="74" s="1"/>
  <c r="J138" i="10"/>
  <c r="I193" i="74" s="1"/>
  <c r="K164" i="10"/>
  <c r="J219" i="74" s="1"/>
  <c r="J164" i="10"/>
  <c r="I219" i="74" s="1"/>
  <c r="K66" i="10"/>
  <c r="J121" i="74" s="1"/>
  <c r="J66" i="10"/>
  <c r="I121" i="74" s="1"/>
  <c r="B20" i="10"/>
  <c r="E60" i="10"/>
  <c r="E72" i="10"/>
  <c r="B10" i="10"/>
  <c r="B36" i="33"/>
  <c r="H161" i="74" l="1"/>
  <c r="J106" i="10"/>
  <c r="I161" i="74" s="1"/>
  <c r="J160" i="10"/>
  <c r="I215" i="74" s="1"/>
  <c r="K160" i="10"/>
  <c r="J215" i="74" s="1"/>
  <c r="J146" i="10"/>
  <c r="I201" i="74" s="1"/>
  <c r="J74" i="10"/>
  <c r="I129" i="74" s="1"/>
  <c r="J93" i="10"/>
  <c r="I148" i="74" s="1"/>
  <c r="K101" i="10"/>
  <c r="J156" i="74" s="1"/>
  <c r="J156" i="10"/>
  <c r="I211" i="74" s="1"/>
  <c r="J129" i="10"/>
  <c r="I184" i="74" s="1"/>
  <c r="K161" i="10"/>
  <c r="J216" i="74" s="1"/>
  <c r="K106" i="10"/>
  <c r="J161" i="74" s="1"/>
  <c r="J116" i="10"/>
  <c r="I171" i="74" s="1"/>
  <c r="J143" i="10"/>
  <c r="I198" i="74" s="1"/>
  <c r="J107" i="10"/>
  <c r="I162" i="74" s="1"/>
  <c r="J134" i="10"/>
  <c r="I189" i="74" s="1"/>
  <c r="K79" i="10"/>
  <c r="J134" i="74" s="1"/>
  <c r="K83" i="10"/>
  <c r="J138" i="74" s="1"/>
  <c r="K74" i="10"/>
  <c r="J129" i="74" s="1"/>
  <c r="K102" i="10"/>
  <c r="J157" i="74" s="1"/>
  <c r="J110" i="10"/>
  <c r="I165" i="74" s="1"/>
  <c r="K110" i="10"/>
  <c r="J165" i="74" s="1"/>
  <c r="K146" i="10"/>
  <c r="J201" i="74" s="1"/>
  <c r="K128" i="10"/>
  <c r="J183" i="74" s="1"/>
  <c r="K111" i="10"/>
  <c r="J166" i="74" s="1"/>
  <c r="K119" i="10"/>
  <c r="J174" i="74" s="1"/>
  <c r="J161" i="10"/>
  <c r="I216" i="74" s="1"/>
  <c r="J133" i="10"/>
  <c r="I188" i="74" s="1"/>
  <c r="K116" i="10"/>
  <c r="J171" i="74" s="1"/>
  <c r="K134" i="10"/>
  <c r="J189" i="74" s="1"/>
  <c r="K125" i="10"/>
  <c r="J180" i="74" s="1"/>
  <c r="K133" i="10"/>
  <c r="J188" i="74" s="1"/>
  <c r="J98" i="10"/>
  <c r="I153" i="74" s="1"/>
  <c r="J71" i="10"/>
  <c r="I126" i="74" s="1"/>
  <c r="K107" i="10"/>
  <c r="J162" i="74" s="1"/>
  <c r="K143" i="10"/>
  <c r="J198" i="74" s="1"/>
  <c r="K97" i="10"/>
  <c r="J152" i="74" s="1"/>
  <c r="K98" i="10"/>
  <c r="J153" i="74" s="1"/>
  <c r="K71" i="10"/>
  <c r="J126" i="74" s="1"/>
  <c r="K115" i="10"/>
  <c r="J170" i="74" s="1"/>
  <c r="K152" i="10"/>
  <c r="J207" i="74" s="1"/>
  <c r="J92" i="10"/>
  <c r="I147" i="74" s="1"/>
  <c r="K92" i="10"/>
  <c r="J147" i="74" s="1"/>
  <c r="J83" i="10"/>
  <c r="I138" i="74" s="1"/>
  <c r="J115" i="10"/>
  <c r="I170" i="74" s="1"/>
  <c r="J119" i="10"/>
  <c r="I174" i="74" s="1"/>
  <c r="I63" i="10"/>
  <c r="H118" i="74" s="1"/>
  <c r="G118" i="74"/>
  <c r="J151" i="10"/>
  <c r="I206" i="74" s="1"/>
  <c r="J80" i="10"/>
  <c r="I135" i="74" s="1"/>
  <c r="J152" i="10"/>
  <c r="I207" i="74" s="1"/>
  <c r="K151" i="10"/>
  <c r="J206" i="74" s="1"/>
  <c r="K80" i="10"/>
  <c r="J135" i="74" s="1"/>
  <c r="B46" i="10"/>
  <c r="C47" i="10"/>
  <c r="F72" i="10"/>
  <c r="E127" i="74" s="1"/>
  <c r="H72" i="10"/>
  <c r="F60" i="10"/>
  <c r="E115" i="74" s="1"/>
  <c r="H60" i="10"/>
  <c r="B18" i="33"/>
  <c r="B57" i="33"/>
  <c r="J63" i="10"/>
  <c r="I118" i="74" s="1"/>
  <c r="B25" i="10"/>
  <c r="F46" i="10" s="1"/>
  <c r="E64" i="10"/>
  <c r="E81" i="10"/>
  <c r="E69" i="10"/>
  <c r="C46" i="10"/>
  <c r="D46" i="10"/>
  <c r="E46" i="10"/>
  <c r="K63" i="10" l="1"/>
  <c r="J118" i="74" s="1"/>
  <c r="I60" i="10"/>
  <c r="H115" i="74" s="1"/>
  <c r="G115" i="74"/>
  <c r="I72" i="10"/>
  <c r="H127" i="74" s="1"/>
  <c r="G127" i="74"/>
  <c r="F81" i="10"/>
  <c r="E136" i="74" s="1"/>
  <c r="H81" i="10"/>
  <c r="F69" i="10"/>
  <c r="E124" i="74" s="1"/>
  <c r="H69" i="10"/>
  <c r="F64" i="10"/>
  <c r="E119" i="74" s="1"/>
  <c r="H64" i="10"/>
  <c r="K60" i="10"/>
  <c r="J115" i="74" s="1"/>
  <c r="J60" i="10"/>
  <c r="I115" i="74" s="1"/>
  <c r="K72" i="10"/>
  <c r="J127" i="74" s="1"/>
  <c r="J72" i="10"/>
  <c r="I127" i="74" s="1"/>
  <c r="E78" i="10"/>
  <c r="E90" i="10"/>
  <c r="E73" i="10"/>
  <c r="L48" i="10"/>
  <c r="L45" i="10"/>
  <c r="F48" i="10"/>
  <c r="D48" i="10"/>
  <c r="G45" i="10"/>
  <c r="D47" i="10"/>
  <c r="N47" i="10"/>
  <c r="L47" i="10"/>
  <c r="N45" i="10"/>
  <c r="F47" i="10"/>
  <c r="H48" i="10"/>
  <c r="I45" i="10"/>
  <c r="C45" i="10"/>
  <c r="C50" i="10" s="1"/>
  <c r="E48" i="10"/>
  <c r="G48" i="10"/>
  <c r="E47" i="10"/>
  <c r="M47" i="10"/>
  <c r="D45" i="10"/>
  <c r="N48" i="10"/>
  <c r="M48" i="10"/>
  <c r="K45" i="10"/>
  <c r="I48" i="10"/>
  <c r="E45" i="10"/>
  <c r="I47" i="10"/>
  <c r="K47" i="10"/>
  <c r="K48" i="10"/>
  <c r="G47" i="10"/>
  <c r="M45" i="10"/>
  <c r="J45" i="10"/>
  <c r="H45" i="10"/>
  <c r="F45" i="10"/>
  <c r="J47" i="10"/>
  <c r="H47" i="10"/>
  <c r="J48" i="10"/>
  <c r="G32" i="33"/>
  <c r="I69" i="10" l="1"/>
  <c r="H124" i="74" s="1"/>
  <c r="G124" i="74"/>
  <c r="I81" i="10"/>
  <c r="H136" i="74" s="1"/>
  <c r="G136" i="74"/>
  <c r="I64" i="10"/>
  <c r="H119" i="74" s="1"/>
  <c r="G119" i="74"/>
  <c r="D50" i="10"/>
  <c r="E5" i="16" s="1"/>
  <c r="E16" i="16" s="1"/>
  <c r="F50" i="10"/>
  <c r="G5" i="16" s="1"/>
  <c r="G12" i="16" s="1"/>
  <c r="F16" i="19" s="1"/>
  <c r="E50" i="10"/>
  <c r="F5" i="16" s="1"/>
  <c r="F128" i="22" s="1"/>
  <c r="F135" i="22" s="1"/>
  <c r="F32" i="22" s="1"/>
  <c r="H50" i="10"/>
  <c r="I5" i="16" s="1"/>
  <c r="I128" i="22" s="1"/>
  <c r="I135" i="22" s="1"/>
  <c r="I30" i="23" s="1"/>
  <c r="F73" i="10"/>
  <c r="E128" i="74" s="1"/>
  <c r="H73" i="10"/>
  <c r="F90" i="10"/>
  <c r="E145" i="74" s="1"/>
  <c r="H90" i="10"/>
  <c r="F78" i="10"/>
  <c r="E133" i="74" s="1"/>
  <c r="H78" i="10"/>
  <c r="K81" i="10"/>
  <c r="J136" i="74" s="1"/>
  <c r="J81" i="10"/>
  <c r="I136" i="74" s="1"/>
  <c r="K69" i="10"/>
  <c r="J124" i="74" s="1"/>
  <c r="J69" i="10"/>
  <c r="I124" i="74" s="1"/>
  <c r="J64" i="10"/>
  <c r="I119" i="74" s="1"/>
  <c r="O45" i="10"/>
  <c r="E82" i="10"/>
  <c r="E99" i="10"/>
  <c r="O48" i="10"/>
  <c r="D5" i="16"/>
  <c r="D16" i="16" s="1"/>
  <c r="C45" i="19" s="1"/>
  <c r="O47" i="10"/>
  <c r="E87" i="10"/>
  <c r="K32" i="33"/>
  <c r="G15" i="10"/>
  <c r="J15" i="10"/>
  <c r="I15" i="10"/>
  <c r="H23" i="7"/>
  <c r="J32" i="33"/>
  <c r="K64" i="10" l="1"/>
  <c r="J119" i="74" s="1"/>
  <c r="I78" i="10"/>
  <c r="H133" i="74" s="1"/>
  <c r="G133" i="74"/>
  <c r="I90" i="10"/>
  <c r="H145" i="74" s="1"/>
  <c r="G145" i="74"/>
  <c r="I73" i="10"/>
  <c r="H128" i="74" s="1"/>
  <c r="G128" i="74"/>
  <c r="F87" i="10"/>
  <c r="E142" i="74" s="1"/>
  <c r="H87" i="10"/>
  <c r="F99" i="10"/>
  <c r="E154" i="74" s="1"/>
  <c r="H99" i="10"/>
  <c r="F82" i="10"/>
  <c r="E137" i="74" s="1"/>
  <c r="H82" i="10"/>
  <c r="I16" i="16"/>
  <c r="I17" i="16" s="1"/>
  <c r="G16" i="16"/>
  <c r="F45" i="19" s="1"/>
  <c r="F12" i="16"/>
  <c r="E16" i="19" s="1"/>
  <c r="F16" i="16"/>
  <c r="E45" i="19" s="1"/>
  <c r="E128" i="22"/>
  <c r="E135" i="22" s="1"/>
  <c r="E30" i="23" s="1"/>
  <c r="I12" i="16"/>
  <c r="H16" i="19" s="1"/>
  <c r="E12" i="16"/>
  <c r="D16" i="19" s="1"/>
  <c r="G128" i="22"/>
  <c r="G135" i="22" s="1"/>
  <c r="G30" i="23" s="1"/>
  <c r="K90" i="10"/>
  <c r="J145" i="74" s="1"/>
  <c r="J90" i="10"/>
  <c r="I145" i="74" s="1"/>
  <c r="J73" i="10"/>
  <c r="I128" i="74" s="1"/>
  <c r="K78" i="10"/>
  <c r="J133" i="74" s="1"/>
  <c r="J78" i="10"/>
  <c r="I133" i="74" s="1"/>
  <c r="D12" i="16"/>
  <c r="C16" i="19" s="1"/>
  <c r="D128" i="22"/>
  <c r="D135" i="22" s="1"/>
  <c r="D17" i="16"/>
  <c r="E91" i="10"/>
  <c r="E96" i="10"/>
  <c r="E108" i="10"/>
  <c r="D45" i="19"/>
  <c r="E17" i="16"/>
  <c r="H23" i="15"/>
  <c r="H24" i="15" s="1"/>
  <c r="G53" i="10"/>
  <c r="J23" i="15"/>
  <c r="J24" i="15" s="1"/>
  <c r="I53" i="10"/>
  <c r="K23" i="15"/>
  <c r="K24" i="15" s="1"/>
  <c r="J53" i="10"/>
  <c r="F30" i="23"/>
  <c r="I32" i="22"/>
  <c r="I4" i="19"/>
  <c r="I75" i="19" s="1"/>
  <c r="I76" i="19" s="1"/>
  <c r="J4" i="19"/>
  <c r="J75" i="19" s="1"/>
  <c r="H9" i="7"/>
  <c r="L151" i="7" s="1"/>
  <c r="D237" i="74" s="1"/>
  <c r="G4" i="19"/>
  <c r="G75" i="19" s="1"/>
  <c r="G76" i="19" s="1"/>
  <c r="J46" i="10"/>
  <c r="G46" i="10"/>
  <c r="G50" i="10" s="1"/>
  <c r="G37" i="57"/>
  <c r="G45" i="33"/>
  <c r="G2" i="33" s="1"/>
  <c r="G72" i="19" s="1"/>
  <c r="K15" i="10"/>
  <c r="J37" i="57"/>
  <c r="J45" i="33"/>
  <c r="J2" i="33" s="1"/>
  <c r="J72" i="19" s="1"/>
  <c r="J23" i="7"/>
  <c r="L23" i="7"/>
  <c r="J53" i="15"/>
  <c r="I37" i="57"/>
  <c r="I45" i="33"/>
  <c r="I2" i="33" s="1"/>
  <c r="I72" i="19" s="1"/>
  <c r="I46" i="10"/>
  <c r="L32" i="33"/>
  <c r="K53" i="15"/>
  <c r="K45" i="33"/>
  <c r="K2" i="33" s="1"/>
  <c r="K72" i="19" s="1"/>
  <c r="K37" i="57"/>
  <c r="J76" i="19" l="1"/>
  <c r="K73" i="10"/>
  <c r="J128" i="74" s="1"/>
  <c r="I87" i="10"/>
  <c r="H142" i="74" s="1"/>
  <c r="G142" i="74"/>
  <c r="I82" i="10"/>
  <c r="H137" i="74" s="1"/>
  <c r="G137" i="74"/>
  <c r="I99" i="10"/>
  <c r="H154" i="74" s="1"/>
  <c r="G154" i="74"/>
  <c r="I50" i="10"/>
  <c r="J5" i="16" s="1"/>
  <c r="J50" i="10"/>
  <c r="K5" i="16" s="1"/>
  <c r="F91" i="10"/>
  <c r="E146" i="74" s="1"/>
  <c r="H91" i="10"/>
  <c r="F108" i="10"/>
  <c r="E163" i="74" s="1"/>
  <c r="H108" i="10"/>
  <c r="F96" i="10"/>
  <c r="E151" i="74" s="1"/>
  <c r="H96" i="10"/>
  <c r="H12" i="7"/>
  <c r="H45" i="19"/>
  <c r="G17" i="16"/>
  <c r="D30" i="23"/>
  <c r="D31" i="23" s="1"/>
  <c r="H35" i="15"/>
  <c r="H22" i="55"/>
  <c r="H24" i="55" s="1"/>
  <c r="H26" i="55" s="1"/>
  <c r="E32" i="22"/>
  <c r="F17" i="16"/>
  <c r="G32" i="22"/>
  <c r="E117" i="10"/>
  <c r="E100" i="10"/>
  <c r="E105" i="10"/>
  <c r="L23" i="15"/>
  <c r="L24" i="15" s="1"/>
  <c r="K53" i="10"/>
  <c r="J54" i="10"/>
  <c r="J55" i="10"/>
  <c r="I55" i="10"/>
  <c r="I54" i="10"/>
  <c r="G55" i="10"/>
  <c r="G54" i="10"/>
  <c r="D136" i="22"/>
  <c r="E125" i="22" s="1"/>
  <c r="E136" i="22" s="1"/>
  <c r="F125" i="22" s="1"/>
  <c r="F136" i="22" s="1"/>
  <c r="G125" i="22" s="1"/>
  <c r="G136" i="22" s="1"/>
  <c r="H125" i="22" s="1"/>
  <c r="D32" i="22"/>
  <c r="D271" i="22" s="1"/>
  <c r="L9" i="7"/>
  <c r="L163" i="7" s="1"/>
  <c r="D249" i="74" s="1"/>
  <c r="J9" i="7"/>
  <c r="L157" i="7" s="1"/>
  <c r="D243" i="74" s="1"/>
  <c r="K4" i="19"/>
  <c r="K75" i="19" s="1"/>
  <c r="K76" i="19" s="1"/>
  <c r="L53" i="15"/>
  <c r="H53" i="15"/>
  <c r="M32" i="33"/>
  <c r="H5" i="16"/>
  <c r="M23" i="7"/>
  <c r="L15" i="10"/>
  <c r="K46" i="10"/>
  <c r="L37" i="57"/>
  <c r="L45" i="33"/>
  <c r="L2" i="33" s="1"/>
  <c r="L72" i="19" s="1"/>
  <c r="J82" i="10" l="1"/>
  <c r="I137" i="74" s="1"/>
  <c r="K82" i="10"/>
  <c r="J137" i="74" s="1"/>
  <c r="K87" i="10"/>
  <c r="J142" i="74" s="1"/>
  <c r="J87" i="10"/>
  <c r="I142" i="74" s="1"/>
  <c r="K99" i="10"/>
  <c r="J154" i="74" s="1"/>
  <c r="I96" i="10"/>
  <c r="H151" i="74" s="1"/>
  <c r="G151" i="74"/>
  <c r="I108" i="10"/>
  <c r="H163" i="74" s="1"/>
  <c r="G163" i="74"/>
  <c r="I91" i="10"/>
  <c r="H146" i="74" s="1"/>
  <c r="G146" i="74"/>
  <c r="J99" i="10"/>
  <c r="I154" i="74" s="1"/>
  <c r="K12" i="16"/>
  <c r="J16" i="19" s="1"/>
  <c r="K16" i="16"/>
  <c r="K17" i="16" s="1"/>
  <c r="K128" i="22"/>
  <c r="K135" i="22" s="1"/>
  <c r="K30" i="23" s="1"/>
  <c r="J16" i="16"/>
  <c r="I45" i="19" s="1"/>
  <c r="J128" i="22"/>
  <c r="J135" i="22" s="1"/>
  <c r="J30" i="23" s="1"/>
  <c r="J12" i="16"/>
  <c r="I16" i="19" s="1"/>
  <c r="K50" i="10"/>
  <c r="L5" i="16" s="1"/>
  <c r="F100" i="10"/>
  <c r="E155" i="74" s="1"/>
  <c r="H100" i="10"/>
  <c r="F105" i="10"/>
  <c r="E160" i="74" s="1"/>
  <c r="H105" i="10"/>
  <c r="F117" i="10"/>
  <c r="E172" i="74" s="1"/>
  <c r="H117" i="10"/>
  <c r="J12" i="7"/>
  <c r="L12" i="7"/>
  <c r="E271" i="22"/>
  <c r="F271" i="22" s="1"/>
  <c r="G271" i="22" s="1"/>
  <c r="J35" i="15"/>
  <c r="J22" i="55"/>
  <c r="L22" i="55"/>
  <c r="L35" i="15"/>
  <c r="L50" i="15" s="1"/>
  <c r="K22" i="55"/>
  <c r="K35" i="15"/>
  <c r="K50" i="15" s="1"/>
  <c r="J96" i="10"/>
  <c r="I151" i="74" s="1"/>
  <c r="K91" i="10"/>
  <c r="J146" i="74" s="1"/>
  <c r="J91" i="10"/>
  <c r="I146" i="74" s="1"/>
  <c r="E114" i="10"/>
  <c r="E109" i="10"/>
  <c r="E126" i="10"/>
  <c r="H128" i="22"/>
  <c r="H135" i="22" s="1"/>
  <c r="H32" i="22" s="1"/>
  <c r="H16" i="16"/>
  <c r="M23" i="15"/>
  <c r="M24" i="15" s="1"/>
  <c r="L53" i="10"/>
  <c r="K54" i="10"/>
  <c r="K55" i="10"/>
  <c r="H12" i="16"/>
  <c r="G16" i="19" s="1"/>
  <c r="M9" i="7"/>
  <c r="L166" i="7" s="1"/>
  <c r="D252" i="74" s="1"/>
  <c r="L4" i="19"/>
  <c r="L75" i="19" s="1"/>
  <c r="L76" i="19" s="1"/>
  <c r="L1" i="7"/>
  <c r="L51" i="7"/>
  <c r="N32" i="33"/>
  <c r="L46" i="10"/>
  <c r="M15" i="10"/>
  <c r="H29" i="15"/>
  <c r="M45" i="33"/>
  <c r="M2" i="33" s="1"/>
  <c r="M72" i="19" s="1"/>
  <c r="M37" i="57"/>
  <c r="R96" i="56"/>
  <c r="O5" i="10"/>
  <c r="N23" i="7"/>
  <c r="K96" i="10" l="1"/>
  <c r="J151" i="74" s="1"/>
  <c r="J108" i="10"/>
  <c r="I163" i="74" s="1"/>
  <c r="K108" i="10"/>
  <c r="J163" i="74" s="1"/>
  <c r="I117" i="10"/>
  <c r="H172" i="74" s="1"/>
  <c r="G172" i="74"/>
  <c r="I105" i="10"/>
  <c r="H160" i="74" s="1"/>
  <c r="G160" i="74"/>
  <c r="I100" i="10"/>
  <c r="H155" i="74" s="1"/>
  <c r="G155" i="74"/>
  <c r="J45" i="19"/>
  <c r="L128" i="22"/>
  <c r="L135" i="22" s="1"/>
  <c r="L30" i="23" s="1"/>
  <c r="L12" i="16"/>
  <c r="K16" i="19" s="1"/>
  <c r="L16" i="16"/>
  <c r="K45" i="19" s="1"/>
  <c r="J17" i="16"/>
  <c r="L50" i="10"/>
  <c r="M5" i="16" s="1"/>
  <c r="F109" i="10"/>
  <c r="E164" i="74" s="1"/>
  <c r="H109" i="10"/>
  <c r="F114" i="10"/>
  <c r="E169" i="74" s="1"/>
  <c r="H114" i="10"/>
  <c r="F126" i="10"/>
  <c r="E181" i="74" s="1"/>
  <c r="H126" i="10"/>
  <c r="L54" i="7"/>
  <c r="M12" i="7"/>
  <c r="H271" i="22"/>
  <c r="I271" i="22" s="1"/>
  <c r="M22" i="55"/>
  <c r="M35" i="15"/>
  <c r="M50" i="15" s="1"/>
  <c r="K117" i="10"/>
  <c r="J172" i="74" s="1"/>
  <c r="J117" i="10"/>
  <c r="I172" i="74" s="1"/>
  <c r="K100" i="10"/>
  <c r="J155" i="74" s="1"/>
  <c r="J100" i="10"/>
  <c r="I155" i="74" s="1"/>
  <c r="E135" i="10"/>
  <c r="E118" i="10"/>
  <c r="E123" i="10"/>
  <c r="G45" i="19"/>
  <c r="H17" i="16"/>
  <c r="N23" i="15"/>
  <c r="N24" i="15" s="1"/>
  <c r="M53" i="10"/>
  <c r="L54" i="10"/>
  <c r="L55" i="10"/>
  <c r="J32" i="22"/>
  <c r="K32" i="22"/>
  <c r="H30" i="23"/>
  <c r="M4" i="19"/>
  <c r="M75" i="19" s="1"/>
  <c r="M76" i="19" s="1"/>
  <c r="H136" i="22"/>
  <c r="I125" i="22" s="1"/>
  <c r="I136" i="22" s="1"/>
  <c r="J125" i="22" s="1"/>
  <c r="J136" i="22" s="1"/>
  <c r="K125" i="22" s="1"/>
  <c r="K136" i="22" s="1"/>
  <c r="L125" i="22" s="1"/>
  <c r="M1" i="7"/>
  <c r="M51" i="7"/>
  <c r="M54" i="7" s="1"/>
  <c r="M69" i="7" s="1"/>
  <c r="N9" i="7"/>
  <c r="L169" i="7" s="1"/>
  <c r="D255" i="74" s="1"/>
  <c r="Q7" i="10"/>
  <c r="Q13" i="10" s="1"/>
  <c r="K24" i="55"/>
  <c r="J24" i="55"/>
  <c r="L24" i="55"/>
  <c r="O29" i="33"/>
  <c r="L29" i="15"/>
  <c r="H7" i="14"/>
  <c r="N15" i="10"/>
  <c r="K29" i="15"/>
  <c r="M53" i="15"/>
  <c r="O23" i="7"/>
  <c r="N45" i="33"/>
  <c r="N2" i="33" s="1"/>
  <c r="N72" i="19" s="1"/>
  <c r="N37" i="57"/>
  <c r="N53" i="15"/>
  <c r="M46" i="10"/>
  <c r="J29" i="15"/>
  <c r="J25" i="11"/>
  <c r="L25" i="11"/>
  <c r="K25" i="11"/>
  <c r="R29" i="15"/>
  <c r="O15" i="10"/>
  <c r="J105" i="10" l="1"/>
  <c r="I160" i="74" s="1"/>
  <c r="K105" i="10"/>
  <c r="J160" i="74" s="1"/>
  <c r="O72" i="19"/>
  <c r="I109" i="10"/>
  <c r="H164" i="74" s="1"/>
  <c r="G164" i="74"/>
  <c r="I114" i="10"/>
  <c r="H169" i="74" s="1"/>
  <c r="G169" i="74"/>
  <c r="I126" i="10"/>
  <c r="H181" i="74" s="1"/>
  <c r="G181" i="74"/>
  <c r="L17" i="16"/>
  <c r="M12" i="16"/>
  <c r="L16" i="19" s="1"/>
  <c r="M128" i="22"/>
  <c r="M135" i="22" s="1"/>
  <c r="M30" i="23" s="1"/>
  <c r="M16" i="16"/>
  <c r="L45" i="19" s="1"/>
  <c r="M50" i="10"/>
  <c r="N5" i="16" s="1"/>
  <c r="F118" i="10"/>
  <c r="E173" i="74" s="1"/>
  <c r="H118" i="10"/>
  <c r="F123" i="10"/>
  <c r="E178" i="74" s="1"/>
  <c r="H123" i="10"/>
  <c r="F135" i="10"/>
  <c r="E190" i="74" s="1"/>
  <c r="H135" i="10"/>
  <c r="L69" i="7"/>
  <c r="N12" i="7"/>
  <c r="J271" i="22"/>
  <c r="K271" i="22" s="1"/>
  <c r="N35" i="15"/>
  <c r="N22" i="55"/>
  <c r="K109" i="10"/>
  <c r="J164" i="74" s="1"/>
  <c r="J109" i="10"/>
  <c r="I164" i="74" s="1"/>
  <c r="E132" i="10"/>
  <c r="E127" i="10"/>
  <c r="E144" i="10"/>
  <c r="K161" i="11"/>
  <c r="O23" i="15"/>
  <c r="O24" i="15" s="1"/>
  <c r="P24" i="15" s="1"/>
  <c r="N53" i="10"/>
  <c r="Q53" i="10" s="1"/>
  <c r="M55" i="10"/>
  <c r="M54" i="10"/>
  <c r="L26" i="11"/>
  <c r="L161" i="11"/>
  <c r="J26" i="11"/>
  <c r="J161" i="11"/>
  <c r="L26" i="55"/>
  <c r="L7" i="14" s="1"/>
  <c r="K26" i="55"/>
  <c r="K7" i="14" s="1"/>
  <c r="J26" i="55"/>
  <c r="J7" i="14" s="1"/>
  <c r="L32" i="22"/>
  <c r="L136" i="22"/>
  <c r="M125" i="22" s="1"/>
  <c r="N4" i="19"/>
  <c r="N75" i="19" s="1"/>
  <c r="O9" i="7"/>
  <c r="L172" i="7" s="1"/>
  <c r="D258" i="74" s="1"/>
  <c r="O32" i="33"/>
  <c r="O45" i="33" s="1"/>
  <c r="M24" i="55"/>
  <c r="O37" i="57"/>
  <c r="L162" i="11"/>
  <c r="J162" i="11"/>
  <c r="O53" i="15"/>
  <c r="P53" i="15" s="1"/>
  <c r="K162" i="11"/>
  <c r="K26" i="11"/>
  <c r="M25" i="11"/>
  <c r="H25" i="11"/>
  <c r="N46" i="10"/>
  <c r="O20" i="10"/>
  <c r="J114" i="10" l="1"/>
  <c r="I169" i="74" s="1"/>
  <c r="K114" i="10"/>
  <c r="J169" i="74" s="1"/>
  <c r="O75" i="19"/>
  <c r="O76" i="19" s="1"/>
  <c r="N76" i="19"/>
  <c r="J126" i="10"/>
  <c r="I181" i="74" s="1"/>
  <c r="K126" i="10"/>
  <c r="J181" i="74" s="1"/>
  <c r="I123" i="10"/>
  <c r="H178" i="74" s="1"/>
  <c r="G178" i="74"/>
  <c r="I118" i="10"/>
  <c r="H173" i="74" s="1"/>
  <c r="G173" i="74"/>
  <c r="I135" i="10"/>
  <c r="H190" i="74" s="1"/>
  <c r="G190" i="74"/>
  <c r="N12" i="16"/>
  <c r="M16" i="19" s="1"/>
  <c r="N128" i="22"/>
  <c r="N135" i="22" s="1"/>
  <c r="N30" i="23" s="1"/>
  <c r="N16" i="16"/>
  <c r="M45" i="19" s="1"/>
  <c r="M17" i="16"/>
  <c r="N50" i="10"/>
  <c r="O50" i="10" s="1"/>
  <c r="F144" i="10"/>
  <c r="E199" i="74" s="1"/>
  <c r="H144" i="10"/>
  <c r="F127" i="10"/>
  <c r="E182" i="74" s="1"/>
  <c r="H127" i="10"/>
  <c r="F132" i="10"/>
  <c r="E187" i="74" s="1"/>
  <c r="H132" i="10"/>
  <c r="O12" i="7"/>
  <c r="L271" i="22"/>
  <c r="O35" i="15"/>
  <c r="O22" i="55"/>
  <c r="E153" i="10"/>
  <c r="E136" i="10"/>
  <c r="O53" i="10"/>
  <c r="O54" i="10" s="1"/>
  <c r="E141" i="10"/>
  <c r="P23" i="15"/>
  <c r="H161" i="11"/>
  <c r="N55" i="10"/>
  <c r="Q55" i="10" s="1"/>
  <c r="N54" i="10"/>
  <c r="Q54" i="10" s="1"/>
  <c r="M26" i="11"/>
  <c r="M161" i="11"/>
  <c r="M26" i="55"/>
  <c r="M7" i="14" s="1"/>
  <c r="M32" i="22"/>
  <c r="M136" i="22"/>
  <c r="N125" i="22" s="1"/>
  <c r="N24" i="55"/>
  <c r="N29" i="15"/>
  <c r="J164" i="11"/>
  <c r="L164" i="11"/>
  <c r="K164" i="11"/>
  <c r="M162" i="11"/>
  <c r="O4" i="19"/>
  <c r="O46" i="10"/>
  <c r="H162" i="11"/>
  <c r="H26" i="11"/>
  <c r="M29" i="15"/>
  <c r="K123" i="10" l="1"/>
  <c r="J178" i="74" s="1"/>
  <c r="J135" i="10"/>
  <c r="I190" i="74" s="1"/>
  <c r="J118" i="10"/>
  <c r="I173" i="74" s="1"/>
  <c r="K135" i="10"/>
  <c r="J190" i="74" s="1"/>
  <c r="J123" i="10"/>
  <c r="I178" i="74" s="1"/>
  <c r="I144" i="10"/>
  <c r="H199" i="74" s="1"/>
  <c r="G199" i="74"/>
  <c r="I127" i="10"/>
  <c r="H182" i="74" s="1"/>
  <c r="G182" i="74"/>
  <c r="K118" i="10"/>
  <c r="J173" i="74" s="1"/>
  <c r="I132" i="10"/>
  <c r="H187" i="74" s="1"/>
  <c r="G187" i="74"/>
  <c r="N17" i="16"/>
  <c r="O5" i="16"/>
  <c r="F141" i="10"/>
  <c r="E196" i="74" s="1"/>
  <c r="H141" i="10"/>
  <c r="F136" i="10"/>
  <c r="E191" i="74" s="1"/>
  <c r="H136" i="10"/>
  <c r="F153" i="10"/>
  <c r="E208" i="74" s="1"/>
  <c r="H153" i="10"/>
  <c r="M271" i="22"/>
  <c r="Q32" i="10"/>
  <c r="K144" i="10"/>
  <c r="J199" i="74" s="1"/>
  <c r="J144" i="10"/>
  <c r="I199" i="74" s="1"/>
  <c r="K127" i="10"/>
  <c r="J182" i="74" s="1"/>
  <c r="O55" i="10"/>
  <c r="E150" i="10"/>
  <c r="E145" i="10"/>
  <c r="E162" i="10"/>
  <c r="H162" i="10" s="1"/>
  <c r="N26" i="55"/>
  <c r="N7" i="14" s="1"/>
  <c r="N32" i="22"/>
  <c r="N136" i="22"/>
  <c r="O125" i="22" s="1"/>
  <c r="O24" i="55"/>
  <c r="R38" i="15"/>
  <c r="R39" i="15" s="1"/>
  <c r="T39" i="15" s="1"/>
  <c r="M164" i="11"/>
  <c r="P129" i="22"/>
  <c r="H164" i="11"/>
  <c r="O25" i="11"/>
  <c r="J127" i="10" l="1"/>
  <c r="I182" i="74" s="1"/>
  <c r="K132" i="10"/>
  <c r="J187" i="74" s="1"/>
  <c r="J132" i="10"/>
  <c r="I187" i="74" s="1"/>
  <c r="I136" i="10"/>
  <c r="H191" i="74" s="1"/>
  <c r="G191" i="74"/>
  <c r="I153" i="10"/>
  <c r="H208" i="74" s="1"/>
  <c r="G208" i="74"/>
  <c r="I162" i="10"/>
  <c r="H217" i="74" s="1"/>
  <c r="G217" i="74"/>
  <c r="I141" i="10"/>
  <c r="H196" i="74" s="1"/>
  <c r="G196" i="74"/>
  <c r="P5" i="16"/>
  <c r="P12" i="16" s="1"/>
  <c r="O128" i="22"/>
  <c r="O16" i="16"/>
  <c r="O12" i="16"/>
  <c r="N16" i="19" s="1"/>
  <c r="O16" i="19" s="1"/>
  <c r="F145" i="10"/>
  <c r="E200" i="74" s="1"/>
  <c r="H145" i="10"/>
  <c r="N271" i="22"/>
  <c r="F150" i="10"/>
  <c r="E205" i="74" s="1"/>
  <c r="H150" i="10"/>
  <c r="J141" i="10"/>
  <c r="I196" i="74" s="1"/>
  <c r="K153" i="10"/>
  <c r="J208" i="74" s="1"/>
  <c r="J153" i="10"/>
  <c r="I208" i="74" s="1"/>
  <c r="K136" i="10"/>
  <c r="J191" i="74" s="1"/>
  <c r="F162" i="10"/>
  <c r="E217" i="74" s="1"/>
  <c r="E154" i="10"/>
  <c r="E159" i="10"/>
  <c r="H159" i="10" s="1"/>
  <c r="O26" i="11"/>
  <c r="O161" i="11"/>
  <c r="O26" i="55"/>
  <c r="O7" i="14" s="1"/>
  <c r="T38" i="15"/>
  <c r="U38" i="15" s="1"/>
  <c r="U39" i="15" s="1"/>
  <c r="O29" i="15"/>
  <c r="O162" i="11"/>
  <c r="N25" i="11"/>
  <c r="J136" i="10" l="1"/>
  <c r="I191" i="74" s="1"/>
  <c r="I145" i="10"/>
  <c r="H200" i="74" s="1"/>
  <c r="G200" i="74"/>
  <c r="I159" i="10"/>
  <c r="H214" i="74" s="1"/>
  <c r="G214" i="74"/>
  <c r="K141" i="10"/>
  <c r="J196" i="74" s="1"/>
  <c r="I150" i="10"/>
  <c r="H205" i="74" s="1"/>
  <c r="G205" i="74"/>
  <c r="P16" i="19"/>
  <c r="N45" i="19"/>
  <c r="O45" i="19" s="1"/>
  <c r="P16" i="16"/>
  <c r="O17" i="16"/>
  <c r="P17" i="16" s="1"/>
  <c r="P128" i="22"/>
  <c r="O135" i="22"/>
  <c r="F154" i="10"/>
  <c r="E209" i="74" s="1"/>
  <c r="H154" i="10"/>
  <c r="K145" i="10"/>
  <c r="J200" i="74" s="1"/>
  <c r="J145" i="10"/>
  <c r="I200" i="74" s="1"/>
  <c r="K162" i="10"/>
  <c r="J217" i="74" s="1"/>
  <c r="J162" i="10"/>
  <c r="I217" i="74" s="1"/>
  <c r="F159" i="10"/>
  <c r="E214" i="74" s="1"/>
  <c r="E163" i="10"/>
  <c r="H163" i="10" s="1"/>
  <c r="N161" i="11"/>
  <c r="O164" i="11"/>
  <c r="N26" i="11"/>
  <c r="N162" i="11"/>
  <c r="K150" i="10" l="1"/>
  <c r="J205" i="74" s="1"/>
  <c r="I154" i="10"/>
  <c r="H209" i="74" s="1"/>
  <c r="G209" i="74"/>
  <c r="I163" i="10"/>
  <c r="H218" i="74" s="1"/>
  <c r="G218" i="74"/>
  <c r="J150" i="10"/>
  <c r="I205" i="74" s="1"/>
  <c r="O32" i="22"/>
  <c r="O30" i="23"/>
  <c r="P30" i="23" s="1"/>
  <c r="P135" i="22"/>
  <c r="P136" i="22" s="1"/>
  <c r="O136" i="22"/>
  <c r="K154" i="10"/>
  <c r="J209" i="74" s="1"/>
  <c r="J154" i="10"/>
  <c r="I209" i="74" s="1"/>
  <c r="K159" i="10"/>
  <c r="J214" i="74" s="1"/>
  <c r="J159" i="10"/>
  <c r="I214" i="74" s="1"/>
  <c r="F163" i="10"/>
  <c r="E218" i="74" s="1"/>
  <c r="N164" i="11"/>
  <c r="P32" i="22" l="1"/>
  <c r="O271" i="22"/>
  <c r="I57" i="10"/>
  <c r="I167" i="10"/>
  <c r="K163" i="10"/>
  <c r="J163" i="10"/>
  <c r="I168" i="10" l="1"/>
  <c r="H167" i="10"/>
  <c r="J57" i="10"/>
  <c r="I218" i="74"/>
  <c r="K57" i="10"/>
  <c r="J218" i="74"/>
  <c r="K167" i="10"/>
  <c r="K168" i="10" s="1"/>
  <c r="J167" i="10"/>
  <c r="J168" i="10" l="1"/>
  <c r="J3" i="57"/>
  <c r="K3" i="66" s="1"/>
  <c r="J4" i="57"/>
  <c r="K4" i="66" s="1"/>
  <c r="K6" i="66" s="1"/>
  <c r="K10" i="66" l="1"/>
  <c r="K25" i="66" s="1"/>
  <c r="K9" i="66"/>
  <c r="K24" i="66" s="1"/>
  <c r="K8" i="66"/>
  <c r="K23" i="66" s="1"/>
  <c r="K11" i="66"/>
  <c r="K26" i="66" s="1"/>
  <c r="K12" i="66"/>
  <c r="J15" i="57"/>
  <c r="J19" i="57"/>
  <c r="J14" i="57"/>
  <c r="J18" i="57"/>
  <c r="K3" i="57"/>
  <c r="L3" i="66" s="1"/>
  <c r="K4" i="57"/>
  <c r="L4" i="66" s="1"/>
  <c r="J32" i="57"/>
  <c r="J6" i="57"/>
  <c r="J31" i="57"/>
  <c r="M92" i="56"/>
  <c r="L6" i="66" l="1"/>
  <c r="L9" i="66"/>
  <c r="L24" i="66" s="1"/>
  <c r="L12" i="66"/>
  <c r="L10" i="66"/>
  <c r="L25" i="66" s="1"/>
  <c r="L8" i="66"/>
  <c r="L23" i="66" s="1"/>
  <c r="L11" i="66"/>
  <c r="L26" i="66" s="1"/>
  <c r="J21" i="57"/>
  <c r="J17" i="57"/>
  <c r="J47" i="57"/>
  <c r="J126" i="57" s="1"/>
  <c r="J46" i="57"/>
  <c r="J45" i="57"/>
  <c r="J44" i="57"/>
  <c r="J50" i="57"/>
  <c r="J52" i="57"/>
  <c r="J49" i="57"/>
  <c r="J65" i="57" s="1"/>
  <c r="K9" i="55" s="1"/>
  <c r="J51" i="57"/>
  <c r="F73" i="78" s="1"/>
  <c r="K15" i="57"/>
  <c r="K19" i="57"/>
  <c r="K14" i="57"/>
  <c r="K18" i="57"/>
  <c r="J75" i="57"/>
  <c r="J99" i="57" s="1"/>
  <c r="L4" i="57"/>
  <c r="M4" i="66" s="1"/>
  <c r="J34" i="57"/>
  <c r="K32" i="57"/>
  <c r="L3" i="57"/>
  <c r="M3" i="66" s="1"/>
  <c r="K31" i="57"/>
  <c r="K6" i="57"/>
  <c r="M6" i="66" l="1"/>
  <c r="M8" i="66"/>
  <c r="M23" i="66" s="1"/>
  <c r="M10" i="66"/>
  <c r="M25" i="66" s="1"/>
  <c r="M9" i="66"/>
  <c r="M24" i="66" s="1"/>
  <c r="M11" i="66"/>
  <c r="M26" i="66" s="1"/>
  <c r="M12" i="66"/>
  <c r="J113" i="57"/>
  <c r="J123" i="57"/>
  <c r="J114" i="57"/>
  <c r="J124" i="57"/>
  <c r="J115" i="57"/>
  <c r="J125" i="57"/>
  <c r="J116" i="57"/>
  <c r="K21" i="57"/>
  <c r="F69" i="78"/>
  <c r="H69" i="78" s="1"/>
  <c r="J63" i="57"/>
  <c r="K7" i="55" s="1"/>
  <c r="J67" i="57"/>
  <c r="K11" i="55" s="1"/>
  <c r="J89" i="57"/>
  <c r="K99" i="66" s="1"/>
  <c r="K78" i="11" s="1"/>
  <c r="K124" i="11" s="1"/>
  <c r="J87" i="57"/>
  <c r="K29" i="66" s="1"/>
  <c r="F71" i="78"/>
  <c r="F67" i="78"/>
  <c r="J61" i="57"/>
  <c r="K5" i="55" s="1"/>
  <c r="J66" i="57"/>
  <c r="K10" i="55" s="1"/>
  <c r="K17" i="57"/>
  <c r="K47" i="57"/>
  <c r="K46" i="57"/>
  <c r="K45" i="57"/>
  <c r="K44" i="57"/>
  <c r="F72" i="78"/>
  <c r="J72" i="78" s="1"/>
  <c r="J90" i="57"/>
  <c r="K32" i="66" s="1"/>
  <c r="K50" i="57"/>
  <c r="K66" i="57" s="1"/>
  <c r="L10" i="55" s="1"/>
  <c r="K49" i="57"/>
  <c r="K65" i="57" s="1"/>
  <c r="L9" i="55" s="1"/>
  <c r="K52" i="57"/>
  <c r="K51" i="57"/>
  <c r="F82" i="78" s="1"/>
  <c r="J88" i="57"/>
  <c r="K75" i="66" s="1"/>
  <c r="K98" i="11" s="1"/>
  <c r="K143" i="11" s="1"/>
  <c r="L14" i="57"/>
  <c r="L18" i="57"/>
  <c r="L15" i="57"/>
  <c r="L19" i="57"/>
  <c r="F74" i="78"/>
  <c r="J74" i="78" s="1"/>
  <c r="F68" i="78"/>
  <c r="F70" i="78"/>
  <c r="H73" i="78"/>
  <c r="J73" i="78"/>
  <c r="J68" i="57"/>
  <c r="J53" i="57"/>
  <c r="J62" i="57"/>
  <c r="K34" i="57"/>
  <c r="L32" i="57"/>
  <c r="L31" i="57"/>
  <c r="L6" i="57"/>
  <c r="J77" i="57"/>
  <c r="J101" i="57" s="1"/>
  <c r="J74" i="57"/>
  <c r="J98" i="57" s="1"/>
  <c r="J76" i="57"/>
  <c r="J100" i="57" s="1"/>
  <c r="J40" i="57"/>
  <c r="J60" i="57"/>
  <c r="J48" i="57"/>
  <c r="K124" i="57" l="1"/>
  <c r="K80" i="7"/>
  <c r="J136" i="57"/>
  <c r="K79" i="7"/>
  <c r="J135" i="57"/>
  <c r="K78" i="7"/>
  <c r="J134" i="57"/>
  <c r="K77" i="7"/>
  <c r="J133" i="57"/>
  <c r="K123" i="57"/>
  <c r="K126" i="57"/>
  <c r="J119" i="57"/>
  <c r="K115" i="57"/>
  <c r="K125" i="57"/>
  <c r="J129" i="57"/>
  <c r="K113" i="57"/>
  <c r="K133" i="57" s="1"/>
  <c r="K114" i="57"/>
  <c r="K134" i="57" s="1"/>
  <c r="K116" i="57"/>
  <c r="K136" i="57" s="1"/>
  <c r="J69" i="78"/>
  <c r="K102" i="66"/>
  <c r="K82" i="11" s="1"/>
  <c r="K128" i="11" s="1"/>
  <c r="K75" i="57"/>
  <c r="K99" i="57" s="1"/>
  <c r="K76" i="66"/>
  <c r="K99" i="11" s="1"/>
  <c r="K144" i="11" s="1"/>
  <c r="K67" i="57"/>
  <c r="L11" i="55" s="1"/>
  <c r="K68" i="57"/>
  <c r="L12" i="55" s="1"/>
  <c r="K101" i="66"/>
  <c r="K81" i="11" s="1"/>
  <c r="K127" i="11" s="1"/>
  <c r="J83" i="57"/>
  <c r="J93" i="57" s="1"/>
  <c r="K105" i="66"/>
  <c r="K86" i="11" s="1"/>
  <c r="K132" i="11" s="1"/>
  <c r="J106" i="57"/>
  <c r="K31" i="66"/>
  <c r="K47" i="66" s="1"/>
  <c r="K53" i="66" s="1"/>
  <c r="K88" i="11" s="1"/>
  <c r="K134" i="11" s="1"/>
  <c r="K104" i="66"/>
  <c r="K85" i="11" s="1"/>
  <c r="K131" i="11" s="1"/>
  <c r="K106" i="66"/>
  <c r="K87" i="11" s="1"/>
  <c r="K133" i="11" s="1"/>
  <c r="K100" i="66"/>
  <c r="K79" i="11" s="1"/>
  <c r="K125" i="11" s="1"/>
  <c r="K88" i="57"/>
  <c r="L74" i="66" s="1"/>
  <c r="L97" i="11" s="1"/>
  <c r="L142" i="11" s="1"/>
  <c r="K77" i="66"/>
  <c r="K103" i="66"/>
  <c r="K84" i="11" s="1"/>
  <c r="K130" i="11" s="1"/>
  <c r="H72" i="78"/>
  <c r="K72" i="78" s="1"/>
  <c r="L72" i="78" s="1"/>
  <c r="K80" i="66"/>
  <c r="K74" i="66"/>
  <c r="K97" i="11" s="1"/>
  <c r="K142" i="11" s="1"/>
  <c r="J86" i="57"/>
  <c r="K30" i="66"/>
  <c r="K41" i="66" s="1"/>
  <c r="K42" i="66" s="1"/>
  <c r="K93" i="11" s="1"/>
  <c r="K61" i="57"/>
  <c r="L5" i="55" s="1"/>
  <c r="K78" i="66"/>
  <c r="F81" i="78"/>
  <c r="K87" i="57"/>
  <c r="K90" i="57"/>
  <c r="L32" i="66" s="1"/>
  <c r="K63" i="57"/>
  <c r="L7" i="55" s="1"/>
  <c r="K79" i="66"/>
  <c r="K89" i="57"/>
  <c r="L31" i="66" s="1"/>
  <c r="L47" i="66" s="1"/>
  <c r="L21" i="57"/>
  <c r="L47" i="57"/>
  <c r="L46" i="57"/>
  <c r="L45" i="57"/>
  <c r="L44" i="57"/>
  <c r="L50" i="57"/>
  <c r="L49" i="57"/>
  <c r="L52" i="57"/>
  <c r="L51" i="57"/>
  <c r="F91" i="78" s="1"/>
  <c r="L17" i="57"/>
  <c r="J105" i="57"/>
  <c r="K4" i="55"/>
  <c r="J108" i="57"/>
  <c r="K12" i="55"/>
  <c r="K13" i="55" s="1"/>
  <c r="J107" i="57"/>
  <c r="K6" i="55"/>
  <c r="K35" i="66"/>
  <c r="K36" i="66" s="1"/>
  <c r="K107" i="11" s="1"/>
  <c r="K151" i="11" s="1"/>
  <c r="F76" i="78"/>
  <c r="F77" i="78"/>
  <c r="F79" i="78"/>
  <c r="F83" i="78"/>
  <c r="F78" i="78"/>
  <c r="H78" i="78" s="1"/>
  <c r="H74" i="78"/>
  <c r="K74" i="78" s="1"/>
  <c r="L74" i="78" s="1"/>
  <c r="H71" i="78"/>
  <c r="J71" i="78"/>
  <c r="Q26" i="78"/>
  <c r="S26" i="78" s="1"/>
  <c r="J67" i="78"/>
  <c r="H67" i="78"/>
  <c r="Q27" i="78"/>
  <c r="S27" i="78" s="1"/>
  <c r="Q25" i="78"/>
  <c r="S25" i="78" s="1"/>
  <c r="H70" i="78"/>
  <c r="J70" i="78"/>
  <c r="H68" i="78"/>
  <c r="J68" i="78"/>
  <c r="H82" i="78"/>
  <c r="J82" i="78"/>
  <c r="K73" i="78"/>
  <c r="L73" i="78" s="1"/>
  <c r="K69" i="78"/>
  <c r="L69" i="78" s="1"/>
  <c r="J102" i="57"/>
  <c r="K27" i="66"/>
  <c r="J56" i="57"/>
  <c r="J78" i="57"/>
  <c r="K57" i="15" s="1"/>
  <c r="J82" i="57"/>
  <c r="J92" i="57" s="1"/>
  <c r="J85" i="57"/>
  <c r="J95" i="57" s="1"/>
  <c r="J84" i="57"/>
  <c r="J94" i="57" s="1"/>
  <c r="J69" i="57"/>
  <c r="K53" i="57"/>
  <c r="L34" i="57"/>
  <c r="K77" i="57"/>
  <c r="K74" i="57"/>
  <c r="K98" i="57" s="1"/>
  <c r="K76" i="57"/>
  <c r="K100" i="57" s="1"/>
  <c r="K40" i="57"/>
  <c r="K60" i="57"/>
  <c r="K48" i="57"/>
  <c r="J64" i="57"/>
  <c r="K62" i="57"/>
  <c r="L79" i="7" l="1"/>
  <c r="K135" i="57"/>
  <c r="K129" i="57"/>
  <c r="L123" i="57"/>
  <c r="L80" i="7"/>
  <c r="L78" i="7"/>
  <c r="L77" i="7"/>
  <c r="L125" i="57"/>
  <c r="L124" i="57"/>
  <c r="L126" i="57"/>
  <c r="L113" i="57"/>
  <c r="K119" i="57"/>
  <c r="L116" i="57"/>
  <c r="L114" i="57"/>
  <c r="L134" i="57" s="1"/>
  <c r="L115" i="57"/>
  <c r="L135" i="57" s="1"/>
  <c r="K108" i="57"/>
  <c r="L13" i="55"/>
  <c r="L103" i="66"/>
  <c r="L84" i="11" s="1"/>
  <c r="L130" i="11" s="1"/>
  <c r="K69" i="57"/>
  <c r="L61" i="57"/>
  <c r="M5" i="55" s="1"/>
  <c r="L75" i="66"/>
  <c r="L98" i="11" s="1"/>
  <c r="L143" i="11" s="1"/>
  <c r="L76" i="66"/>
  <c r="L99" i="11" s="1"/>
  <c r="L144" i="11" s="1"/>
  <c r="L30" i="66"/>
  <c r="L41" i="66" s="1"/>
  <c r="L42" i="66" s="1"/>
  <c r="L93" i="11" s="1"/>
  <c r="L80" i="66"/>
  <c r="L79" i="66"/>
  <c r="L77" i="66"/>
  <c r="L78" i="66"/>
  <c r="L106" i="66"/>
  <c r="L87" i="11" s="1"/>
  <c r="L133" i="11" s="1"/>
  <c r="L27" i="66"/>
  <c r="K44" i="66"/>
  <c r="K95" i="11" s="1"/>
  <c r="L75" i="57"/>
  <c r="L99" i="57" s="1"/>
  <c r="L104" i="66"/>
  <c r="L85" i="11" s="1"/>
  <c r="L131" i="11" s="1"/>
  <c r="K45" i="66"/>
  <c r="K96" i="11" s="1"/>
  <c r="K43" i="66"/>
  <c r="K94" i="11" s="1"/>
  <c r="F90" i="78"/>
  <c r="J90" i="78" s="1"/>
  <c r="L105" i="66"/>
  <c r="L86" i="11" s="1"/>
  <c r="L132" i="11" s="1"/>
  <c r="L88" i="57"/>
  <c r="M74" i="66" s="1"/>
  <c r="M97" i="11" s="1"/>
  <c r="M142" i="11" s="1"/>
  <c r="K106" i="57"/>
  <c r="K107" i="66"/>
  <c r="L100" i="66"/>
  <c r="L79" i="11" s="1"/>
  <c r="L125" i="11" s="1"/>
  <c r="L101" i="66"/>
  <c r="L81" i="11" s="1"/>
  <c r="L127" i="11" s="1"/>
  <c r="K83" i="57"/>
  <c r="K93" i="57" s="1"/>
  <c r="L99" i="66"/>
  <c r="L78" i="11" s="1"/>
  <c r="L124" i="11" s="1"/>
  <c r="K86" i="57"/>
  <c r="L102" i="66"/>
  <c r="L82" i="11" s="1"/>
  <c r="L128" i="11" s="1"/>
  <c r="L66" i="57"/>
  <c r="M10" i="55" s="1"/>
  <c r="K81" i="66"/>
  <c r="F80" i="78"/>
  <c r="H80" i="78" s="1"/>
  <c r="L67" i="57"/>
  <c r="M11" i="55" s="1"/>
  <c r="L87" i="57"/>
  <c r="M29" i="66" s="1"/>
  <c r="L65" i="57"/>
  <c r="M9" i="55" s="1"/>
  <c r="L89" i="57"/>
  <c r="M102" i="66" s="1"/>
  <c r="M82" i="11" s="1"/>
  <c r="M128" i="11" s="1"/>
  <c r="L68" i="57"/>
  <c r="M12" i="55" s="1"/>
  <c r="L90" i="57"/>
  <c r="M32" i="66" s="1"/>
  <c r="K38" i="66"/>
  <c r="K109" i="11" s="1"/>
  <c r="K153" i="11" s="1"/>
  <c r="K37" i="66"/>
  <c r="K108" i="11" s="1"/>
  <c r="K152" i="11" s="1"/>
  <c r="K39" i="66"/>
  <c r="K110" i="11" s="1"/>
  <c r="K154" i="11" s="1"/>
  <c r="J109" i="57"/>
  <c r="K51" i="66"/>
  <c r="K80" i="11" s="1"/>
  <c r="K126" i="11" s="1"/>
  <c r="K54" i="66"/>
  <c r="K89" i="11" s="1"/>
  <c r="K135" i="11" s="1"/>
  <c r="K8" i="55"/>
  <c r="K15" i="55" s="1"/>
  <c r="K4" i="14" s="1"/>
  <c r="K55" i="66"/>
  <c r="K90" i="11" s="1"/>
  <c r="K136" i="11" s="1"/>
  <c r="K105" i="57"/>
  <c r="L4" i="55"/>
  <c r="K107" i="57"/>
  <c r="L6" i="55"/>
  <c r="K50" i="66"/>
  <c r="K77" i="11" s="1"/>
  <c r="K123" i="11" s="1"/>
  <c r="K52" i="66"/>
  <c r="K83" i="11" s="1"/>
  <c r="K129" i="11" s="1"/>
  <c r="K49" i="66"/>
  <c r="K76" i="11" s="1"/>
  <c r="K122" i="11" s="1"/>
  <c r="F87" i="78"/>
  <c r="J76" i="78"/>
  <c r="H76" i="78"/>
  <c r="J78" i="78"/>
  <c r="K78" i="78" s="1"/>
  <c r="L78" i="78" s="1"/>
  <c r="F88" i="78"/>
  <c r="T27" i="78"/>
  <c r="U27" i="78" s="1"/>
  <c r="V27" i="78" s="1"/>
  <c r="F92" i="78"/>
  <c r="F89" i="78"/>
  <c r="H89" i="78" s="1"/>
  <c r="F86" i="78"/>
  <c r="F85" i="78"/>
  <c r="T26" i="78"/>
  <c r="U26" i="78" s="1"/>
  <c r="V26" i="78" s="1"/>
  <c r="T25" i="78"/>
  <c r="U25" i="78" s="1"/>
  <c r="V25" i="78" s="1"/>
  <c r="K70" i="78"/>
  <c r="L70" i="78" s="1"/>
  <c r="K71" i="78"/>
  <c r="L71" i="78" s="1"/>
  <c r="H81" i="78"/>
  <c r="J81" i="78"/>
  <c r="K68" i="78"/>
  <c r="L68" i="78" s="1"/>
  <c r="K67" i="78"/>
  <c r="L67" i="78" s="1"/>
  <c r="H77" i="78"/>
  <c r="J77" i="78"/>
  <c r="Q28" i="78"/>
  <c r="S28" i="78" s="1"/>
  <c r="J83" i="78"/>
  <c r="H83" i="78"/>
  <c r="H79" i="78"/>
  <c r="J79" i="78"/>
  <c r="K82" i="78"/>
  <c r="L82" i="78" s="1"/>
  <c r="H91" i="78"/>
  <c r="J91" i="78"/>
  <c r="L29" i="66"/>
  <c r="K85" i="57"/>
  <c r="K95" i="57" s="1"/>
  <c r="K101" i="57"/>
  <c r="K102" i="57" s="1"/>
  <c r="K56" i="57"/>
  <c r="K78" i="57"/>
  <c r="L57" i="15" s="1"/>
  <c r="K4" i="11"/>
  <c r="K6" i="11"/>
  <c r="K3" i="11"/>
  <c r="J71" i="57"/>
  <c r="J81" i="57" s="1"/>
  <c r="J91" i="57" s="1"/>
  <c r="K5" i="11"/>
  <c r="L54" i="66"/>
  <c r="L89" i="11" s="1"/>
  <c r="L135" i="11" s="1"/>
  <c r="L49" i="66"/>
  <c r="L76" i="11" s="1"/>
  <c r="L122" i="11" s="1"/>
  <c r="L53" i="66"/>
  <c r="L88" i="11" s="1"/>
  <c r="L134" i="11" s="1"/>
  <c r="L50" i="66"/>
  <c r="L77" i="11" s="1"/>
  <c r="L123" i="11" s="1"/>
  <c r="L55" i="66"/>
  <c r="L90" i="11" s="1"/>
  <c r="L136" i="11" s="1"/>
  <c r="L52" i="66"/>
  <c r="L83" i="11" s="1"/>
  <c r="L129" i="11" s="1"/>
  <c r="L51" i="66"/>
  <c r="L80" i="11" s="1"/>
  <c r="L126" i="11" s="1"/>
  <c r="K48" i="66"/>
  <c r="M31" i="66"/>
  <c r="M47" i="66" s="1"/>
  <c r="K84" i="57"/>
  <c r="K94" i="57" s="1"/>
  <c r="K82" i="57"/>
  <c r="K92" i="57" s="1"/>
  <c r="L53" i="57"/>
  <c r="L63" i="57"/>
  <c r="L77" i="57"/>
  <c r="L101" i="57" s="1"/>
  <c r="L40" i="57"/>
  <c r="K64" i="57"/>
  <c r="L60" i="57"/>
  <c r="L48" i="57"/>
  <c r="L62" i="57"/>
  <c r="L136" i="57" l="1"/>
  <c r="L133" i="57"/>
  <c r="M78" i="7"/>
  <c r="M80" i="7"/>
  <c r="M79" i="7"/>
  <c r="M77" i="7"/>
  <c r="L129" i="57"/>
  <c r="M103" i="66"/>
  <c r="M84" i="11" s="1"/>
  <c r="M130" i="11" s="1"/>
  <c r="M100" i="66"/>
  <c r="M79" i="11" s="1"/>
  <c r="M125" i="11" s="1"/>
  <c r="M99" i="66"/>
  <c r="M78" i="11" s="1"/>
  <c r="M124" i="11" s="1"/>
  <c r="M101" i="66"/>
  <c r="M81" i="11" s="1"/>
  <c r="M127" i="11" s="1"/>
  <c r="L119" i="57"/>
  <c r="M106" i="66"/>
  <c r="M87" i="11" s="1"/>
  <c r="M133" i="11" s="1"/>
  <c r="M105" i="66"/>
  <c r="M86" i="11" s="1"/>
  <c r="M132" i="11" s="1"/>
  <c r="M104" i="66"/>
  <c r="M85" i="11" s="1"/>
  <c r="M131" i="11" s="1"/>
  <c r="L43" i="66"/>
  <c r="L94" i="11" s="1"/>
  <c r="Q30" i="78"/>
  <c r="S30" i="78" s="1"/>
  <c r="L44" i="66"/>
  <c r="L95" i="11" s="1"/>
  <c r="H90" i="78"/>
  <c r="K90" i="78" s="1"/>
  <c r="L90" i="78" s="1"/>
  <c r="L45" i="66"/>
  <c r="L96" i="11" s="1"/>
  <c r="L81" i="66"/>
  <c r="Q29" i="78"/>
  <c r="S29" i="78" s="1"/>
  <c r="J80" i="78"/>
  <c r="K80" i="78" s="1"/>
  <c r="L80" i="78" s="1"/>
  <c r="L83" i="57"/>
  <c r="L93" i="57" s="1"/>
  <c r="K105" i="11"/>
  <c r="L106" i="57"/>
  <c r="L107" i="66"/>
  <c r="L86" i="57"/>
  <c r="K46" i="66"/>
  <c r="L4" i="11"/>
  <c r="M13" i="55"/>
  <c r="L69" i="57"/>
  <c r="K40" i="66"/>
  <c r="K111" i="11"/>
  <c r="K109" i="57"/>
  <c r="L108" i="57"/>
  <c r="M7" i="55"/>
  <c r="L105" i="57"/>
  <c r="M4" i="55"/>
  <c r="L35" i="66"/>
  <c r="L37" i="66" s="1"/>
  <c r="L108" i="11" s="1"/>
  <c r="L152" i="11" s="1"/>
  <c r="L8" i="55"/>
  <c r="L15" i="55" s="1"/>
  <c r="L4" i="14" s="1"/>
  <c r="M35" i="66"/>
  <c r="M39" i="66" s="1"/>
  <c r="M110" i="11" s="1"/>
  <c r="M154" i="11" s="1"/>
  <c r="L107" i="57"/>
  <c r="M6" i="55"/>
  <c r="Q31" i="78"/>
  <c r="S31" i="78" s="1"/>
  <c r="J89" i="78"/>
  <c r="K89" i="78" s="1"/>
  <c r="L89" i="78" s="1"/>
  <c r="K76" i="78"/>
  <c r="L76" i="78" s="1"/>
  <c r="H88" i="78"/>
  <c r="J88" i="78"/>
  <c r="K81" i="78"/>
  <c r="L81" i="78" s="1"/>
  <c r="Q33" i="78"/>
  <c r="S33" i="78" s="1"/>
  <c r="T29" i="78"/>
  <c r="K79" i="78"/>
  <c r="L79" i="78" s="1"/>
  <c r="K77" i="78"/>
  <c r="L77" i="78" s="1"/>
  <c r="J86" i="78"/>
  <c r="H86" i="78"/>
  <c r="Q32" i="78"/>
  <c r="S32" i="78" s="1"/>
  <c r="J85" i="78"/>
  <c r="H85" i="78"/>
  <c r="H92" i="78"/>
  <c r="J92" i="78"/>
  <c r="K83" i="78"/>
  <c r="L83" i="78" s="1"/>
  <c r="H87" i="78"/>
  <c r="J87" i="78"/>
  <c r="K91" i="78"/>
  <c r="L91" i="78" s="1"/>
  <c r="L6" i="11"/>
  <c r="L56" i="57"/>
  <c r="K70" i="15"/>
  <c r="K71" i="15" s="1"/>
  <c r="K75" i="15" s="1"/>
  <c r="K78" i="15" s="1"/>
  <c r="K79" i="15" s="1"/>
  <c r="K7" i="11"/>
  <c r="K56" i="66"/>
  <c r="K75" i="11"/>
  <c r="K184" i="11" s="1"/>
  <c r="K186" i="11" s="1"/>
  <c r="K71" i="57"/>
  <c r="K81" i="57" s="1"/>
  <c r="K91" i="57" s="1"/>
  <c r="L3" i="11"/>
  <c r="L5" i="11"/>
  <c r="M49" i="66"/>
  <c r="M76" i="11" s="1"/>
  <c r="M122" i="11" s="1"/>
  <c r="M52" i="66"/>
  <c r="M83" i="11" s="1"/>
  <c r="M129" i="11" s="1"/>
  <c r="M54" i="66"/>
  <c r="M89" i="11" s="1"/>
  <c r="M135" i="11" s="1"/>
  <c r="M51" i="66"/>
  <c r="M80" i="11" s="1"/>
  <c r="M126" i="11" s="1"/>
  <c r="M53" i="66"/>
  <c r="M88" i="11" s="1"/>
  <c r="M134" i="11" s="1"/>
  <c r="M55" i="66"/>
  <c r="M90" i="11" s="1"/>
  <c r="M136" i="11" s="1"/>
  <c r="M50" i="66"/>
  <c r="M77" i="11" s="1"/>
  <c r="M123" i="11" s="1"/>
  <c r="M80" i="66"/>
  <c r="M78" i="66"/>
  <c r="M77" i="66"/>
  <c r="M79" i="66"/>
  <c r="M30" i="66"/>
  <c r="M41" i="66" s="1"/>
  <c r="M76" i="66"/>
  <c r="M99" i="11" s="1"/>
  <c r="M144" i="11" s="1"/>
  <c r="M75" i="66"/>
  <c r="M98" i="11" s="1"/>
  <c r="M143" i="11" s="1"/>
  <c r="M27" i="66"/>
  <c r="L85" i="57"/>
  <c r="L95" i="57" s="1"/>
  <c r="L74" i="57"/>
  <c r="L98" i="57" s="1"/>
  <c r="L64" i="57"/>
  <c r="L76" i="57"/>
  <c r="M107" i="66" l="1"/>
  <c r="L105" i="11"/>
  <c r="T30" i="78"/>
  <c r="U30" i="78" s="1"/>
  <c r="V30" i="78" s="1"/>
  <c r="L46" i="66"/>
  <c r="T28" i="78"/>
  <c r="U28" i="78" s="1"/>
  <c r="V28" i="78" s="1"/>
  <c r="L36" i="66"/>
  <c r="L107" i="11" s="1"/>
  <c r="L151" i="11" s="1"/>
  <c r="U29" i="78"/>
  <c r="V29" i="78" s="1"/>
  <c r="L38" i="66"/>
  <c r="L109" i="11" s="1"/>
  <c r="L153" i="11" s="1"/>
  <c r="L39" i="66"/>
  <c r="L110" i="11" s="1"/>
  <c r="L154" i="11" s="1"/>
  <c r="L109" i="57"/>
  <c r="M36" i="66"/>
  <c r="M107" i="11" s="1"/>
  <c r="M151" i="11" s="1"/>
  <c r="M37" i="66"/>
  <c r="M108" i="11" s="1"/>
  <c r="M152" i="11" s="1"/>
  <c r="M38" i="66"/>
  <c r="M109" i="11" s="1"/>
  <c r="M153" i="11" s="1"/>
  <c r="M8" i="55"/>
  <c r="M15" i="55" s="1"/>
  <c r="M4" i="14" s="1"/>
  <c r="T33" i="78"/>
  <c r="U33" i="78" s="1"/>
  <c r="V33" i="78" s="1"/>
  <c r="K88" i="78"/>
  <c r="L88" i="78" s="1"/>
  <c r="K84" i="15"/>
  <c r="K85" i="15" s="1"/>
  <c r="T32" i="78"/>
  <c r="U32" i="78" s="1"/>
  <c r="V32" i="78" s="1"/>
  <c r="T31" i="78"/>
  <c r="U31" i="78" s="1"/>
  <c r="V31" i="78" s="1"/>
  <c r="K87" i="78"/>
  <c r="L87" i="78" s="1"/>
  <c r="K92" i="78"/>
  <c r="L92" i="78" s="1"/>
  <c r="K85" i="78"/>
  <c r="L85" i="78" s="1"/>
  <c r="K86" i="78"/>
  <c r="L86" i="78" s="1"/>
  <c r="L84" i="57"/>
  <c r="L94" i="57" s="1"/>
  <c r="L100" i="57"/>
  <c r="L102" i="57" s="1"/>
  <c r="K80" i="22"/>
  <c r="K82" i="22" s="1"/>
  <c r="K124" i="15"/>
  <c r="K125" i="15" s="1"/>
  <c r="K91" i="11"/>
  <c r="K116" i="11" s="1"/>
  <c r="K121" i="11"/>
  <c r="J12" i="19"/>
  <c r="L70" i="15"/>
  <c r="L71" i="15" s="1"/>
  <c r="L75" i="15" s="1"/>
  <c r="L78" i="15" s="1"/>
  <c r="L79" i="15" s="1"/>
  <c r="L82" i="57"/>
  <c r="L92" i="57" s="1"/>
  <c r="L78" i="57"/>
  <c r="M57" i="15" s="1"/>
  <c r="L7" i="11"/>
  <c r="M6" i="11"/>
  <c r="L71" i="57"/>
  <c r="M4" i="11"/>
  <c r="M43" i="66"/>
  <c r="M94" i="11" s="1"/>
  <c r="M45" i="66"/>
  <c r="M96" i="11" s="1"/>
  <c r="M42" i="66"/>
  <c r="M93" i="11" s="1"/>
  <c r="M44" i="66"/>
  <c r="M95" i="11" s="1"/>
  <c r="M81" i="66"/>
  <c r="L48" i="66" l="1"/>
  <c r="L56" i="66" s="1"/>
  <c r="L40" i="66"/>
  <c r="L111" i="11"/>
  <c r="M40" i="66"/>
  <c r="M111" i="11"/>
  <c r="M5" i="11"/>
  <c r="L84" i="15"/>
  <c r="L85" i="15" s="1"/>
  <c r="J44" i="19"/>
  <c r="K24" i="22"/>
  <c r="L80" i="22"/>
  <c r="L82" i="22" s="1"/>
  <c r="L124" i="15"/>
  <c r="L125" i="15" s="1"/>
  <c r="M105" i="11"/>
  <c r="J46" i="19"/>
  <c r="K12" i="19"/>
  <c r="M3" i="11"/>
  <c r="M7" i="11" s="1"/>
  <c r="M48" i="66"/>
  <c r="M46" i="66"/>
  <c r="L81" i="57"/>
  <c r="L91" i="57" s="1"/>
  <c r="L75" i="11" l="1"/>
  <c r="L184" i="11" s="1"/>
  <c r="L186" i="11" s="1"/>
  <c r="K44" i="19"/>
  <c r="L24" i="22"/>
  <c r="M56" i="66"/>
  <c r="M75" i="11"/>
  <c r="M184" i="11" s="1"/>
  <c r="M186" i="11" s="1"/>
  <c r="M70" i="15"/>
  <c r="M84" i="15" s="1"/>
  <c r="L91" i="11" l="1"/>
  <c r="L116" i="11" s="1"/>
  <c r="K46" i="19"/>
  <c r="L121" i="11"/>
  <c r="M91" i="11"/>
  <c r="M116" i="11" s="1"/>
  <c r="M121" i="11"/>
  <c r="M85" i="15"/>
  <c r="L44" i="19"/>
  <c r="M71" i="15"/>
  <c r="L46" i="19" l="1"/>
  <c r="L12" i="19"/>
  <c r="M75" i="15"/>
  <c r="M78" i="15" l="1"/>
  <c r="M79" i="15" s="1"/>
  <c r="M124" i="15" s="1"/>
  <c r="M125" i="15" s="1"/>
  <c r="M80" i="22" l="1"/>
  <c r="M82" i="22" s="1"/>
  <c r="M24" i="22" l="1"/>
  <c r="D23" i="7" l="1"/>
  <c r="P23" i="7"/>
  <c r="R30" i="7" s="1"/>
  <c r="G50" i="56" s="1"/>
  <c r="D9" i="7" l="1"/>
  <c r="L139" i="7" s="1"/>
  <c r="P19" i="15"/>
  <c r="R23" i="7"/>
  <c r="G49" i="56" s="1"/>
  <c r="F49" i="56" s="1"/>
  <c r="L175" i="7" l="1"/>
  <c r="D225" i="74"/>
  <c r="D223" i="74" s="1"/>
  <c r="D22" i="55"/>
  <c r="D24" i="55" s="1"/>
  <c r="D26" i="55" s="1"/>
  <c r="D12" i="7"/>
  <c r="D35" i="15"/>
  <c r="F50" i="56"/>
  <c r="E50" i="56" s="1"/>
  <c r="D50" i="56" s="1"/>
  <c r="E49" i="56"/>
  <c r="D49" i="56" s="1"/>
  <c r="C3" i="57"/>
  <c r="P20" i="15"/>
  <c r="L18" i="56"/>
  <c r="C18" i="57" l="1"/>
  <c r="D3" i="66"/>
  <c r="P22" i="55"/>
  <c r="C14" i="57"/>
  <c r="C22" i="57" s="1"/>
  <c r="E18" i="56"/>
  <c r="K18" i="56"/>
  <c r="L19" i="56"/>
  <c r="K19" i="56" s="1"/>
  <c r="P24" i="55"/>
  <c r="P26" i="55" s="1"/>
  <c r="D7" i="14"/>
  <c r="P7" i="14" s="1"/>
  <c r="P28" i="15"/>
  <c r="Q28" i="15" s="1"/>
  <c r="P21" i="15"/>
  <c r="J3" i="7" l="1"/>
  <c r="G3" i="7"/>
  <c r="I3" i="7"/>
  <c r="H3" i="7"/>
  <c r="K3" i="7"/>
  <c r="O3" i="7"/>
  <c r="N3" i="7"/>
  <c r="F3" i="7"/>
  <c r="L3" i="7"/>
  <c r="D3" i="7"/>
  <c r="M3" i="7"/>
  <c r="E3" i="7"/>
  <c r="C47" i="57"/>
  <c r="C46" i="57"/>
  <c r="C45" i="57"/>
  <c r="C44" i="57"/>
  <c r="E19" i="56"/>
  <c r="D19" i="56" s="1"/>
  <c r="D18" i="56"/>
  <c r="D1" i="7"/>
  <c r="J19" i="56"/>
  <c r="M19" i="56"/>
  <c r="J18" i="56"/>
  <c r="M18" i="56"/>
  <c r="D29" i="15"/>
  <c r="F6" i="78" l="1"/>
  <c r="P3" i="7"/>
  <c r="H4" i="7"/>
  <c r="H6" i="7" s="1"/>
  <c r="O4" i="7"/>
  <c r="O6" i="7" s="1"/>
  <c r="O14" i="7" s="1"/>
  <c r="O15" i="7" s="1"/>
  <c r="G4" i="7"/>
  <c r="G6" i="7" s="1"/>
  <c r="G14" i="7" s="1"/>
  <c r="G15" i="7" s="1"/>
  <c r="N4" i="7"/>
  <c r="N6" i="7" s="1"/>
  <c r="N14" i="7" s="1"/>
  <c r="N15" i="7" s="1"/>
  <c r="F4" i="7"/>
  <c r="F6" i="7" s="1"/>
  <c r="F14" i="7" s="1"/>
  <c r="F15" i="7" s="1"/>
  <c r="L4" i="7"/>
  <c r="L6" i="7" s="1"/>
  <c r="L14" i="7" s="1"/>
  <c r="M4" i="7"/>
  <c r="M6" i="7" s="1"/>
  <c r="M14" i="7" s="1"/>
  <c r="M15" i="7" s="1"/>
  <c r="E4" i="7"/>
  <c r="E6" i="7" s="1"/>
  <c r="E14" i="7" s="1"/>
  <c r="E15" i="7" s="1"/>
  <c r="K4" i="7"/>
  <c r="K6" i="7" s="1"/>
  <c r="K14" i="7" s="1"/>
  <c r="K15" i="7" s="1"/>
  <c r="J4" i="7"/>
  <c r="J6" i="7" s="1"/>
  <c r="J14" i="7" s="1"/>
  <c r="J15" i="7" s="1"/>
  <c r="I4" i="7"/>
  <c r="I6" i="7" s="1"/>
  <c r="I14" i="7" s="1"/>
  <c r="I15" i="7" s="1"/>
  <c r="D4" i="7"/>
  <c r="C61" i="57"/>
  <c r="D5" i="55" s="1"/>
  <c r="C60" i="57"/>
  <c r="D4" i="55" s="1"/>
  <c r="D10" i="57"/>
  <c r="F7" i="78"/>
  <c r="O1" i="7"/>
  <c r="D13" i="15" s="1"/>
  <c r="O50" i="15"/>
  <c r="N1" i="7"/>
  <c r="N50" i="15"/>
  <c r="P25" i="11"/>
  <c r="P26" i="11" s="1"/>
  <c r="N4" i="57"/>
  <c r="O4" i="66" s="1"/>
  <c r="O52" i="7"/>
  <c r="D162" i="11"/>
  <c r="M4" i="57"/>
  <c r="N4" i="66" s="1"/>
  <c r="N52" i="7"/>
  <c r="P54" i="15"/>
  <c r="P29" i="15"/>
  <c r="S29" i="15" s="1"/>
  <c r="S30" i="15" s="1"/>
  <c r="D26" i="11"/>
  <c r="D92" i="56"/>
  <c r="D109" i="56"/>
  <c r="L15" i="7" l="1"/>
  <c r="F5" i="78"/>
  <c r="H5" i="78" s="1"/>
  <c r="P4" i="7"/>
  <c r="H14" i="7"/>
  <c r="H15" i="7" s="1"/>
  <c r="D6" i="7"/>
  <c r="D14" i="7" s="1"/>
  <c r="D15" i="7" s="1"/>
  <c r="P6" i="7"/>
  <c r="R5" i="7" s="1"/>
  <c r="F4" i="78"/>
  <c r="M15" i="57"/>
  <c r="M19" i="57"/>
  <c r="N15" i="57"/>
  <c r="N19" i="57"/>
  <c r="J6" i="78"/>
  <c r="H6" i="78"/>
  <c r="H7" i="78"/>
  <c r="J7" i="78"/>
  <c r="P161" i="11"/>
  <c r="P162" i="11"/>
  <c r="D50" i="15"/>
  <c r="E1" i="7"/>
  <c r="E50" i="15"/>
  <c r="D164" i="11"/>
  <c r="M32" i="57"/>
  <c r="E92" i="56"/>
  <c r="E109" i="56"/>
  <c r="N32" i="57"/>
  <c r="D52" i="7"/>
  <c r="D60" i="7" s="1"/>
  <c r="E48" i="7" s="1"/>
  <c r="C4" i="57"/>
  <c r="D51" i="7"/>
  <c r="N51" i="7"/>
  <c r="N54" i="7" s="1"/>
  <c r="N69" i="7" s="1"/>
  <c r="M3" i="57"/>
  <c r="N3" i="66" s="1"/>
  <c r="N6" i="66" s="1"/>
  <c r="O51" i="7"/>
  <c r="O54" i="7" s="1"/>
  <c r="O69" i="7" s="1"/>
  <c r="N3" i="57"/>
  <c r="O3" i="66" s="1"/>
  <c r="O6" i="66" s="1"/>
  <c r="N11" i="66" l="1"/>
  <c r="N26" i="66" s="1"/>
  <c r="N9" i="66"/>
  <c r="N24" i="66" s="1"/>
  <c r="N10" i="66"/>
  <c r="N25" i="66" s="1"/>
  <c r="N8" i="66"/>
  <c r="N23" i="66" s="1"/>
  <c r="N12" i="66"/>
  <c r="O9" i="66"/>
  <c r="O24" i="66" s="1"/>
  <c r="O11" i="66"/>
  <c r="O26" i="66" s="1"/>
  <c r="O10" i="66"/>
  <c r="O25" i="66" s="1"/>
  <c r="O12" i="66"/>
  <c r="O8" i="66"/>
  <c r="O23" i="66" s="1"/>
  <c r="C19" i="57"/>
  <c r="D4" i="66"/>
  <c r="J5" i="78"/>
  <c r="R4" i="7"/>
  <c r="R3" i="7"/>
  <c r="J4" i="78"/>
  <c r="H4" i="78"/>
  <c r="N52" i="57"/>
  <c r="F110" i="78" s="1"/>
  <c r="N49" i="57"/>
  <c r="N65" i="57" s="1"/>
  <c r="O9" i="55" s="1"/>
  <c r="N51" i="57"/>
  <c r="N50" i="57"/>
  <c r="M52" i="57"/>
  <c r="M49" i="57"/>
  <c r="M51" i="57"/>
  <c r="M50" i="57"/>
  <c r="N14" i="57"/>
  <c r="N18" i="57"/>
  <c r="N21" i="57" s="1"/>
  <c r="M14" i="57"/>
  <c r="M18" i="57"/>
  <c r="M21" i="57" s="1"/>
  <c r="C21" i="57"/>
  <c r="C15" i="57"/>
  <c r="D59" i="7"/>
  <c r="D62" i="7" s="1"/>
  <c r="D54" i="7"/>
  <c r="D69" i="7" s="1"/>
  <c r="K6" i="78"/>
  <c r="L6" i="78" s="1"/>
  <c r="K7" i="78"/>
  <c r="L7" i="78" s="1"/>
  <c r="K5" i="78"/>
  <c r="L5" i="78" s="1"/>
  <c r="C32" i="57"/>
  <c r="P164" i="11"/>
  <c r="F1" i="7"/>
  <c r="F50" i="15"/>
  <c r="E52" i="7"/>
  <c r="E60" i="7" s="1"/>
  <c r="F48" i="7" s="1"/>
  <c r="D4" i="57"/>
  <c r="E4" i="66" s="1"/>
  <c r="M31" i="57"/>
  <c r="M6" i="57"/>
  <c r="E51" i="7"/>
  <c r="D3" i="57"/>
  <c r="N31" i="57"/>
  <c r="N6" i="57"/>
  <c r="C31" i="57"/>
  <c r="C6" i="57"/>
  <c r="F92" i="56"/>
  <c r="F109" i="56"/>
  <c r="D18" i="57" l="1"/>
  <c r="E3" i="66"/>
  <c r="E6" i="66"/>
  <c r="E8" i="66"/>
  <c r="E23" i="66" s="1"/>
  <c r="E9" i="66"/>
  <c r="E24" i="66" s="1"/>
  <c r="E11" i="66"/>
  <c r="E26" i="66" s="1"/>
  <c r="E12" i="66"/>
  <c r="E10" i="66"/>
  <c r="E25" i="66" s="1"/>
  <c r="D6" i="66"/>
  <c r="R6" i="7"/>
  <c r="M67" i="57"/>
  <c r="N11" i="55" s="1"/>
  <c r="F100" i="78"/>
  <c r="H100" i="78" s="1"/>
  <c r="M66" i="57"/>
  <c r="N10" i="55" s="1"/>
  <c r="F99" i="78"/>
  <c r="H99" i="78" s="1"/>
  <c r="M53" i="57"/>
  <c r="F107" i="78"/>
  <c r="F109" i="78"/>
  <c r="J109" i="78" s="1"/>
  <c r="N68" i="57"/>
  <c r="O12" i="55" s="1"/>
  <c r="N66" i="57"/>
  <c r="O10" i="55" s="1"/>
  <c r="N53" i="57"/>
  <c r="N67" i="57"/>
  <c r="O11" i="55" s="1"/>
  <c r="F108" i="78"/>
  <c r="H108" i="78" s="1"/>
  <c r="C52" i="57"/>
  <c r="C51" i="57"/>
  <c r="C125" i="57" s="1"/>
  <c r="C50" i="57"/>
  <c r="C124" i="57" s="1"/>
  <c r="C49" i="57"/>
  <c r="C123" i="57" s="1"/>
  <c r="M17" i="57"/>
  <c r="M47" i="57"/>
  <c r="M45" i="57"/>
  <c r="M46" i="57"/>
  <c r="M44" i="57"/>
  <c r="F101" i="78"/>
  <c r="H101" i="78" s="1"/>
  <c r="M68" i="57"/>
  <c r="N12" i="55" s="1"/>
  <c r="N17" i="57"/>
  <c r="N47" i="57"/>
  <c r="N46" i="57"/>
  <c r="N45" i="57"/>
  <c r="N44" i="57"/>
  <c r="M65" i="57"/>
  <c r="N9" i="55" s="1"/>
  <c r="D15" i="57"/>
  <c r="D19" i="57"/>
  <c r="D21" i="57" s="1"/>
  <c r="C23" i="57"/>
  <c r="C17" i="57"/>
  <c r="D14" i="57"/>
  <c r="E47" i="7"/>
  <c r="E50" i="7" s="1"/>
  <c r="E54" i="7"/>
  <c r="E69" i="7" s="1"/>
  <c r="H110" i="78"/>
  <c r="J110" i="78"/>
  <c r="G1" i="7"/>
  <c r="G50" i="15"/>
  <c r="G109" i="56"/>
  <c r="G92" i="56"/>
  <c r="C63" i="57"/>
  <c r="D7" i="55" s="1"/>
  <c r="M40" i="57"/>
  <c r="M34" i="57"/>
  <c r="N34" i="57"/>
  <c r="N40" i="57"/>
  <c r="C62" i="57"/>
  <c r="D6" i="55" s="1"/>
  <c r="D31" i="57"/>
  <c r="D6" i="57"/>
  <c r="C34" i="57"/>
  <c r="D32" i="57"/>
  <c r="F52" i="7"/>
  <c r="F60" i="7" s="1"/>
  <c r="G48" i="7" s="1"/>
  <c r="C48" i="57"/>
  <c r="F51" i="7"/>
  <c r="D12" i="66" l="1"/>
  <c r="D10" i="66"/>
  <c r="D11" i="66"/>
  <c r="D9" i="66"/>
  <c r="D8" i="66"/>
  <c r="M113" i="57"/>
  <c r="M123" i="57"/>
  <c r="M115" i="57"/>
  <c r="M125" i="57"/>
  <c r="M114" i="57"/>
  <c r="M124" i="57"/>
  <c r="N115" i="57"/>
  <c r="N125" i="57"/>
  <c r="M116" i="57"/>
  <c r="M126" i="57"/>
  <c r="N113" i="57"/>
  <c r="N123" i="57"/>
  <c r="N114" i="57"/>
  <c r="N124" i="57"/>
  <c r="N116" i="57"/>
  <c r="N126" i="57"/>
  <c r="C116" i="57"/>
  <c r="C126" i="57"/>
  <c r="C113" i="57"/>
  <c r="C114" i="57"/>
  <c r="C115" i="57"/>
  <c r="C75" i="57"/>
  <c r="C99" i="57" s="1"/>
  <c r="M88" i="57"/>
  <c r="N79" i="66" s="1"/>
  <c r="C74" i="57"/>
  <c r="C98" i="57" s="1"/>
  <c r="C88" i="57"/>
  <c r="C76" i="57"/>
  <c r="C100" i="57" s="1"/>
  <c r="F96" i="78"/>
  <c r="H96" i="78" s="1"/>
  <c r="M89" i="57"/>
  <c r="N101" i="66" s="1"/>
  <c r="N81" i="11" s="1"/>
  <c r="N127" i="11" s="1"/>
  <c r="M77" i="57"/>
  <c r="M90" i="57"/>
  <c r="N32" i="66" s="1"/>
  <c r="M74" i="57"/>
  <c r="M98" i="57" s="1"/>
  <c r="M87" i="57"/>
  <c r="J100" i="78"/>
  <c r="K100" i="78" s="1"/>
  <c r="L100" i="78" s="1"/>
  <c r="N77" i="57"/>
  <c r="N101" i="57" s="1"/>
  <c r="J99" i="78"/>
  <c r="K99" i="78" s="1"/>
  <c r="L99" i="78" s="1"/>
  <c r="M75" i="57"/>
  <c r="M99" i="57" s="1"/>
  <c r="N75" i="57"/>
  <c r="N99" i="57" s="1"/>
  <c r="N61" i="57"/>
  <c r="O5" i="55" s="1"/>
  <c r="N76" i="57"/>
  <c r="N100" i="57" s="1"/>
  <c r="J108" i="78"/>
  <c r="K108" i="78" s="1"/>
  <c r="L108" i="78" s="1"/>
  <c r="F106" i="78"/>
  <c r="H106" i="78" s="1"/>
  <c r="M60" i="57"/>
  <c r="M63" i="57"/>
  <c r="C89" i="57"/>
  <c r="N63" i="57"/>
  <c r="O7" i="55" s="1"/>
  <c r="N62" i="57"/>
  <c r="O6" i="55" s="1"/>
  <c r="M61" i="57"/>
  <c r="M76" i="57"/>
  <c r="M100" i="57" s="1"/>
  <c r="N74" i="57"/>
  <c r="N98" i="57" s="1"/>
  <c r="M62" i="57"/>
  <c r="N90" i="57"/>
  <c r="O32" i="66" s="1"/>
  <c r="C77" i="57"/>
  <c r="C101" i="57" s="1"/>
  <c r="N88" i="57"/>
  <c r="N60" i="57"/>
  <c r="O4" i="55" s="1"/>
  <c r="M48" i="57"/>
  <c r="M56" i="57" s="1"/>
  <c r="M69" i="57"/>
  <c r="C53" i="57"/>
  <c r="C56" i="57" s="1"/>
  <c r="N69" i="57"/>
  <c r="H109" i="78"/>
  <c r="K109" i="78" s="1"/>
  <c r="L109" i="78" s="1"/>
  <c r="C90" i="57"/>
  <c r="C68" i="57"/>
  <c r="D12" i="55" s="1"/>
  <c r="C67" i="57"/>
  <c r="D11" i="55" s="1"/>
  <c r="C65" i="57"/>
  <c r="D9" i="55" s="1"/>
  <c r="N87" i="57"/>
  <c r="O29" i="66" s="1"/>
  <c r="O35" i="66" s="1"/>
  <c r="F105" i="78"/>
  <c r="J105" i="78" s="1"/>
  <c r="F94" i="78"/>
  <c r="H94" i="78" s="1"/>
  <c r="C87" i="57"/>
  <c r="O13" i="55"/>
  <c r="N13" i="55"/>
  <c r="N48" i="57"/>
  <c r="N56" i="57" s="1"/>
  <c r="N89" i="57"/>
  <c r="O99" i="66" s="1"/>
  <c r="O78" i="11" s="1"/>
  <c r="O124" i="11" s="1"/>
  <c r="F103" i="78"/>
  <c r="H103" i="78" s="1"/>
  <c r="C66" i="57"/>
  <c r="D10" i="55" s="1"/>
  <c r="F9" i="78"/>
  <c r="J9" i="78" s="1"/>
  <c r="F98" i="78"/>
  <c r="J98" i="78" s="1"/>
  <c r="J101" i="78"/>
  <c r="K101" i="78" s="1"/>
  <c r="L101" i="78" s="1"/>
  <c r="F11" i="78"/>
  <c r="H11" i="78" s="1"/>
  <c r="D50" i="57"/>
  <c r="D52" i="57"/>
  <c r="D51" i="57"/>
  <c r="D49" i="57"/>
  <c r="F97" i="78"/>
  <c r="H97" i="78" s="1"/>
  <c r="D47" i="57"/>
  <c r="D46" i="57"/>
  <c r="D45" i="57"/>
  <c r="D44" i="57"/>
  <c r="D11" i="57"/>
  <c r="C25" i="57"/>
  <c r="D22" i="57"/>
  <c r="D17" i="57"/>
  <c r="E14" i="57"/>
  <c r="E18" i="57"/>
  <c r="E15" i="57"/>
  <c r="E19" i="57"/>
  <c r="E59" i="7"/>
  <c r="F47" i="7" s="1"/>
  <c r="F54" i="7"/>
  <c r="F69" i="7" s="1"/>
  <c r="D8" i="55"/>
  <c r="F10" i="78"/>
  <c r="F104" i="78"/>
  <c r="F95" i="78"/>
  <c r="K110" i="78"/>
  <c r="L110" i="78" s="1"/>
  <c r="J107" i="78"/>
  <c r="H107" i="78"/>
  <c r="J96" i="78"/>
  <c r="H1" i="7"/>
  <c r="D40" i="57"/>
  <c r="D34" i="57"/>
  <c r="C64" i="57"/>
  <c r="E32" i="57"/>
  <c r="C40" i="57"/>
  <c r="H109" i="56"/>
  <c r="H92" i="56"/>
  <c r="E31" i="57"/>
  <c r="E6" i="57"/>
  <c r="G51" i="7"/>
  <c r="F3" i="57"/>
  <c r="G3" i="66" s="1"/>
  <c r="G52" i="7"/>
  <c r="G60" i="7" s="1"/>
  <c r="H48" i="7" s="1"/>
  <c r="F4" i="57"/>
  <c r="G4" i="66" s="1"/>
  <c r="N136" i="57" l="1"/>
  <c r="D125" i="57"/>
  <c r="G6" i="66"/>
  <c r="D23" i="66"/>
  <c r="D29" i="66" s="1"/>
  <c r="D24" i="66"/>
  <c r="D26" i="66"/>
  <c r="D32" i="66" s="1"/>
  <c r="D25" i="66"/>
  <c r="D104" i="66" s="1"/>
  <c r="D85" i="11" s="1"/>
  <c r="O79" i="7"/>
  <c r="N135" i="57"/>
  <c r="O78" i="7"/>
  <c r="N134" i="57"/>
  <c r="N78" i="7"/>
  <c r="M134" i="57"/>
  <c r="O77" i="7"/>
  <c r="N133" i="57"/>
  <c r="N79" i="7"/>
  <c r="M135" i="57"/>
  <c r="N80" i="7"/>
  <c r="M136" i="57"/>
  <c r="N77" i="7"/>
  <c r="M133" i="57"/>
  <c r="D79" i="7"/>
  <c r="C135" i="57"/>
  <c r="D78" i="7"/>
  <c r="C134" i="57"/>
  <c r="D77" i="7"/>
  <c r="C133" i="57"/>
  <c r="D80" i="7"/>
  <c r="C136" i="57"/>
  <c r="D123" i="57"/>
  <c r="O80" i="7"/>
  <c r="D126" i="57"/>
  <c r="M119" i="57"/>
  <c r="C129" i="57"/>
  <c r="D124" i="57"/>
  <c r="M129" i="57"/>
  <c r="N129" i="57"/>
  <c r="N119" i="57"/>
  <c r="D113" i="57"/>
  <c r="O102" i="66"/>
  <c r="O82" i="11" s="1"/>
  <c r="O128" i="11" s="1"/>
  <c r="C119" i="57"/>
  <c r="D114" i="57"/>
  <c r="D115" i="57"/>
  <c r="D135" i="57" s="1"/>
  <c r="D116" i="57"/>
  <c r="M86" i="57"/>
  <c r="N29" i="66"/>
  <c r="N35" i="66" s="1"/>
  <c r="N37" i="66" s="1"/>
  <c r="N108" i="11" s="1"/>
  <c r="N152" i="11" s="1"/>
  <c r="M105" i="57"/>
  <c r="M82" i="57"/>
  <c r="M92" i="57" s="1"/>
  <c r="N5" i="55"/>
  <c r="M106" i="57"/>
  <c r="M83" i="57"/>
  <c r="M93" i="57" s="1"/>
  <c r="M78" i="57"/>
  <c r="M101" i="57"/>
  <c r="M102" i="57" s="1"/>
  <c r="M107" i="57"/>
  <c r="M84" i="57"/>
  <c r="M94" i="57" s="1"/>
  <c r="M108" i="57"/>
  <c r="M85" i="57"/>
  <c r="M95" i="57" s="1"/>
  <c r="D77" i="66"/>
  <c r="D74" i="66"/>
  <c r="D97" i="11" s="1"/>
  <c r="F14" i="57"/>
  <c r="F6" i="57"/>
  <c r="N108" i="57"/>
  <c r="N107" i="57"/>
  <c r="O105" i="66"/>
  <c r="O86" i="11" s="1"/>
  <c r="O132" i="11" s="1"/>
  <c r="O104" i="66"/>
  <c r="O85" i="11" s="1"/>
  <c r="O131" i="11" s="1"/>
  <c r="D105" i="66"/>
  <c r="D86" i="11" s="1"/>
  <c r="D101" i="66"/>
  <c r="D81" i="11" s="1"/>
  <c r="F13" i="78"/>
  <c r="F19" i="78"/>
  <c r="D62" i="57"/>
  <c r="F18" i="78"/>
  <c r="D100" i="66"/>
  <c r="D79" i="11" s="1"/>
  <c r="D31" i="66"/>
  <c r="N106" i="57"/>
  <c r="N105" i="66"/>
  <c r="N86" i="11" s="1"/>
  <c r="N132" i="11" s="1"/>
  <c r="C108" i="57"/>
  <c r="D106" i="66"/>
  <c r="D87" i="11" s="1"/>
  <c r="O100" i="66"/>
  <c r="O79" i="11" s="1"/>
  <c r="O125" i="11" s="1"/>
  <c r="D75" i="57"/>
  <c r="D99" i="57" s="1"/>
  <c r="J106" i="78"/>
  <c r="K106" i="78" s="1"/>
  <c r="L106" i="78" s="1"/>
  <c r="N4" i="55"/>
  <c r="D63" i="57"/>
  <c r="E7" i="55" s="1"/>
  <c r="D77" i="57"/>
  <c r="D101" i="57" s="1"/>
  <c r="N84" i="57"/>
  <c r="N94" i="57" s="1"/>
  <c r="C107" i="57"/>
  <c r="N64" i="57"/>
  <c r="N71" i="57" s="1"/>
  <c r="N85" i="57"/>
  <c r="N95" i="57" s="1"/>
  <c r="D102" i="66"/>
  <c r="D82" i="11" s="1"/>
  <c r="Q38" i="78"/>
  <c r="S38" i="78" s="1"/>
  <c r="C106" i="57"/>
  <c r="N31" i="66"/>
  <c r="N47" i="66" s="1"/>
  <c r="N55" i="66" s="1"/>
  <c r="N90" i="11" s="1"/>
  <c r="N136" i="11" s="1"/>
  <c r="O31" i="66"/>
  <c r="O47" i="66" s="1"/>
  <c r="O51" i="66" s="1"/>
  <c r="O80" i="11" s="1"/>
  <c r="O126" i="11" s="1"/>
  <c r="D65" i="57"/>
  <c r="E9" i="55" s="1"/>
  <c r="D90" i="57"/>
  <c r="E32" i="66" s="1"/>
  <c r="Q39" i="78"/>
  <c r="S39" i="78" s="1"/>
  <c r="N103" i="66"/>
  <c r="N84" i="11" s="1"/>
  <c r="N130" i="11" s="1"/>
  <c r="N104" i="66"/>
  <c r="N85" i="11" s="1"/>
  <c r="N131" i="11" s="1"/>
  <c r="N7" i="55"/>
  <c r="D74" i="57"/>
  <c r="D98" i="57" s="1"/>
  <c r="N83" i="57"/>
  <c r="N93" i="57" s="1"/>
  <c r="N102" i="66"/>
  <c r="N82" i="11" s="1"/>
  <c r="N128" i="11" s="1"/>
  <c r="N102" i="57"/>
  <c r="D87" i="57"/>
  <c r="E29" i="66" s="1"/>
  <c r="N99" i="66"/>
  <c r="N78" i="11" s="1"/>
  <c r="N124" i="11" s="1"/>
  <c r="O106" i="66"/>
  <c r="O87" i="11" s="1"/>
  <c r="O133" i="11" s="1"/>
  <c r="D68" i="57"/>
  <c r="E12" i="55" s="1"/>
  <c r="N105" i="57"/>
  <c r="M64" i="57"/>
  <c r="M71" i="57" s="1"/>
  <c r="N100" i="66"/>
  <c r="N79" i="11" s="1"/>
  <c r="N125" i="11" s="1"/>
  <c r="H105" i="78"/>
  <c r="K105" i="78" s="1"/>
  <c r="L105" i="78" s="1"/>
  <c r="N6" i="55"/>
  <c r="N57" i="15"/>
  <c r="N106" i="66"/>
  <c r="N87" i="11" s="1"/>
  <c r="N133" i="11" s="1"/>
  <c r="O101" i="66"/>
  <c r="O81" i="11" s="1"/>
  <c r="O127" i="11" s="1"/>
  <c r="D48" i="57"/>
  <c r="D76" i="57"/>
  <c r="D100" i="57" s="1"/>
  <c r="C105" i="57"/>
  <c r="D60" i="57"/>
  <c r="E4" i="55" s="1"/>
  <c r="O27" i="66"/>
  <c r="D53" i="57"/>
  <c r="J103" i="78"/>
  <c r="K103" i="78" s="1"/>
  <c r="L103" i="78" s="1"/>
  <c r="N78" i="57"/>
  <c r="O57" i="15" s="1"/>
  <c r="J97" i="78"/>
  <c r="K97" i="78" s="1"/>
  <c r="L97" i="78" s="1"/>
  <c r="N82" i="57"/>
  <c r="N92" i="57" s="1"/>
  <c r="D89" i="57"/>
  <c r="E105" i="66" s="1"/>
  <c r="E86" i="11" s="1"/>
  <c r="N86" i="57"/>
  <c r="D67" i="57"/>
  <c r="E11" i="55" s="1"/>
  <c r="O103" i="66"/>
  <c r="O84" i="11" s="1"/>
  <c r="O130" i="11" s="1"/>
  <c r="F20" i="78"/>
  <c r="J20" i="78" s="1"/>
  <c r="D66" i="57"/>
  <c r="C84" i="57"/>
  <c r="C94" i="57" s="1"/>
  <c r="D88" i="57"/>
  <c r="E80" i="66" s="1"/>
  <c r="H98" i="78"/>
  <c r="K98" i="78" s="1"/>
  <c r="L98" i="78" s="1"/>
  <c r="J11" i="78"/>
  <c r="K11" i="78" s="1"/>
  <c r="L11" i="78" s="1"/>
  <c r="J94" i="78"/>
  <c r="K94" i="78" s="1"/>
  <c r="L94" i="78" s="1"/>
  <c r="D13" i="55"/>
  <c r="D15" i="55" s="1"/>
  <c r="C69" i="57"/>
  <c r="C71" i="57" s="1"/>
  <c r="C85" i="57"/>
  <c r="C95" i="57" s="1"/>
  <c r="H9" i="78"/>
  <c r="K9" i="78" s="1"/>
  <c r="L9" i="78" s="1"/>
  <c r="C102" i="57"/>
  <c r="C86" i="57"/>
  <c r="C83" i="57"/>
  <c r="C93" i="57" s="1"/>
  <c r="E62" i="7"/>
  <c r="C78" i="57"/>
  <c r="D57" i="15" s="1"/>
  <c r="Q37" i="78"/>
  <c r="S37" i="78" s="1"/>
  <c r="Q36" i="78"/>
  <c r="S36" i="78" s="1"/>
  <c r="F8" i="78"/>
  <c r="Q5" i="78" s="1"/>
  <c r="S5" i="78" s="1"/>
  <c r="C82" i="57"/>
  <c r="C92" i="57" s="1"/>
  <c r="E52" i="57"/>
  <c r="E49" i="57"/>
  <c r="E51" i="57"/>
  <c r="E50" i="57"/>
  <c r="F27" i="78" s="1"/>
  <c r="D61" i="57"/>
  <c r="E5" i="55" s="1"/>
  <c r="E21" i="57"/>
  <c r="E47" i="57"/>
  <c r="E46" i="57"/>
  <c r="E45" i="57"/>
  <c r="E44" i="57"/>
  <c r="E17" i="57"/>
  <c r="E10" i="57"/>
  <c r="D23" i="57"/>
  <c r="E11" i="57" s="1"/>
  <c r="E23" i="57" s="1"/>
  <c r="F11" i="57" s="1"/>
  <c r="D13" i="57"/>
  <c r="F15" i="57"/>
  <c r="F19" i="57"/>
  <c r="F18" i="57"/>
  <c r="F50" i="7"/>
  <c r="F59" i="7"/>
  <c r="F62" i="7" s="1"/>
  <c r="G54" i="7"/>
  <c r="G69" i="7" s="1"/>
  <c r="D47" i="66"/>
  <c r="D49" i="66" s="1"/>
  <c r="D76" i="11" s="1"/>
  <c r="O8" i="55"/>
  <c r="O15" i="55" s="1"/>
  <c r="O4" i="14" s="1"/>
  <c r="E6" i="55"/>
  <c r="Q34" i="78"/>
  <c r="S34" i="78" s="1"/>
  <c r="F16" i="78"/>
  <c r="F17" i="78"/>
  <c r="Q35" i="78"/>
  <c r="S35" i="78" s="1"/>
  <c r="H95" i="78"/>
  <c r="J95" i="78"/>
  <c r="K107" i="78"/>
  <c r="L107" i="78" s="1"/>
  <c r="H104" i="78"/>
  <c r="J104" i="78"/>
  <c r="J10" i="78"/>
  <c r="H10" i="78"/>
  <c r="K96" i="78"/>
  <c r="L96" i="78" s="1"/>
  <c r="N75" i="66"/>
  <c r="N98" i="11" s="1"/>
  <c r="N143" i="11" s="1"/>
  <c r="N30" i="66"/>
  <c r="N76" i="66"/>
  <c r="N99" i="11" s="1"/>
  <c r="N144" i="11" s="1"/>
  <c r="N77" i="66"/>
  <c r="N74" i="66"/>
  <c r="N97" i="11" s="1"/>
  <c r="N142" i="11" s="1"/>
  <c r="N80" i="66"/>
  <c r="D78" i="66"/>
  <c r="N78" i="66"/>
  <c r="D80" i="66"/>
  <c r="D75" i="66"/>
  <c r="D98" i="11" s="1"/>
  <c r="D30" i="66"/>
  <c r="D79" i="66"/>
  <c r="D76" i="66"/>
  <c r="D99" i="11" s="1"/>
  <c r="O75" i="66"/>
  <c r="O98" i="11" s="1"/>
  <c r="O143" i="11" s="1"/>
  <c r="O74" i="66"/>
  <c r="O97" i="11" s="1"/>
  <c r="O142" i="11" s="1"/>
  <c r="O80" i="66"/>
  <c r="O30" i="66"/>
  <c r="O41" i="66" s="1"/>
  <c r="O77" i="66"/>
  <c r="O78" i="66"/>
  <c r="O79" i="66"/>
  <c r="O76" i="66"/>
  <c r="O99" i="11" s="1"/>
  <c r="O144" i="11" s="1"/>
  <c r="O38" i="66"/>
  <c r="O109" i="11" s="1"/>
  <c r="O153" i="11" s="1"/>
  <c r="O39" i="66"/>
  <c r="O110" i="11" s="1"/>
  <c r="O154" i="11" s="1"/>
  <c r="O36" i="66"/>
  <c r="O107" i="11" s="1"/>
  <c r="O151" i="11" s="1"/>
  <c r="O37" i="66"/>
  <c r="O108" i="11" s="1"/>
  <c r="O152" i="11" s="1"/>
  <c r="D27" i="66"/>
  <c r="I1" i="7"/>
  <c r="I50" i="15"/>
  <c r="H50" i="15"/>
  <c r="G4" i="57"/>
  <c r="H4" i="66" s="1"/>
  <c r="H52" i="7"/>
  <c r="H60" i="7" s="1"/>
  <c r="I48" i="7" s="1"/>
  <c r="P10" i="7"/>
  <c r="F32" i="57"/>
  <c r="E34" i="57"/>
  <c r="F31" i="57"/>
  <c r="I92" i="56"/>
  <c r="I109" i="56"/>
  <c r="G3" i="57"/>
  <c r="H3" i="66" s="1"/>
  <c r="H51" i="7"/>
  <c r="H6" i="66" l="1"/>
  <c r="H8" i="66"/>
  <c r="H23" i="66" s="1"/>
  <c r="H10" i="66"/>
  <c r="H25" i="66" s="1"/>
  <c r="H11" i="66"/>
  <c r="H26" i="66" s="1"/>
  <c r="H9" i="66"/>
  <c r="H24" i="66" s="1"/>
  <c r="H12" i="66"/>
  <c r="G9" i="66"/>
  <c r="G11" i="66"/>
  <c r="G12" i="66"/>
  <c r="G8" i="66"/>
  <c r="G10" i="66"/>
  <c r="D136" i="57"/>
  <c r="D103" i="66"/>
  <c r="D84" i="11" s="1"/>
  <c r="D99" i="66"/>
  <c r="D78" i="11" s="1"/>
  <c r="D133" i="57"/>
  <c r="E78" i="7"/>
  <c r="D134" i="57"/>
  <c r="E77" i="7"/>
  <c r="E80" i="7"/>
  <c r="E126" i="57"/>
  <c r="E79" i="7"/>
  <c r="D129" i="57"/>
  <c r="N3" i="11"/>
  <c r="E113" i="57"/>
  <c r="E123" i="57"/>
  <c r="E124" i="57"/>
  <c r="E125" i="57"/>
  <c r="N39" i="66"/>
  <c r="N110" i="11" s="1"/>
  <c r="N154" i="11" s="1"/>
  <c r="N36" i="66"/>
  <c r="N107" i="11" s="1"/>
  <c r="N27" i="66"/>
  <c r="E114" i="57"/>
  <c r="E115" i="57"/>
  <c r="E116" i="57"/>
  <c r="N38" i="66"/>
  <c r="N109" i="11" s="1"/>
  <c r="N153" i="11" s="1"/>
  <c r="D119" i="57"/>
  <c r="F23" i="78"/>
  <c r="H23" i="78" s="1"/>
  <c r="M81" i="57"/>
  <c r="M91" i="57" s="1"/>
  <c r="M109" i="57"/>
  <c r="D143" i="11"/>
  <c r="R98" i="11"/>
  <c r="D128" i="11"/>
  <c r="R82" i="11"/>
  <c r="D127" i="11"/>
  <c r="R81" i="11"/>
  <c r="D130" i="11"/>
  <c r="R84" i="11"/>
  <c r="D131" i="11"/>
  <c r="R85" i="11"/>
  <c r="D122" i="11"/>
  <c r="R76" i="11"/>
  <c r="D125" i="11"/>
  <c r="R79" i="11"/>
  <c r="D132" i="11"/>
  <c r="R86" i="11"/>
  <c r="D144" i="11"/>
  <c r="R99" i="11"/>
  <c r="D133" i="11"/>
  <c r="R87" i="11"/>
  <c r="D142" i="11"/>
  <c r="R97" i="11"/>
  <c r="N8" i="55"/>
  <c r="N15" i="55" s="1"/>
  <c r="N4" i="14" s="1"/>
  <c r="N4" i="11"/>
  <c r="D107" i="66"/>
  <c r="H19" i="78"/>
  <c r="J19" i="78"/>
  <c r="F28" i="78"/>
  <c r="J28" i="78" s="1"/>
  <c r="H18" i="78"/>
  <c r="J18" i="78"/>
  <c r="N109" i="57"/>
  <c r="E79" i="66"/>
  <c r="E74" i="66"/>
  <c r="E97" i="11" s="1"/>
  <c r="E142" i="11" s="1"/>
  <c r="R142" i="11" s="1"/>
  <c r="E75" i="66"/>
  <c r="E98" i="11" s="1"/>
  <c r="E143" i="11" s="1"/>
  <c r="R143" i="11" s="1"/>
  <c r="O4" i="11"/>
  <c r="E78" i="66"/>
  <c r="E76" i="66"/>
  <c r="E99" i="11" s="1"/>
  <c r="E144" i="11" s="1"/>
  <c r="R144" i="11" s="1"/>
  <c r="D5" i="11"/>
  <c r="E77" i="66"/>
  <c r="O6" i="11"/>
  <c r="D56" i="57"/>
  <c r="O3" i="11"/>
  <c r="E8" i="55"/>
  <c r="H20" i="78"/>
  <c r="K20" i="78" s="1"/>
  <c r="L20" i="78" s="1"/>
  <c r="N5" i="11"/>
  <c r="F15" i="78"/>
  <c r="H15" i="78" s="1"/>
  <c r="D64" i="57"/>
  <c r="D82" i="57"/>
  <c r="D92" i="57" s="1"/>
  <c r="D102" i="57"/>
  <c r="O5" i="11"/>
  <c r="D108" i="57"/>
  <c r="N6" i="11"/>
  <c r="D85" i="57"/>
  <c r="D95" i="57" s="1"/>
  <c r="C109" i="57"/>
  <c r="N107" i="66"/>
  <c r="D105" i="57"/>
  <c r="E30" i="66"/>
  <c r="E41" i="66" s="1"/>
  <c r="E44" i="66" s="1"/>
  <c r="E95" i="11" s="1"/>
  <c r="D107" i="57"/>
  <c r="D69" i="57"/>
  <c r="E65" i="57"/>
  <c r="F9" i="55" s="1"/>
  <c r="D84" i="57"/>
  <c r="D94" i="57" s="1"/>
  <c r="E102" i="66"/>
  <c r="E82" i="11" s="1"/>
  <c r="E128" i="11" s="1"/>
  <c r="R128" i="11" s="1"/>
  <c r="E106" i="66"/>
  <c r="E87" i="11" s="1"/>
  <c r="E133" i="11" s="1"/>
  <c r="R133" i="11" s="1"/>
  <c r="E100" i="66"/>
  <c r="E79" i="11" s="1"/>
  <c r="E125" i="11" s="1"/>
  <c r="R125" i="11" s="1"/>
  <c r="N81" i="57"/>
  <c r="N91" i="57" s="1"/>
  <c r="E104" i="66"/>
  <c r="E85" i="11" s="1"/>
  <c r="E131" i="11" s="1"/>
  <c r="R131" i="11" s="1"/>
  <c r="E99" i="66"/>
  <c r="E78" i="11" s="1"/>
  <c r="E124" i="11" s="1"/>
  <c r="R124" i="11" s="1"/>
  <c r="D86" i="57"/>
  <c r="E101" i="66"/>
  <c r="E81" i="11" s="1"/>
  <c r="E127" i="11" s="1"/>
  <c r="R127" i="11" s="1"/>
  <c r="E31" i="66"/>
  <c r="E47" i="66" s="1"/>
  <c r="E54" i="66" s="1"/>
  <c r="E89" i="11" s="1"/>
  <c r="E103" i="66"/>
  <c r="E84" i="11" s="1"/>
  <c r="E130" i="11" s="1"/>
  <c r="R130" i="11" s="1"/>
  <c r="E77" i="57"/>
  <c r="E101" i="57" s="1"/>
  <c r="D78" i="57"/>
  <c r="E57" i="15" s="1"/>
  <c r="G47" i="7"/>
  <c r="G50" i="7" s="1"/>
  <c r="D106" i="57"/>
  <c r="D3" i="11"/>
  <c r="E68" i="57"/>
  <c r="F12" i="55" s="1"/>
  <c r="D83" i="57"/>
  <c r="D93" i="57" s="1"/>
  <c r="E10" i="55"/>
  <c r="E13" i="55" s="1"/>
  <c r="O107" i="66"/>
  <c r="E61" i="57"/>
  <c r="F5" i="55" s="1"/>
  <c r="E74" i="57"/>
  <c r="E98" i="57" s="1"/>
  <c r="E60" i="57"/>
  <c r="F4" i="55" s="1"/>
  <c r="E88" i="57"/>
  <c r="F77" i="66" s="1"/>
  <c r="E66" i="57"/>
  <c r="F10" i="55" s="1"/>
  <c r="E76" i="57"/>
  <c r="E100" i="57" s="1"/>
  <c r="E89" i="57"/>
  <c r="F100" i="66" s="1"/>
  <c r="F79" i="11" s="1"/>
  <c r="F125" i="11" s="1"/>
  <c r="E90" i="57"/>
  <c r="F32" i="66" s="1"/>
  <c r="D6" i="11"/>
  <c r="E75" i="57"/>
  <c r="E99" i="57" s="1"/>
  <c r="E53" i="57"/>
  <c r="Q4" i="78"/>
  <c r="D4" i="11"/>
  <c r="Q6" i="78"/>
  <c r="S6" i="78" s="1"/>
  <c r="E67" i="57"/>
  <c r="F11" i="55" s="1"/>
  <c r="E62" i="57"/>
  <c r="F6" i="55" s="1"/>
  <c r="E87" i="57"/>
  <c r="E48" i="57"/>
  <c r="N50" i="66"/>
  <c r="N77" i="11" s="1"/>
  <c r="N123" i="11" s="1"/>
  <c r="E63" i="57"/>
  <c r="F7" i="55" s="1"/>
  <c r="F23" i="57"/>
  <c r="G11" i="57" s="1"/>
  <c r="F52" i="57"/>
  <c r="F49" i="57"/>
  <c r="F65" i="57" s="1"/>
  <c r="G9" i="55" s="1"/>
  <c r="F51" i="57"/>
  <c r="F67" i="57" s="1"/>
  <c r="G11" i="55" s="1"/>
  <c r="F50" i="57"/>
  <c r="F36" i="78" s="1"/>
  <c r="F21" i="57"/>
  <c r="F14" i="78"/>
  <c r="F47" i="57"/>
  <c r="F44" i="57"/>
  <c r="F46" i="57"/>
  <c r="F45" i="57"/>
  <c r="J8" i="78"/>
  <c r="H8" i="78"/>
  <c r="F17" i="57"/>
  <c r="D25" i="57"/>
  <c r="E13" i="57"/>
  <c r="E22" i="57"/>
  <c r="G14" i="57"/>
  <c r="G18" i="57"/>
  <c r="G15" i="57"/>
  <c r="G19" i="57"/>
  <c r="O55" i="66"/>
  <c r="O90" i="11" s="1"/>
  <c r="O136" i="11" s="1"/>
  <c r="N54" i="66"/>
  <c r="N89" i="11" s="1"/>
  <c r="N135" i="11" s="1"/>
  <c r="H54" i="7"/>
  <c r="H69" i="7" s="1"/>
  <c r="N51" i="66"/>
  <c r="N80" i="11" s="1"/>
  <c r="N126" i="11" s="1"/>
  <c r="N52" i="66"/>
  <c r="N83" i="11" s="1"/>
  <c r="N129" i="11" s="1"/>
  <c r="D55" i="66"/>
  <c r="D90" i="11" s="1"/>
  <c r="D51" i="66"/>
  <c r="D80" i="11" s="1"/>
  <c r="D54" i="66"/>
  <c r="D89" i="11" s="1"/>
  <c r="D35" i="66"/>
  <c r="D36" i="66" s="1"/>
  <c r="D107" i="11" s="1"/>
  <c r="D151" i="11" s="1"/>
  <c r="E35" i="66"/>
  <c r="E36" i="66" s="1"/>
  <c r="E107" i="11" s="1"/>
  <c r="E151" i="11" s="1"/>
  <c r="R151" i="11" s="1"/>
  <c r="N53" i="66"/>
  <c r="N88" i="11" s="1"/>
  <c r="N134" i="11" s="1"/>
  <c r="N49" i="66"/>
  <c r="N76" i="11" s="1"/>
  <c r="N122" i="11" s="1"/>
  <c r="D41" i="66"/>
  <c r="D42" i="66" s="1"/>
  <c r="O54" i="66"/>
  <c r="O89" i="11" s="1"/>
  <c r="O135" i="11" s="1"/>
  <c r="O52" i="66"/>
  <c r="O83" i="11" s="1"/>
  <c r="O129" i="11" s="1"/>
  <c r="O49" i="66"/>
  <c r="O76" i="11" s="1"/>
  <c r="O122" i="11" s="1"/>
  <c r="D52" i="66"/>
  <c r="D83" i="11" s="1"/>
  <c r="O53" i="66"/>
  <c r="O88" i="11" s="1"/>
  <c r="O134" i="11" s="1"/>
  <c r="D50" i="66"/>
  <c r="D77" i="11" s="1"/>
  <c r="N41" i="66"/>
  <c r="N43" i="66" s="1"/>
  <c r="N94" i="11" s="1"/>
  <c r="D53" i="66"/>
  <c r="D88" i="11" s="1"/>
  <c r="O50" i="66"/>
  <c r="O77" i="11" s="1"/>
  <c r="O123" i="11" s="1"/>
  <c r="E27" i="66"/>
  <c r="F29" i="78"/>
  <c r="F26" i="78"/>
  <c r="F22" i="78"/>
  <c r="F24" i="78"/>
  <c r="K10" i="78"/>
  <c r="L10" i="78" s="1"/>
  <c r="F25" i="78"/>
  <c r="H25" i="78" s="1"/>
  <c r="T38" i="78"/>
  <c r="U38" i="78" s="1"/>
  <c r="V38" i="78" s="1"/>
  <c r="K95" i="78"/>
  <c r="L95" i="78" s="1"/>
  <c r="T37" i="78"/>
  <c r="U37" i="78" s="1"/>
  <c r="V37" i="78" s="1"/>
  <c r="T36" i="78"/>
  <c r="U36" i="78" s="1"/>
  <c r="V36" i="78" s="1"/>
  <c r="T39" i="78"/>
  <c r="U39" i="78" s="1"/>
  <c r="V39" i="78" s="1"/>
  <c r="T34" i="78"/>
  <c r="U34" i="78" s="1"/>
  <c r="V34" i="78" s="1"/>
  <c r="T35" i="78"/>
  <c r="U35" i="78" s="1"/>
  <c r="V35" i="78" s="1"/>
  <c r="K104" i="78"/>
  <c r="L104" i="78" s="1"/>
  <c r="H17" i="78"/>
  <c r="J17" i="78"/>
  <c r="J16" i="78"/>
  <c r="H16" i="78"/>
  <c r="H27" i="78"/>
  <c r="J27" i="78"/>
  <c r="J23" i="78"/>
  <c r="H13" i="78"/>
  <c r="J13" i="78"/>
  <c r="D81" i="66"/>
  <c r="N81" i="66"/>
  <c r="O111" i="11"/>
  <c r="E132" i="11"/>
  <c r="R132" i="11" s="1"/>
  <c r="D70" i="15"/>
  <c r="D71" i="15" s="1"/>
  <c r="C12" i="19" s="1"/>
  <c r="O70" i="15"/>
  <c r="O71" i="15" s="1"/>
  <c r="O75" i="15" s="1"/>
  <c r="N70" i="15"/>
  <c r="N71" i="15" s="1"/>
  <c r="N75" i="15" s="1"/>
  <c r="N78" i="15" s="1"/>
  <c r="N79" i="15" s="1"/>
  <c r="C81" i="57"/>
  <c r="C91" i="57" s="1"/>
  <c r="O42" i="66"/>
  <c r="O93" i="11" s="1"/>
  <c r="O44" i="66"/>
  <c r="O95" i="11" s="1"/>
  <c r="O43" i="66"/>
  <c r="O94" i="11" s="1"/>
  <c r="O45" i="66"/>
  <c r="O96" i="11" s="1"/>
  <c r="O81" i="66"/>
  <c r="O40" i="66"/>
  <c r="J1" i="7"/>
  <c r="P9" i="7"/>
  <c r="P12" i="7" s="1"/>
  <c r="H3" i="57"/>
  <c r="I3" i="66" s="1"/>
  <c r="I51" i="7"/>
  <c r="J109" i="56"/>
  <c r="J92" i="56"/>
  <c r="K92" i="56" s="1"/>
  <c r="L92" i="56" s="1"/>
  <c r="I4" i="57"/>
  <c r="J4" i="66" s="1"/>
  <c r="J52" i="7"/>
  <c r="G32" i="57"/>
  <c r="G6" i="57"/>
  <c r="G31" i="57"/>
  <c r="F40" i="57"/>
  <c r="F34" i="57"/>
  <c r="E40" i="57"/>
  <c r="H4" i="57"/>
  <c r="I4" i="66" s="1"/>
  <c r="I52" i="7"/>
  <c r="I60" i="7" s="1"/>
  <c r="J48" i="7" s="1"/>
  <c r="I6" i="66" l="1"/>
  <c r="G26" i="66"/>
  <c r="G24" i="66"/>
  <c r="G25" i="66"/>
  <c r="I12" i="66"/>
  <c r="I8" i="66"/>
  <c r="I23" i="66" s="1"/>
  <c r="I10" i="66"/>
  <c r="I25" i="66" s="1"/>
  <c r="I9" i="66"/>
  <c r="I24" i="66" s="1"/>
  <c r="I11" i="66"/>
  <c r="I26" i="66" s="1"/>
  <c r="G23" i="66"/>
  <c r="P4" i="66"/>
  <c r="D124" i="11"/>
  <c r="R78" i="11"/>
  <c r="E136" i="57"/>
  <c r="F79" i="7"/>
  <c r="E135" i="57"/>
  <c r="F77" i="7"/>
  <c r="E133" i="57"/>
  <c r="F78" i="7"/>
  <c r="E134" i="57"/>
  <c r="F125" i="57"/>
  <c r="F80" i="7"/>
  <c r="F124" i="57"/>
  <c r="F126" i="57"/>
  <c r="F123" i="57"/>
  <c r="E129" i="57"/>
  <c r="N40" i="66"/>
  <c r="E119" i="57"/>
  <c r="F113" i="57"/>
  <c r="F114" i="57"/>
  <c r="F134" i="57" s="1"/>
  <c r="F115" i="57"/>
  <c r="F116" i="57"/>
  <c r="F136" i="57" s="1"/>
  <c r="K19" i="78"/>
  <c r="L19" i="78" s="1"/>
  <c r="F32" i="78"/>
  <c r="J32" i="78" s="1"/>
  <c r="F62" i="57"/>
  <c r="G6" i="55" s="1"/>
  <c r="F60" i="57"/>
  <c r="G4" i="55" s="1"/>
  <c r="D123" i="11"/>
  <c r="R77" i="11"/>
  <c r="D134" i="11"/>
  <c r="R88" i="11"/>
  <c r="D129" i="11"/>
  <c r="R83" i="11"/>
  <c r="D135" i="11"/>
  <c r="R89" i="11"/>
  <c r="D126" i="11"/>
  <c r="R80" i="11"/>
  <c r="D136" i="11"/>
  <c r="R90" i="11"/>
  <c r="K18" i="78"/>
  <c r="L18" i="78" s="1"/>
  <c r="H28" i="78"/>
  <c r="K28" i="78" s="1"/>
  <c r="L28" i="78" s="1"/>
  <c r="G59" i="7"/>
  <c r="H47" i="7" s="1"/>
  <c r="H50" i="7" s="1"/>
  <c r="F99" i="66"/>
  <c r="F78" i="11" s="1"/>
  <c r="F124" i="11" s="1"/>
  <c r="F63" i="57"/>
  <c r="G7" i="55" s="1"/>
  <c r="J15" i="78"/>
  <c r="K15" i="78" s="1"/>
  <c r="L15" i="78" s="1"/>
  <c r="O7" i="11"/>
  <c r="E81" i="66"/>
  <c r="F102" i="66"/>
  <c r="F82" i="11" s="1"/>
  <c r="F128" i="11" s="1"/>
  <c r="F31" i="66"/>
  <c r="F47" i="66" s="1"/>
  <c r="F55" i="66" s="1"/>
  <c r="F90" i="11" s="1"/>
  <c r="F136" i="11" s="1"/>
  <c r="F103" i="66"/>
  <c r="F84" i="11" s="1"/>
  <c r="F130" i="11" s="1"/>
  <c r="E6" i="11"/>
  <c r="F101" i="66"/>
  <c r="F81" i="11" s="1"/>
  <c r="F127" i="11" s="1"/>
  <c r="F106" i="66"/>
  <c r="F87" i="11" s="1"/>
  <c r="F133" i="11" s="1"/>
  <c r="E5" i="11"/>
  <c r="F61" i="57"/>
  <c r="G5" i="55" s="1"/>
  <c r="E45" i="66"/>
  <c r="E96" i="11" s="1"/>
  <c r="D71" i="57"/>
  <c r="D81" i="57" s="1"/>
  <c r="D91" i="57" s="1"/>
  <c r="E15" i="55"/>
  <c r="E4" i="14" s="1"/>
  <c r="N7" i="11"/>
  <c r="Q9" i="78"/>
  <c r="S9" i="78" s="1"/>
  <c r="E105" i="57"/>
  <c r="E3" i="11"/>
  <c r="F76" i="66"/>
  <c r="F99" i="11" s="1"/>
  <c r="F144" i="11" s="1"/>
  <c r="E55" i="66"/>
  <c r="E90" i="11" s="1"/>
  <c r="E136" i="11" s="1"/>
  <c r="R136" i="11" s="1"/>
  <c r="F79" i="66"/>
  <c r="D109" i="57"/>
  <c r="E51" i="66"/>
  <c r="E80" i="11" s="1"/>
  <c r="E126" i="11" s="1"/>
  <c r="R126" i="11" s="1"/>
  <c r="E4" i="11"/>
  <c r="E50" i="66"/>
  <c r="E77" i="11" s="1"/>
  <c r="E123" i="11" s="1"/>
  <c r="R123" i="11" s="1"/>
  <c r="E53" i="66"/>
  <c r="E88" i="11" s="1"/>
  <c r="E134" i="11" s="1"/>
  <c r="R134" i="11" s="1"/>
  <c r="E42" i="66"/>
  <c r="E93" i="11" s="1"/>
  <c r="E49" i="66"/>
  <c r="E76" i="11" s="1"/>
  <c r="E122" i="11" s="1"/>
  <c r="R122" i="11" s="1"/>
  <c r="E43" i="66"/>
  <c r="E94" i="11" s="1"/>
  <c r="E52" i="66"/>
  <c r="E83" i="11" s="1"/>
  <c r="E129" i="11" s="1"/>
  <c r="R129" i="11" s="1"/>
  <c r="Q7" i="78"/>
  <c r="S7" i="78" s="1"/>
  <c r="F13" i="55"/>
  <c r="F30" i="66"/>
  <c r="F41" i="66" s="1"/>
  <c r="F44" i="66" s="1"/>
  <c r="F95" i="11" s="1"/>
  <c r="F74" i="66"/>
  <c r="F97" i="11" s="1"/>
  <c r="F142" i="11" s="1"/>
  <c r="E102" i="57"/>
  <c r="F78" i="66"/>
  <c r="E69" i="57"/>
  <c r="F80" i="66"/>
  <c r="F75" i="66"/>
  <c r="F98" i="11" s="1"/>
  <c r="F143" i="11" s="1"/>
  <c r="E83" i="57"/>
  <c r="E93" i="57" s="1"/>
  <c r="E86" i="57"/>
  <c r="F104" i="66"/>
  <c r="F85" i="11" s="1"/>
  <c r="F131" i="11" s="1"/>
  <c r="E107" i="66"/>
  <c r="E82" i="57"/>
  <c r="E92" i="57" s="1"/>
  <c r="F105" i="66"/>
  <c r="F86" i="11" s="1"/>
  <c r="F132" i="11" s="1"/>
  <c r="N45" i="66"/>
  <c r="N96" i="11" s="1"/>
  <c r="D7" i="11"/>
  <c r="E78" i="57"/>
  <c r="F57" i="15" s="1"/>
  <c r="E106" i="57"/>
  <c r="B14" i="7"/>
  <c r="P14" i="7"/>
  <c r="P15" i="7" s="1"/>
  <c r="F31" i="78"/>
  <c r="F29" i="66"/>
  <c r="F35" i="66" s="1"/>
  <c r="F36" i="66" s="1"/>
  <c r="F107" i="11" s="1"/>
  <c r="F151" i="11" s="1"/>
  <c r="E56" i="57"/>
  <c r="F66" i="57"/>
  <c r="G10" i="55" s="1"/>
  <c r="F89" i="57"/>
  <c r="G106" i="66" s="1"/>
  <c r="G87" i="11" s="1"/>
  <c r="G133" i="11" s="1"/>
  <c r="F88" i="57"/>
  <c r="G78" i="66" s="1"/>
  <c r="F75" i="57"/>
  <c r="F99" i="57" s="1"/>
  <c r="Q8" i="78"/>
  <c r="S8" i="78" s="1"/>
  <c r="F68" i="57"/>
  <c r="G12" i="55" s="1"/>
  <c r="F48" i="57"/>
  <c r="F53" i="57"/>
  <c r="F8" i="55"/>
  <c r="E108" i="57"/>
  <c r="J25" i="78"/>
  <c r="K25" i="78" s="1"/>
  <c r="L25" i="78" s="1"/>
  <c r="F76" i="57"/>
  <c r="F100" i="57" s="1"/>
  <c r="E85" i="57"/>
  <c r="E95" i="57" s="1"/>
  <c r="F77" i="57"/>
  <c r="F101" i="57" s="1"/>
  <c r="E84" i="57"/>
  <c r="E94" i="57" s="1"/>
  <c r="F34" i="78"/>
  <c r="E64" i="57"/>
  <c r="F87" i="57"/>
  <c r="E107" i="57"/>
  <c r="F90" i="57"/>
  <c r="G32" i="66" s="1"/>
  <c r="D44" i="66"/>
  <c r="D95" i="11" s="1"/>
  <c r="R95" i="11" s="1"/>
  <c r="F74" i="57"/>
  <c r="F98" i="57" s="1"/>
  <c r="D45" i="66"/>
  <c r="D96" i="11" s="1"/>
  <c r="R96" i="11" s="1"/>
  <c r="F38" i="78"/>
  <c r="H38" i="78" s="1"/>
  <c r="G21" i="57"/>
  <c r="N44" i="66"/>
  <c r="N95" i="11" s="1"/>
  <c r="K8" i="78"/>
  <c r="L8" i="78" s="1"/>
  <c r="G49" i="57"/>
  <c r="G51" i="57"/>
  <c r="G50" i="57"/>
  <c r="G52" i="57"/>
  <c r="H14" i="78"/>
  <c r="J14" i="78"/>
  <c r="G46" i="57"/>
  <c r="G45" i="57"/>
  <c r="G44" i="57"/>
  <c r="G47" i="57"/>
  <c r="N42" i="66"/>
  <c r="N93" i="11" s="1"/>
  <c r="G17" i="57"/>
  <c r="F10" i="57"/>
  <c r="F13" i="57" s="1"/>
  <c r="E25" i="57"/>
  <c r="H15" i="57"/>
  <c r="H19" i="57"/>
  <c r="I15" i="57"/>
  <c r="I19" i="57"/>
  <c r="H14" i="57"/>
  <c r="H18" i="57"/>
  <c r="D38" i="66"/>
  <c r="D37" i="66"/>
  <c r="D108" i="11" s="1"/>
  <c r="D152" i="11" s="1"/>
  <c r="D39" i="66"/>
  <c r="D110" i="11" s="1"/>
  <c r="D154" i="11" s="1"/>
  <c r="D43" i="66"/>
  <c r="D94" i="11" s="1"/>
  <c r="R94" i="11" s="1"/>
  <c r="I54" i="7"/>
  <c r="I69" i="7" s="1"/>
  <c r="E39" i="66"/>
  <c r="E110" i="11" s="1"/>
  <c r="E154" i="11" s="1"/>
  <c r="R154" i="11" s="1"/>
  <c r="E37" i="66"/>
  <c r="E108" i="11" s="1"/>
  <c r="E152" i="11" s="1"/>
  <c r="R152" i="11" s="1"/>
  <c r="E38" i="66"/>
  <c r="E109" i="11" s="1"/>
  <c r="E153" i="11" s="1"/>
  <c r="R153" i="11" s="1"/>
  <c r="D93" i="11"/>
  <c r="R93" i="11" s="1"/>
  <c r="D48" i="66"/>
  <c r="D75" i="11" s="1"/>
  <c r="R75" i="11" s="1"/>
  <c r="J22" i="78"/>
  <c r="H22" i="78"/>
  <c r="F37" i="78"/>
  <c r="K17" i="78"/>
  <c r="L17" i="78" s="1"/>
  <c r="Q10" i="78"/>
  <c r="S10" i="78" s="1"/>
  <c r="Q12" i="78"/>
  <c r="S12" i="78" s="1"/>
  <c r="H26" i="78"/>
  <c r="J26" i="78"/>
  <c r="H29" i="78"/>
  <c r="J29" i="78"/>
  <c r="K16" i="78"/>
  <c r="L16" i="78" s="1"/>
  <c r="Q11" i="78"/>
  <c r="S11" i="78" s="1"/>
  <c r="H24" i="78"/>
  <c r="J24" i="78"/>
  <c r="K27" i="78"/>
  <c r="L27" i="78" s="1"/>
  <c r="K23" i="78"/>
  <c r="L23" i="78" s="1"/>
  <c r="H36" i="78"/>
  <c r="J36" i="78"/>
  <c r="D84" i="15"/>
  <c r="C44" i="19" s="1"/>
  <c r="K13" i="78"/>
  <c r="L13" i="78" s="1"/>
  <c r="N84" i="15"/>
  <c r="M44" i="19" s="1"/>
  <c r="N12" i="19"/>
  <c r="O84" i="15"/>
  <c r="O85" i="15" s="1"/>
  <c r="N80" i="22"/>
  <c r="N82" i="22" s="1"/>
  <c r="N124" i="15"/>
  <c r="N125" i="15" s="1"/>
  <c r="N111" i="11"/>
  <c r="N151" i="11"/>
  <c r="O105" i="11"/>
  <c r="E135" i="11"/>
  <c r="R135" i="11" s="1"/>
  <c r="M12" i="19"/>
  <c r="E70" i="15"/>
  <c r="E71" i="15" s="1"/>
  <c r="E75" i="15" s="1"/>
  <c r="H7" i="60"/>
  <c r="J7" i="60" s="1"/>
  <c r="H8" i="60"/>
  <c r="D51" i="11" s="1"/>
  <c r="H6" i="60"/>
  <c r="D49" i="11" s="1"/>
  <c r="O46" i="66"/>
  <c r="O48" i="66"/>
  <c r="H5" i="60"/>
  <c r="I7" i="60"/>
  <c r="N7" i="60"/>
  <c r="O7" i="60" s="1"/>
  <c r="D50" i="11"/>
  <c r="J50" i="15"/>
  <c r="P35" i="15"/>
  <c r="D75" i="15"/>
  <c r="R89" i="56"/>
  <c r="G34" i="57"/>
  <c r="P52" i="7"/>
  <c r="P60" i="7" s="1"/>
  <c r="I32" i="57"/>
  <c r="O78" i="15"/>
  <c r="O79" i="15" s="1"/>
  <c r="H32" i="57"/>
  <c r="O4" i="57"/>
  <c r="H31" i="57"/>
  <c r="H6" i="57"/>
  <c r="D4" i="14"/>
  <c r="I3" i="57"/>
  <c r="J3" i="66" s="1"/>
  <c r="P3" i="66" s="1"/>
  <c r="J51" i="7"/>
  <c r="F133" i="57" l="1"/>
  <c r="J6" i="66"/>
  <c r="P6" i="66"/>
  <c r="F135" i="57"/>
  <c r="F129" i="57"/>
  <c r="G80" i="7"/>
  <c r="G79" i="7"/>
  <c r="G78" i="7"/>
  <c r="G77" i="7"/>
  <c r="G126" i="57"/>
  <c r="G124" i="57"/>
  <c r="G113" i="57"/>
  <c r="G123" i="57"/>
  <c r="G125" i="57"/>
  <c r="H32" i="78"/>
  <c r="G115" i="57"/>
  <c r="F105" i="57"/>
  <c r="G116" i="57"/>
  <c r="G136" i="57" s="1"/>
  <c r="F119" i="57"/>
  <c r="F107" i="57"/>
  <c r="G114" i="57"/>
  <c r="F15" i="55"/>
  <c r="F4" i="14" s="1"/>
  <c r="G62" i="57"/>
  <c r="H6" i="55" s="1"/>
  <c r="F41" i="78"/>
  <c r="H41" i="78" s="1"/>
  <c r="G31" i="66"/>
  <c r="G47" i="66" s="1"/>
  <c r="G51" i="66" s="1"/>
  <c r="G80" i="11" s="1"/>
  <c r="G126" i="11" s="1"/>
  <c r="G8" i="55"/>
  <c r="H59" i="7"/>
  <c r="I47" i="7" s="1"/>
  <c r="I50" i="7" s="1"/>
  <c r="G62" i="7"/>
  <c r="F52" i="66"/>
  <c r="F83" i="11" s="1"/>
  <c r="F129" i="11" s="1"/>
  <c r="F53" i="66"/>
  <c r="F88" i="11" s="1"/>
  <c r="F134" i="11" s="1"/>
  <c r="E48" i="66"/>
  <c r="E75" i="11" s="1"/>
  <c r="E184" i="11" s="1"/>
  <c r="E186" i="11" s="1"/>
  <c r="F49" i="66"/>
  <c r="F76" i="11" s="1"/>
  <c r="F122" i="11" s="1"/>
  <c r="F54" i="66"/>
  <c r="F89" i="11" s="1"/>
  <c r="F135" i="11" s="1"/>
  <c r="F50" i="66"/>
  <c r="F77" i="11" s="1"/>
  <c r="F123" i="11" s="1"/>
  <c r="F51" i="66"/>
  <c r="F80" i="11" s="1"/>
  <c r="F126" i="11" s="1"/>
  <c r="F64" i="57"/>
  <c r="G63" i="57"/>
  <c r="H7" i="55" s="1"/>
  <c r="G80" i="66"/>
  <c r="G99" i="66"/>
  <c r="G78" i="11" s="1"/>
  <c r="G124" i="11" s="1"/>
  <c r="F33" i="78"/>
  <c r="J33" i="78" s="1"/>
  <c r="G75" i="66"/>
  <c r="G98" i="11" s="1"/>
  <c r="G143" i="11" s="1"/>
  <c r="E7" i="11"/>
  <c r="F45" i="66"/>
  <c r="F96" i="11" s="1"/>
  <c r="G77" i="66"/>
  <c r="G74" i="66"/>
  <c r="G97" i="11" s="1"/>
  <c r="G142" i="11" s="1"/>
  <c r="G30" i="66"/>
  <c r="G41" i="66" s="1"/>
  <c r="G43" i="66" s="1"/>
  <c r="G94" i="11" s="1"/>
  <c r="G79" i="66"/>
  <c r="G66" i="57"/>
  <c r="H10" i="55" s="1"/>
  <c r="G61" i="57"/>
  <c r="H5" i="55" s="1"/>
  <c r="E105" i="11"/>
  <c r="F3" i="11"/>
  <c r="G75" i="57"/>
  <c r="G99" i="57" s="1"/>
  <c r="E46" i="66"/>
  <c r="E71" i="57"/>
  <c r="E81" i="57" s="1"/>
  <c r="E91" i="57" s="1"/>
  <c r="F81" i="66"/>
  <c r="G67" i="57"/>
  <c r="H11" i="55" s="1"/>
  <c r="F107" i="66"/>
  <c r="F27" i="66"/>
  <c r="F42" i="66"/>
  <c r="F93" i="11" s="1"/>
  <c r="F4" i="11"/>
  <c r="G65" i="57"/>
  <c r="H9" i="55" s="1"/>
  <c r="G87" i="57"/>
  <c r="J38" i="78"/>
  <c r="K38" i="78" s="1"/>
  <c r="L38" i="78" s="1"/>
  <c r="G77" i="57"/>
  <c r="G101" i="57" s="1"/>
  <c r="G101" i="66"/>
  <c r="G81" i="11" s="1"/>
  <c r="G127" i="11" s="1"/>
  <c r="G102" i="66"/>
  <c r="G82" i="11" s="1"/>
  <c r="G128" i="11" s="1"/>
  <c r="G105" i="66"/>
  <c r="G86" i="11" s="1"/>
  <c r="G132" i="11" s="1"/>
  <c r="F43" i="66"/>
  <c r="F94" i="11" s="1"/>
  <c r="G74" i="57"/>
  <c r="G98" i="57" s="1"/>
  <c r="G103" i="66"/>
  <c r="G84" i="11" s="1"/>
  <c r="G130" i="11" s="1"/>
  <c r="F69" i="57"/>
  <c r="G76" i="66"/>
  <c r="G99" i="11" s="1"/>
  <c r="G144" i="11" s="1"/>
  <c r="D141" i="11"/>
  <c r="F106" i="57"/>
  <c r="G13" i="55"/>
  <c r="E109" i="57"/>
  <c r="G60" i="57"/>
  <c r="H4" i="55" s="1"/>
  <c r="G104" i="66"/>
  <c r="G85" i="11" s="1"/>
  <c r="G131" i="11" s="1"/>
  <c r="G100" i="66"/>
  <c r="G79" i="11" s="1"/>
  <c r="G125" i="11" s="1"/>
  <c r="F6" i="11"/>
  <c r="T9" i="78"/>
  <c r="U9" i="78" s="1"/>
  <c r="V9" i="78" s="1"/>
  <c r="F108" i="57"/>
  <c r="F39" i="66"/>
  <c r="F110" i="11" s="1"/>
  <c r="F154" i="11" s="1"/>
  <c r="F46" i="78"/>
  <c r="J46" i="78" s="1"/>
  <c r="N48" i="66"/>
  <c r="N75" i="11" s="1"/>
  <c r="N184" i="11" s="1"/>
  <c r="N186" i="11" s="1"/>
  <c r="F84" i="57"/>
  <c r="F94" i="57" s="1"/>
  <c r="G68" i="57"/>
  <c r="H12" i="55" s="1"/>
  <c r="G90" i="57"/>
  <c r="H32" i="66" s="1"/>
  <c r="F56" i="57"/>
  <c r="G88" i="57"/>
  <c r="H80" i="66" s="1"/>
  <c r="F85" i="57"/>
  <c r="F95" i="57" s="1"/>
  <c r="T8" i="78"/>
  <c r="U8" i="78" s="1"/>
  <c r="V8" i="78" s="1"/>
  <c r="F35" i="78"/>
  <c r="J35" i="78" s="1"/>
  <c r="N105" i="11"/>
  <c r="F83" i="57"/>
  <c r="F93" i="57" s="1"/>
  <c r="G53" i="57"/>
  <c r="N46" i="66"/>
  <c r="F102" i="57"/>
  <c r="F5" i="11"/>
  <c r="G48" i="57"/>
  <c r="G76" i="57"/>
  <c r="G100" i="57" s="1"/>
  <c r="G89" i="57"/>
  <c r="H105" i="66" s="1"/>
  <c r="H86" i="11" s="1"/>
  <c r="H132" i="11" s="1"/>
  <c r="E40" i="66"/>
  <c r="F78" i="57"/>
  <c r="G57" i="15" s="1"/>
  <c r="F82" i="57"/>
  <c r="F92" i="57" s="1"/>
  <c r="F86" i="57"/>
  <c r="D140" i="11"/>
  <c r="F38" i="66"/>
  <c r="F109" i="11" s="1"/>
  <c r="F153" i="11" s="1"/>
  <c r="F37" i="66"/>
  <c r="F108" i="11" s="1"/>
  <c r="F152" i="11" s="1"/>
  <c r="T7" i="78"/>
  <c r="U7" i="78" s="1"/>
  <c r="V7" i="78" s="1"/>
  <c r="O19" i="57"/>
  <c r="H21" i="57"/>
  <c r="K14" i="78"/>
  <c r="L14" i="78" s="1"/>
  <c r="H45" i="57"/>
  <c r="H44" i="57"/>
  <c r="H47" i="57"/>
  <c r="H46" i="57"/>
  <c r="O15" i="57"/>
  <c r="I51" i="57"/>
  <c r="I50" i="57"/>
  <c r="I52" i="57"/>
  <c r="I49" i="57"/>
  <c r="H51" i="57"/>
  <c r="H50" i="57"/>
  <c r="H52" i="57"/>
  <c r="H49" i="57"/>
  <c r="D139" i="11"/>
  <c r="D105" i="11"/>
  <c r="F22" i="57"/>
  <c r="G10" i="57" s="1"/>
  <c r="H17" i="57"/>
  <c r="I14" i="57"/>
  <c r="I18" i="57"/>
  <c r="D40" i="66"/>
  <c r="D109" i="11"/>
  <c r="D153" i="11" s="1"/>
  <c r="E111" i="11"/>
  <c r="D56" i="66"/>
  <c r="D46" i="66"/>
  <c r="I59" i="7"/>
  <c r="J47" i="7" s="1"/>
  <c r="P51" i="7"/>
  <c r="J54" i="7"/>
  <c r="J69" i="7" s="1"/>
  <c r="P69" i="7" s="1"/>
  <c r="K22" i="78"/>
  <c r="L22" i="78" s="1"/>
  <c r="F45" i="78"/>
  <c r="F44" i="78"/>
  <c r="F47" i="78"/>
  <c r="F43" i="78"/>
  <c r="J43" i="78" s="1"/>
  <c r="F40" i="78"/>
  <c r="K29" i="78"/>
  <c r="L29" i="78" s="1"/>
  <c r="K24" i="78"/>
  <c r="L24" i="78" s="1"/>
  <c r="T12" i="78"/>
  <c r="U12" i="78" s="1"/>
  <c r="V12" i="78" s="1"/>
  <c r="K26" i="78"/>
  <c r="L26" i="78" s="1"/>
  <c r="T10" i="78"/>
  <c r="U10" i="78" s="1"/>
  <c r="V10" i="78" s="1"/>
  <c r="Q14" i="78"/>
  <c r="S14" i="78" s="1"/>
  <c r="T11" i="78"/>
  <c r="U11" i="78" s="1"/>
  <c r="V11" i="78" s="1"/>
  <c r="H34" i="78"/>
  <c r="J34" i="78"/>
  <c r="H31" i="78"/>
  <c r="J31" i="78"/>
  <c r="H37" i="78"/>
  <c r="J37" i="78"/>
  <c r="N85" i="15"/>
  <c r="K36" i="78"/>
  <c r="L36" i="78" s="1"/>
  <c r="E84" i="15"/>
  <c r="E85" i="15" s="1"/>
  <c r="D85" i="15"/>
  <c r="N44" i="19"/>
  <c r="K32" i="78"/>
  <c r="L32" i="78" s="1"/>
  <c r="N24" i="22"/>
  <c r="O80" i="22"/>
  <c r="O82" i="22" s="1"/>
  <c r="O24" i="22" s="1"/>
  <c r="O124" i="15"/>
  <c r="O125" i="15" s="1"/>
  <c r="D12" i="19"/>
  <c r="D91" i="11"/>
  <c r="D121" i="11"/>
  <c r="P50" i="15"/>
  <c r="O56" i="66"/>
  <c r="O75" i="11"/>
  <c r="O184" i="11" s="1"/>
  <c r="O186" i="11" s="1"/>
  <c r="I8" i="60"/>
  <c r="N8" i="60"/>
  <c r="O8" i="60" s="1"/>
  <c r="J8" i="60"/>
  <c r="N6" i="60"/>
  <c r="O6" i="60" s="1"/>
  <c r="G12" i="60"/>
  <c r="G57" i="60" s="1"/>
  <c r="J6" i="60"/>
  <c r="I6" i="60"/>
  <c r="J60" i="7"/>
  <c r="K48" i="7" s="1"/>
  <c r="K60" i="7" s="1"/>
  <c r="L48" i="7" s="1"/>
  <c r="K7" i="60"/>
  <c r="K8" i="60"/>
  <c r="E51" i="11"/>
  <c r="E141" i="11" s="1"/>
  <c r="E49" i="11"/>
  <c r="E50" i="11"/>
  <c r="E140" i="11" s="1"/>
  <c r="J5" i="60"/>
  <c r="I5" i="60"/>
  <c r="D48" i="11"/>
  <c r="D138" i="11" s="1"/>
  <c r="N5" i="60"/>
  <c r="H12" i="60"/>
  <c r="H57" i="60" s="1"/>
  <c r="D61" i="60" s="1"/>
  <c r="G27" i="66"/>
  <c r="G29" i="66"/>
  <c r="G35" i="66" s="1"/>
  <c r="I31" i="57"/>
  <c r="O31" i="57" s="1"/>
  <c r="I6" i="57"/>
  <c r="O3" i="57"/>
  <c r="O6" i="57" s="1"/>
  <c r="H40" i="57"/>
  <c r="H34" i="57"/>
  <c r="E78" i="15"/>
  <c r="E79" i="15" s="1"/>
  <c r="F70" i="15"/>
  <c r="F84" i="15" s="1"/>
  <c r="O32" i="57"/>
  <c r="G40" i="57"/>
  <c r="D78" i="15"/>
  <c r="D79" i="15" s="1"/>
  <c r="D124" i="15" s="1"/>
  <c r="J11" i="66" l="1"/>
  <c r="J9" i="66"/>
  <c r="J8" i="66"/>
  <c r="J10" i="66"/>
  <c r="J12" i="66"/>
  <c r="P12" i="66" s="1"/>
  <c r="G135" i="57"/>
  <c r="G134" i="57"/>
  <c r="H77" i="7"/>
  <c r="G133" i="57"/>
  <c r="H62" i="7"/>
  <c r="G54" i="66"/>
  <c r="G89" i="11" s="1"/>
  <c r="G135" i="11" s="1"/>
  <c r="H78" i="7"/>
  <c r="H79" i="7"/>
  <c r="H126" i="57"/>
  <c r="H80" i="7"/>
  <c r="G52" i="66"/>
  <c r="G83" i="11" s="1"/>
  <c r="G129" i="11" s="1"/>
  <c r="G49" i="66"/>
  <c r="G76" i="11" s="1"/>
  <c r="G122" i="11" s="1"/>
  <c r="G50" i="66"/>
  <c r="G77" i="11" s="1"/>
  <c r="G123" i="11" s="1"/>
  <c r="G55" i="66"/>
  <c r="G90" i="11" s="1"/>
  <c r="G136" i="11" s="1"/>
  <c r="H125" i="57"/>
  <c r="G53" i="66"/>
  <c r="G88" i="11" s="1"/>
  <c r="G134" i="11" s="1"/>
  <c r="G129" i="57"/>
  <c r="H123" i="57"/>
  <c r="H124" i="57"/>
  <c r="H115" i="57"/>
  <c r="G119" i="57"/>
  <c r="H116" i="57"/>
  <c r="H114" i="57"/>
  <c r="H134" i="57" s="1"/>
  <c r="H113" i="57"/>
  <c r="J41" i="78"/>
  <c r="H33" i="78"/>
  <c r="K33" i="78" s="1"/>
  <c r="L33" i="78" s="1"/>
  <c r="G44" i="66"/>
  <c r="G95" i="11" s="1"/>
  <c r="G45" i="66"/>
  <c r="G96" i="11" s="1"/>
  <c r="H62" i="57"/>
  <c r="I6" i="55" s="1"/>
  <c r="G15" i="55"/>
  <c r="G107" i="57"/>
  <c r="E56" i="66"/>
  <c r="D183" i="11"/>
  <c r="E139" i="11"/>
  <c r="K6" i="60"/>
  <c r="H102" i="66"/>
  <c r="H82" i="11" s="1"/>
  <c r="H128" i="11" s="1"/>
  <c r="F65" i="78"/>
  <c r="J65" i="78" s="1"/>
  <c r="F226" i="57" a="1"/>
  <c r="G42" i="66"/>
  <c r="G93" i="11" s="1"/>
  <c r="F202" i="57" a="1"/>
  <c r="F214" i="57" a="1"/>
  <c r="F190" i="57" a="1"/>
  <c r="H61" i="57"/>
  <c r="I5" i="55" s="1"/>
  <c r="F71" i="57"/>
  <c r="F81" i="57" s="1"/>
  <c r="F91" i="57" s="1"/>
  <c r="H31" i="66"/>
  <c r="H47" i="66" s="1"/>
  <c r="H50" i="66" s="1"/>
  <c r="H77" i="11" s="1"/>
  <c r="H123" i="11" s="1"/>
  <c r="H63" i="57"/>
  <c r="I7" i="55" s="1"/>
  <c r="H103" i="66"/>
  <c r="H84" i="11" s="1"/>
  <c r="H130" i="11" s="1"/>
  <c r="H104" i="66"/>
  <c r="H85" i="11" s="1"/>
  <c r="H131" i="11" s="1"/>
  <c r="H100" i="66"/>
  <c r="H79" i="11" s="1"/>
  <c r="H125" i="11" s="1"/>
  <c r="H101" i="66"/>
  <c r="H81" i="11" s="1"/>
  <c r="H127" i="11" s="1"/>
  <c r="F48" i="66"/>
  <c r="F56" i="66" s="1"/>
  <c r="F105" i="11"/>
  <c r="H67" i="57"/>
  <c r="I11" i="55" s="1"/>
  <c r="H99" i="66"/>
  <c r="H78" i="11" s="1"/>
  <c r="H124" i="11" s="1"/>
  <c r="H46" i="78"/>
  <c r="K46" i="78" s="1"/>
  <c r="L46" i="78" s="1"/>
  <c r="G106" i="57"/>
  <c r="I65" i="57"/>
  <c r="J9" i="55" s="1"/>
  <c r="H106" i="66"/>
  <c r="H87" i="11" s="1"/>
  <c r="H133" i="11" s="1"/>
  <c r="G86" i="57"/>
  <c r="G83" i="57"/>
  <c r="H4" i="11" s="1"/>
  <c r="G56" i="57"/>
  <c r="F46" i="66"/>
  <c r="D184" i="11"/>
  <c r="D186" i="11" s="1"/>
  <c r="C46" i="19" s="1"/>
  <c r="G81" i="66"/>
  <c r="H75" i="66"/>
  <c r="H98" i="11" s="1"/>
  <c r="H143" i="11" s="1"/>
  <c r="G85" i="57"/>
  <c r="G95" i="57" s="1"/>
  <c r="G108" i="57"/>
  <c r="H60" i="57"/>
  <c r="I4" i="55" s="1"/>
  <c r="G69" i="57"/>
  <c r="G102" i="57"/>
  <c r="H13" i="55"/>
  <c r="Q15" i="78"/>
  <c r="S15" i="78" s="1"/>
  <c r="Q13" i="78"/>
  <c r="S13" i="78" s="1"/>
  <c r="H35" i="78"/>
  <c r="T15" i="78" s="1"/>
  <c r="G5" i="11"/>
  <c r="G4" i="11"/>
  <c r="G105" i="57"/>
  <c r="N56" i="66"/>
  <c r="N121" i="11"/>
  <c r="G64" i="57"/>
  <c r="G82" i="57"/>
  <c r="G92" i="57" s="1"/>
  <c r="N91" i="11"/>
  <c r="N116" i="11" s="1"/>
  <c r="G6" i="11"/>
  <c r="G107" i="66"/>
  <c r="F40" i="66"/>
  <c r="F109" i="57"/>
  <c r="H8" i="55"/>
  <c r="H76" i="57"/>
  <c r="H100" i="57" s="1"/>
  <c r="H89" i="57"/>
  <c r="I105" i="66" s="1"/>
  <c r="I86" i="11" s="1"/>
  <c r="I132" i="11" s="1"/>
  <c r="H74" i="66"/>
  <c r="H97" i="11" s="1"/>
  <c r="H142" i="11" s="1"/>
  <c r="H30" i="66"/>
  <c r="H41" i="66" s="1"/>
  <c r="H42" i="66" s="1"/>
  <c r="H93" i="11" s="1"/>
  <c r="F7" i="11"/>
  <c r="H78" i="66"/>
  <c r="H76" i="66"/>
  <c r="H99" i="11" s="1"/>
  <c r="H144" i="11" s="1"/>
  <c r="O50" i="57"/>
  <c r="H79" i="66"/>
  <c r="G78" i="57"/>
  <c r="H57" i="15" s="1"/>
  <c r="F111" i="11"/>
  <c r="H75" i="57"/>
  <c r="H99" i="57" s="1"/>
  <c r="H48" i="57"/>
  <c r="G84" i="57"/>
  <c r="G94" i="57" s="1"/>
  <c r="H77" i="66"/>
  <c r="H66" i="57"/>
  <c r="I10" i="55" s="1"/>
  <c r="H74" i="57"/>
  <c r="H98" i="57" s="1"/>
  <c r="F42" i="78"/>
  <c r="H42" i="78" s="1"/>
  <c r="H77" i="57"/>
  <c r="H101" i="57" s="1"/>
  <c r="H65" i="57"/>
  <c r="I9" i="55" s="1"/>
  <c r="H90" i="57"/>
  <c r="I32" i="66" s="1"/>
  <c r="H88" i="57"/>
  <c r="I80" i="66" s="1"/>
  <c r="D111" i="11"/>
  <c r="D116" i="11" s="1"/>
  <c r="I66" i="57"/>
  <c r="J10" i="55" s="1"/>
  <c r="H68" i="57"/>
  <c r="I12" i="55" s="1"/>
  <c r="G3" i="11"/>
  <c r="H53" i="57"/>
  <c r="O51" i="57"/>
  <c r="H87" i="57"/>
  <c r="I29" i="66" s="1"/>
  <c r="I35" i="66" s="1"/>
  <c r="I36" i="66" s="1"/>
  <c r="I67" i="57"/>
  <c r="J11" i="55" s="1"/>
  <c r="F53" i="78"/>
  <c r="H53" i="78" s="1"/>
  <c r="O49" i="57"/>
  <c r="F64" i="78"/>
  <c r="J64" i="78" s="1"/>
  <c r="I68" i="57"/>
  <c r="J12" i="55" s="1"/>
  <c r="I53" i="57"/>
  <c r="O52" i="57"/>
  <c r="I62" i="7"/>
  <c r="F63" i="78"/>
  <c r="H63" i="78" s="1"/>
  <c r="F54" i="78"/>
  <c r="J54" i="78" s="1"/>
  <c r="O23" i="57"/>
  <c r="F56" i="78"/>
  <c r="J56" i="78" s="1"/>
  <c r="I44" i="57"/>
  <c r="I47" i="57"/>
  <c r="I46" i="57"/>
  <c r="I45" i="57"/>
  <c r="O18" i="57"/>
  <c r="O21" i="57" s="1"/>
  <c r="I21" i="57"/>
  <c r="O14" i="57"/>
  <c r="O17" i="57" s="1"/>
  <c r="I17" i="57"/>
  <c r="F25" i="57"/>
  <c r="J50" i="7"/>
  <c r="J59" i="7"/>
  <c r="J62" i="7" s="1"/>
  <c r="P59" i="7"/>
  <c r="P62" i="7" s="1"/>
  <c r="P54" i="7"/>
  <c r="F62" i="78"/>
  <c r="F52" i="78"/>
  <c r="F51" i="78"/>
  <c r="H51" i="78" s="1"/>
  <c r="F55" i="78"/>
  <c r="H55" i="78" s="1"/>
  <c r="F49" i="78"/>
  <c r="J49" i="78" s="1"/>
  <c r="H43" i="78"/>
  <c r="K43" i="78" s="1"/>
  <c r="L43" i="78" s="1"/>
  <c r="K37" i="78"/>
  <c r="L37" i="78" s="1"/>
  <c r="D44" i="19"/>
  <c r="T13" i="78"/>
  <c r="K34" i="78"/>
  <c r="L34" i="78" s="1"/>
  <c r="J44" i="78"/>
  <c r="H44" i="78"/>
  <c r="Q18" i="78"/>
  <c r="S18" i="78" s="1"/>
  <c r="H40" i="78"/>
  <c r="J40" i="78"/>
  <c r="H45" i="78"/>
  <c r="J45" i="78"/>
  <c r="Q17" i="78"/>
  <c r="S17" i="78" s="1"/>
  <c r="J47" i="78"/>
  <c r="H47" i="78"/>
  <c r="Q16" i="78"/>
  <c r="S16" i="78" s="1"/>
  <c r="K31" i="78"/>
  <c r="L31" i="78" s="1"/>
  <c r="H65" i="78"/>
  <c r="K41" i="78"/>
  <c r="L41" i="78" s="1"/>
  <c r="D125" i="15"/>
  <c r="D127" i="15" s="1"/>
  <c r="E123" i="15" s="1"/>
  <c r="E80" i="22"/>
  <c r="E82" i="22" s="1"/>
  <c r="E124" i="15"/>
  <c r="E125" i="15" s="1"/>
  <c r="E91" i="11"/>
  <c r="E116" i="11" s="1"/>
  <c r="E121" i="11"/>
  <c r="R121" i="11" s="1"/>
  <c r="O91" i="11"/>
  <c r="O116" i="11" s="1"/>
  <c r="O121" i="11"/>
  <c r="M46" i="19"/>
  <c r="F85" i="15"/>
  <c r="E44" i="19"/>
  <c r="G70" i="15"/>
  <c r="G71" i="15" s="1"/>
  <c r="G75" i="15" s="1"/>
  <c r="G78" i="15" s="1"/>
  <c r="G79" i="15" s="1"/>
  <c r="D158" i="11"/>
  <c r="F50" i="11"/>
  <c r="F140" i="11" s="1"/>
  <c r="F49" i="11"/>
  <c r="F51" i="11"/>
  <c r="F141" i="11" s="1"/>
  <c r="J12" i="60"/>
  <c r="J57" i="60" s="1"/>
  <c r="I12" i="60"/>
  <c r="E61" i="60"/>
  <c r="F61" i="60" s="1"/>
  <c r="G61" i="60" s="1"/>
  <c r="H61" i="60" s="1"/>
  <c r="I61" i="60" s="1"/>
  <c r="J61" i="60" s="1"/>
  <c r="K61" i="60" s="1"/>
  <c r="L61" i="60" s="1"/>
  <c r="M61" i="60" s="1"/>
  <c r="N61" i="60" s="1"/>
  <c r="O61" i="60" s="1"/>
  <c r="K5" i="60"/>
  <c r="K12" i="60" s="1"/>
  <c r="K57" i="60" s="1"/>
  <c r="O5" i="60"/>
  <c r="O12" i="60" s="1"/>
  <c r="O57" i="60" s="1"/>
  <c r="D66" i="60" s="1"/>
  <c r="N12" i="60"/>
  <c r="N57" i="60" s="1"/>
  <c r="D65" i="60" s="1"/>
  <c r="D60" i="11"/>
  <c r="E48" i="11"/>
  <c r="E183" i="11" s="1"/>
  <c r="E185" i="11" s="1"/>
  <c r="G39" i="66"/>
  <c r="G110" i="11" s="1"/>
  <c r="G154" i="11" s="1"/>
  <c r="G38" i="66"/>
  <c r="G109" i="11" s="1"/>
  <c r="G153" i="11" s="1"/>
  <c r="G37" i="66"/>
  <c r="G108" i="11" s="1"/>
  <c r="G152" i="11" s="1"/>
  <c r="G36" i="66"/>
  <c r="H27" i="66"/>
  <c r="H29" i="66"/>
  <c r="H35" i="66" s="1"/>
  <c r="D80" i="22"/>
  <c r="D82" i="22" s="1"/>
  <c r="O34" i="57"/>
  <c r="P34" i="57" s="1"/>
  <c r="F71" i="15"/>
  <c r="H133" i="57" l="1"/>
  <c r="J25" i="66"/>
  <c r="P10" i="66"/>
  <c r="H136" i="57"/>
  <c r="J23" i="66"/>
  <c r="P8" i="66"/>
  <c r="J24" i="66"/>
  <c r="P9" i="66"/>
  <c r="J26" i="66"/>
  <c r="P11" i="66"/>
  <c r="I79" i="7"/>
  <c r="H135" i="57"/>
  <c r="I77" i="7"/>
  <c r="I78" i="7"/>
  <c r="I80" i="7"/>
  <c r="I113" i="57"/>
  <c r="I123" i="57"/>
  <c r="I114" i="57"/>
  <c r="I124" i="57"/>
  <c r="O124" i="57" s="1"/>
  <c r="I115" i="57"/>
  <c r="I125" i="57"/>
  <c r="O125" i="57" s="1"/>
  <c r="I116" i="57"/>
  <c r="I126" i="57"/>
  <c r="O126" i="57" s="1"/>
  <c r="H129" i="57"/>
  <c r="G46" i="66"/>
  <c r="G105" i="11"/>
  <c r="H119" i="57"/>
  <c r="H55" i="66"/>
  <c r="H90" i="11" s="1"/>
  <c r="H136" i="11" s="1"/>
  <c r="H54" i="66"/>
  <c r="H89" i="11" s="1"/>
  <c r="H135" i="11" s="1"/>
  <c r="H107" i="57"/>
  <c r="H53" i="66"/>
  <c r="H88" i="11" s="1"/>
  <c r="H134" i="11" s="1"/>
  <c r="H52" i="66"/>
  <c r="H83" i="11" s="1"/>
  <c r="H129" i="11" s="1"/>
  <c r="H49" i="66"/>
  <c r="H76" i="11" s="1"/>
  <c r="H122" i="11" s="1"/>
  <c r="H51" i="66"/>
  <c r="H80" i="11" s="1"/>
  <c r="H126" i="11" s="1"/>
  <c r="G93" i="57"/>
  <c r="H15" i="55"/>
  <c r="H4" i="14" s="1"/>
  <c r="I57" i="60"/>
  <c r="D62" i="60" s="1"/>
  <c r="F139" i="11"/>
  <c r="K35" i="78"/>
  <c r="L35" i="78" s="1"/>
  <c r="F75" i="11"/>
  <c r="F184" i="11" s="1"/>
  <c r="F186" i="11" s="1"/>
  <c r="H56" i="78"/>
  <c r="K56" i="78" s="1"/>
  <c r="L56" i="78" s="1"/>
  <c r="F221" i="57"/>
  <c r="E82" i="74" s="1"/>
  <c r="F223" i="57"/>
  <c r="E84" i="74" s="1"/>
  <c r="F222" i="57"/>
  <c r="E83" i="74" s="1"/>
  <c r="F219" i="57"/>
  <c r="E80" i="74" s="1"/>
  <c r="F214" i="57"/>
  <c r="E75" i="74" s="1"/>
  <c r="F215" i="57"/>
  <c r="E76" i="74" s="1"/>
  <c r="F218" i="57"/>
  <c r="E79" i="74" s="1"/>
  <c r="F225" i="57"/>
  <c r="E86" i="74" s="1"/>
  <c r="F217" i="57"/>
  <c r="E78" i="74" s="1"/>
  <c r="F224" i="57"/>
  <c r="E85" i="74" s="1"/>
  <c r="F216" i="57"/>
  <c r="E77" i="74" s="1"/>
  <c r="F220" i="57"/>
  <c r="E81" i="74" s="1"/>
  <c r="F202" i="57"/>
  <c r="E63" i="74" s="1"/>
  <c r="F205" i="57"/>
  <c r="E66" i="74" s="1"/>
  <c r="F212" i="57"/>
  <c r="E73" i="74" s="1"/>
  <c r="F204" i="57"/>
  <c r="E65" i="74" s="1"/>
  <c r="F208" i="57"/>
  <c r="E69" i="74" s="1"/>
  <c r="F209" i="57"/>
  <c r="E70" i="74" s="1"/>
  <c r="F211" i="57"/>
  <c r="E72" i="74" s="1"/>
  <c r="F203" i="57"/>
  <c r="E64" i="74" s="1"/>
  <c r="F207" i="57"/>
  <c r="E68" i="74" s="1"/>
  <c r="F210" i="57"/>
  <c r="E71" i="74" s="1"/>
  <c r="F206" i="57"/>
  <c r="E67" i="74" s="1"/>
  <c r="F213" i="57"/>
  <c r="E74" i="74" s="1"/>
  <c r="I8" i="55"/>
  <c r="F178" i="57" a="1"/>
  <c r="F226" i="57"/>
  <c r="E87" i="74" s="1"/>
  <c r="F237" i="57"/>
  <c r="E98" i="74" s="1"/>
  <c r="F229" i="57"/>
  <c r="E90" i="74" s="1"/>
  <c r="F236" i="57"/>
  <c r="E97" i="74" s="1"/>
  <c r="F231" i="57"/>
  <c r="E92" i="74" s="1"/>
  <c r="F233" i="57"/>
  <c r="E94" i="74" s="1"/>
  <c r="F228" i="57"/>
  <c r="E89" i="74" s="1"/>
  <c r="F232" i="57"/>
  <c r="E93" i="74" s="1"/>
  <c r="F227" i="57"/>
  <c r="E88" i="74" s="1"/>
  <c r="F235" i="57"/>
  <c r="E96" i="74" s="1"/>
  <c r="F234" i="57"/>
  <c r="E95" i="74" s="1"/>
  <c r="F230" i="57"/>
  <c r="E91" i="74" s="1"/>
  <c r="F191" i="57"/>
  <c r="E52" i="74" s="1"/>
  <c r="F199" i="57"/>
  <c r="E60" i="74" s="1"/>
  <c r="F200" i="57"/>
  <c r="E61" i="74" s="1"/>
  <c r="F198" i="57"/>
  <c r="E59" i="74" s="1"/>
  <c r="F192" i="57"/>
  <c r="E53" i="74" s="1"/>
  <c r="F190" i="57"/>
  <c r="E51" i="74" s="1"/>
  <c r="F201" i="57"/>
  <c r="E62" i="74" s="1"/>
  <c r="F196" i="57"/>
  <c r="E57" i="74" s="1"/>
  <c r="F197" i="57"/>
  <c r="E58" i="74" s="1"/>
  <c r="F195" i="57"/>
  <c r="E56" i="74" s="1"/>
  <c r="F193" i="57"/>
  <c r="E54" i="74" s="1"/>
  <c r="F194" i="57"/>
  <c r="E55" i="74" s="1"/>
  <c r="O46" i="57"/>
  <c r="O89" i="57" s="1"/>
  <c r="F166" i="57" a="1"/>
  <c r="O45" i="57"/>
  <c r="O88" i="57" s="1"/>
  <c r="F154" i="57" a="1"/>
  <c r="F142" i="57" a="1"/>
  <c r="P11" i="55"/>
  <c r="H107" i="66"/>
  <c r="H6" i="11"/>
  <c r="T14" i="78"/>
  <c r="U14" i="78" s="1"/>
  <c r="V14" i="78" s="1"/>
  <c r="I100" i="66"/>
  <c r="I79" i="11" s="1"/>
  <c r="I125" i="11" s="1"/>
  <c r="I106" i="66"/>
  <c r="I87" i="11" s="1"/>
  <c r="I133" i="11" s="1"/>
  <c r="H5" i="11"/>
  <c r="G109" i="57"/>
  <c r="G71" i="57"/>
  <c r="G81" i="57" s="1"/>
  <c r="G91" i="57" s="1"/>
  <c r="H43" i="66"/>
  <c r="H94" i="11" s="1"/>
  <c r="H64" i="57"/>
  <c r="O47" i="57"/>
  <c r="O90" i="57" s="1"/>
  <c r="H84" i="57"/>
  <c r="H94" i="57" s="1"/>
  <c r="I103" i="66"/>
  <c r="I84" i="11" s="1"/>
  <c r="I130" i="11" s="1"/>
  <c r="I99" i="66"/>
  <c r="I78" i="11" s="1"/>
  <c r="I124" i="11" s="1"/>
  <c r="U15" i="78"/>
  <c r="V15" i="78" s="1"/>
  <c r="H44" i="66"/>
  <c r="H95" i="11" s="1"/>
  <c r="H45" i="66"/>
  <c r="H96" i="11" s="1"/>
  <c r="U13" i="78"/>
  <c r="V13" i="78" s="1"/>
  <c r="O44" i="57"/>
  <c r="O87" i="57" s="1"/>
  <c r="I101" i="66"/>
  <c r="I81" i="11" s="1"/>
  <c r="I127" i="11" s="1"/>
  <c r="J42" i="78"/>
  <c r="T17" i="78" s="1"/>
  <c r="U17" i="78" s="1"/>
  <c r="V17" i="78" s="1"/>
  <c r="I74" i="57"/>
  <c r="I98" i="57" s="1"/>
  <c r="O98" i="57" s="1"/>
  <c r="I104" i="66"/>
  <c r="I85" i="11" s="1"/>
  <c r="I131" i="11" s="1"/>
  <c r="I102" i="66"/>
  <c r="I82" i="11" s="1"/>
  <c r="I128" i="11" s="1"/>
  <c r="I31" i="66"/>
  <c r="I47" i="66" s="1"/>
  <c r="I51" i="66" s="1"/>
  <c r="I80" i="11" s="1"/>
  <c r="I126" i="11" s="1"/>
  <c r="I76" i="57"/>
  <c r="O76" i="57" s="1"/>
  <c r="I89" i="57"/>
  <c r="J103" i="66" s="1"/>
  <c r="I62" i="57"/>
  <c r="H3" i="11"/>
  <c r="O53" i="57"/>
  <c r="I69" i="57"/>
  <c r="I79" i="66"/>
  <c r="H54" i="78"/>
  <c r="K54" i="78" s="1"/>
  <c r="L54" i="78" s="1"/>
  <c r="H106" i="57"/>
  <c r="O66" i="57"/>
  <c r="G7" i="11"/>
  <c r="H56" i="57"/>
  <c r="I30" i="66"/>
  <c r="I41" i="66" s="1"/>
  <c r="I42" i="66" s="1"/>
  <c r="I93" i="11" s="1"/>
  <c r="I76" i="66"/>
  <c r="I99" i="11" s="1"/>
  <c r="I144" i="11" s="1"/>
  <c r="I74" i="66"/>
  <c r="I97" i="11" s="1"/>
  <c r="I142" i="11" s="1"/>
  <c r="H102" i="57"/>
  <c r="I75" i="66"/>
  <c r="I98" i="11" s="1"/>
  <c r="I143" i="11" s="1"/>
  <c r="I78" i="66"/>
  <c r="H85" i="57"/>
  <c r="H95" i="57" s="1"/>
  <c r="O67" i="57"/>
  <c r="H83" i="57"/>
  <c r="H93" i="57" s="1"/>
  <c r="H78" i="57"/>
  <c r="I57" i="15" s="1"/>
  <c r="O68" i="57"/>
  <c r="I90" i="57"/>
  <c r="J32" i="66" s="1"/>
  <c r="F50" i="78"/>
  <c r="H50" i="78" s="1"/>
  <c r="P10" i="55"/>
  <c r="H64" i="78"/>
  <c r="K64" i="78" s="1"/>
  <c r="L64" i="78" s="1"/>
  <c r="P12" i="55"/>
  <c r="I77" i="57"/>
  <c r="I101" i="57" s="1"/>
  <c r="O101" i="57" s="1"/>
  <c r="I63" i="57"/>
  <c r="I108" i="57" s="1"/>
  <c r="I77" i="66"/>
  <c r="O65" i="57"/>
  <c r="H69" i="57"/>
  <c r="H82" i="57"/>
  <c r="H92" i="57" s="1"/>
  <c r="H105" i="57"/>
  <c r="I60" i="57"/>
  <c r="I105" i="57" s="1"/>
  <c r="I87" i="57"/>
  <c r="H81" i="66"/>
  <c r="H86" i="57"/>
  <c r="I39" i="66"/>
  <c r="I110" i="11" s="1"/>
  <c r="I154" i="11" s="1"/>
  <c r="I38" i="66"/>
  <c r="I109" i="11" s="1"/>
  <c r="I153" i="11" s="1"/>
  <c r="H108" i="57"/>
  <c r="I13" i="55"/>
  <c r="I27" i="66"/>
  <c r="I37" i="66"/>
  <c r="I108" i="11" s="1"/>
  <c r="I152" i="11" s="1"/>
  <c r="J13" i="55"/>
  <c r="J63" i="78"/>
  <c r="K63" i="78" s="1"/>
  <c r="L63" i="78" s="1"/>
  <c r="K47" i="7"/>
  <c r="I48" i="57"/>
  <c r="O48" i="57" s="1"/>
  <c r="I88" i="57"/>
  <c r="P24" i="66" s="1"/>
  <c r="I61" i="57"/>
  <c r="J5" i="55" s="1"/>
  <c r="P5" i="55" s="1"/>
  <c r="I75" i="57"/>
  <c r="I99" i="57" s="1"/>
  <c r="O99" i="57" s="1"/>
  <c r="F59" i="78"/>
  <c r="F61" i="78"/>
  <c r="O22" i="57"/>
  <c r="O25" i="57" s="1"/>
  <c r="J53" i="78"/>
  <c r="K53" i="78" s="1"/>
  <c r="L53" i="78" s="1"/>
  <c r="H49" i="78"/>
  <c r="K49" i="78" s="1"/>
  <c r="L49" i="78" s="1"/>
  <c r="J62" i="78"/>
  <c r="H62" i="78"/>
  <c r="J55" i="78"/>
  <c r="K55" i="78" s="1"/>
  <c r="L55" i="78" s="1"/>
  <c r="J51" i="78"/>
  <c r="K51" i="78" s="1"/>
  <c r="L51" i="78" s="1"/>
  <c r="K40" i="78"/>
  <c r="L40" i="78" s="1"/>
  <c r="K47" i="78"/>
  <c r="L47" i="78" s="1"/>
  <c r="K45" i="78"/>
  <c r="L45" i="78" s="1"/>
  <c r="T18" i="78"/>
  <c r="U18" i="78" s="1"/>
  <c r="V18" i="78" s="1"/>
  <c r="K44" i="78"/>
  <c r="L44" i="78" s="1"/>
  <c r="H52" i="78"/>
  <c r="J52" i="78"/>
  <c r="K65" i="78"/>
  <c r="L65" i="78" s="1"/>
  <c r="G84" i="15"/>
  <c r="G85" i="15" s="1"/>
  <c r="E24" i="22"/>
  <c r="G80" i="22"/>
  <c r="G82" i="22" s="1"/>
  <c r="G124" i="15"/>
  <c r="G125" i="15" s="1"/>
  <c r="F12" i="19"/>
  <c r="E126" i="15"/>
  <c r="P126" i="15" s="1"/>
  <c r="D185" i="11"/>
  <c r="E138" i="11"/>
  <c r="R138" i="11" s="1"/>
  <c r="D71" i="11"/>
  <c r="D166" i="11"/>
  <c r="D46" i="19"/>
  <c r="N46" i="19"/>
  <c r="I107" i="11"/>
  <c r="G48" i="66"/>
  <c r="G107" i="11"/>
  <c r="R140" i="11"/>
  <c r="R141" i="11"/>
  <c r="R139" i="11"/>
  <c r="G49" i="11"/>
  <c r="G51" i="11"/>
  <c r="G141" i="11" s="1"/>
  <c r="G50" i="11"/>
  <c r="G140" i="11" s="1"/>
  <c r="E66" i="60"/>
  <c r="F66" i="60" s="1"/>
  <c r="G66" i="60" s="1"/>
  <c r="H66" i="60" s="1"/>
  <c r="I66" i="60" s="1"/>
  <c r="J66" i="60" s="1"/>
  <c r="K66" i="60" s="1"/>
  <c r="L66" i="60" s="1"/>
  <c r="M66" i="60" s="1"/>
  <c r="N66" i="60" s="1"/>
  <c r="O66" i="60" s="1"/>
  <c r="P66" i="60"/>
  <c r="P61" i="60"/>
  <c r="F48" i="11"/>
  <c r="F183" i="11" s="1"/>
  <c r="F185" i="11" s="1"/>
  <c r="E60" i="11"/>
  <c r="E65" i="60"/>
  <c r="F65" i="60" s="1"/>
  <c r="G65" i="60" s="1"/>
  <c r="H65" i="60" s="1"/>
  <c r="I65" i="60" s="1"/>
  <c r="J65" i="60" s="1"/>
  <c r="K65" i="60" s="1"/>
  <c r="L65" i="60" s="1"/>
  <c r="M65" i="60" s="1"/>
  <c r="N65" i="60" s="1"/>
  <c r="O65" i="60" s="1"/>
  <c r="G40" i="66"/>
  <c r="I34" i="57"/>
  <c r="H70" i="15"/>
  <c r="H84" i="15" s="1"/>
  <c r="F75" i="15"/>
  <c r="E12" i="19"/>
  <c r="D24" i="22"/>
  <c r="D263" i="22" s="1"/>
  <c r="I40" i="57"/>
  <c r="O39" i="57"/>
  <c r="O40" i="57" s="1"/>
  <c r="G4" i="14"/>
  <c r="P9" i="55"/>
  <c r="J78" i="7" l="1"/>
  <c r="I134" i="57"/>
  <c r="J77" i="7"/>
  <c r="I133" i="57"/>
  <c r="J80" i="7"/>
  <c r="I136" i="57"/>
  <c r="J79" i="7"/>
  <c r="I135" i="57"/>
  <c r="O113" i="57"/>
  <c r="I119" i="57"/>
  <c r="O115" i="57"/>
  <c r="O135" i="57" s="1"/>
  <c r="O114" i="57"/>
  <c r="O134" i="57" s="1"/>
  <c r="I129" i="57"/>
  <c r="O116" i="57"/>
  <c r="O136" i="57" s="1"/>
  <c r="O123" i="57"/>
  <c r="O129" i="57" s="1"/>
  <c r="E45" i="74"/>
  <c r="E44" i="74"/>
  <c r="E50" i="74"/>
  <c r="E42" i="74"/>
  <c r="E47" i="74"/>
  <c r="E49" i="74"/>
  <c r="E41" i="74"/>
  <c r="E46" i="74"/>
  <c r="E43" i="74"/>
  <c r="E48" i="74"/>
  <c r="E40" i="74"/>
  <c r="I15" i="55"/>
  <c r="I4" i="14" s="1"/>
  <c r="E62" i="60"/>
  <c r="F62" i="60" s="1"/>
  <c r="G62" i="60" s="1"/>
  <c r="H62" i="60" s="1"/>
  <c r="I62" i="60" s="1"/>
  <c r="J62" i="60" s="1"/>
  <c r="K62" i="60" s="1"/>
  <c r="L62" i="60" s="1"/>
  <c r="M62" i="60" s="1"/>
  <c r="N62" i="60" s="1"/>
  <c r="O62" i="60" s="1"/>
  <c r="D63" i="60"/>
  <c r="G139" i="11"/>
  <c r="K50" i="7"/>
  <c r="K59" i="7"/>
  <c r="F91" i="11"/>
  <c r="F116" i="11" s="1"/>
  <c r="H7" i="11"/>
  <c r="I3" i="11"/>
  <c r="F121" i="11"/>
  <c r="H190" i="57"/>
  <c r="G51" i="74" s="1"/>
  <c r="J190" i="57"/>
  <c r="I51" i="74" s="1"/>
  <c r="H235" i="57"/>
  <c r="G96" i="74" s="1"/>
  <c r="J235" i="57"/>
  <c r="I96" i="74" s="1"/>
  <c r="H237" i="57"/>
  <c r="G98" i="74" s="1"/>
  <c r="J237" i="57"/>
  <c r="I98" i="74" s="1"/>
  <c r="H203" i="57"/>
  <c r="G64" i="74" s="1"/>
  <c r="J203" i="57"/>
  <c r="I64" i="74" s="1"/>
  <c r="H220" i="57"/>
  <c r="G81" i="74" s="1"/>
  <c r="J220" i="57"/>
  <c r="I81" i="74" s="1"/>
  <c r="H219" i="57"/>
  <c r="G80" i="74" s="1"/>
  <c r="J219" i="57"/>
  <c r="I80" i="74" s="1"/>
  <c r="H192" i="57"/>
  <c r="G53" i="74" s="1"/>
  <c r="J192" i="57"/>
  <c r="I53" i="74" s="1"/>
  <c r="H227" i="57"/>
  <c r="G88" i="74" s="1"/>
  <c r="J227" i="57"/>
  <c r="I88" i="74" s="1"/>
  <c r="H226" i="57"/>
  <c r="G87" i="74" s="1"/>
  <c r="J226" i="57"/>
  <c r="I87" i="74" s="1"/>
  <c r="H211" i="57"/>
  <c r="G72" i="74" s="1"/>
  <c r="J211" i="57"/>
  <c r="I72" i="74" s="1"/>
  <c r="H216" i="57"/>
  <c r="G77" i="74" s="1"/>
  <c r="J216" i="57"/>
  <c r="I77" i="74" s="1"/>
  <c r="H222" i="57"/>
  <c r="G83" i="74" s="1"/>
  <c r="J222" i="57"/>
  <c r="I83" i="74" s="1"/>
  <c r="H201" i="57"/>
  <c r="G62" i="74" s="1"/>
  <c r="J201" i="57"/>
  <c r="I62" i="74" s="1"/>
  <c r="H234" i="57"/>
  <c r="G95" i="74" s="1"/>
  <c r="J234" i="57"/>
  <c r="I95" i="74" s="1"/>
  <c r="H229" i="57"/>
  <c r="G90" i="74" s="1"/>
  <c r="J229" i="57"/>
  <c r="I90" i="74" s="1"/>
  <c r="H207" i="57"/>
  <c r="G68" i="74" s="1"/>
  <c r="J207" i="57"/>
  <c r="I68" i="74" s="1"/>
  <c r="H214" i="57"/>
  <c r="G75" i="74" s="1"/>
  <c r="J214" i="57"/>
  <c r="I75" i="74" s="1"/>
  <c r="F178" i="57"/>
  <c r="E39" i="74" s="1"/>
  <c r="H187" i="57"/>
  <c r="G48" i="74" s="1"/>
  <c r="H179" i="57"/>
  <c r="G40" i="74" s="1"/>
  <c r="H186" i="57"/>
  <c r="G47" i="74" s="1"/>
  <c r="H185" i="57"/>
  <c r="G46" i="74" s="1"/>
  <c r="H183" i="57"/>
  <c r="G44" i="74" s="1"/>
  <c r="H182" i="57"/>
  <c r="G43" i="74" s="1"/>
  <c r="H189" i="57"/>
  <c r="G50" i="74" s="1"/>
  <c r="H184" i="57"/>
  <c r="G45" i="74" s="1"/>
  <c r="H188" i="57"/>
  <c r="G49" i="74" s="1"/>
  <c r="H181" i="57"/>
  <c r="G42" i="74" s="1"/>
  <c r="H180" i="57"/>
  <c r="G41" i="74" s="1"/>
  <c r="J179" i="57"/>
  <c r="I40" i="74" s="1"/>
  <c r="J180" i="57"/>
  <c r="I41" i="74" s="1"/>
  <c r="J181" i="57"/>
  <c r="I42" i="74" s="1"/>
  <c r="J182" i="57"/>
  <c r="I43" i="74" s="1"/>
  <c r="J183" i="57"/>
  <c r="I44" i="74" s="1"/>
  <c r="J184" i="57"/>
  <c r="I45" i="74" s="1"/>
  <c r="J185" i="57"/>
  <c r="I46" i="74" s="1"/>
  <c r="J186" i="57"/>
  <c r="I47" i="74" s="1"/>
  <c r="J187" i="57"/>
  <c r="I48" i="74" s="1"/>
  <c r="J189" i="57"/>
  <c r="I50" i="74" s="1"/>
  <c r="J188" i="57"/>
  <c r="I49" i="74" s="1"/>
  <c r="H209" i="57"/>
  <c r="G70" i="74" s="1"/>
  <c r="J209" i="57"/>
  <c r="I70" i="74" s="1"/>
  <c r="H223" i="57"/>
  <c r="G84" i="74" s="1"/>
  <c r="J223" i="57"/>
  <c r="I84" i="74" s="1"/>
  <c r="H193" i="57"/>
  <c r="G54" i="74" s="1"/>
  <c r="J193" i="57"/>
  <c r="I54" i="74" s="1"/>
  <c r="H200" i="57"/>
  <c r="G61" i="74" s="1"/>
  <c r="J200" i="57"/>
  <c r="I61" i="74" s="1"/>
  <c r="H228" i="57"/>
  <c r="G89" i="74" s="1"/>
  <c r="J228" i="57"/>
  <c r="I89" i="74" s="1"/>
  <c r="H208" i="57"/>
  <c r="G69" i="74" s="1"/>
  <c r="J208" i="57"/>
  <c r="I69" i="74" s="1"/>
  <c r="H217" i="57"/>
  <c r="G78" i="74" s="1"/>
  <c r="J217" i="57"/>
  <c r="I78" i="74" s="1"/>
  <c r="H221" i="57"/>
  <c r="G82" i="74" s="1"/>
  <c r="J221" i="57"/>
  <c r="I82" i="74" s="1"/>
  <c r="H202" i="57"/>
  <c r="G63" i="74" s="1"/>
  <c r="J202" i="57"/>
  <c r="I63" i="74" s="1"/>
  <c r="H194" i="57"/>
  <c r="G55" i="74" s="1"/>
  <c r="J194" i="57"/>
  <c r="I55" i="74" s="1"/>
  <c r="H198" i="57"/>
  <c r="G59" i="74" s="1"/>
  <c r="J198" i="57"/>
  <c r="I59" i="74" s="1"/>
  <c r="H232" i="57"/>
  <c r="G93" i="74" s="1"/>
  <c r="J232" i="57"/>
  <c r="I93" i="74" s="1"/>
  <c r="H224" i="57"/>
  <c r="G85" i="74" s="1"/>
  <c r="J224" i="57"/>
  <c r="I85" i="74" s="1"/>
  <c r="H195" i="57"/>
  <c r="G56" i="74" s="1"/>
  <c r="J195" i="57"/>
  <c r="I56" i="74" s="1"/>
  <c r="H199" i="57"/>
  <c r="G60" i="74" s="1"/>
  <c r="J199" i="57"/>
  <c r="I60" i="74" s="1"/>
  <c r="H233" i="57"/>
  <c r="G94" i="74" s="1"/>
  <c r="J233" i="57"/>
  <c r="I94" i="74" s="1"/>
  <c r="H213" i="57"/>
  <c r="G74" i="74" s="1"/>
  <c r="J213" i="57"/>
  <c r="I74" i="74" s="1"/>
  <c r="H204" i="57"/>
  <c r="G65" i="74" s="1"/>
  <c r="J204" i="57"/>
  <c r="I65" i="74" s="1"/>
  <c r="H225" i="57"/>
  <c r="G86" i="74" s="1"/>
  <c r="J225" i="57"/>
  <c r="I86" i="74" s="1"/>
  <c r="H197" i="57"/>
  <c r="G58" i="74" s="1"/>
  <c r="J197" i="57"/>
  <c r="I58" i="74" s="1"/>
  <c r="H191" i="57"/>
  <c r="G52" i="74" s="1"/>
  <c r="J191" i="57"/>
  <c r="I52" i="74" s="1"/>
  <c r="H231" i="57"/>
  <c r="G92" i="74" s="1"/>
  <c r="J231" i="57"/>
  <c r="I92" i="74" s="1"/>
  <c r="H206" i="57"/>
  <c r="G67" i="74" s="1"/>
  <c r="J206" i="57"/>
  <c r="I67" i="74" s="1"/>
  <c r="H212" i="57"/>
  <c r="G73" i="74" s="1"/>
  <c r="J212" i="57"/>
  <c r="I73" i="74" s="1"/>
  <c r="H218" i="57"/>
  <c r="G79" i="74" s="1"/>
  <c r="J218" i="57"/>
  <c r="I79" i="74" s="1"/>
  <c r="H196" i="57"/>
  <c r="G57" i="74" s="1"/>
  <c r="J196" i="57"/>
  <c r="I57" i="74" s="1"/>
  <c r="H230" i="57"/>
  <c r="G91" i="74" s="1"/>
  <c r="J230" i="57"/>
  <c r="I91" i="74" s="1"/>
  <c r="H236" i="57"/>
  <c r="G97" i="74" s="1"/>
  <c r="J236" i="57"/>
  <c r="I97" i="74" s="1"/>
  <c r="H210" i="57"/>
  <c r="G71" i="74" s="1"/>
  <c r="J210" i="57"/>
  <c r="I71" i="74" s="1"/>
  <c r="H205" i="57"/>
  <c r="G66" i="74" s="1"/>
  <c r="J205" i="57"/>
  <c r="I66" i="74" s="1"/>
  <c r="H215" i="57"/>
  <c r="G76" i="74" s="1"/>
  <c r="J215" i="57"/>
  <c r="I76" i="74" s="1"/>
  <c r="F58" i="78"/>
  <c r="J58" i="78" s="1"/>
  <c r="I5" i="11"/>
  <c r="F147" i="57"/>
  <c r="E8" i="74" s="1"/>
  <c r="F151" i="57"/>
  <c r="E12" i="74" s="1"/>
  <c r="F148" i="57"/>
  <c r="E9" i="74" s="1"/>
  <c r="F142" i="57"/>
  <c r="F144" i="57"/>
  <c r="E5" i="74" s="1"/>
  <c r="F143" i="57"/>
  <c r="E4" i="74" s="1"/>
  <c r="F150" i="57"/>
  <c r="E11" i="74" s="1"/>
  <c r="F146" i="57"/>
  <c r="E7" i="74" s="1"/>
  <c r="F153" i="57"/>
  <c r="E14" i="74" s="1"/>
  <c r="F149" i="57"/>
  <c r="E10" i="74" s="1"/>
  <c r="F145" i="57"/>
  <c r="E6" i="74" s="1"/>
  <c r="F152" i="57"/>
  <c r="E13" i="74" s="1"/>
  <c r="F154" i="57"/>
  <c r="E15" i="74" s="1"/>
  <c r="F156" i="57"/>
  <c r="E17" i="74" s="1"/>
  <c r="F161" i="57"/>
  <c r="E22" i="74" s="1"/>
  <c r="F162" i="57"/>
  <c r="E23" i="74" s="1"/>
  <c r="F164" i="57"/>
  <c r="E25" i="74" s="1"/>
  <c r="F160" i="57"/>
  <c r="E21" i="74" s="1"/>
  <c r="F163" i="57"/>
  <c r="E24" i="74" s="1"/>
  <c r="F155" i="57"/>
  <c r="E16" i="74" s="1"/>
  <c r="F159" i="57"/>
  <c r="E20" i="74" s="1"/>
  <c r="F158" i="57"/>
  <c r="E19" i="74" s="1"/>
  <c r="F165" i="57"/>
  <c r="E26" i="74" s="1"/>
  <c r="F157" i="57"/>
  <c r="E18" i="74" s="1"/>
  <c r="F168" i="57"/>
  <c r="E29" i="74" s="1"/>
  <c r="F167" i="57"/>
  <c r="E28" i="74" s="1"/>
  <c r="F176" i="57"/>
  <c r="E37" i="74" s="1"/>
  <c r="F173" i="57"/>
  <c r="E34" i="74" s="1"/>
  <c r="F175" i="57"/>
  <c r="E36" i="74" s="1"/>
  <c r="F174" i="57"/>
  <c r="E35" i="74" s="1"/>
  <c r="F166" i="57"/>
  <c r="E27" i="74" s="1"/>
  <c r="F171" i="57"/>
  <c r="E32" i="74" s="1"/>
  <c r="F170" i="57"/>
  <c r="E31" i="74" s="1"/>
  <c r="F172" i="57"/>
  <c r="E33" i="74" s="1"/>
  <c r="F177" i="57"/>
  <c r="E38" i="74" s="1"/>
  <c r="F169" i="57"/>
  <c r="E30" i="74" s="1"/>
  <c r="I54" i="66"/>
  <c r="I89" i="11" s="1"/>
  <c r="I135" i="11" s="1"/>
  <c r="H105" i="11"/>
  <c r="I50" i="66"/>
  <c r="I77" i="11" s="1"/>
  <c r="I123" i="11" s="1"/>
  <c r="I43" i="66"/>
  <c r="I94" i="11" s="1"/>
  <c r="I44" i="66"/>
  <c r="I95" i="11" s="1"/>
  <c r="I45" i="66"/>
  <c r="I96" i="11" s="1"/>
  <c r="I100" i="57"/>
  <c r="O100" i="57" s="1"/>
  <c r="O102" i="57" s="1"/>
  <c r="I84" i="57"/>
  <c r="I94" i="57" s="1"/>
  <c r="J6" i="55"/>
  <c r="P6" i="55" s="1"/>
  <c r="K42" i="78"/>
  <c r="L42" i="78" s="1"/>
  <c r="T16" i="78"/>
  <c r="U16" i="78" s="1"/>
  <c r="V16" i="78" s="1"/>
  <c r="O62" i="57"/>
  <c r="O84" i="57" s="1"/>
  <c r="O94" i="57" s="1"/>
  <c r="H71" i="57"/>
  <c r="H81" i="57" s="1"/>
  <c r="H91" i="57" s="1"/>
  <c r="I107" i="57"/>
  <c r="O107" i="57" s="1"/>
  <c r="I4" i="11"/>
  <c r="O74" i="57"/>
  <c r="I107" i="66"/>
  <c r="O60" i="57"/>
  <c r="F60" i="78"/>
  <c r="H60" i="78" s="1"/>
  <c r="H46" i="66"/>
  <c r="Q21" i="78"/>
  <c r="S21" i="78" s="1"/>
  <c r="I49" i="66"/>
  <c r="I76" i="11" s="1"/>
  <c r="I122" i="11" s="1"/>
  <c r="I52" i="66"/>
  <c r="I83" i="11" s="1"/>
  <c r="I129" i="11" s="1"/>
  <c r="Q19" i="78"/>
  <c r="S19" i="78" s="1"/>
  <c r="I53" i="66"/>
  <c r="I88" i="11" s="1"/>
  <c r="I134" i="11" s="1"/>
  <c r="I6" i="11"/>
  <c r="I55" i="66"/>
  <c r="I90" i="11" s="1"/>
  <c r="I136" i="11" s="1"/>
  <c r="Q20" i="78"/>
  <c r="S20" i="78" s="1"/>
  <c r="O86" i="57"/>
  <c r="I86" i="57"/>
  <c r="H109" i="57"/>
  <c r="O56" i="57"/>
  <c r="O63" i="57"/>
  <c r="I85" i="57"/>
  <c r="I95" i="57" s="1"/>
  <c r="O77" i="57"/>
  <c r="I82" i="57"/>
  <c r="I92" i="57" s="1"/>
  <c r="I81" i="66"/>
  <c r="I64" i="57"/>
  <c r="I71" i="57" s="1"/>
  <c r="J50" i="78"/>
  <c r="K50" i="78" s="1"/>
  <c r="L50" i="78" s="1"/>
  <c r="J4" i="55"/>
  <c r="P4" i="55" s="1"/>
  <c r="I106" i="57"/>
  <c r="O106" i="57" s="1"/>
  <c r="O69" i="57"/>
  <c r="O105" i="57"/>
  <c r="O61" i="57"/>
  <c r="J7" i="55"/>
  <c r="P7" i="55" s="1"/>
  <c r="I56" i="57"/>
  <c r="P26" i="66"/>
  <c r="E263" i="22"/>
  <c r="I40" i="66"/>
  <c r="O108" i="57"/>
  <c r="I83" i="57"/>
  <c r="I93" i="57" s="1"/>
  <c r="O75" i="57"/>
  <c r="I78" i="57"/>
  <c r="O78" i="57" s="1"/>
  <c r="K62" i="78"/>
  <c r="L62" i="78" s="1"/>
  <c r="H59" i="78"/>
  <c r="J59" i="78"/>
  <c r="K52" i="78"/>
  <c r="L52" i="78" s="1"/>
  <c r="J31" i="66"/>
  <c r="J106" i="66"/>
  <c r="F44" i="19"/>
  <c r="H61" i="78"/>
  <c r="J61" i="78"/>
  <c r="J99" i="66"/>
  <c r="J78" i="11" s="1"/>
  <c r="J124" i="11" s="1"/>
  <c r="P124" i="11" s="1"/>
  <c r="J104" i="66"/>
  <c r="P104" i="66" s="1"/>
  <c r="J75" i="66"/>
  <c r="P75" i="66" s="1"/>
  <c r="P25" i="66"/>
  <c r="J80" i="66"/>
  <c r="P80" i="66" s="1"/>
  <c r="J105" i="66"/>
  <c r="P105" i="66" s="1"/>
  <c r="J79" i="66"/>
  <c r="P79" i="66" s="1"/>
  <c r="J30" i="66"/>
  <c r="J100" i="66"/>
  <c r="P100" i="66" s="1"/>
  <c r="J77" i="66"/>
  <c r="P77" i="66" s="1"/>
  <c r="J74" i="66"/>
  <c r="J97" i="11" s="1"/>
  <c r="J142" i="11" s="1"/>
  <c r="P142" i="11" s="1"/>
  <c r="J78" i="66"/>
  <c r="P78" i="66" s="1"/>
  <c r="J102" i="66"/>
  <c r="P102" i="66" s="1"/>
  <c r="J101" i="66"/>
  <c r="J81" i="11" s="1"/>
  <c r="J127" i="11" s="1"/>
  <c r="J76" i="66"/>
  <c r="J99" i="11" s="1"/>
  <c r="J144" i="11" s="1"/>
  <c r="D170" i="11"/>
  <c r="D180" i="11" s="1"/>
  <c r="D176" i="11"/>
  <c r="G24" i="22"/>
  <c r="E127" i="15"/>
  <c r="F123" i="15" s="1"/>
  <c r="G111" i="11"/>
  <c r="G151" i="11"/>
  <c r="F138" i="11"/>
  <c r="I111" i="11"/>
  <c r="I151" i="11"/>
  <c r="D167" i="11"/>
  <c r="E71" i="11"/>
  <c r="C54" i="19"/>
  <c r="C50" i="19" s="1"/>
  <c r="D54" i="19"/>
  <c r="E158" i="11"/>
  <c r="E166" i="11" s="1"/>
  <c r="H85" i="15"/>
  <c r="G44" i="19"/>
  <c r="E46" i="19"/>
  <c r="I70" i="15"/>
  <c r="I71" i="15" s="1"/>
  <c r="I75" i="15" s="1"/>
  <c r="P103" i="66"/>
  <c r="J84" i="11"/>
  <c r="J130" i="11" s="1"/>
  <c r="G56" i="66"/>
  <c r="G75" i="11"/>
  <c r="G184" i="11" s="1"/>
  <c r="G186" i="11" s="1"/>
  <c r="H50" i="11"/>
  <c r="H140" i="11" s="1"/>
  <c r="H49" i="11"/>
  <c r="H51" i="11"/>
  <c r="H141" i="11" s="1"/>
  <c r="I48" i="66"/>
  <c r="P65" i="60"/>
  <c r="P62" i="60"/>
  <c r="F60" i="11"/>
  <c r="G48" i="11"/>
  <c r="G183" i="11" s="1"/>
  <c r="G185" i="11" s="1"/>
  <c r="E63" i="60"/>
  <c r="F63" i="60" s="1"/>
  <c r="G63" i="60" s="1"/>
  <c r="H63" i="60" s="1"/>
  <c r="I63" i="60" s="1"/>
  <c r="J63" i="60" s="1"/>
  <c r="K63" i="60" s="1"/>
  <c r="L63" i="60" s="1"/>
  <c r="M63" i="60" s="1"/>
  <c r="N63" i="60" s="1"/>
  <c r="O63" i="60" s="1"/>
  <c r="D67" i="60"/>
  <c r="H36" i="66"/>
  <c r="H39" i="66"/>
  <c r="H110" i="11" s="1"/>
  <c r="H154" i="11" s="1"/>
  <c r="H38" i="66"/>
  <c r="H109" i="11" s="1"/>
  <c r="H153" i="11" s="1"/>
  <c r="H37" i="66"/>
  <c r="H108" i="11" s="1"/>
  <c r="H152" i="11" s="1"/>
  <c r="J27" i="66"/>
  <c r="J29" i="66"/>
  <c r="J35" i="66" s="1"/>
  <c r="P23" i="66"/>
  <c r="P13" i="55"/>
  <c r="H71" i="15"/>
  <c r="F78" i="15"/>
  <c r="F79" i="15" s="1"/>
  <c r="F124" i="15" s="1"/>
  <c r="D83" i="22"/>
  <c r="E79" i="22" s="1"/>
  <c r="E83" i="22" s="1"/>
  <c r="F79" i="22" s="1"/>
  <c r="P77" i="7" l="1"/>
  <c r="O133" i="57"/>
  <c r="P78" i="7"/>
  <c r="P79" i="7"/>
  <c r="P80" i="7"/>
  <c r="O119" i="57"/>
  <c r="E3" i="74"/>
  <c r="F140" i="57"/>
  <c r="H139" i="11"/>
  <c r="L47" i="7"/>
  <c r="K62" i="7"/>
  <c r="F158" i="11"/>
  <c r="F166" i="11" s="1"/>
  <c r="F176" i="11" s="1"/>
  <c r="I102" i="57"/>
  <c r="I46" i="66"/>
  <c r="K182" i="57"/>
  <c r="L182" i="57" s="1"/>
  <c r="K214" i="57"/>
  <c r="L214" i="57" s="1"/>
  <c r="K201" i="57"/>
  <c r="L201" i="57" s="1"/>
  <c r="K226" i="57"/>
  <c r="L226" i="57" s="1"/>
  <c r="K220" i="57"/>
  <c r="L220" i="57" s="1"/>
  <c r="K236" i="57"/>
  <c r="L236" i="57" s="1"/>
  <c r="K212" i="57"/>
  <c r="L212" i="57" s="1"/>
  <c r="K197" i="57"/>
  <c r="L197" i="57" s="1"/>
  <c r="K233" i="57"/>
  <c r="L233" i="57" s="1"/>
  <c r="K232" i="57"/>
  <c r="L232" i="57" s="1"/>
  <c r="K221" i="57"/>
  <c r="L221" i="57" s="1"/>
  <c r="K200" i="57"/>
  <c r="L200" i="57" s="1"/>
  <c r="K183" i="57"/>
  <c r="L183" i="57" s="1"/>
  <c r="K181" i="57"/>
  <c r="L181" i="57" s="1"/>
  <c r="K179" i="57"/>
  <c r="L179" i="57" s="1"/>
  <c r="K229" i="57"/>
  <c r="L229" i="57" s="1"/>
  <c r="K216" i="57"/>
  <c r="L216" i="57" s="1"/>
  <c r="K192" i="57"/>
  <c r="L192" i="57" s="1"/>
  <c r="K237" i="57"/>
  <c r="L237" i="57" s="1"/>
  <c r="K190" i="57"/>
  <c r="L190" i="57" s="1"/>
  <c r="H174" i="57"/>
  <c r="G35" i="74" s="1"/>
  <c r="J174" i="57"/>
  <c r="I35" i="74" s="1"/>
  <c r="H158" i="57"/>
  <c r="G19" i="74" s="1"/>
  <c r="J158" i="57"/>
  <c r="I19" i="74" s="1"/>
  <c r="H156" i="57"/>
  <c r="G17" i="74" s="1"/>
  <c r="J156" i="57"/>
  <c r="I17" i="74" s="1"/>
  <c r="H143" i="57"/>
  <c r="G4" i="74" s="1"/>
  <c r="J143" i="57"/>
  <c r="I4" i="74" s="1"/>
  <c r="K185" i="57"/>
  <c r="L185" i="57" s="1"/>
  <c r="K207" i="57"/>
  <c r="L207" i="57" s="1"/>
  <c r="K222" i="57"/>
  <c r="L222" i="57" s="1"/>
  <c r="K227" i="57"/>
  <c r="L227" i="57" s="1"/>
  <c r="K203" i="57"/>
  <c r="L203" i="57" s="1"/>
  <c r="Q24" i="78"/>
  <c r="S24" i="78" s="1"/>
  <c r="H58" i="78"/>
  <c r="K58" i="78" s="1"/>
  <c r="L58" i="78" s="1"/>
  <c r="H175" i="57"/>
  <c r="G36" i="74" s="1"/>
  <c r="J175" i="57"/>
  <c r="I36" i="74" s="1"/>
  <c r="H159" i="57"/>
  <c r="G20" i="74" s="1"/>
  <c r="J159" i="57"/>
  <c r="I20" i="74" s="1"/>
  <c r="H154" i="57"/>
  <c r="G15" i="74" s="1"/>
  <c r="J154" i="57"/>
  <c r="I15" i="74" s="1"/>
  <c r="H144" i="57"/>
  <c r="G5" i="74" s="1"/>
  <c r="J144" i="57"/>
  <c r="I5" i="74" s="1"/>
  <c r="K215" i="57"/>
  <c r="L215" i="57" s="1"/>
  <c r="K230" i="57"/>
  <c r="L230" i="57" s="1"/>
  <c r="K206" i="57"/>
  <c r="L206" i="57" s="1"/>
  <c r="K225" i="57"/>
  <c r="L225" i="57" s="1"/>
  <c r="K199" i="57"/>
  <c r="L199" i="57" s="1"/>
  <c r="K198" i="57"/>
  <c r="L198" i="57" s="1"/>
  <c r="K217" i="57"/>
  <c r="L217" i="57" s="1"/>
  <c r="K193" i="57"/>
  <c r="L193" i="57" s="1"/>
  <c r="K180" i="57"/>
  <c r="L180" i="57" s="1"/>
  <c r="K186" i="57"/>
  <c r="L186" i="57" s="1"/>
  <c r="H165" i="57"/>
  <c r="G26" i="74" s="1"/>
  <c r="J165" i="57"/>
  <c r="I26" i="74" s="1"/>
  <c r="J6" i="11"/>
  <c r="H173" i="57"/>
  <c r="G34" i="74" s="1"/>
  <c r="J173" i="57"/>
  <c r="I34" i="74" s="1"/>
  <c r="H177" i="57"/>
  <c r="G38" i="74" s="1"/>
  <c r="J177" i="57"/>
  <c r="I38" i="74" s="1"/>
  <c r="H176" i="57"/>
  <c r="G37" i="74" s="1"/>
  <c r="J176" i="57"/>
  <c r="I37" i="74" s="1"/>
  <c r="H163" i="57"/>
  <c r="G24" i="74" s="1"/>
  <c r="J163" i="57"/>
  <c r="I24" i="74" s="1"/>
  <c r="H145" i="57"/>
  <c r="G6" i="74" s="1"/>
  <c r="J145" i="57"/>
  <c r="I6" i="74" s="1"/>
  <c r="H148" i="57"/>
  <c r="G9" i="74" s="1"/>
  <c r="J148" i="57"/>
  <c r="I9" i="74" s="1"/>
  <c r="K205" i="57"/>
  <c r="L205" i="57" s="1"/>
  <c r="K196" i="57"/>
  <c r="L196" i="57" s="1"/>
  <c r="K231" i="57"/>
  <c r="L231" i="57" s="1"/>
  <c r="K204" i="57"/>
  <c r="L204" i="57" s="1"/>
  <c r="K195" i="57"/>
  <c r="L195" i="57" s="1"/>
  <c r="K194" i="57"/>
  <c r="L194" i="57" s="1"/>
  <c r="K208" i="57"/>
  <c r="L208" i="57" s="1"/>
  <c r="K223" i="57"/>
  <c r="L223" i="57" s="1"/>
  <c r="K188" i="57"/>
  <c r="L188" i="57" s="1"/>
  <c r="K187" i="57"/>
  <c r="L187" i="57" s="1"/>
  <c r="H150" i="57"/>
  <c r="G11" i="74" s="1"/>
  <c r="J150" i="57"/>
  <c r="I11" i="74" s="1"/>
  <c r="H155" i="57"/>
  <c r="G16" i="74" s="1"/>
  <c r="J155" i="57"/>
  <c r="I16" i="74" s="1"/>
  <c r="H142" i="57"/>
  <c r="F250" i="57"/>
  <c r="F251" i="57" s="1"/>
  <c r="J142" i="57"/>
  <c r="H172" i="57"/>
  <c r="G33" i="74" s="1"/>
  <c r="J172" i="57"/>
  <c r="I33" i="74" s="1"/>
  <c r="H167" i="57"/>
  <c r="G28" i="74" s="1"/>
  <c r="J167" i="57"/>
  <c r="I28" i="74" s="1"/>
  <c r="H160" i="57"/>
  <c r="G21" i="74" s="1"/>
  <c r="J160" i="57"/>
  <c r="I21" i="74" s="1"/>
  <c r="H149" i="57"/>
  <c r="G10" i="74" s="1"/>
  <c r="J149" i="57"/>
  <c r="I10" i="74" s="1"/>
  <c r="H151" i="57"/>
  <c r="G12" i="74" s="1"/>
  <c r="J151" i="57"/>
  <c r="I12" i="74" s="1"/>
  <c r="K184" i="57"/>
  <c r="L184" i="57" s="1"/>
  <c r="H178" i="57"/>
  <c r="G39" i="74" s="1"/>
  <c r="J178" i="57"/>
  <c r="I39" i="74" s="1"/>
  <c r="K234" i="57"/>
  <c r="L234" i="57" s="1"/>
  <c r="K211" i="57"/>
  <c r="L211" i="57" s="1"/>
  <c r="K219" i="57"/>
  <c r="L219" i="57" s="1"/>
  <c r="K235" i="57"/>
  <c r="L235" i="57" s="1"/>
  <c r="H161" i="57"/>
  <c r="G22" i="74" s="1"/>
  <c r="J161" i="57"/>
  <c r="I22" i="74" s="1"/>
  <c r="H169" i="57"/>
  <c r="G30" i="74" s="1"/>
  <c r="J169" i="57"/>
  <c r="I30" i="74" s="1"/>
  <c r="H152" i="57"/>
  <c r="G13" i="74" s="1"/>
  <c r="J152" i="57"/>
  <c r="I13" i="74" s="1"/>
  <c r="I105" i="11"/>
  <c r="H170" i="57"/>
  <c r="G31" i="74" s="1"/>
  <c r="J170" i="57"/>
  <c r="I31" i="74" s="1"/>
  <c r="H168" i="57"/>
  <c r="G29" i="74" s="1"/>
  <c r="J168" i="57"/>
  <c r="I29" i="74" s="1"/>
  <c r="H164" i="57"/>
  <c r="G25" i="74" s="1"/>
  <c r="J164" i="57"/>
  <c r="I25" i="74" s="1"/>
  <c r="H153" i="57"/>
  <c r="G14" i="74" s="1"/>
  <c r="J153" i="57"/>
  <c r="I14" i="74" s="1"/>
  <c r="H147" i="57"/>
  <c r="G8" i="74" s="1"/>
  <c r="J147" i="57"/>
  <c r="I8" i="74" s="1"/>
  <c r="K210" i="57"/>
  <c r="L210" i="57" s="1"/>
  <c r="K218" i="57"/>
  <c r="L218" i="57" s="1"/>
  <c r="K191" i="57"/>
  <c r="L191" i="57" s="1"/>
  <c r="K213" i="57"/>
  <c r="L213" i="57" s="1"/>
  <c r="K224" i="57"/>
  <c r="L224" i="57" s="1"/>
  <c r="K202" i="57"/>
  <c r="L202" i="57" s="1"/>
  <c r="K228" i="57"/>
  <c r="L228" i="57" s="1"/>
  <c r="K209" i="57"/>
  <c r="L209" i="57" s="1"/>
  <c r="K189" i="57"/>
  <c r="L189" i="57" s="1"/>
  <c r="H166" i="57"/>
  <c r="G27" i="74" s="1"/>
  <c r="J166" i="57"/>
  <c r="I27" i="74" s="1"/>
  <c r="H171" i="57"/>
  <c r="G32" i="74" s="1"/>
  <c r="J171" i="57"/>
  <c r="I32" i="74" s="1"/>
  <c r="H157" i="57"/>
  <c r="G18" i="74" s="1"/>
  <c r="J157" i="57"/>
  <c r="I18" i="74" s="1"/>
  <c r="H162" i="57"/>
  <c r="G23" i="74" s="1"/>
  <c r="J162" i="57"/>
  <c r="I23" i="74" s="1"/>
  <c r="H146" i="57"/>
  <c r="G7" i="74" s="1"/>
  <c r="J146" i="57"/>
  <c r="I7" i="74" s="1"/>
  <c r="Q22" i="78"/>
  <c r="S22" i="78" s="1"/>
  <c r="J60" i="78"/>
  <c r="K60" i="78" s="1"/>
  <c r="L60" i="78" s="1"/>
  <c r="O82" i="57"/>
  <c r="O92" i="57" s="1"/>
  <c r="J5" i="11"/>
  <c r="T21" i="78"/>
  <c r="U21" i="78" s="1"/>
  <c r="V21" i="78" s="1"/>
  <c r="I7" i="11"/>
  <c r="J57" i="15"/>
  <c r="J70" i="15" s="1"/>
  <c r="P70" i="15" s="1"/>
  <c r="F112" i="78"/>
  <c r="F116" i="78" s="1"/>
  <c r="I81" i="57"/>
  <c r="I91" i="57" s="1"/>
  <c r="Q23" i="78"/>
  <c r="S23" i="78" s="1"/>
  <c r="O85" i="57"/>
  <c r="O95" i="57" s="1"/>
  <c r="T19" i="78"/>
  <c r="U19" i="78" s="1"/>
  <c r="V19" i="78" s="1"/>
  <c r="I109" i="57"/>
  <c r="O109" i="57" s="1"/>
  <c r="O83" i="57"/>
  <c r="O93" i="57" s="1"/>
  <c r="J3" i="11"/>
  <c r="O64" i="57"/>
  <c r="O71" i="57" s="1"/>
  <c r="P56" i="57" s="1"/>
  <c r="T20" i="78"/>
  <c r="U20" i="78" s="1"/>
  <c r="V20" i="78" s="1"/>
  <c r="J4" i="11"/>
  <c r="J8" i="55"/>
  <c r="J15" i="55" s="1"/>
  <c r="I84" i="15"/>
  <c r="H44" i="19" s="1"/>
  <c r="J41" i="66"/>
  <c r="J44" i="66" s="1"/>
  <c r="J47" i="66"/>
  <c r="J52" i="66" s="1"/>
  <c r="P52" i="66" s="1"/>
  <c r="P99" i="66"/>
  <c r="P5" i="11"/>
  <c r="J86" i="11"/>
  <c r="J132" i="11" s="1"/>
  <c r="P132" i="11" s="1"/>
  <c r="P78" i="11"/>
  <c r="K59" i="78"/>
  <c r="L59" i="78" s="1"/>
  <c r="J79" i="11"/>
  <c r="J125" i="11" s="1"/>
  <c r="P125" i="11" s="1"/>
  <c r="J107" i="66"/>
  <c r="P74" i="66"/>
  <c r="J85" i="11"/>
  <c r="J131" i="11" s="1"/>
  <c r="P131" i="11" s="1"/>
  <c r="J87" i="11"/>
  <c r="J133" i="11" s="1"/>
  <c r="P133" i="11" s="1"/>
  <c r="P97" i="11"/>
  <c r="P106" i="66"/>
  <c r="P101" i="66"/>
  <c r="P27" i="66"/>
  <c r="K61" i="78"/>
  <c r="L61" i="78" s="1"/>
  <c r="T22" i="78"/>
  <c r="T24" i="78"/>
  <c r="T23" i="78"/>
  <c r="J98" i="11"/>
  <c r="J143" i="11" s="1"/>
  <c r="P143" i="11" s="1"/>
  <c r="J82" i="11"/>
  <c r="J128" i="11" s="1"/>
  <c r="P128" i="11" s="1"/>
  <c r="P76" i="66"/>
  <c r="J81" i="66"/>
  <c r="E170" i="11"/>
  <c r="E180" i="11" s="1"/>
  <c r="E188" i="11" s="1"/>
  <c r="E211" i="11" s="1"/>
  <c r="E176" i="11"/>
  <c r="D168" i="11"/>
  <c r="D178" i="11" s="1"/>
  <c r="D177" i="11"/>
  <c r="F125" i="15"/>
  <c r="F127" i="15" s="1"/>
  <c r="G123" i="15" s="1"/>
  <c r="G127" i="15" s="1"/>
  <c r="H123" i="15" s="1"/>
  <c r="G138" i="11"/>
  <c r="G91" i="11"/>
  <c r="G116" i="11" s="1"/>
  <c r="G121" i="11"/>
  <c r="E167" i="11"/>
  <c r="E177" i="11" s="1"/>
  <c r="F71" i="11"/>
  <c r="D50" i="19"/>
  <c r="E54" i="19"/>
  <c r="E50" i="19" s="1"/>
  <c r="H12" i="19"/>
  <c r="P127" i="11"/>
  <c r="P81" i="11"/>
  <c r="I56" i="66"/>
  <c r="I75" i="11"/>
  <c r="I184" i="11" s="1"/>
  <c r="I186" i="11" s="1"/>
  <c r="P130" i="11"/>
  <c r="P84" i="11"/>
  <c r="H48" i="66"/>
  <c r="H107" i="11"/>
  <c r="I49" i="11"/>
  <c r="I51" i="11"/>
  <c r="I141" i="11" s="1"/>
  <c r="P99" i="11"/>
  <c r="P144" i="11"/>
  <c r="I50" i="11"/>
  <c r="I140" i="11" s="1"/>
  <c r="H48" i="11"/>
  <c r="H183" i="11" s="1"/>
  <c r="H185" i="11" s="1"/>
  <c r="G60" i="11"/>
  <c r="D169" i="11"/>
  <c r="D179" i="11" s="1"/>
  <c r="P63" i="60"/>
  <c r="D188" i="11"/>
  <c r="D211" i="11" s="1"/>
  <c r="J36" i="66"/>
  <c r="J107" i="11" s="1"/>
  <c r="J151" i="11" s="1"/>
  <c r="J37" i="66"/>
  <c r="J38" i="66"/>
  <c r="J39" i="66"/>
  <c r="J110" i="11" s="1"/>
  <c r="H40" i="66"/>
  <c r="P35" i="66"/>
  <c r="F80" i="22"/>
  <c r="F82" i="22" s="1"/>
  <c r="H75" i="15"/>
  <c r="G12" i="19"/>
  <c r="I78" i="15"/>
  <c r="I79" i="15" s="1"/>
  <c r="P118" i="57" l="1"/>
  <c r="P116" i="57"/>
  <c r="P115" i="57"/>
  <c r="P114" i="57"/>
  <c r="P113" i="57"/>
  <c r="I3" i="74"/>
  <c r="J140" i="57"/>
  <c r="G3" i="74"/>
  <c r="H140" i="57"/>
  <c r="K50" i="74"/>
  <c r="J50" i="74"/>
  <c r="K45" i="74"/>
  <c r="J45" i="74"/>
  <c r="K43" i="74"/>
  <c r="J43" i="74"/>
  <c r="K40" i="74"/>
  <c r="J40" i="74"/>
  <c r="K48" i="74"/>
  <c r="J48" i="74"/>
  <c r="K49" i="74"/>
  <c r="J49" i="74"/>
  <c r="K47" i="74"/>
  <c r="J47" i="74"/>
  <c r="K46" i="74"/>
  <c r="J46" i="74"/>
  <c r="K42" i="74"/>
  <c r="J42" i="74"/>
  <c r="K41" i="74"/>
  <c r="J41" i="74"/>
  <c r="K44" i="74"/>
  <c r="J44" i="74"/>
  <c r="K79" i="74"/>
  <c r="J79" i="74"/>
  <c r="K56" i="74"/>
  <c r="J56" i="74"/>
  <c r="K59" i="74"/>
  <c r="J59" i="74"/>
  <c r="K64" i="74"/>
  <c r="J64" i="74"/>
  <c r="K77" i="74"/>
  <c r="J77" i="74"/>
  <c r="K93" i="74"/>
  <c r="J93" i="74"/>
  <c r="K75" i="74"/>
  <c r="J75" i="74"/>
  <c r="K71" i="74"/>
  <c r="J71" i="74"/>
  <c r="K65" i="74"/>
  <c r="J65" i="74"/>
  <c r="K60" i="74"/>
  <c r="J60" i="74"/>
  <c r="K88" i="74"/>
  <c r="J88" i="74"/>
  <c r="K90" i="74"/>
  <c r="J90" i="74"/>
  <c r="K94" i="74"/>
  <c r="J94" i="74"/>
  <c r="K70" i="74"/>
  <c r="J70" i="74"/>
  <c r="K92" i="74"/>
  <c r="J92" i="74"/>
  <c r="K86" i="74"/>
  <c r="J86" i="74"/>
  <c r="K83" i="74"/>
  <c r="J83" i="74"/>
  <c r="K58" i="74"/>
  <c r="J58" i="74"/>
  <c r="K57" i="74"/>
  <c r="J57" i="74"/>
  <c r="K68" i="74"/>
  <c r="J68" i="74"/>
  <c r="K73" i="74"/>
  <c r="J73" i="74"/>
  <c r="K89" i="74"/>
  <c r="J89" i="74"/>
  <c r="K96" i="74"/>
  <c r="J96" i="74"/>
  <c r="K67" i="74"/>
  <c r="J67" i="74"/>
  <c r="K63" i="74"/>
  <c r="J63" i="74"/>
  <c r="K80" i="74"/>
  <c r="J80" i="74"/>
  <c r="K66" i="74"/>
  <c r="J66" i="74"/>
  <c r="K91" i="74"/>
  <c r="J91" i="74"/>
  <c r="K97" i="74"/>
  <c r="J97" i="74"/>
  <c r="K85" i="74"/>
  <c r="J85" i="74"/>
  <c r="K72" i="74"/>
  <c r="J72" i="74"/>
  <c r="K84" i="74"/>
  <c r="J84" i="74"/>
  <c r="K76" i="74"/>
  <c r="J76" i="74"/>
  <c r="K51" i="74"/>
  <c r="J51" i="74"/>
  <c r="K81" i="74"/>
  <c r="J81" i="74"/>
  <c r="K74" i="74"/>
  <c r="J74" i="74"/>
  <c r="K95" i="74"/>
  <c r="J95" i="74"/>
  <c r="K69" i="74"/>
  <c r="J69" i="74"/>
  <c r="K54" i="74"/>
  <c r="J54" i="74"/>
  <c r="K98" i="74"/>
  <c r="J98" i="74"/>
  <c r="K61" i="74"/>
  <c r="J61" i="74"/>
  <c r="K87" i="74"/>
  <c r="J87" i="74"/>
  <c r="K52" i="74"/>
  <c r="J52" i="74"/>
  <c r="K55" i="74"/>
  <c r="J55" i="74"/>
  <c r="K78" i="74"/>
  <c r="J78" i="74"/>
  <c r="K53" i="74"/>
  <c r="J53" i="74"/>
  <c r="K82" i="74"/>
  <c r="J82" i="74"/>
  <c r="K62" i="74"/>
  <c r="J62" i="74"/>
  <c r="I139" i="11"/>
  <c r="P57" i="15"/>
  <c r="P71" i="15" s="1"/>
  <c r="K147" i="57"/>
  <c r="L147" i="57" s="1"/>
  <c r="K170" i="57"/>
  <c r="L170" i="57" s="1"/>
  <c r="K151" i="57"/>
  <c r="L151" i="57" s="1"/>
  <c r="K172" i="57"/>
  <c r="L172" i="57" s="1"/>
  <c r="K165" i="57"/>
  <c r="L165" i="57" s="1"/>
  <c r="F170" i="11"/>
  <c r="F180" i="11" s="1"/>
  <c r="F188" i="11" s="1"/>
  <c r="F167" i="11"/>
  <c r="F177" i="11" s="1"/>
  <c r="K153" i="57"/>
  <c r="L153" i="57" s="1"/>
  <c r="K149" i="57"/>
  <c r="L149" i="57" s="1"/>
  <c r="K175" i="57"/>
  <c r="L175" i="57" s="1"/>
  <c r="K146" i="57"/>
  <c r="L146" i="57" s="1"/>
  <c r="K166" i="57"/>
  <c r="L166" i="57" s="1"/>
  <c r="K169" i="57"/>
  <c r="L169" i="57" s="1"/>
  <c r="K178" i="57"/>
  <c r="L178" i="57" s="1"/>
  <c r="K155" i="57"/>
  <c r="L155" i="57" s="1"/>
  <c r="K145" i="57"/>
  <c r="K173" i="57"/>
  <c r="L173" i="57" s="1"/>
  <c r="K156" i="57"/>
  <c r="L156" i="57" s="1"/>
  <c r="K162" i="57"/>
  <c r="L162" i="57" s="1"/>
  <c r="K161" i="57"/>
  <c r="L161" i="57" s="1"/>
  <c r="K150" i="57"/>
  <c r="L150" i="57" s="1"/>
  <c r="K163" i="57"/>
  <c r="L163" i="57" s="1"/>
  <c r="K158" i="57"/>
  <c r="L158" i="57" s="1"/>
  <c r="P3" i="11"/>
  <c r="K152" i="57"/>
  <c r="L152" i="57" s="1"/>
  <c r="K142" i="57"/>
  <c r="H250" i="57"/>
  <c r="K177" i="57"/>
  <c r="L177" i="57" s="1"/>
  <c r="K164" i="57"/>
  <c r="L164" i="57" s="1"/>
  <c r="K160" i="57"/>
  <c r="L160" i="57" s="1"/>
  <c r="K144" i="57"/>
  <c r="L144" i="57" s="1"/>
  <c r="K168" i="57"/>
  <c r="L168" i="57" s="1"/>
  <c r="K167" i="57"/>
  <c r="L167" i="57" s="1"/>
  <c r="K154" i="57"/>
  <c r="L154" i="57" s="1"/>
  <c r="K171" i="57"/>
  <c r="L171" i="57" s="1"/>
  <c r="K148" i="57"/>
  <c r="L148" i="57" s="1"/>
  <c r="K143" i="57"/>
  <c r="L143" i="57" s="1"/>
  <c r="K159" i="57"/>
  <c r="L159" i="57" s="1"/>
  <c r="P4" i="11"/>
  <c r="K157" i="57"/>
  <c r="L157" i="57" s="1"/>
  <c r="J250" i="57"/>
  <c r="J251" i="57" s="1"/>
  <c r="K176" i="57"/>
  <c r="L176" i="57" s="1"/>
  <c r="K174" i="57"/>
  <c r="L174" i="57" s="1"/>
  <c r="U22" i="78"/>
  <c r="V22" i="78" s="1"/>
  <c r="U23" i="78"/>
  <c r="V23" i="78" s="1"/>
  <c r="P86" i="11"/>
  <c r="P6" i="11"/>
  <c r="Q40" i="78"/>
  <c r="P8" i="55"/>
  <c r="J7" i="11"/>
  <c r="I85" i="15"/>
  <c r="P15" i="55"/>
  <c r="Q15" i="55" s="1"/>
  <c r="J4" i="14"/>
  <c r="P4" i="14" s="1"/>
  <c r="P41" i="66"/>
  <c r="J51" i="66"/>
  <c r="P51" i="66" s="1"/>
  <c r="J43" i="66"/>
  <c r="J94" i="11" s="1"/>
  <c r="P94" i="11" s="1"/>
  <c r="J45" i="66"/>
  <c r="J55" i="66"/>
  <c r="J90" i="11" s="1"/>
  <c r="J136" i="11" s="1"/>
  <c r="P136" i="11" s="1"/>
  <c r="J49" i="66"/>
  <c r="J76" i="11" s="1"/>
  <c r="J122" i="11" s="1"/>
  <c r="P122" i="11" s="1"/>
  <c r="J95" i="11"/>
  <c r="P95" i="11" s="1"/>
  <c r="P44" i="66"/>
  <c r="J54" i="66"/>
  <c r="P54" i="66" s="1"/>
  <c r="P79" i="11"/>
  <c r="P107" i="66"/>
  <c r="J53" i="66"/>
  <c r="P53" i="66" s="1"/>
  <c r="P47" i="66"/>
  <c r="J50" i="66"/>
  <c r="J42" i="66"/>
  <c r="J93" i="11" s="1"/>
  <c r="P93" i="11" s="1"/>
  <c r="P98" i="11"/>
  <c r="P81" i="66"/>
  <c r="J83" i="11"/>
  <c r="J129" i="11" s="1"/>
  <c r="P129" i="11" s="1"/>
  <c r="U24" i="78"/>
  <c r="V24" i="78" s="1"/>
  <c r="P85" i="11"/>
  <c r="P87" i="11"/>
  <c r="O81" i="57"/>
  <c r="O91" i="57" s="1"/>
  <c r="P82" i="11"/>
  <c r="D213" i="11"/>
  <c r="E210" i="11" s="1"/>
  <c r="E212" i="11" s="1"/>
  <c r="E213" i="11" s="1"/>
  <c r="F210" i="11" s="1"/>
  <c r="I80" i="22"/>
  <c r="I82" i="22" s="1"/>
  <c r="I124" i="15"/>
  <c r="I125" i="15" s="1"/>
  <c r="H111" i="11"/>
  <c r="H151" i="11"/>
  <c r="P151" i="11" s="1"/>
  <c r="H138" i="11"/>
  <c r="P110" i="11"/>
  <c r="J154" i="11"/>
  <c r="P154" i="11" s="1"/>
  <c r="I91" i="11"/>
  <c r="I116" i="11" s="1"/>
  <c r="I121" i="11"/>
  <c r="G71" i="11"/>
  <c r="G158" i="11"/>
  <c r="G166" i="11" s="1"/>
  <c r="D174" i="11"/>
  <c r="C15" i="19" s="1"/>
  <c r="F54" i="19"/>
  <c r="E107" i="22"/>
  <c r="J84" i="15"/>
  <c r="I44" i="19" s="1"/>
  <c r="O44" i="19" s="1"/>
  <c r="F46" i="19"/>
  <c r="P107" i="11"/>
  <c r="P38" i="66"/>
  <c r="J109" i="11"/>
  <c r="H56" i="66"/>
  <c r="H75" i="11"/>
  <c r="H184" i="11" s="1"/>
  <c r="H186" i="11" s="1"/>
  <c r="P37" i="66"/>
  <c r="J108" i="11"/>
  <c r="J51" i="11"/>
  <c r="J50" i="11"/>
  <c r="J49" i="11"/>
  <c r="P36" i="66"/>
  <c r="D171" i="11"/>
  <c r="I48" i="11"/>
  <c r="I183" i="11" s="1"/>
  <c r="I185" i="11" s="1"/>
  <c r="H60" i="11"/>
  <c r="D187" i="11"/>
  <c r="D199" i="11" s="1"/>
  <c r="D107" i="22"/>
  <c r="D29" i="22" s="1"/>
  <c r="D268" i="22" s="1"/>
  <c r="E168" i="11"/>
  <c r="E178" i="11" s="1"/>
  <c r="E169" i="11"/>
  <c r="E179" i="11" s="1"/>
  <c r="P39" i="66"/>
  <c r="J40" i="66"/>
  <c r="J71" i="15"/>
  <c r="F24" i="22"/>
  <c r="F263" i="22" s="1"/>
  <c r="G263" i="22" s="1"/>
  <c r="H78" i="15"/>
  <c r="H79" i="15" s="1"/>
  <c r="H124" i="15" s="1"/>
  <c r="F83" i="22"/>
  <c r="G79" i="22" s="1"/>
  <c r="G83" i="22" s="1"/>
  <c r="H79" i="22" s="1"/>
  <c r="C27" i="57" l="1"/>
  <c r="D27" i="57"/>
  <c r="E27" i="57"/>
  <c r="F27" i="57"/>
  <c r="O27" i="57"/>
  <c r="K140" i="57"/>
  <c r="L140" i="57" s="1"/>
  <c r="J3" i="74"/>
  <c r="L142" i="57"/>
  <c r="K3" i="74" s="1"/>
  <c r="J6" i="74"/>
  <c r="L145" i="57"/>
  <c r="K6" i="74" s="1"/>
  <c r="K4" i="74"/>
  <c r="J4" i="74"/>
  <c r="K21" i="74"/>
  <c r="J21" i="74"/>
  <c r="K24" i="74"/>
  <c r="J24" i="74"/>
  <c r="K39" i="74"/>
  <c r="J39" i="74"/>
  <c r="K9" i="74"/>
  <c r="J9" i="74"/>
  <c r="K25" i="74"/>
  <c r="J25" i="74"/>
  <c r="K11" i="74"/>
  <c r="J11" i="74"/>
  <c r="K30" i="74"/>
  <c r="J30" i="74"/>
  <c r="K35" i="74"/>
  <c r="J35" i="74"/>
  <c r="K32" i="74"/>
  <c r="J32" i="74"/>
  <c r="K38" i="74"/>
  <c r="J38" i="74"/>
  <c r="K22" i="74"/>
  <c r="J22" i="74"/>
  <c r="K27" i="74"/>
  <c r="J27" i="74"/>
  <c r="K37" i="74"/>
  <c r="J37" i="74"/>
  <c r="K15" i="74"/>
  <c r="J15" i="74"/>
  <c r="H251" i="57"/>
  <c r="K23" i="74"/>
  <c r="J23" i="74"/>
  <c r="K7" i="74"/>
  <c r="J7" i="74"/>
  <c r="K26" i="74"/>
  <c r="J26" i="74"/>
  <c r="K33" i="74"/>
  <c r="J33" i="74"/>
  <c r="K18" i="74"/>
  <c r="J18" i="74"/>
  <c r="K29" i="74"/>
  <c r="J29" i="74"/>
  <c r="K13" i="74"/>
  <c r="J13" i="74"/>
  <c r="K34" i="74"/>
  <c r="J34" i="74"/>
  <c r="K36" i="74"/>
  <c r="J36" i="74"/>
  <c r="K12" i="74"/>
  <c r="J12" i="74"/>
  <c r="K28" i="74"/>
  <c r="J28" i="74"/>
  <c r="K17" i="74"/>
  <c r="J17" i="74"/>
  <c r="K10" i="74"/>
  <c r="J10" i="74"/>
  <c r="K31" i="74"/>
  <c r="J31" i="74"/>
  <c r="K20" i="74"/>
  <c r="J20" i="74"/>
  <c r="K5" i="74"/>
  <c r="J5" i="74"/>
  <c r="K19" i="74"/>
  <c r="J19" i="74"/>
  <c r="K16" i="74"/>
  <c r="J16" i="74"/>
  <c r="K14" i="74"/>
  <c r="J14" i="74"/>
  <c r="K8" i="74"/>
  <c r="J8" i="74"/>
  <c r="P7" i="11"/>
  <c r="R5" i="11" s="1"/>
  <c r="K250" i="57"/>
  <c r="L250" i="57" s="1"/>
  <c r="J80" i="11"/>
  <c r="J126" i="11" s="1"/>
  <c r="P126" i="11" s="1"/>
  <c r="M168" i="22"/>
  <c r="E168" i="22"/>
  <c r="H167" i="22"/>
  <c r="L168" i="22"/>
  <c r="O167" i="22"/>
  <c r="G167" i="22"/>
  <c r="K168" i="22"/>
  <c r="N167" i="22"/>
  <c r="F167" i="22"/>
  <c r="J168" i="22"/>
  <c r="M167" i="22"/>
  <c r="E167" i="22"/>
  <c r="I168" i="22"/>
  <c r="L167" i="22"/>
  <c r="H168" i="22"/>
  <c r="K167" i="22"/>
  <c r="O168" i="22"/>
  <c r="G168" i="22"/>
  <c r="J167" i="22"/>
  <c r="N168" i="22"/>
  <c r="F168" i="22"/>
  <c r="I167" i="22"/>
  <c r="D168" i="22"/>
  <c r="D167" i="22"/>
  <c r="P90" i="11"/>
  <c r="P55" i="66"/>
  <c r="P76" i="11"/>
  <c r="P43" i="66"/>
  <c r="J139" i="11"/>
  <c r="J140" i="11"/>
  <c r="J48" i="66"/>
  <c r="J75" i="11" s="1"/>
  <c r="J121" i="11" s="1"/>
  <c r="J89" i="11"/>
  <c r="J135" i="11" s="1"/>
  <c r="P135" i="11" s="1"/>
  <c r="J96" i="11"/>
  <c r="P96" i="11" s="1"/>
  <c r="P105" i="11" s="1"/>
  <c r="P45" i="66"/>
  <c r="P42" i="66"/>
  <c r="P49" i="66"/>
  <c r="J88" i="11"/>
  <c r="J46" i="66"/>
  <c r="P50" i="66"/>
  <c r="J77" i="11"/>
  <c r="P83" i="11"/>
  <c r="I24" i="22"/>
  <c r="G170" i="11"/>
  <c r="G180" i="11" s="1"/>
  <c r="G188" i="11" s="1"/>
  <c r="G211" i="11" s="1"/>
  <c r="G176" i="11"/>
  <c r="E187" i="11"/>
  <c r="E199" i="11" s="1"/>
  <c r="D181" i="11"/>
  <c r="D193" i="11" s="1"/>
  <c r="D194" i="11" s="1"/>
  <c r="D195" i="11" s="1"/>
  <c r="E192" i="11" s="1"/>
  <c r="F212" i="11"/>
  <c r="D201" i="11"/>
  <c r="E198" i="11" s="1"/>
  <c r="H125" i="15"/>
  <c r="P125" i="15" s="1"/>
  <c r="P108" i="11"/>
  <c r="J152" i="11"/>
  <c r="P152" i="11" s="1"/>
  <c r="I138" i="11"/>
  <c r="I158" i="11" s="1"/>
  <c r="I166" i="11" s="1"/>
  <c r="P109" i="11"/>
  <c r="J153" i="11"/>
  <c r="P153" i="11" s="1"/>
  <c r="J111" i="11"/>
  <c r="H91" i="11"/>
  <c r="H116" i="11" s="1"/>
  <c r="H121" i="11"/>
  <c r="H158" i="11" s="1"/>
  <c r="H166" i="11" s="1"/>
  <c r="G167" i="11"/>
  <c r="G177" i="11" s="1"/>
  <c r="H71" i="11"/>
  <c r="E174" i="11"/>
  <c r="F50" i="19"/>
  <c r="G54" i="19"/>
  <c r="G50" i="19" s="1"/>
  <c r="P84" i="15"/>
  <c r="P85" i="15" s="1"/>
  <c r="J85" i="15"/>
  <c r="H46" i="19"/>
  <c r="K49" i="11"/>
  <c r="K50" i="11"/>
  <c r="K140" i="11" s="1"/>
  <c r="K51" i="11"/>
  <c r="K141" i="11" s="1"/>
  <c r="P40" i="66"/>
  <c r="E171" i="11"/>
  <c r="E181" i="11" s="1"/>
  <c r="E189" i="11" s="1"/>
  <c r="F211" i="11"/>
  <c r="D109" i="22"/>
  <c r="E106" i="22" s="1"/>
  <c r="E108" i="22" s="1"/>
  <c r="D95" i="22"/>
  <c r="F168" i="11"/>
  <c r="F178" i="11" s="1"/>
  <c r="F169" i="11"/>
  <c r="F179" i="11" s="1"/>
  <c r="F174" i="11"/>
  <c r="I60" i="11"/>
  <c r="J48" i="11"/>
  <c r="J183" i="11" s="1"/>
  <c r="J185" i="11" s="1"/>
  <c r="H80" i="22"/>
  <c r="H82" i="22" s="1"/>
  <c r="P75" i="15"/>
  <c r="O12" i="19"/>
  <c r="P12" i="19" s="1"/>
  <c r="I12" i="19"/>
  <c r="J75" i="15"/>
  <c r="D28" i="57" l="1"/>
  <c r="F28" i="57"/>
  <c r="E28" i="57"/>
  <c r="R3" i="11"/>
  <c r="R4" i="11"/>
  <c r="R6" i="11"/>
  <c r="K139" i="11"/>
  <c r="K183" i="11"/>
  <c r="K185" i="11" s="1"/>
  <c r="P80" i="11"/>
  <c r="P168" i="22"/>
  <c r="C28" i="57"/>
  <c r="P167" i="22"/>
  <c r="P75" i="11"/>
  <c r="J184" i="11"/>
  <c r="J186" i="11" s="1"/>
  <c r="P186" i="11" s="1"/>
  <c r="J56" i="66"/>
  <c r="P48" i="66"/>
  <c r="P56" i="66" s="1"/>
  <c r="J105" i="11"/>
  <c r="P89" i="11"/>
  <c r="P46" i="66"/>
  <c r="J91" i="11"/>
  <c r="J141" i="11"/>
  <c r="J134" i="11"/>
  <c r="P134" i="11" s="1"/>
  <c r="P88" i="11"/>
  <c r="J123" i="11"/>
  <c r="P123" i="11" s="1"/>
  <c r="P77" i="11"/>
  <c r="D189" i="11"/>
  <c r="D89" i="22"/>
  <c r="D90" i="22" s="1"/>
  <c r="F187" i="11"/>
  <c r="F199" i="11" s="1"/>
  <c r="G200" i="11" s="1"/>
  <c r="I170" i="11"/>
  <c r="I180" i="11" s="1"/>
  <c r="I188" i="11" s="1"/>
  <c r="I176" i="11"/>
  <c r="H167" i="11"/>
  <c r="H177" i="11" s="1"/>
  <c r="H176" i="11"/>
  <c r="H127" i="15"/>
  <c r="I123" i="15" s="1"/>
  <c r="I127" i="15" s="1"/>
  <c r="J123" i="15" s="1"/>
  <c r="E201" i="11"/>
  <c r="F198" i="11" s="1"/>
  <c r="F213" i="11"/>
  <c r="G210" i="11" s="1"/>
  <c r="G212" i="11" s="1"/>
  <c r="G213" i="11" s="1"/>
  <c r="H210" i="11" s="1"/>
  <c r="H212" i="11" s="1"/>
  <c r="P111" i="11"/>
  <c r="J138" i="11"/>
  <c r="I71" i="11"/>
  <c r="H54" i="19"/>
  <c r="H50" i="19" s="1"/>
  <c r="E95" i="22"/>
  <c r="E27" i="22" s="1"/>
  <c r="D15" i="19"/>
  <c r="G107" i="22"/>
  <c r="G46" i="19"/>
  <c r="I167" i="11"/>
  <c r="I177" i="11" s="1"/>
  <c r="H170" i="11"/>
  <c r="H180" i="11" s="1"/>
  <c r="H188" i="11" s="1"/>
  <c r="P121" i="11"/>
  <c r="L51" i="11"/>
  <c r="L141" i="11" s="1"/>
  <c r="L50" i="11"/>
  <c r="L140" i="11" s="1"/>
  <c r="L49" i="11"/>
  <c r="F171" i="11"/>
  <c r="F181" i="11" s="1"/>
  <c r="F189" i="11" s="1"/>
  <c r="F95" i="22"/>
  <c r="F27" i="22" s="1"/>
  <c r="G169" i="11"/>
  <c r="G179" i="11" s="1"/>
  <c r="G168" i="11"/>
  <c r="G178" i="11" s="1"/>
  <c r="G174" i="11"/>
  <c r="F107" i="22"/>
  <c r="E109" i="22"/>
  <c r="F106" i="22" s="1"/>
  <c r="F108" i="22" s="1"/>
  <c r="E28" i="23"/>
  <c r="E31" i="23" s="1"/>
  <c r="E29" i="22"/>
  <c r="E268" i="22" s="1"/>
  <c r="E15" i="19"/>
  <c r="K48" i="11"/>
  <c r="J60" i="11"/>
  <c r="D97" i="22"/>
  <c r="E94" i="22" s="1"/>
  <c r="D27" i="22"/>
  <c r="D266" i="22" s="1"/>
  <c r="J78" i="15"/>
  <c r="J79" i="15" s="1"/>
  <c r="J124" i="15" s="1"/>
  <c r="P124" i="15" s="1"/>
  <c r="P127" i="15" s="1"/>
  <c r="H24" i="22"/>
  <c r="H263" i="22" s="1"/>
  <c r="I263" i="22" s="1"/>
  <c r="H83" i="22"/>
  <c r="I79" i="22" s="1"/>
  <c r="I83" i="22" s="1"/>
  <c r="J79" i="22" s="1"/>
  <c r="G5" i="14" l="1"/>
  <c r="G32" i="14"/>
  <c r="F5" i="14"/>
  <c r="F32" i="14"/>
  <c r="D5" i="14"/>
  <c r="D32" i="14"/>
  <c r="E5" i="14"/>
  <c r="E32" i="14"/>
  <c r="R7" i="11"/>
  <c r="L139" i="11"/>
  <c r="L183" i="11"/>
  <c r="L185" i="11" s="1"/>
  <c r="E266" i="22"/>
  <c r="F266" i="22" s="1"/>
  <c r="I46" i="19"/>
  <c r="O46" i="19" s="1"/>
  <c r="J116" i="11"/>
  <c r="P184" i="11"/>
  <c r="J158" i="11"/>
  <c r="J166" i="11" s="1"/>
  <c r="J176" i="11" s="1"/>
  <c r="P91" i="11"/>
  <c r="P116" i="11" s="1"/>
  <c r="D91" i="22"/>
  <c r="E88" i="22" s="1"/>
  <c r="D23" i="23"/>
  <c r="D27" i="23" s="1"/>
  <c r="D26" i="22"/>
  <c r="G187" i="11"/>
  <c r="F201" i="11"/>
  <c r="G198" i="11" s="1"/>
  <c r="F193" i="11"/>
  <c r="E193" i="11"/>
  <c r="J127" i="15"/>
  <c r="K123" i="15" s="1"/>
  <c r="K127" i="15" s="1"/>
  <c r="L123" i="15" s="1"/>
  <c r="L127" i="15" s="1"/>
  <c r="M123" i="15" s="1"/>
  <c r="M127" i="15" s="1"/>
  <c r="N123" i="15" s="1"/>
  <c r="N127" i="15" s="1"/>
  <c r="O123" i="15" s="1"/>
  <c r="O127" i="15" s="1"/>
  <c r="K138" i="11"/>
  <c r="K158" i="11" s="1"/>
  <c r="K166" i="11" s="1"/>
  <c r="K176" i="11" s="1"/>
  <c r="J71" i="11"/>
  <c r="E97" i="22"/>
  <c r="F94" i="22" s="1"/>
  <c r="F97" i="22" s="1"/>
  <c r="G94" i="22" s="1"/>
  <c r="I54" i="19"/>
  <c r="I50" i="19" s="1"/>
  <c r="F89" i="22"/>
  <c r="G96" i="22"/>
  <c r="G25" i="23" s="1"/>
  <c r="M49" i="11"/>
  <c r="M50" i="11"/>
  <c r="M140" i="11" s="1"/>
  <c r="M51" i="11"/>
  <c r="M141" i="11" s="1"/>
  <c r="G171" i="11"/>
  <c r="E89" i="22"/>
  <c r="H168" i="11"/>
  <c r="H178" i="11" s="1"/>
  <c r="H169" i="11"/>
  <c r="H179" i="11" s="1"/>
  <c r="F109" i="22"/>
  <c r="G106" i="22" s="1"/>
  <c r="F28" i="23"/>
  <c r="F31" i="23" s="1"/>
  <c r="H211" i="11"/>
  <c r="I211" i="11"/>
  <c r="L48" i="11"/>
  <c r="K60" i="11"/>
  <c r="F29" i="22"/>
  <c r="F268" i="22" s="1"/>
  <c r="P78" i="15"/>
  <c r="J80" i="22"/>
  <c r="P79" i="15"/>
  <c r="M139" i="11" l="1"/>
  <c r="J170" i="11"/>
  <c r="J180" i="11" s="1"/>
  <c r="J188" i="11" s="1"/>
  <c r="J211" i="11" s="1"/>
  <c r="J167" i="11"/>
  <c r="J177" i="11" s="1"/>
  <c r="G28" i="14"/>
  <c r="G39" i="14" s="1"/>
  <c r="F28" i="14"/>
  <c r="F29" i="14" s="1"/>
  <c r="E28" i="14"/>
  <c r="E29" i="14" s="1"/>
  <c r="D28" i="14"/>
  <c r="D39" i="14" s="1"/>
  <c r="D265" i="22"/>
  <c r="H187" i="11"/>
  <c r="H199" i="11" s="1"/>
  <c r="G181" i="11"/>
  <c r="G189" i="11" s="1"/>
  <c r="H213" i="11"/>
  <c r="I210" i="11" s="1"/>
  <c r="I212" i="11" s="1"/>
  <c r="I213" i="11" s="1"/>
  <c r="J210" i="11" s="1"/>
  <c r="J212" i="11" s="1"/>
  <c r="E194" i="11"/>
  <c r="E195" i="11" s="1"/>
  <c r="F192" i="11" s="1"/>
  <c r="G199" i="11"/>
  <c r="L138" i="11"/>
  <c r="L158" i="11" s="1"/>
  <c r="L166" i="11" s="1"/>
  <c r="L176" i="11" s="1"/>
  <c r="K71" i="11"/>
  <c r="H174" i="11"/>
  <c r="G15" i="19" s="1"/>
  <c r="J54" i="19"/>
  <c r="J50" i="19" s="1"/>
  <c r="I107" i="22"/>
  <c r="K167" i="11"/>
  <c r="K177" i="11" s="1"/>
  <c r="K170" i="11"/>
  <c r="K180" i="11" s="1"/>
  <c r="K188" i="11" s="1"/>
  <c r="N51" i="11"/>
  <c r="N141" i="11" s="1"/>
  <c r="N50" i="11"/>
  <c r="N140" i="11" s="1"/>
  <c r="N49" i="11"/>
  <c r="H95" i="22"/>
  <c r="H27" i="22" s="1"/>
  <c r="H107" i="22"/>
  <c r="H171" i="11"/>
  <c r="H181" i="11" s="1"/>
  <c r="G95" i="22"/>
  <c r="E90" i="22"/>
  <c r="E26" i="22" s="1"/>
  <c r="M48" i="11"/>
  <c r="M183" i="11" s="1"/>
  <c r="M185" i="11" s="1"/>
  <c r="L60" i="11"/>
  <c r="G108" i="22"/>
  <c r="F15" i="19"/>
  <c r="I168" i="11"/>
  <c r="I178" i="11" s="1"/>
  <c r="I169" i="11"/>
  <c r="I179" i="11" s="1"/>
  <c r="I174" i="11"/>
  <c r="J82" i="22"/>
  <c r="P80" i="22"/>
  <c r="N139" i="11" l="1"/>
  <c r="E39" i="14"/>
  <c r="D42" i="19" s="1"/>
  <c r="D41" i="19" s="1"/>
  <c r="F39" i="14"/>
  <c r="E42" i="19" s="1"/>
  <c r="E41" i="19" s="1"/>
  <c r="G29" i="14"/>
  <c r="F11" i="19" s="1"/>
  <c r="F13" i="19" s="1"/>
  <c r="F31" i="19" s="1"/>
  <c r="F73" i="19" s="1"/>
  <c r="F74" i="19" s="1"/>
  <c r="F77" i="19" s="1"/>
  <c r="D41" i="14"/>
  <c r="C42" i="19"/>
  <c r="C41" i="19" s="1"/>
  <c r="C48" i="19" s="1"/>
  <c r="E11" i="19"/>
  <c r="E13" i="19" s="1"/>
  <c r="E31" i="19" s="1"/>
  <c r="E73" i="19" s="1"/>
  <c r="E74" i="19" s="1"/>
  <c r="E77" i="19" s="1"/>
  <c r="F31" i="14"/>
  <c r="D11" i="19"/>
  <c r="D13" i="19" s="1"/>
  <c r="D31" i="19" s="1"/>
  <c r="D73" i="19" s="1"/>
  <c r="D74" i="19" s="1"/>
  <c r="D77" i="19" s="1"/>
  <c r="E31" i="14"/>
  <c r="F42" i="19"/>
  <c r="F41" i="19" s="1"/>
  <c r="G41" i="14"/>
  <c r="D29" i="14"/>
  <c r="E265" i="22"/>
  <c r="I187" i="11"/>
  <c r="G193" i="11"/>
  <c r="G89" i="22"/>
  <c r="J213" i="11"/>
  <c r="K210" i="11" s="1"/>
  <c r="K212" i="11" s="1"/>
  <c r="G201" i="11"/>
  <c r="H198" i="11" s="1"/>
  <c r="H201" i="11" s="1"/>
  <c r="I198" i="11" s="1"/>
  <c r="F194" i="11"/>
  <c r="F195" i="11" s="1"/>
  <c r="G192" i="11" s="1"/>
  <c r="M138" i="11"/>
  <c r="M158" i="11" s="1"/>
  <c r="M166" i="11" s="1"/>
  <c r="M176" i="11" s="1"/>
  <c r="L71" i="11"/>
  <c r="K54" i="19"/>
  <c r="K50" i="19" s="1"/>
  <c r="J107" i="22"/>
  <c r="L167" i="11"/>
  <c r="L177" i="11" s="1"/>
  <c r="L170" i="11"/>
  <c r="L180" i="11" s="1"/>
  <c r="L188" i="11" s="1"/>
  <c r="O49" i="11"/>
  <c r="O50" i="11"/>
  <c r="O140" i="11" s="1"/>
  <c r="O51" i="11"/>
  <c r="O141" i="11" s="1"/>
  <c r="G28" i="23"/>
  <c r="G29" i="22"/>
  <c r="G268" i="22" s="1"/>
  <c r="H189" i="11"/>
  <c r="E23" i="23"/>
  <c r="J169" i="11"/>
  <c r="J179" i="11" s="1"/>
  <c r="J168" i="11"/>
  <c r="J178" i="11" s="1"/>
  <c r="J174" i="11"/>
  <c r="M60" i="11"/>
  <c r="N48" i="11"/>
  <c r="N183" i="11" s="1"/>
  <c r="N185" i="11" s="1"/>
  <c r="I171" i="11"/>
  <c r="E91" i="22"/>
  <c r="F88" i="22" s="1"/>
  <c r="G109" i="22"/>
  <c r="H106" i="22" s="1"/>
  <c r="G27" i="22"/>
  <c r="G266" i="22" s="1"/>
  <c r="H266" i="22" s="1"/>
  <c r="G97" i="22"/>
  <c r="H94" i="22" s="1"/>
  <c r="H97" i="22" s="1"/>
  <c r="I94" i="22" s="1"/>
  <c r="J83" i="22"/>
  <c r="K79" i="22" s="1"/>
  <c r="K83" i="22" s="1"/>
  <c r="L79" i="22" s="1"/>
  <c r="L83" i="22" s="1"/>
  <c r="M79" i="22" s="1"/>
  <c r="M83" i="22" s="1"/>
  <c r="N79" i="22" s="1"/>
  <c r="N83" i="22" s="1"/>
  <c r="O79" i="22" s="1"/>
  <c r="O83" i="22" s="1"/>
  <c r="J24" i="22"/>
  <c r="P82" i="22"/>
  <c r="P83" i="22" s="1"/>
  <c r="O139" i="11" l="1"/>
  <c r="P139" i="11" s="1"/>
  <c r="E41" i="14"/>
  <c r="F41" i="14"/>
  <c r="G31" i="14"/>
  <c r="G34" i="14" s="1"/>
  <c r="G191" i="22" s="1"/>
  <c r="J263" i="22"/>
  <c r="K263" i="22" s="1"/>
  <c r="L263" i="22" s="1"/>
  <c r="M263" i="22" s="1"/>
  <c r="N263" i="22" s="1"/>
  <c r="O263" i="22" s="1"/>
  <c r="D48" i="19"/>
  <c r="E68" i="7"/>
  <c r="E76" i="7" s="1"/>
  <c r="F68" i="7"/>
  <c r="F76" i="7" s="1"/>
  <c r="E48" i="19"/>
  <c r="F48" i="19"/>
  <c r="G68" i="7"/>
  <c r="G76" i="7" s="1"/>
  <c r="F34" i="14"/>
  <c r="F191" i="22" s="1"/>
  <c r="C11" i="19"/>
  <c r="D31" i="14"/>
  <c r="D68" i="7"/>
  <c r="D76" i="7" s="1"/>
  <c r="E34" i="14"/>
  <c r="E191" i="22" s="1"/>
  <c r="J187" i="11"/>
  <c r="J199" i="11" s="1"/>
  <c r="I181" i="11"/>
  <c r="I189" i="11" s="1"/>
  <c r="H193" i="11"/>
  <c r="G194" i="11"/>
  <c r="G195" i="11" s="1"/>
  <c r="H192" i="11" s="1"/>
  <c r="I199" i="11"/>
  <c r="N138" i="11"/>
  <c r="N158" i="11" s="1"/>
  <c r="N166" i="11" s="1"/>
  <c r="N176" i="11" s="1"/>
  <c r="M71" i="11"/>
  <c r="L54" i="19"/>
  <c r="L50" i="19" s="1"/>
  <c r="M167" i="11"/>
  <c r="M177" i="11" s="1"/>
  <c r="M170" i="11"/>
  <c r="M180" i="11" s="1"/>
  <c r="M188" i="11" s="1"/>
  <c r="P49" i="11"/>
  <c r="P141" i="11"/>
  <c r="P51" i="11"/>
  <c r="P140" i="11"/>
  <c r="P50" i="11"/>
  <c r="H108" i="22"/>
  <c r="H109" i="22" s="1"/>
  <c r="I106" i="22" s="1"/>
  <c r="K211" i="11"/>
  <c r="K213" i="11" s="1"/>
  <c r="L210" i="11" s="1"/>
  <c r="L212" i="11" s="1"/>
  <c r="E27" i="23"/>
  <c r="F90" i="22"/>
  <c r="F91" i="22" s="1"/>
  <c r="G88" i="22" s="1"/>
  <c r="O48" i="11"/>
  <c r="O183" i="11" s="1"/>
  <c r="O185" i="11" s="1"/>
  <c r="N60" i="11"/>
  <c r="H15" i="19"/>
  <c r="H89" i="22"/>
  <c r="L211" i="11"/>
  <c r="J171" i="11"/>
  <c r="K169" i="11"/>
  <c r="K179" i="11" s="1"/>
  <c r="K168" i="11"/>
  <c r="K178" i="11" s="1"/>
  <c r="G31" i="23"/>
  <c r="I95" i="22"/>
  <c r="P24" i="22"/>
  <c r="E86" i="7" l="1"/>
  <c r="E92" i="7" s="1"/>
  <c r="E96" i="7" s="1"/>
  <c r="E84" i="7"/>
  <c r="E90" i="7" s="1"/>
  <c r="E82" i="7"/>
  <c r="E88" i="7" s="1"/>
  <c r="E85" i="7"/>
  <c r="E91" i="7" s="1"/>
  <c r="E83" i="7"/>
  <c r="E89" i="7" s="1"/>
  <c r="F86" i="7"/>
  <c r="F92" i="7" s="1"/>
  <c r="F96" i="7" s="1"/>
  <c r="F84" i="7"/>
  <c r="F90" i="7" s="1"/>
  <c r="F82" i="7"/>
  <c r="F88" i="7" s="1"/>
  <c r="F85" i="7"/>
  <c r="F91" i="7" s="1"/>
  <c r="F83" i="7"/>
  <c r="F89" i="7" s="1"/>
  <c r="G85" i="7"/>
  <c r="G91" i="7" s="1"/>
  <c r="G83" i="7"/>
  <c r="G89" i="7" s="1"/>
  <c r="G86" i="7"/>
  <c r="G92" i="7" s="1"/>
  <c r="G96" i="7" s="1"/>
  <c r="G84" i="7"/>
  <c r="G90" i="7" s="1"/>
  <c r="G82" i="7"/>
  <c r="G88" i="7" s="1"/>
  <c r="N141" i="7"/>
  <c r="M141" i="7" s="1"/>
  <c r="N140" i="7"/>
  <c r="M140" i="7" s="1"/>
  <c r="N139" i="7"/>
  <c r="N143" i="7"/>
  <c r="M143" i="7" s="1"/>
  <c r="N144" i="7"/>
  <c r="M144" i="7" s="1"/>
  <c r="N142" i="7"/>
  <c r="M142" i="7" s="1"/>
  <c r="N148" i="7"/>
  <c r="M148" i="7" s="1"/>
  <c r="N150" i="7"/>
  <c r="M150" i="7" s="1"/>
  <c r="N149" i="7"/>
  <c r="M149" i="7" s="1"/>
  <c r="N147" i="7"/>
  <c r="M147" i="7" s="1"/>
  <c r="N146" i="7"/>
  <c r="M146" i="7" s="1"/>
  <c r="N145" i="7"/>
  <c r="M145" i="7" s="1"/>
  <c r="F71" i="7"/>
  <c r="F73" i="7" s="1"/>
  <c r="G71" i="7"/>
  <c r="G72" i="7" s="1"/>
  <c r="E71" i="7"/>
  <c r="E73" i="7" s="1"/>
  <c r="D71" i="7"/>
  <c r="D72" i="7" s="1"/>
  <c r="I193" i="11"/>
  <c r="G35" i="14"/>
  <c r="G66" i="22" s="1"/>
  <c r="F35" i="14"/>
  <c r="F45" i="14" s="1"/>
  <c r="F47" i="14" s="1"/>
  <c r="F49" i="19"/>
  <c r="F62" i="19" s="1"/>
  <c r="F78" i="19" s="1"/>
  <c r="F58" i="19"/>
  <c r="C13" i="19"/>
  <c r="E35" i="14"/>
  <c r="E49" i="19"/>
  <c r="E62" i="19" s="1"/>
  <c r="E78" i="19" s="1"/>
  <c r="E58" i="19"/>
  <c r="D34" i="14"/>
  <c r="D35" i="14" s="1"/>
  <c r="D49" i="19"/>
  <c r="D62" i="19" s="1"/>
  <c r="D78" i="19" s="1"/>
  <c r="D58" i="19"/>
  <c r="L213" i="11"/>
  <c r="M210" i="11" s="1"/>
  <c r="M212" i="11" s="1"/>
  <c r="I89" i="22"/>
  <c r="K187" i="11"/>
  <c r="J181" i="11"/>
  <c r="J189" i="11" s="1"/>
  <c r="J200" i="11"/>
  <c r="H194" i="11"/>
  <c r="H195" i="11" s="1"/>
  <c r="I192" i="11" s="1"/>
  <c r="I201" i="11"/>
  <c r="J198" i="11" s="1"/>
  <c r="O138" i="11"/>
  <c r="O158" i="11" s="1"/>
  <c r="O166" i="11" s="1"/>
  <c r="O176" i="11" s="1"/>
  <c r="N71" i="11"/>
  <c r="K174" i="11"/>
  <c r="J15" i="19" s="1"/>
  <c r="M54" i="19"/>
  <c r="M50" i="19" s="1"/>
  <c r="I15" i="19"/>
  <c r="L107" i="22"/>
  <c r="J95" i="22"/>
  <c r="N167" i="11"/>
  <c r="N177" i="11" s="1"/>
  <c r="N170" i="11"/>
  <c r="N180" i="11" s="1"/>
  <c r="N188" i="11" s="1"/>
  <c r="I108" i="22"/>
  <c r="I109" i="22" s="1"/>
  <c r="J106" i="22" s="1"/>
  <c r="I27" i="22"/>
  <c r="I266" i="22" s="1"/>
  <c r="J96" i="22"/>
  <c r="J25" i="23" s="1"/>
  <c r="O60" i="11"/>
  <c r="P48" i="11"/>
  <c r="K107" i="22"/>
  <c r="K171" i="11"/>
  <c r="M211" i="11"/>
  <c r="F23" i="23"/>
  <c r="F26" i="22"/>
  <c r="I97" i="22"/>
  <c r="J94" i="22" s="1"/>
  <c r="L169" i="11"/>
  <c r="L179" i="11" s="1"/>
  <c r="L168" i="11"/>
  <c r="L178" i="11" s="1"/>
  <c r="L174" i="11"/>
  <c r="G90" i="22"/>
  <c r="G91" i="22" s="1"/>
  <c r="H88" i="22" s="1"/>
  <c r="H28" i="23"/>
  <c r="H29" i="22"/>
  <c r="H268" i="22" s="1"/>
  <c r="F100" i="7" l="1"/>
  <c r="F104" i="7"/>
  <c r="G104" i="7"/>
  <c r="G100" i="7"/>
  <c r="E104" i="7"/>
  <c r="E100" i="7"/>
  <c r="F94" i="7"/>
  <c r="G94" i="7"/>
  <c r="E94" i="7"/>
  <c r="F225" i="74"/>
  <c r="M139" i="7"/>
  <c r="E225" i="74" s="1"/>
  <c r="E236" i="74"/>
  <c r="F236" i="74"/>
  <c r="E234" i="74"/>
  <c r="F234" i="74"/>
  <c r="E228" i="74"/>
  <c r="F228" i="74"/>
  <c r="E230" i="74"/>
  <c r="F230" i="74"/>
  <c r="E231" i="74"/>
  <c r="F231" i="74"/>
  <c r="E229" i="74"/>
  <c r="F229" i="74"/>
  <c r="E232" i="74"/>
  <c r="F232" i="74"/>
  <c r="E233" i="74"/>
  <c r="F233" i="74"/>
  <c r="E226" i="74"/>
  <c r="F226" i="74"/>
  <c r="E235" i="74"/>
  <c r="F235" i="74"/>
  <c r="E227" i="74"/>
  <c r="F227" i="74"/>
  <c r="F72" i="7"/>
  <c r="E72" i="7"/>
  <c r="G73" i="7"/>
  <c r="D73" i="7"/>
  <c r="G45" i="14"/>
  <c r="G47" i="14" s="1"/>
  <c r="I194" i="11"/>
  <c r="I195" i="11" s="1"/>
  <c r="J192" i="11" s="1"/>
  <c r="F66" i="22"/>
  <c r="F68" i="22" s="1"/>
  <c r="E64" i="19"/>
  <c r="E63" i="19"/>
  <c r="E66" i="19"/>
  <c r="E79" i="19" s="1"/>
  <c r="D66" i="19"/>
  <c r="D79" i="19" s="1"/>
  <c r="D63" i="19"/>
  <c r="D64" i="19"/>
  <c r="D45" i="14"/>
  <c r="D191" i="22"/>
  <c r="G68" i="22"/>
  <c r="G158" i="22" s="1"/>
  <c r="D66" i="22"/>
  <c r="E66" i="22"/>
  <c r="E45" i="14"/>
  <c r="E47" i="14" s="1"/>
  <c r="C31" i="19"/>
  <c r="C73" i="19" s="1"/>
  <c r="C74" i="19" s="1"/>
  <c r="C77" i="19" s="1"/>
  <c r="F66" i="19"/>
  <c r="F79" i="19" s="1"/>
  <c r="F63" i="19"/>
  <c r="F64" i="19"/>
  <c r="F265" i="22"/>
  <c r="M213" i="11"/>
  <c r="N210" i="11" s="1"/>
  <c r="N212" i="11" s="1"/>
  <c r="J193" i="11"/>
  <c r="J89" i="22"/>
  <c r="L187" i="11"/>
  <c r="L199" i="11" s="1"/>
  <c r="J201" i="11"/>
  <c r="K198" i="11" s="1"/>
  <c r="K181" i="11"/>
  <c r="K189" i="11" s="1"/>
  <c r="K199" i="11"/>
  <c r="P185" i="11"/>
  <c r="P183" i="11"/>
  <c r="O71" i="11"/>
  <c r="P138" i="11"/>
  <c r="P158" i="11" s="1"/>
  <c r="P60" i="11"/>
  <c r="M107" i="22"/>
  <c r="O170" i="11"/>
  <c r="O180" i="11" s="1"/>
  <c r="O188" i="11" s="1"/>
  <c r="O167" i="11"/>
  <c r="O177" i="11" s="1"/>
  <c r="H31" i="23"/>
  <c r="G23" i="23"/>
  <c r="G27" i="23" s="1"/>
  <c r="G26" i="22"/>
  <c r="H90" i="22"/>
  <c r="H91" i="22" s="1"/>
  <c r="I88" i="22" s="1"/>
  <c r="I90" i="22" s="1"/>
  <c r="F27" i="23"/>
  <c r="J27" i="22"/>
  <c r="J266" i="22" s="1"/>
  <c r="J97" i="22"/>
  <c r="K94" i="22" s="1"/>
  <c r="K95" i="22"/>
  <c r="N211" i="11"/>
  <c r="J108" i="22"/>
  <c r="J109" i="22" s="1"/>
  <c r="K106" i="22" s="1"/>
  <c r="M168" i="11"/>
  <c r="M178" i="11" s="1"/>
  <c r="M169" i="11"/>
  <c r="M179" i="11" s="1"/>
  <c r="M174" i="11"/>
  <c r="L171" i="11"/>
  <c r="I28" i="23"/>
  <c r="I31" i="23" s="1"/>
  <c r="I29" i="22"/>
  <c r="I268" i="22" s="1"/>
  <c r="G98" i="7" l="1"/>
  <c r="G102" i="7"/>
  <c r="G95" i="7"/>
  <c r="F98" i="7"/>
  <c r="F102" i="7"/>
  <c r="F95" i="7"/>
  <c r="E98" i="7"/>
  <c r="E102" i="7"/>
  <c r="E95" i="7"/>
  <c r="J194" i="11"/>
  <c r="J195" i="11" s="1"/>
  <c r="K192" i="11" s="1"/>
  <c r="G228" i="22"/>
  <c r="G22" i="22"/>
  <c r="G37" i="22" s="1"/>
  <c r="G159" i="22" s="1"/>
  <c r="F65" i="19"/>
  <c r="E65" i="19"/>
  <c r="D65" i="19"/>
  <c r="N213" i="11"/>
  <c r="O210" i="11" s="1"/>
  <c r="O212" i="11" s="1"/>
  <c r="P212" i="11" s="1"/>
  <c r="F18" i="23"/>
  <c r="F19" i="23"/>
  <c r="F228" i="22"/>
  <c r="F158" i="22"/>
  <c r="D192" i="22"/>
  <c r="D193" i="22" s="1"/>
  <c r="E190" i="22" s="1"/>
  <c r="E192" i="22" s="1"/>
  <c r="D47" i="14"/>
  <c r="E68" i="22"/>
  <c r="E22" i="22" s="1"/>
  <c r="E37" i="22" s="1"/>
  <c r="D68" i="22"/>
  <c r="F22" i="22"/>
  <c r="F37" i="22" s="1"/>
  <c r="G19" i="23"/>
  <c r="G18" i="23"/>
  <c r="G265" i="22"/>
  <c r="K89" i="22"/>
  <c r="K193" i="11"/>
  <c r="M187" i="11"/>
  <c r="M199" i="11" s="1"/>
  <c r="L181" i="11"/>
  <c r="L193" i="11" s="1"/>
  <c r="M200" i="11"/>
  <c r="K201" i="11"/>
  <c r="L198" i="11" s="1"/>
  <c r="L201" i="11" s="1"/>
  <c r="M198" i="11" s="1"/>
  <c r="N54" i="19"/>
  <c r="O54" i="19" s="1"/>
  <c r="P71" i="11"/>
  <c r="N107" i="22"/>
  <c r="I91" i="22"/>
  <c r="J88" i="22" s="1"/>
  <c r="J90" i="22" s="1"/>
  <c r="I23" i="23"/>
  <c r="I27" i="23" s="1"/>
  <c r="I26" i="22"/>
  <c r="P166" i="11"/>
  <c r="K27" i="22"/>
  <c r="K266" i="22" s="1"/>
  <c r="H23" i="23"/>
  <c r="H26" i="22"/>
  <c r="M95" i="22"/>
  <c r="K97" i="22"/>
  <c r="L94" i="22" s="1"/>
  <c r="N168" i="11"/>
  <c r="N178" i="11" s="1"/>
  <c r="N169" i="11"/>
  <c r="N179" i="11" s="1"/>
  <c r="N174" i="11"/>
  <c r="L95" i="22"/>
  <c r="L27" i="22" s="1"/>
  <c r="K108" i="22"/>
  <c r="K109" i="22" s="1"/>
  <c r="L106" i="22" s="1"/>
  <c r="K15" i="19"/>
  <c r="J28" i="23"/>
  <c r="J31" i="23" s="1"/>
  <c r="J29" i="22"/>
  <c r="J268" i="22" s="1"/>
  <c r="M171" i="11"/>
  <c r="F99" i="7" l="1"/>
  <c r="F103" i="7"/>
  <c r="G103" i="7"/>
  <c r="G99" i="7"/>
  <c r="E99" i="7"/>
  <c r="E103" i="7"/>
  <c r="K194" i="11"/>
  <c r="K195" i="11" s="1"/>
  <c r="L192" i="11" s="1"/>
  <c r="L194" i="11" s="1"/>
  <c r="L195" i="11" s="1"/>
  <c r="M192" i="11" s="1"/>
  <c r="L266" i="22"/>
  <c r="G22" i="23"/>
  <c r="G37" i="23" s="1"/>
  <c r="E193" i="22"/>
  <c r="F190" i="22" s="1"/>
  <c r="E197" i="22"/>
  <c r="E45" i="22" s="1"/>
  <c r="E44" i="22"/>
  <c r="D19" i="23"/>
  <c r="D18" i="23"/>
  <c r="D228" i="22"/>
  <c r="D158" i="22"/>
  <c r="D44" i="22"/>
  <c r="D245" i="22" s="1"/>
  <c r="D197" i="22"/>
  <c r="D48" i="14"/>
  <c r="E44" i="14" s="1"/>
  <c r="E48" i="14" s="1"/>
  <c r="F44" i="14" s="1"/>
  <c r="F48" i="14" s="1"/>
  <c r="G44" i="14" s="1"/>
  <c r="G48" i="14" s="1"/>
  <c r="H44" i="14" s="1"/>
  <c r="F159" i="22"/>
  <c r="D22" i="22"/>
  <c r="E19" i="23"/>
  <c r="E18" i="23"/>
  <c r="E228" i="22"/>
  <c r="E158" i="22"/>
  <c r="E159" i="22" s="1"/>
  <c r="D69" i="22"/>
  <c r="E65" i="22" s="1"/>
  <c r="E69" i="22" s="1"/>
  <c r="F65" i="22" s="1"/>
  <c r="F69" i="22" s="1"/>
  <c r="G65" i="22" s="1"/>
  <c r="G69" i="22" s="1"/>
  <c r="H65" i="22" s="1"/>
  <c r="F22" i="23"/>
  <c r="F37" i="23" s="1"/>
  <c r="H265" i="22"/>
  <c r="I265" i="22" s="1"/>
  <c r="O50" i="19"/>
  <c r="L89" i="22"/>
  <c r="M181" i="11"/>
  <c r="M189" i="11" s="1"/>
  <c r="L189" i="11"/>
  <c r="N187" i="11"/>
  <c r="N199" i="11" s="1"/>
  <c r="M201" i="11"/>
  <c r="N198" i="11" s="1"/>
  <c r="N50" i="19"/>
  <c r="O168" i="11"/>
  <c r="O178" i="11" s="1"/>
  <c r="O169" i="11"/>
  <c r="O179" i="11" s="1"/>
  <c r="O174" i="11"/>
  <c r="P167" i="11"/>
  <c r="N171" i="11"/>
  <c r="H27" i="23"/>
  <c r="J91" i="22"/>
  <c r="K88" i="22" s="1"/>
  <c r="J23" i="23"/>
  <c r="J27" i="23" s="1"/>
  <c r="J26" i="22"/>
  <c r="L97" i="22"/>
  <c r="M94" i="22" s="1"/>
  <c r="M96" i="22"/>
  <c r="M25" i="23" s="1"/>
  <c r="L15" i="19"/>
  <c r="L108" i="22"/>
  <c r="L109" i="22" s="1"/>
  <c r="M106" i="22" s="1"/>
  <c r="P170" i="11"/>
  <c r="K28" i="23"/>
  <c r="K31" i="23" s="1"/>
  <c r="K29" i="22"/>
  <c r="K268" i="22" s="1"/>
  <c r="P176" i="11"/>
  <c r="E22" i="23" l="1"/>
  <c r="E37" i="23" s="1"/>
  <c r="D199" i="22"/>
  <c r="E196" i="22" s="1"/>
  <c r="E199" i="22" s="1"/>
  <c r="F196" i="22" s="1"/>
  <c r="D45" i="22"/>
  <c r="D246" i="22" s="1"/>
  <c r="E246" i="22" s="1"/>
  <c r="D37" i="22"/>
  <c r="D159" i="22" s="1"/>
  <c r="D22" i="23"/>
  <c r="D37" i="23" s="1"/>
  <c r="D80" i="23" s="1"/>
  <c r="E72" i="23" s="1"/>
  <c r="E245" i="22"/>
  <c r="F192" i="22"/>
  <c r="J265" i="22"/>
  <c r="M193" i="11"/>
  <c r="M194" i="11" s="1"/>
  <c r="M195" i="11" s="1"/>
  <c r="N192" i="11" s="1"/>
  <c r="M89" i="22"/>
  <c r="O187" i="11"/>
  <c r="N181" i="11"/>
  <c r="N189" i="11" s="1"/>
  <c r="P188" i="11"/>
  <c r="O211" i="11"/>
  <c r="N200" i="11"/>
  <c r="P200" i="11" s="1"/>
  <c r="N95" i="22"/>
  <c r="M27" i="22"/>
  <c r="M266" i="22" s="1"/>
  <c r="O107" i="22"/>
  <c r="P180" i="11"/>
  <c r="M108" i="22"/>
  <c r="M109" i="22" s="1"/>
  <c r="N106" i="22" s="1"/>
  <c r="N108" i="22" s="1"/>
  <c r="L28" i="23"/>
  <c r="L31" i="23" s="1"/>
  <c r="L29" i="22"/>
  <c r="L268" i="22" s="1"/>
  <c r="P179" i="11"/>
  <c r="P73" i="60" s="1"/>
  <c r="P169" i="11"/>
  <c r="P168" i="11"/>
  <c r="K90" i="22"/>
  <c r="K91" i="22" s="1"/>
  <c r="L88" i="22" s="1"/>
  <c r="L90" i="22" s="1"/>
  <c r="M97" i="22"/>
  <c r="N94" i="22" s="1"/>
  <c r="P177" i="11"/>
  <c r="P71" i="60" s="1"/>
  <c r="P77" i="60" s="1"/>
  <c r="P70" i="60"/>
  <c r="P76" i="60" s="1"/>
  <c r="M15" i="19"/>
  <c r="O171" i="11"/>
  <c r="O181" i="11" s="1"/>
  <c r="E80" i="23" l="1"/>
  <c r="F72" i="23" s="1"/>
  <c r="F80" i="23" s="1"/>
  <c r="G72" i="23" s="1"/>
  <c r="G80" i="23" s="1"/>
  <c r="H72" i="23" s="1"/>
  <c r="F197" i="22"/>
  <c r="F45" i="22" s="1"/>
  <c r="F246" i="22" s="1"/>
  <c r="F44" i="22"/>
  <c r="F245" i="22" s="1"/>
  <c r="F193" i="22"/>
  <c r="G190" i="22" s="1"/>
  <c r="G192" i="22" s="1"/>
  <c r="N193" i="11"/>
  <c r="N194" i="11" s="1"/>
  <c r="N195" i="11" s="1"/>
  <c r="O192" i="11" s="1"/>
  <c r="N89" i="22"/>
  <c r="P211" i="11"/>
  <c r="P213" i="11" s="1"/>
  <c r="O213" i="11"/>
  <c r="P187" i="11"/>
  <c r="O199" i="11"/>
  <c r="P199" i="11" s="1"/>
  <c r="P201" i="11" s="1"/>
  <c r="N201" i="11"/>
  <c r="O198" i="11" s="1"/>
  <c r="P174" i="11"/>
  <c r="P74" i="60"/>
  <c r="N15" i="19"/>
  <c r="K23" i="23"/>
  <c r="K26" i="22"/>
  <c r="N109" i="22"/>
  <c r="O106" i="22" s="1"/>
  <c r="N28" i="23"/>
  <c r="N31" i="23" s="1"/>
  <c r="N29" i="22"/>
  <c r="N96" i="22"/>
  <c r="N97" i="22" s="1"/>
  <c r="O94" i="22" s="1"/>
  <c r="O95" i="22"/>
  <c r="P178" i="11"/>
  <c r="M28" i="23"/>
  <c r="M31" i="23" s="1"/>
  <c r="M29" i="22"/>
  <c r="M268" i="22" s="1"/>
  <c r="P107" i="22"/>
  <c r="L91" i="22"/>
  <c r="M88" i="22" s="1"/>
  <c r="L23" i="23"/>
  <c r="L27" i="23" s="1"/>
  <c r="L26" i="22"/>
  <c r="O189" i="11"/>
  <c r="P171" i="11"/>
  <c r="O96" i="22" l="1"/>
  <c r="O25" i="23" s="1"/>
  <c r="N268" i="22"/>
  <c r="F199" i="22"/>
  <c r="G196" i="22" s="1"/>
  <c r="G193" i="22"/>
  <c r="H190" i="22" s="1"/>
  <c r="G44" i="22"/>
  <c r="G245" i="22" s="1"/>
  <c r="G197" i="22"/>
  <c r="G45" i="22" s="1"/>
  <c r="G246" i="22" s="1"/>
  <c r="K265" i="22"/>
  <c r="L265" i="22" s="1"/>
  <c r="O201" i="11"/>
  <c r="P189" i="11"/>
  <c r="O193" i="11"/>
  <c r="P72" i="60"/>
  <c r="N25" i="23"/>
  <c r="N27" i="22"/>
  <c r="N266" i="22" s="1"/>
  <c r="K27" i="23"/>
  <c r="P181" i="11"/>
  <c r="O89" i="22"/>
  <c r="M90" i="22"/>
  <c r="P95" i="22"/>
  <c r="O108" i="22"/>
  <c r="O29" i="22" s="1"/>
  <c r="O15" i="19"/>
  <c r="O97" i="22" l="1"/>
  <c r="P25" i="23"/>
  <c r="P96" i="22"/>
  <c r="P97" i="22" s="1"/>
  <c r="O27" i="22"/>
  <c r="O266" i="22" s="1"/>
  <c r="G199" i="22"/>
  <c r="H196" i="22" s="1"/>
  <c r="P193" i="11"/>
  <c r="O194" i="11"/>
  <c r="P194" i="11" s="1"/>
  <c r="P15" i="19"/>
  <c r="O28" i="23"/>
  <c r="P108" i="22"/>
  <c r="P109" i="22" s="1"/>
  <c r="M23" i="23"/>
  <c r="M27" i="23" s="1"/>
  <c r="M26" i="22"/>
  <c r="P89" i="22"/>
  <c r="M91" i="22"/>
  <c r="N88" i="22" s="1"/>
  <c r="O109" i="22"/>
  <c r="P27" i="22" l="1"/>
  <c r="P29" i="22"/>
  <c r="O268" i="22"/>
  <c r="M265" i="22"/>
  <c r="P195" i="11"/>
  <c r="P196" i="11" s="1"/>
  <c r="O195" i="11"/>
  <c r="N90" i="22"/>
  <c r="O31" i="23"/>
  <c r="P28" i="23"/>
  <c r="P31" i="23" s="1"/>
  <c r="N23" i="23" l="1"/>
  <c r="N27" i="23" s="1"/>
  <c r="N26" i="22"/>
  <c r="N91" i="22"/>
  <c r="O88" i="22" s="1"/>
  <c r="O90" i="22" s="1"/>
  <c r="O26" i="22" s="1"/>
  <c r="N265" i="22" l="1"/>
  <c r="O91" i="22"/>
  <c r="O23" i="23"/>
  <c r="P90" i="22"/>
  <c r="P91" i="22" s="1"/>
  <c r="P92" i="22" s="1"/>
  <c r="O265" i="22" l="1"/>
  <c r="O27" i="23"/>
  <c r="P23" i="23"/>
  <c r="P27" i="23" s="1"/>
  <c r="P26" i="22"/>
  <c r="B4" i="32" l="1"/>
  <c r="B5" i="18" s="1"/>
  <c r="B24" i="32" s="1"/>
  <c r="B14" i="32" l="1"/>
  <c r="H112" i="78"/>
  <c r="H116" i="78" s="1"/>
  <c r="K4" i="78"/>
  <c r="J112" i="78"/>
  <c r="J116" i="78" s="1"/>
  <c r="T6" i="78"/>
  <c r="T5" i="78"/>
  <c r="T4" i="78"/>
  <c r="T40" i="78" l="1"/>
  <c r="U5" i="78"/>
  <c r="V5" i="78" s="1"/>
  <c r="U6" i="78"/>
  <c r="V6" i="78" s="1"/>
  <c r="K112" i="78"/>
  <c r="L112" i="78" s="1"/>
  <c r="L4" i="78"/>
  <c r="F113" i="78"/>
  <c r="S4" i="78"/>
  <c r="AB4" i="78" l="1"/>
  <c r="AC4" i="78" s="1"/>
  <c r="AD4" i="78" s="1"/>
  <c r="S40" i="78"/>
  <c r="AB5" i="78" s="1"/>
  <c r="AC5" i="78" s="1"/>
  <c r="AD5" i="78" s="1"/>
  <c r="L116" i="78"/>
  <c r="K116" i="78"/>
  <c r="U4" i="78"/>
  <c r="V4" i="78" l="1"/>
  <c r="U40" i="78"/>
  <c r="V40" i="78" s="1"/>
  <c r="AB12" i="78"/>
  <c r="AC12" i="78" s="1"/>
  <c r="AD12" i="78" s="1"/>
  <c r="H113" i="78"/>
  <c r="AB7" i="78" l="1"/>
  <c r="AC7" i="78" s="1"/>
  <c r="AD7" i="78" s="1"/>
  <c r="AB13" i="78"/>
  <c r="AC13" i="78" s="1"/>
  <c r="AD13" i="78" s="1"/>
  <c r="AB15" i="78"/>
  <c r="AC15" i="78" s="1"/>
  <c r="AD15" i="78" s="1"/>
  <c r="AB10" i="78"/>
  <c r="AC10" i="78" s="1"/>
  <c r="AD10" i="78" s="1"/>
  <c r="AB11" i="78"/>
  <c r="AC11" i="78" s="1"/>
  <c r="AD11" i="78" s="1"/>
  <c r="AB8" i="78"/>
  <c r="AC8" i="78" s="1"/>
  <c r="AD8" i="78" s="1"/>
  <c r="AB14" i="78"/>
  <c r="AC14" i="78" s="1"/>
  <c r="AD14" i="78" s="1"/>
  <c r="AB6" i="78"/>
  <c r="AC6" i="78" s="1"/>
  <c r="AD6" i="78" s="1"/>
  <c r="AB9" i="78"/>
  <c r="AC9" i="78" s="1"/>
  <c r="AD9" i="78" s="1"/>
  <c r="AB16" i="78" l="1"/>
  <c r="AC16" i="78" s="1"/>
  <c r="AD16" i="78" s="1"/>
  <c r="C58" i="19"/>
  <c r="C49" i="19" l="1"/>
  <c r="C62" i="19" s="1"/>
  <c r="C66" i="19" l="1"/>
  <c r="C79" i="19" s="1"/>
  <c r="C78" i="19"/>
  <c r="C64" i="19"/>
  <c r="C63" i="19"/>
  <c r="C65" i="19" l="1"/>
  <c r="K32" i="10" l="1"/>
  <c r="K34" i="10" s="1"/>
  <c r="L38" i="10" s="1"/>
  <c r="J32" i="10"/>
  <c r="J34" i="10" s="1"/>
  <c r="K38" i="10" s="1"/>
  <c r="K179" i="22" l="1"/>
  <c r="K39" i="10"/>
  <c r="K180" i="22" s="1"/>
  <c r="L179" i="22"/>
  <c r="L39" i="10"/>
  <c r="L180" i="22" s="1"/>
  <c r="G32" i="10"/>
  <c r="G34" i="10" s="1"/>
  <c r="H38" i="10" s="1"/>
  <c r="F32" i="10"/>
  <c r="F34" i="10" s="1"/>
  <c r="G38" i="10" s="1"/>
  <c r="M32" i="10"/>
  <c r="M34" i="10" s="1"/>
  <c r="N38" i="10" s="1"/>
  <c r="I32" i="10"/>
  <c r="I34" i="10" s="1"/>
  <c r="J38" i="10" s="1"/>
  <c r="D32" i="10"/>
  <c r="D34" i="10" s="1"/>
  <c r="E38" i="10" s="1"/>
  <c r="H32" i="10"/>
  <c r="H34" i="10" s="1"/>
  <c r="I38" i="10" s="1"/>
  <c r="N32" i="10"/>
  <c r="N34" i="10" s="1"/>
  <c r="O38" i="10" s="1"/>
  <c r="L32" i="10"/>
  <c r="L34" i="10" s="1"/>
  <c r="M38" i="10" s="1"/>
  <c r="E32" i="10"/>
  <c r="E34" i="10" s="1"/>
  <c r="F38" i="10" s="1"/>
  <c r="J179" i="22" l="1"/>
  <c r="J39" i="10"/>
  <c r="J180" i="22" s="1"/>
  <c r="G39" i="10"/>
  <c r="G180" i="22" s="1"/>
  <c r="G179" i="22"/>
  <c r="M39" i="10"/>
  <c r="M180" i="22" s="1"/>
  <c r="M179" i="22"/>
  <c r="H179" i="22"/>
  <c r="H39" i="10"/>
  <c r="H180" i="22" s="1"/>
  <c r="N179" i="22"/>
  <c r="N39" i="10"/>
  <c r="N180" i="22" s="1"/>
  <c r="F179" i="22"/>
  <c r="F39" i="10"/>
  <c r="F180" i="22" s="1"/>
  <c r="I39" i="10"/>
  <c r="I180" i="22" s="1"/>
  <c r="I179" i="22"/>
  <c r="O179" i="22"/>
  <c r="O39" i="10"/>
  <c r="O180" i="22" s="1"/>
  <c r="E39" i="10"/>
  <c r="E180" i="22" s="1"/>
  <c r="E179" i="22"/>
  <c r="C34" i="10"/>
  <c r="D38" i="10" s="1"/>
  <c r="D39" i="10" l="1"/>
  <c r="P38" i="10"/>
  <c r="D179" i="22"/>
  <c r="D40" i="10"/>
  <c r="E37" i="10" s="1"/>
  <c r="E40" i="10" s="1"/>
  <c r="F37" i="10" s="1"/>
  <c r="F40" i="10" s="1"/>
  <c r="G37" i="10" s="1"/>
  <c r="G40" i="10" s="1"/>
  <c r="H37" i="10" s="1"/>
  <c r="H40" i="10" s="1"/>
  <c r="I37" i="10" s="1"/>
  <c r="I40" i="10" s="1"/>
  <c r="J37" i="10" s="1"/>
  <c r="J40" i="10" s="1"/>
  <c r="K37" i="10" s="1"/>
  <c r="K40" i="10" s="1"/>
  <c r="L37" i="10" s="1"/>
  <c r="L40" i="10" s="1"/>
  <c r="M37" i="10" s="1"/>
  <c r="M40" i="10" s="1"/>
  <c r="N37" i="10" s="1"/>
  <c r="N40" i="10" s="1"/>
  <c r="O37" i="10" s="1"/>
  <c r="O40" i="10" s="1"/>
  <c r="G41" i="22"/>
  <c r="J41" i="22"/>
  <c r="F41" i="22"/>
  <c r="I41" i="22"/>
  <c r="H41" i="22"/>
  <c r="I227" i="22"/>
  <c r="I9" i="23"/>
  <c r="I15" i="23" s="1"/>
  <c r="I17" i="23" s="1"/>
  <c r="G9" i="23"/>
  <c r="G15" i="23" s="1"/>
  <c r="G17" i="23" s="1"/>
  <c r="G38" i="23" s="1"/>
  <c r="G69" i="23" s="1"/>
  <c r="F227" i="22"/>
  <c r="F9" i="23"/>
  <c r="F15" i="23" s="1"/>
  <c r="F17" i="23" s="1"/>
  <c r="F38" i="23" s="1"/>
  <c r="F69" i="23" s="1"/>
  <c r="H227" i="22"/>
  <c r="H9" i="23"/>
  <c r="H15" i="23" s="1"/>
  <c r="H17" i="23" s="1"/>
  <c r="J9" i="23"/>
  <c r="J15" i="23" s="1"/>
  <c r="J17" i="23" s="1"/>
  <c r="P179" i="22" l="1"/>
  <c r="D180" i="22"/>
  <c r="P39" i="10"/>
  <c r="P40" i="10" s="1"/>
  <c r="E227" i="22"/>
  <c r="E41" i="22"/>
  <c r="E9" i="23"/>
  <c r="E15" i="23" s="1"/>
  <c r="E17" i="23" s="1"/>
  <c r="E38" i="23" s="1"/>
  <c r="E69" i="23" s="1"/>
  <c r="G227" i="22"/>
  <c r="D227" i="22" l="1"/>
  <c r="D229" i="22" s="1"/>
  <c r="E226" i="22" s="1"/>
  <c r="E229" i="22" s="1"/>
  <c r="F226" i="22" s="1"/>
  <c r="F229" i="22" s="1"/>
  <c r="G226" i="22" s="1"/>
  <c r="G229" i="22" s="1"/>
  <c r="H226" i="22" s="1"/>
  <c r="D181" i="22"/>
  <c r="E178" i="22" s="1"/>
  <c r="E181" i="22" s="1"/>
  <c r="F178" i="22" s="1"/>
  <c r="F181" i="22" s="1"/>
  <c r="G178" i="22" s="1"/>
  <c r="G181" i="22" s="1"/>
  <c r="H178" i="22" s="1"/>
  <c r="H181" i="22" s="1"/>
  <c r="I178" i="22" s="1"/>
  <c r="I181" i="22" s="1"/>
  <c r="J178" i="22" s="1"/>
  <c r="J181" i="22" s="1"/>
  <c r="K178" i="22" s="1"/>
  <c r="D9" i="23"/>
  <c r="D15" i="23" s="1"/>
  <c r="D17" i="23" s="1"/>
  <c r="D79" i="23" s="1"/>
  <c r="D41" i="22"/>
  <c r="D242" i="22" s="1"/>
  <c r="E242" i="22" s="1"/>
  <c r="F242" i="22" s="1"/>
  <c r="G242" i="22" s="1"/>
  <c r="H242" i="22" s="1"/>
  <c r="I242" i="22" s="1"/>
  <c r="J242" i="22" s="1"/>
  <c r="J227" i="22"/>
  <c r="D38" i="23" l="1"/>
  <c r="D69" i="23" s="1"/>
  <c r="E71" i="23"/>
  <c r="E79" i="23" s="1"/>
  <c r="D81" i="23"/>
  <c r="D83" i="23" s="1"/>
  <c r="D89" i="23" s="1"/>
  <c r="K227" i="22"/>
  <c r="K181" i="22" l="1"/>
  <c r="L178" i="22" s="1"/>
  <c r="K9" i="23"/>
  <c r="K41" i="22"/>
  <c r="K242" i="22" s="1"/>
  <c r="F71" i="23"/>
  <c r="F79" i="23" s="1"/>
  <c r="E81" i="23"/>
  <c r="E83" i="23" s="1"/>
  <c r="E89" i="23" s="1"/>
  <c r="L181" i="22" l="1"/>
  <c r="M178" i="22" s="1"/>
  <c r="G71" i="23"/>
  <c r="G79" i="23" s="1"/>
  <c r="F81" i="23"/>
  <c r="F83" i="23" s="1"/>
  <c r="F89" i="23" s="1"/>
  <c r="K15" i="23"/>
  <c r="K17" i="23" s="1"/>
  <c r="L227" i="22"/>
  <c r="L9" i="23"/>
  <c r="L15" i="23" s="1"/>
  <c r="L17" i="23" s="1"/>
  <c r="L41" i="22"/>
  <c r="L242" i="22" l="1"/>
  <c r="M181" i="22"/>
  <c r="N178" i="22" s="1"/>
  <c r="M227" i="22"/>
  <c r="M9" i="23"/>
  <c r="M15" i="23" s="1"/>
  <c r="M17" i="23" s="1"/>
  <c r="M41" i="22"/>
  <c r="H71" i="23"/>
  <c r="H79" i="23" s="1"/>
  <c r="G81" i="23"/>
  <c r="G83" i="23" s="1"/>
  <c r="G89" i="23" s="1"/>
  <c r="M242" i="22" l="1"/>
  <c r="I71" i="23"/>
  <c r="I79" i="23" s="1"/>
  <c r="N9" i="23" l="1"/>
  <c r="N15" i="23" s="1"/>
  <c r="N17" i="23" s="1"/>
  <c r="N41" i="22"/>
  <c r="N227" i="22"/>
  <c r="N181" i="22"/>
  <c r="O178" i="22" s="1"/>
  <c r="O41" i="22" s="1"/>
  <c r="J71" i="23"/>
  <c r="J79" i="23" s="1"/>
  <c r="N242" i="22" l="1"/>
  <c r="O242" i="22" s="1"/>
  <c r="O181" i="22"/>
  <c r="K71" i="23"/>
  <c r="K79" i="23" s="1"/>
  <c r="O227" i="22" l="1"/>
  <c r="O9" i="23"/>
  <c r="P180" i="22"/>
  <c r="P181" i="22" s="1"/>
  <c r="L71" i="23"/>
  <c r="L79" i="23" s="1"/>
  <c r="O15" i="23" l="1"/>
  <c r="O17" i="23" s="1"/>
  <c r="P9" i="23"/>
  <c r="P15" i="23" s="1"/>
  <c r="P17" i="23" s="1"/>
  <c r="P41" i="22"/>
  <c r="P227" i="22"/>
  <c r="M71" i="23"/>
  <c r="M79" i="23" s="1"/>
  <c r="N71" i="23" l="1"/>
  <c r="N79" i="23" s="1"/>
  <c r="O71" i="23" l="1"/>
  <c r="O79" i="23" l="1"/>
  <c r="P71" i="23"/>
  <c r="P79" i="23" l="1"/>
  <c r="O32" i="10" l="1"/>
  <c r="G23" i="57"/>
  <c r="H11" i="57" s="1"/>
  <c r="H23" i="57" s="1"/>
  <c r="I11" i="57" s="1"/>
  <c r="I23" i="57" s="1"/>
  <c r="J11" i="57" s="1"/>
  <c r="J23" i="57" s="1"/>
  <c r="K11" i="57" s="1"/>
  <c r="K23" i="57" s="1"/>
  <c r="L11" i="57" s="1"/>
  <c r="L23" i="57" s="1"/>
  <c r="M11" i="57" s="1"/>
  <c r="M23" i="57" s="1"/>
  <c r="N11" i="57" s="1"/>
  <c r="N23" i="57" s="1"/>
  <c r="G24" i="57"/>
  <c r="H12" i="57" s="1"/>
  <c r="H24" i="57" s="1"/>
  <c r="I12" i="57" s="1"/>
  <c r="I24" i="57" s="1"/>
  <c r="J12" i="57" s="1"/>
  <c r="J24" i="57" s="1"/>
  <c r="K12" i="57" s="1"/>
  <c r="K24" i="57" s="1"/>
  <c r="L12" i="57" s="1"/>
  <c r="L24" i="57" s="1"/>
  <c r="M12" i="57" s="1"/>
  <c r="M24" i="57" s="1"/>
  <c r="N12" i="57" s="1"/>
  <c r="N24" i="57" s="1"/>
  <c r="G13" i="57"/>
  <c r="G22" i="57"/>
  <c r="H10" i="57" s="1"/>
  <c r="O34" i="10" l="1"/>
  <c r="R32" i="10"/>
  <c r="G25" i="57"/>
  <c r="G27" i="57" s="1"/>
  <c r="H13" i="57"/>
  <c r="H22" i="57"/>
  <c r="G28" i="57" l="1"/>
  <c r="H5" i="14" s="1"/>
  <c r="H25" i="57"/>
  <c r="H27" i="57" s="1"/>
  <c r="I10" i="57"/>
  <c r="H32" i="14" l="1"/>
  <c r="H28" i="57"/>
  <c r="I13" i="57"/>
  <c r="I22" i="57"/>
  <c r="H28" i="14"/>
  <c r="H39" i="14"/>
  <c r="I32" i="14" l="1"/>
  <c r="I5" i="14"/>
  <c r="G42" i="19"/>
  <c r="G41" i="19" s="1"/>
  <c r="H41" i="14"/>
  <c r="H29" i="14"/>
  <c r="I25" i="57"/>
  <c r="I27" i="57" s="1"/>
  <c r="J10" i="57"/>
  <c r="I28" i="57" l="1"/>
  <c r="J13" i="57"/>
  <c r="J22" i="57"/>
  <c r="G11" i="19"/>
  <c r="H31" i="14"/>
  <c r="I28" i="14"/>
  <c r="I39" i="14"/>
  <c r="J32" i="14" l="1"/>
  <c r="J5" i="14"/>
  <c r="G13" i="19"/>
  <c r="G48" i="19"/>
  <c r="H68" i="7"/>
  <c r="H76" i="7" s="1"/>
  <c r="H42" i="19"/>
  <c r="H41" i="19" s="1"/>
  <c r="I41" i="14"/>
  <c r="J25" i="57"/>
  <c r="J27" i="57" s="1"/>
  <c r="K10" i="57"/>
  <c r="H34" i="14"/>
  <c r="I29" i="14"/>
  <c r="J28" i="57" l="1"/>
  <c r="H85" i="7"/>
  <c r="H91" i="7" s="1"/>
  <c r="H83" i="7"/>
  <c r="H89" i="7" s="1"/>
  <c r="H86" i="7"/>
  <c r="H92" i="7" s="1"/>
  <c r="H96" i="7" s="1"/>
  <c r="H84" i="7"/>
  <c r="H90" i="7" s="1"/>
  <c r="H82" i="7"/>
  <c r="H88" i="7" s="1"/>
  <c r="N153" i="7"/>
  <c r="M153" i="7" s="1"/>
  <c r="N152" i="7"/>
  <c r="M152" i="7" s="1"/>
  <c r="N151" i="7"/>
  <c r="H71" i="7"/>
  <c r="J28" i="14"/>
  <c r="J39" i="14"/>
  <c r="H191" i="22"/>
  <c r="H35" i="14"/>
  <c r="G58" i="19"/>
  <c r="G49" i="19"/>
  <c r="G62" i="19" s="1"/>
  <c r="G78" i="19" s="1"/>
  <c r="I31" i="14"/>
  <c r="H11" i="19"/>
  <c r="K22" i="57"/>
  <c r="K13" i="57"/>
  <c r="G31" i="19"/>
  <c r="G73" i="19" s="1"/>
  <c r="G74" i="19" s="1"/>
  <c r="G77" i="19" s="1"/>
  <c r="H100" i="7" l="1"/>
  <c r="H104" i="7"/>
  <c r="K32" i="14"/>
  <c r="K5" i="14"/>
  <c r="H94" i="7"/>
  <c r="H98" i="7" s="1"/>
  <c r="F237" i="74"/>
  <c r="M151" i="7"/>
  <c r="E237" i="74" s="1"/>
  <c r="E238" i="74"/>
  <c r="F238" i="74"/>
  <c r="E239" i="74"/>
  <c r="F239" i="74"/>
  <c r="H48" i="19"/>
  <c r="I68" i="7"/>
  <c r="I76" i="7" s="1"/>
  <c r="H72" i="7"/>
  <c r="H73" i="7"/>
  <c r="H192" i="22"/>
  <c r="H193" i="22" s="1"/>
  <c r="I190" i="22" s="1"/>
  <c r="H13" i="19"/>
  <c r="I34" i="14"/>
  <c r="I35" i="14" s="1"/>
  <c r="J41" i="14"/>
  <c r="I42" i="19"/>
  <c r="I41" i="19" s="1"/>
  <c r="L10" i="57"/>
  <c r="K25" i="57"/>
  <c r="K27" i="57" s="1"/>
  <c r="G66" i="19"/>
  <c r="G79" i="19" s="1"/>
  <c r="G63" i="19"/>
  <c r="G64" i="19"/>
  <c r="H45" i="14"/>
  <c r="H66" i="22"/>
  <c r="J29" i="14"/>
  <c r="K28" i="57" l="1"/>
  <c r="H95" i="7"/>
  <c r="H103" i="7" s="1"/>
  <c r="H102" i="7"/>
  <c r="I85" i="7"/>
  <c r="I91" i="7" s="1"/>
  <c r="I83" i="7"/>
  <c r="I89" i="7" s="1"/>
  <c r="I86" i="7"/>
  <c r="I92" i="7" s="1"/>
  <c r="I96" i="7" s="1"/>
  <c r="I84" i="7"/>
  <c r="I90" i="7" s="1"/>
  <c r="I82" i="7"/>
  <c r="I88" i="7" s="1"/>
  <c r="N156" i="7"/>
  <c r="M156" i="7" s="1"/>
  <c r="N155" i="7"/>
  <c r="M155" i="7" s="1"/>
  <c r="N154" i="7"/>
  <c r="G65" i="19"/>
  <c r="H44" i="22"/>
  <c r="H245" i="22" s="1"/>
  <c r="I45" i="14"/>
  <c r="I47" i="14" s="1"/>
  <c r="I66" i="22"/>
  <c r="K28" i="14"/>
  <c r="K29" i="14" s="1"/>
  <c r="H47" i="14"/>
  <c r="H48" i="14" s="1"/>
  <c r="I44" i="14" s="1"/>
  <c r="H31" i="19"/>
  <c r="H73" i="19" s="1"/>
  <c r="H74" i="19" s="1"/>
  <c r="H77" i="19" s="1"/>
  <c r="I71" i="7"/>
  <c r="J31" i="14"/>
  <c r="I11" i="19"/>
  <c r="I191" i="22"/>
  <c r="I192" i="22" s="1"/>
  <c r="I197" i="22" s="1"/>
  <c r="H58" i="19"/>
  <c r="H49" i="19"/>
  <c r="H62" i="19" s="1"/>
  <c r="H78" i="19" s="1"/>
  <c r="H68" i="22"/>
  <c r="H69" i="22" s="1"/>
  <c r="I65" i="22" s="1"/>
  <c r="L13" i="57"/>
  <c r="L22" i="57"/>
  <c r="H197" i="22"/>
  <c r="H99" i="7" l="1"/>
  <c r="I104" i="7"/>
  <c r="I100" i="7"/>
  <c r="L32" i="14"/>
  <c r="L5" i="14"/>
  <c r="I94" i="7"/>
  <c r="I102" i="7" s="1"/>
  <c r="F240" i="74"/>
  <c r="M154" i="7"/>
  <c r="E240" i="74" s="1"/>
  <c r="E241" i="74"/>
  <c r="F241" i="74"/>
  <c r="E242" i="74"/>
  <c r="F242" i="74"/>
  <c r="K39" i="14"/>
  <c r="K41" i="14" s="1"/>
  <c r="I48" i="14"/>
  <c r="J44" i="14" s="1"/>
  <c r="H22" i="22"/>
  <c r="H37" i="22" s="1"/>
  <c r="J11" i="19"/>
  <c r="J13" i="19" s="1"/>
  <c r="J31" i="19" s="1"/>
  <c r="J73" i="19" s="1"/>
  <c r="J74" i="19" s="1"/>
  <c r="J77" i="19" s="1"/>
  <c r="K31" i="14"/>
  <c r="I45" i="22"/>
  <c r="I48" i="19"/>
  <c r="J68" i="7"/>
  <c r="J76" i="7" s="1"/>
  <c r="I73" i="7"/>
  <c r="I72" i="7"/>
  <c r="H66" i="19"/>
  <c r="H79" i="19" s="1"/>
  <c r="H63" i="19"/>
  <c r="H64" i="19"/>
  <c r="J34" i="14"/>
  <c r="J35" i="14" s="1"/>
  <c r="H199" i="22"/>
  <c r="I196" i="22" s="1"/>
  <c r="I199" i="22" s="1"/>
  <c r="J196" i="22" s="1"/>
  <c r="H45" i="22"/>
  <c r="M10" i="57"/>
  <c r="L25" i="57"/>
  <c r="L27" i="57" s="1"/>
  <c r="I13" i="19"/>
  <c r="I68" i="22"/>
  <c r="H228" i="22"/>
  <c r="H18" i="23"/>
  <c r="H158" i="22"/>
  <c r="H19" i="23"/>
  <c r="I44" i="22"/>
  <c r="I245" i="22" s="1"/>
  <c r="I193" i="22"/>
  <c r="J190" i="22" s="1"/>
  <c r="I95" i="7" l="1"/>
  <c r="I103" i="7" s="1"/>
  <c r="L28" i="57"/>
  <c r="I98" i="7"/>
  <c r="J85" i="7"/>
  <c r="J91" i="7" s="1"/>
  <c r="J83" i="7"/>
  <c r="J89" i="7" s="1"/>
  <c r="J86" i="7"/>
  <c r="J92" i="7" s="1"/>
  <c r="J96" i="7" s="1"/>
  <c r="J84" i="7"/>
  <c r="J90" i="7" s="1"/>
  <c r="J82" i="7"/>
  <c r="J88" i="7" s="1"/>
  <c r="J42" i="19"/>
  <c r="J41" i="19" s="1"/>
  <c r="N159" i="7"/>
  <c r="M159" i="7" s="1"/>
  <c r="N158" i="7"/>
  <c r="M158" i="7" s="1"/>
  <c r="N157" i="7"/>
  <c r="H65" i="19"/>
  <c r="M13" i="57"/>
  <c r="M22" i="57"/>
  <c r="J191" i="22"/>
  <c r="J192" i="22" s="1"/>
  <c r="J193" i="22" s="1"/>
  <c r="K190" i="22" s="1"/>
  <c r="L28" i="14"/>
  <c r="L29" i="14" s="1"/>
  <c r="J45" i="14"/>
  <c r="J66" i="22"/>
  <c r="H246" i="22"/>
  <c r="I246" i="22" s="1"/>
  <c r="I22" i="22"/>
  <c r="J71" i="7"/>
  <c r="K34" i="14"/>
  <c r="K191" i="22" s="1"/>
  <c r="H159" i="22"/>
  <c r="H22" i="23"/>
  <c r="H37" i="23" s="1"/>
  <c r="I58" i="19"/>
  <c r="I49" i="19"/>
  <c r="I62" i="19" s="1"/>
  <c r="I78" i="19" s="1"/>
  <c r="I18" i="23"/>
  <c r="I228" i="22"/>
  <c r="I158" i="22"/>
  <c r="I19" i="23"/>
  <c r="H229" i="22"/>
  <c r="I31" i="19"/>
  <c r="I73" i="19" s="1"/>
  <c r="I74" i="19" s="1"/>
  <c r="I77" i="19" s="1"/>
  <c r="I69" i="22"/>
  <c r="J65" i="22" s="1"/>
  <c r="I99" i="7" l="1"/>
  <c r="J100" i="7"/>
  <c r="J104" i="7"/>
  <c r="M32" i="14"/>
  <c r="M5" i="14"/>
  <c r="J94" i="7"/>
  <c r="F243" i="74"/>
  <c r="M157" i="7"/>
  <c r="E243" i="74" s="1"/>
  <c r="E244" i="74"/>
  <c r="F244" i="74"/>
  <c r="E245" i="74"/>
  <c r="F245" i="74"/>
  <c r="L39" i="14"/>
  <c r="L41" i="14" s="1"/>
  <c r="I22" i="23"/>
  <c r="I37" i="23" s="1"/>
  <c r="I38" i="23" s="1"/>
  <c r="I69" i="23" s="1"/>
  <c r="K35" i="14"/>
  <c r="K45" i="14" s="1"/>
  <c r="K47" i="14" s="1"/>
  <c r="K192" i="22"/>
  <c r="K197" i="22" s="1"/>
  <c r="J73" i="7"/>
  <c r="J72" i="7"/>
  <c r="L31" i="14"/>
  <c r="K11" i="19"/>
  <c r="I37" i="22"/>
  <c r="I159" i="22" s="1"/>
  <c r="J44" i="22"/>
  <c r="I226" i="22"/>
  <c r="I229" i="22" s="1"/>
  <c r="J48" i="19"/>
  <c r="K68" i="7"/>
  <c r="K76" i="7" s="1"/>
  <c r="M25" i="57"/>
  <c r="M27" i="57" s="1"/>
  <c r="N10" i="57"/>
  <c r="I64" i="19"/>
  <c r="I63" i="19"/>
  <c r="I66" i="19"/>
  <c r="I79" i="19" s="1"/>
  <c r="J197" i="22"/>
  <c r="H38" i="23"/>
  <c r="H69" i="23" s="1"/>
  <c r="H80" i="23"/>
  <c r="J68" i="22"/>
  <c r="J69" i="22" s="1"/>
  <c r="K65" i="22" s="1"/>
  <c r="J47" i="14"/>
  <c r="M28" i="57" l="1"/>
  <c r="J102" i="7"/>
  <c r="J95" i="7"/>
  <c r="J98" i="7"/>
  <c r="K86" i="7"/>
  <c r="K92" i="7" s="1"/>
  <c r="K96" i="7" s="1"/>
  <c r="K84" i="7"/>
  <c r="K90" i="7" s="1"/>
  <c r="K82" i="7"/>
  <c r="K88" i="7" s="1"/>
  <c r="K85" i="7"/>
  <c r="K91" i="7" s="1"/>
  <c r="K83" i="7"/>
  <c r="K89" i="7" s="1"/>
  <c r="K42" i="19"/>
  <c r="I65" i="19"/>
  <c r="K44" i="22"/>
  <c r="K193" i="22"/>
  <c r="L190" i="22" s="1"/>
  <c r="K66" i="22"/>
  <c r="K68" i="22" s="1"/>
  <c r="K69" i="22" s="1"/>
  <c r="L65" i="22" s="1"/>
  <c r="N162" i="7"/>
  <c r="M162" i="7" s="1"/>
  <c r="K71" i="7"/>
  <c r="N161" i="7"/>
  <c r="M161" i="7" s="1"/>
  <c r="N160" i="7"/>
  <c r="L34" i="14"/>
  <c r="L35" i="14" s="1"/>
  <c r="J45" i="22"/>
  <c r="J199" i="22"/>
  <c r="K196" i="22" s="1"/>
  <c r="K199" i="22" s="1"/>
  <c r="L196" i="22" s="1"/>
  <c r="J58" i="19"/>
  <c r="J49" i="19"/>
  <c r="J62" i="19" s="1"/>
  <c r="J78" i="19" s="1"/>
  <c r="J245" i="22"/>
  <c r="M28" i="14"/>
  <c r="M29" i="14" s="1"/>
  <c r="J18" i="23"/>
  <c r="J19" i="23"/>
  <c r="J228" i="22"/>
  <c r="J158" i="22"/>
  <c r="J22" i="22"/>
  <c r="J48" i="14"/>
  <c r="K44" i="14" s="1"/>
  <c r="K48" i="14" s="1"/>
  <c r="L44" i="14" s="1"/>
  <c r="N13" i="57"/>
  <c r="N22" i="57"/>
  <c r="N25" i="57" s="1"/>
  <c r="N27" i="57" s="1"/>
  <c r="O28" i="57" s="1"/>
  <c r="J226" i="22"/>
  <c r="H81" i="23"/>
  <c r="H83" i="23" s="1"/>
  <c r="I72" i="23"/>
  <c r="I80" i="23" s="1"/>
  <c r="K13" i="19"/>
  <c r="K45" i="22"/>
  <c r="K41" i="19" l="1"/>
  <c r="L68" i="7" s="1"/>
  <c r="K104" i="7"/>
  <c r="K100" i="7"/>
  <c r="N28" i="57"/>
  <c r="O5" i="14" s="1"/>
  <c r="N5" i="14"/>
  <c r="N32" i="14"/>
  <c r="K94" i="7"/>
  <c r="J99" i="7"/>
  <c r="J103" i="7"/>
  <c r="K245" i="22"/>
  <c r="F246" i="74"/>
  <c r="M160" i="7"/>
  <c r="E246" i="74" s="1"/>
  <c r="E247" i="74"/>
  <c r="F247" i="74"/>
  <c r="E248" i="74"/>
  <c r="F248" i="74"/>
  <c r="K73" i="7"/>
  <c r="K72" i="7"/>
  <c r="M39" i="14"/>
  <c r="L42" i="19" s="1"/>
  <c r="L41" i="19" s="1"/>
  <c r="L11" i="19"/>
  <c r="M31" i="14"/>
  <c r="K31" i="19"/>
  <c r="K73" i="19" s="1"/>
  <c r="K74" i="19" s="1"/>
  <c r="K77" i="19" s="1"/>
  <c r="J246" i="22"/>
  <c r="K246" i="22" s="1"/>
  <c r="J37" i="22"/>
  <c r="J159" i="22" s="1"/>
  <c r="K18" i="23"/>
  <c r="K19" i="23"/>
  <c r="K158" i="22"/>
  <c r="K228" i="22"/>
  <c r="I81" i="23"/>
  <c r="I83" i="23" s="1"/>
  <c r="J72" i="23"/>
  <c r="J229" i="22"/>
  <c r="K48" i="19"/>
  <c r="K22" i="22"/>
  <c r="K37" i="22" s="1"/>
  <c r="L45" i="14"/>
  <c r="L66" i="22"/>
  <c r="H89" i="23"/>
  <c r="J22" i="23"/>
  <c r="J37" i="23" s="1"/>
  <c r="J38" i="23" s="1"/>
  <c r="J69" i="23" s="1"/>
  <c r="J64" i="19"/>
  <c r="J63" i="19"/>
  <c r="J66" i="19"/>
  <c r="J79" i="19" s="1"/>
  <c r="L191" i="22"/>
  <c r="L76" i="7" l="1"/>
  <c r="N163" i="7"/>
  <c r="M163" i="7" s="1"/>
  <c r="E249" i="74" s="1"/>
  <c r="N165" i="7"/>
  <c r="M165" i="7" s="1"/>
  <c r="E251" i="74" s="1"/>
  <c r="N164" i="7"/>
  <c r="M164" i="7" s="1"/>
  <c r="E250" i="74" s="1"/>
  <c r="O32" i="14"/>
  <c r="P32" i="14" s="1"/>
  <c r="K95" i="7"/>
  <c r="K98" i="7"/>
  <c r="K102" i="7"/>
  <c r="M41" i="14"/>
  <c r="J80" i="23"/>
  <c r="J81" i="23" s="1"/>
  <c r="J83" i="23" s="1"/>
  <c r="J65" i="19"/>
  <c r="K159" i="22"/>
  <c r="L68" i="22"/>
  <c r="L69" i="22" s="1"/>
  <c r="M65" i="22" s="1"/>
  <c r="K226" i="22"/>
  <c r="K229" i="22" s="1"/>
  <c r="K22" i="23"/>
  <c r="K37" i="23" s="1"/>
  <c r="K38" i="23" s="1"/>
  <c r="K69" i="23" s="1"/>
  <c r="O28" i="14"/>
  <c r="O29" i="14" s="1"/>
  <c r="P5" i="14"/>
  <c r="K58" i="19"/>
  <c r="K49" i="19"/>
  <c r="K62" i="19" s="1"/>
  <c r="K78" i="19" s="1"/>
  <c r="L47" i="14"/>
  <c r="I89" i="23"/>
  <c r="N28" i="14"/>
  <c r="N29" i="14" s="1"/>
  <c r="L48" i="19"/>
  <c r="M68" i="7"/>
  <c r="M76" i="7" s="1"/>
  <c r="L192" i="22"/>
  <c r="L44" i="22" s="1"/>
  <c r="M34" i="14"/>
  <c r="M35" i="14" s="1"/>
  <c r="L71" i="7"/>
  <c r="L13" i="19"/>
  <c r="F250" i="74" l="1"/>
  <c r="F249" i="74"/>
  <c r="F251" i="74"/>
  <c r="L85" i="7"/>
  <c r="L91" i="7" s="1"/>
  <c r="L86" i="7"/>
  <c r="L92" i="7" s="1"/>
  <c r="L96" i="7" s="1"/>
  <c r="L84" i="7"/>
  <c r="L90" i="7" s="1"/>
  <c r="L82" i="7"/>
  <c r="L88" i="7" s="1"/>
  <c r="L83" i="7"/>
  <c r="L89" i="7" s="1"/>
  <c r="K99" i="7"/>
  <c r="K103" i="7"/>
  <c r="O39" i="14"/>
  <c r="N42" i="19" s="1"/>
  <c r="M86" i="7"/>
  <c r="M92" i="7" s="1"/>
  <c r="M96" i="7" s="1"/>
  <c r="M84" i="7"/>
  <c r="M90" i="7" s="1"/>
  <c r="M82" i="7"/>
  <c r="M88" i="7" s="1"/>
  <c r="M85" i="7"/>
  <c r="M91" i="7" s="1"/>
  <c r="M83" i="7"/>
  <c r="M89" i="7" s="1"/>
  <c r="N39" i="14"/>
  <c r="M42" i="19" s="1"/>
  <c r="M41" i="19" s="1"/>
  <c r="N167" i="7"/>
  <c r="M167" i="7" s="1"/>
  <c r="N166" i="7"/>
  <c r="M166" i="7" s="1"/>
  <c r="N168" i="7"/>
  <c r="M168" i="7" s="1"/>
  <c r="K72" i="23"/>
  <c r="K80" i="23" s="1"/>
  <c r="L72" i="23" s="1"/>
  <c r="L193" i="22"/>
  <c r="M190" i="22" s="1"/>
  <c r="M45" i="14"/>
  <c r="M66" i="22"/>
  <c r="M11" i="19"/>
  <c r="M13" i="19" s="1"/>
  <c r="M31" i="19" s="1"/>
  <c r="M73" i="19" s="1"/>
  <c r="M74" i="19" s="1"/>
  <c r="M77" i="19" s="1"/>
  <c r="N31" i="14"/>
  <c r="K66" i="19"/>
  <c r="K79" i="19" s="1"/>
  <c r="K63" i="19"/>
  <c r="K64" i="19"/>
  <c r="L226" i="22"/>
  <c r="L73" i="7"/>
  <c r="L72" i="7"/>
  <c r="L31" i="19"/>
  <c r="L73" i="19" s="1"/>
  <c r="L74" i="19" s="1"/>
  <c r="L77" i="19" s="1"/>
  <c r="M71" i="7"/>
  <c r="L158" i="22"/>
  <c r="L18" i="23"/>
  <c r="L228" i="22"/>
  <c r="L19" i="23"/>
  <c r="O31" i="14"/>
  <c r="N11" i="19"/>
  <c r="L22" i="22"/>
  <c r="L245" i="22"/>
  <c r="M191" i="22"/>
  <c r="L58" i="19"/>
  <c r="L49" i="19"/>
  <c r="L62" i="19" s="1"/>
  <c r="L78" i="19" s="1"/>
  <c r="J89" i="23"/>
  <c r="P28" i="14"/>
  <c r="P29" i="14" s="1"/>
  <c r="L197" i="22"/>
  <c r="L48" i="14"/>
  <c r="M44" i="14" s="1"/>
  <c r="L94" i="7" l="1"/>
  <c r="L100" i="7"/>
  <c r="L104" i="7"/>
  <c r="M104" i="7"/>
  <c r="M100" i="7"/>
  <c r="O41" i="14"/>
  <c r="M94" i="7"/>
  <c r="E254" i="74"/>
  <c r="F254" i="74"/>
  <c r="E252" i="74"/>
  <c r="F252" i="74"/>
  <c r="E253" i="74"/>
  <c r="F253" i="74"/>
  <c r="P39" i="14"/>
  <c r="P41" i="14" s="1"/>
  <c r="N41" i="14"/>
  <c r="K81" i="23"/>
  <c r="K83" i="23" s="1"/>
  <c r="K89" i="23" s="1"/>
  <c r="K90" i="23" s="1"/>
  <c r="M192" i="22"/>
  <c r="M197" i="22" s="1"/>
  <c r="M45" i="22" s="1"/>
  <c r="K65" i="19"/>
  <c r="M72" i="7"/>
  <c r="M73" i="7"/>
  <c r="M48" i="19"/>
  <c r="N68" i="7"/>
  <c r="N76" i="7" s="1"/>
  <c r="L64" i="19"/>
  <c r="L63" i="19"/>
  <c r="L66" i="19"/>
  <c r="L79" i="19" s="1"/>
  <c r="L22" i="23"/>
  <c r="L37" i="23" s="1"/>
  <c r="L38" i="23" s="1"/>
  <c r="L69" i="23" s="1"/>
  <c r="N34" i="14"/>
  <c r="N191" i="22" s="1"/>
  <c r="L45" i="22"/>
  <c r="L199" i="22"/>
  <c r="M196" i="22" s="1"/>
  <c r="L37" i="22"/>
  <c r="L159" i="22" s="1"/>
  <c r="L229" i="22"/>
  <c r="N13" i="19"/>
  <c r="O11" i="19"/>
  <c r="M68" i="22"/>
  <c r="O42" i="19"/>
  <c r="O34" i="14"/>
  <c r="O35" i="14" s="1"/>
  <c r="P31" i="14"/>
  <c r="M47" i="14"/>
  <c r="M48" i="14" s="1"/>
  <c r="N44" i="14" s="1"/>
  <c r="L98" i="7" l="1"/>
  <c r="L102" i="7"/>
  <c r="L95" i="7"/>
  <c r="M98" i="7"/>
  <c r="M102" i="7"/>
  <c r="M95" i="7"/>
  <c r="N86" i="7"/>
  <c r="N92" i="7" s="1"/>
  <c r="N96" i="7" s="1"/>
  <c r="N84" i="7"/>
  <c r="N90" i="7" s="1"/>
  <c r="N82" i="7"/>
  <c r="N88" i="7" s="1"/>
  <c r="N85" i="7"/>
  <c r="N91" i="7" s="1"/>
  <c r="N83" i="7"/>
  <c r="N89" i="7" s="1"/>
  <c r="M44" i="22"/>
  <c r="M245" i="22" s="1"/>
  <c r="N35" i="14"/>
  <c r="N66" i="22" s="1"/>
  <c r="M199" i="22"/>
  <c r="N196" i="22" s="1"/>
  <c r="L65" i="19"/>
  <c r="N171" i="7"/>
  <c r="M171" i="7" s="1"/>
  <c r="N169" i="7"/>
  <c r="M169" i="7" s="1"/>
  <c r="N170" i="7"/>
  <c r="M170" i="7" s="1"/>
  <c r="M193" i="22"/>
  <c r="N190" i="22" s="1"/>
  <c r="N192" i="22" s="1"/>
  <c r="P11" i="19"/>
  <c r="O13" i="19"/>
  <c r="N71" i="7"/>
  <c r="L80" i="23"/>
  <c r="M58" i="19"/>
  <c r="M49" i="19"/>
  <c r="M62" i="19" s="1"/>
  <c r="M78" i="19" s="1"/>
  <c r="O191" i="22"/>
  <c r="P34" i="14"/>
  <c r="M18" i="23"/>
  <c r="M158" i="22"/>
  <c r="M19" i="23"/>
  <c r="M228" i="22"/>
  <c r="M69" i="22"/>
  <c r="N65" i="22" s="1"/>
  <c r="M22" i="22"/>
  <c r="M37" i="22" s="1"/>
  <c r="N47" i="19"/>
  <c r="N41" i="19" s="1"/>
  <c r="N28" i="19"/>
  <c r="L246" i="22"/>
  <c r="M246" i="22" s="1"/>
  <c r="O66" i="22"/>
  <c r="O45" i="14"/>
  <c r="M226" i="22"/>
  <c r="L99" i="7" l="1"/>
  <c r="L103" i="7"/>
  <c r="N100" i="7"/>
  <c r="N104" i="7"/>
  <c r="M99" i="7"/>
  <c r="M103" i="7"/>
  <c r="N94" i="7"/>
  <c r="N45" i="14"/>
  <c r="N47" i="14" s="1"/>
  <c r="P35" i="14"/>
  <c r="E257" i="74"/>
  <c r="F257" i="74"/>
  <c r="E256" i="74"/>
  <c r="F256" i="74"/>
  <c r="E255" i="74"/>
  <c r="F255" i="74"/>
  <c r="N197" i="22"/>
  <c r="N199" i="22" s="1"/>
  <c r="O196" i="22" s="1"/>
  <c r="N193" i="22"/>
  <c r="O190" i="22" s="1"/>
  <c r="O192" i="22" s="1"/>
  <c r="O44" i="22" s="1"/>
  <c r="N44" i="22"/>
  <c r="N245" i="22" s="1"/>
  <c r="O245" i="22" s="1"/>
  <c r="N73" i="7"/>
  <c r="N72" i="7"/>
  <c r="N68" i="22"/>
  <c r="P66" i="22"/>
  <c r="M64" i="19"/>
  <c r="M63" i="19"/>
  <c r="M66" i="19"/>
  <c r="M79" i="19" s="1"/>
  <c r="O113" i="22"/>
  <c r="O28" i="19"/>
  <c r="L81" i="23"/>
  <c r="L83" i="23" s="1"/>
  <c r="M72" i="23"/>
  <c r="O47" i="19"/>
  <c r="O41" i="19" s="1"/>
  <c r="N31" i="19"/>
  <c r="N73" i="19" s="1"/>
  <c r="N74" i="19" s="1"/>
  <c r="N77" i="19" s="1"/>
  <c r="M22" i="23"/>
  <c r="M37" i="23" s="1"/>
  <c r="M38" i="23" s="1"/>
  <c r="M69" i="23" s="1"/>
  <c r="O47" i="14"/>
  <c r="P191" i="22"/>
  <c r="M159" i="22"/>
  <c r="M229" i="22"/>
  <c r="O68" i="22"/>
  <c r="O48" i="19" l="1"/>
  <c r="O73" i="19"/>
  <c r="O31" i="19"/>
  <c r="N98" i="7"/>
  <c r="N102" i="7"/>
  <c r="N95" i="7"/>
  <c r="N48" i="14"/>
  <c r="O44" i="14" s="1"/>
  <c r="O48" i="14" s="1"/>
  <c r="P45" i="14"/>
  <c r="P47" i="14"/>
  <c r="N45" i="22"/>
  <c r="N246" i="22" s="1"/>
  <c r="P44" i="22"/>
  <c r="M65" i="19"/>
  <c r="M80" i="23"/>
  <c r="N72" i="23" s="1"/>
  <c r="L89" i="23"/>
  <c r="L90" i="23" s="1"/>
  <c r="N18" i="23"/>
  <c r="N19" i="23"/>
  <c r="N228" i="22"/>
  <c r="N158" i="22"/>
  <c r="N22" i="22"/>
  <c r="N37" i="22" s="1"/>
  <c r="N226" i="22"/>
  <c r="O197" i="22"/>
  <c r="P192" i="22"/>
  <c r="P193" i="22" s="1"/>
  <c r="O18" i="23"/>
  <c r="O19" i="23"/>
  <c r="O228" i="22"/>
  <c r="P68" i="22"/>
  <c r="P69" i="22" s="1"/>
  <c r="O158" i="22"/>
  <c r="P113" i="22"/>
  <c r="P116" i="22" s="1"/>
  <c r="O116" i="22"/>
  <c r="O30" i="22"/>
  <c r="O22" i="22"/>
  <c r="O193" i="22"/>
  <c r="N48" i="19"/>
  <c r="O68" i="7"/>
  <c r="O76" i="7" s="1"/>
  <c r="N69" i="22"/>
  <c r="O65" i="22" s="1"/>
  <c r="O69" i="22" s="1"/>
  <c r="O49" i="19" l="1"/>
  <c r="O62" i="19" s="1"/>
  <c r="O58" i="19"/>
  <c r="O74" i="19"/>
  <c r="O77" i="19" s="1"/>
  <c r="N99" i="7"/>
  <c r="N103" i="7"/>
  <c r="O85" i="7"/>
  <c r="O91" i="7" s="1"/>
  <c r="O83" i="7"/>
  <c r="O89" i="7" s="1"/>
  <c r="O86" i="7"/>
  <c r="O92" i="7" s="1"/>
  <c r="O96" i="7" s="1"/>
  <c r="O84" i="7"/>
  <c r="O90" i="7" s="1"/>
  <c r="O82" i="7"/>
  <c r="O88" i="7" s="1"/>
  <c r="P48" i="14"/>
  <c r="M81" i="23"/>
  <c r="M83" i="23" s="1"/>
  <c r="M89" i="23" s="1"/>
  <c r="M90" i="23" s="1"/>
  <c r="N172" i="7"/>
  <c r="M172" i="7" s="1"/>
  <c r="N174" i="7"/>
  <c r="N173" i="7"/>
  <c r="M173" i="7" s="1"/>
  <c r="P19" i="23"/>
  <c r="N22" i="23"/>
  <c r="N37" i="23" s="1"/>
  <c r="N38" i="23" s="1"/>
  <c r="N69" i="23" s="1"/>
  <c r="P228" i="22"/>
  <c r="P229" i="22" s="1"/>
  <c r="N58" i="19"/>
  <c r="N49" i="19"/>
  <c r="N62" i="19" s="1"/>
  <c r="N78" i="19" s="1"/>
  <c r="O22" i="23"/>
  <c r="O37" i="23" s="1"/>
  <c r="O38" i="23" s="1"/>
  <c r="O69" i="23" s="1"/>
  <c r="P18" i="23"/>
  <c r="P30" i="22"/>
  <c r="O269" i="22"/>
  <c r="N229" i="22"/>
  <c r="P158" i="22"/>
  <c r="O45" i="22"/>
  <c r="P197" i="22"/>
  <c r="P199" i="22" s="1"/>
  <c r="O199" i="22"/>
  <c r="O37" i="22"/>
  <c r="O159" i="22" s="1"/>
  <c r="P22" i="22"/>
  <c r="O71" i="7"/>
  <c r="P68" i="7"/>
  <c r="P76" i="7" s="1"/>
  <c r="N159" i="22"/>
  <c r="O78" i="19" l="1"/>
  <c r="O64" i="19"/>
  <c r="O63" i="19"/>
  <c r="O65" i="19" s="1"/>
  <c r="O66" i="19"/>
  <c r="O79" i="19" s="1"/>
  <c r="O104" i="7"/>
  <c r="O100" i="7"/>
  <c r="O94" i="7"/>
  <c r="P82" i="7"/>
  <c r="P85" i="7"/>
  <c r="P83" i="7"/>
  <c r="P84" i="7"/>
  <c r="P86" i="7"/>
  <c r="F260" i="74"/>
  <c r="M174" i="7"/>
  <c r="E260" i="74" s="1"/>
  <c r="P37" i="22"/>
  <c r="P159" i="22" s="1"/>
  <c r="E259" i="74"/>
  <c r="F259" i="74"/>
  <c r="E258" i="74"/>
  <c r="F258" i="74"/>
  <c r="P22" i="23"/>
  <c r="P37" i="23" s="1"/>
  <c r="P38" i="23" s="1"/>
  <c r="P69" i="23" s="1"/>
  <c r="N175" i="7"/>
  <c r="M175" i="7" s="1"/>
  <c r="N80" i="23"/>
  <c r="O72" i="23" s="1"/>
  <c r="O80" i="23" s="1"/>
  <c r="N63" i="19"/>
  <c r="N66" i="19"/>
  <c r="N79" i="19" s="1"/>
  <c r="N64" i="19"/>
  <c r="O73" i="7"/>
  <c r="O72" i="7"/>
  <c r="R71" i="7"/>
  <c r="O246" i="22"/>
  <c r="P45" i="22"/>
  <c r="P71" i="7"/>
  <c r="K64" i="7" s="1"/>
  <c r="O226" i="22"/>
  <c r="O229" i="22" s="1"/>
  <c r="N65" i="19" l="1"/>
  <c r="O98" i="7"/>
  <c r="O102" i="7"/>
  <c r="O95" i="7"/>
  <c r="F223" i="74"/>
  <c r="N176" i="7"/>
  <c r="N81" i="23"/>
  <c r="N83" i="23" s="1"/>
  <c r="N89" i="23" s="1"/>
  <c r="N90" i="23" s="1"/>
  <c r="E292" i="57"/>
  <c r="R72" i="7"/>
  <c r="R73" i="7"/>
  <c r="L163" i="22"/>
  <c r="H163" i="22"/>
  <c r="N163" i="22"/>
  <c r="H64" i="7"/>
  <c r="F163" i="22"/>
  <c r="E163" i="22"/>
  <c r="J163" i="22"/>
  <c r="I64" i="7"/>
  <c r="G163" i="22"/>
  <c r="G164" i="22"/>
  <c r="K163" i="22"/>
  <c r="F164" i="22"/>
  <c r="E164" i="22"/>
  <c r="O163" i="22"/>
  <c r="M163" i="22"/>
  <c r="F64" i="7"/>
  <c r="H164" i="22"/>
  <c r="J64" i="7"/>
  <c r="K65" i="7" s="1"/>
  <c r="J9" i="19" s="1"/>
  <c r="D163" i="22"/>
  <c r="O164" i="22"/>
  <c r="K164" i="22"/>
  <c r="I163" i="22"/>
  <c r="G64" i="7"/>
  <c r="D64" i="7"/>
  <c r="J164" i="22"/>
  <c r="I164" i="22"/>
  <c r="M164" i="22"/>
  <c r="L164" i="22"/>
  <c r="D164" i="22"/>
  <c r="N164" i="22"/>
  <c r="E64" i="7"/>
  <c r="P73" i="7"/>
  <c r="Y80" i="7" s="1"/>
  <c r="P64" i="7"/>
  <c r="P72" i="7"/>
  <c r="C64" i="7"/>
  <c r="O81" i="23"/>
  <c r="O83" i="23" s="1"/>
  <c r="P72" i="23"/>
  <c r="P80" i="23"/>
  <c r="P81" i="23" s="1"/>
  <c r="P83" i="23" s="1"/>
  <c r="O99" i="7" l="1"/>
  <c r="O103" i="7"/>
  <c r="M215" i="22"/>
  <c r="M217" i="22" s="1"/>
  <c r="J215" i="22"/>
  <c r="J217" i="22" s="1"/>
  <c r="E215" i="22"/>
  <c r="E217" i="22" s="1"/>
  <c r="O215" i="22"/>
  <c r="O217" i="22" s="1"/>
  <c r="N215" i="22"/>
  <c r="N217" i="22" s="1"/>
  <c r="L215" i="22"/>
  <c r="L217" i="22" s="1"/>
  <c r="E39" i="22"/>
  <c r="E49" i="22" s="1"/>
  <c r="E50" i="22" s="1"/>
  <c r="I39" i="22"/>
  <c r="I49" i="22" s="1"/>
  <c r="I50" i="22" s="1"/>
  <c r="H39" i="22"/>
  <c r="H49" i="22" s="1"/>
  <c r="H50" i="22" s="1"/>
  <c r="F65" i="7"/>
  <c r="G39" i="22"/>
  <c r="G49" i="22" s="1"/>
  <c r="G50" i="22" s="1"/>
  <c r="K215" i="22"/>
  <c r="K217" i="22" s="1"/>
  <c r="I65" i="7"/>
  <c r="F39" i="22"/>
  <c r="F49" i="22" s="1"/>
  <c r="F50" i="22" s="1"/>
  <c r="G215" i="22"/>
  <c r="L39" i="22"/>
  <c r="L49" i="22" s="1"/>
  <c r="L50" i="22" s="1"/>
  <c r="D215" i="22"/>
  <c r="P164" i="22"/>
  <c r="O89" i="23"/>
  <c r="O90" i="23" s="1"/>
  <c r="I215" i="22"/>
  <c r="M39" i="22"/>
  <c r="M49" i="22" s="1"/>
  <c r="M50" i="22" s="1"/>
  <c r="J39" i="22"/>
  <c r="J49" i="22" s="1"/>
  <c r="J50" i="22" s="1"/>
  <c r="O39" i="22"/>
  <c r="O49" i="22" s="1"/>
  <c r="O50" i="22" s="1"/>
  <c r="D65" i="7"/>
  <c r="C9" i="19" s="1"/>
  <c r="D39" i="22"/>
  <c r="P163" i="22"/>
  <c r="D169" i="22"/>
  <c r="E162" i="22" s="1"/>
  <c r="E169" i="22" s="1"/>
  <c r="F162" i="22" s="1"/>
  <c r="F169" i="22" s="1"/>
  <c r="G162" i="22" s="1"/>
  <c r="G169" i="22" s="1"/>
  <c r="H162" i="22" s="1"/>
  <c r="H169" i="22" s="1"/>
  <c r="I162" i="22" s="1"/>
  <c r="I169" i="22" s="1"/>
  <c r="J162" i="22" s="1"/>
  <c r="J169" i="22" s="1"/>
  <c r="K162" i="22" s="1"/>
  <c r="K169" i="22" s="1"/>
  <c r="L162" i="22" s="1"/>
  <c r="L169" i="22" s="1"/>
  <c r="M162" i="22" s="1"/>
  <c r="M169" i="22" s="1"/>
  <c r="N162" i="22" s="1"/>
  <c r="N169" i="22" s="1"/>
  <c r="O162" i="22" s="1"/>
  <c r="O169" i="22" s="1"/>
  <c r="E65" i="7"/>
  <c r="J65" i="7"/>
  <c r="F215" i="22"/>
  <c r="H65" i="7"/>
  <c r="P87" i="23"/>
  <c r="P89" i="23"/>
  <c r="G65" i="7"/>
  <c r="H215" i="22"/>
  <c r="K39" i="22"/>
  <c r="K49" i="22" s="1"/>
  <c r="K50" i="22" s="1"/>
  <c r="N39" i="22"/>
  <c r="N49" i="22" s="1"/>
  <c r="N50" i="22" s="1"/>
  <c r="I9" i="19" l="1"/>
  <c r="I10" i="19" s="1"/>
  <c r="H9" i="19"/>
  <c r="H10" i="19" s="1"/>
  <c r="D9" i="19"/>
  <c r="D10" i="19" s="1"/>
  <c r="E9" i="19"/>
  <c r="E10" i="19" s="1"/>
  <c r="E14" i="19" s="1"/>
  <c r="E17" i="19" s="1"/>
  <c r="E23" i="19" s="1"/>
  <c r="E27" i="19" s="1"/>
  <c r="F9" i="19"/>
  <c r="F10" i="19" s="1"/>
  <c r="G9" i="19"/>
  <c r="G10" i="19" s="1"/>
  <c r="E216" i="22"/>
  <c r="M216" i="22"/>
  <c r="O216" i="22"/>
  <c r="P169" i="22"/>
  <c r="P215" i="22" s="1"/>
  <c r="P217" i="22" s="1"/>
  <c r="L216" i="22"/>
  <c r="K216" i="22"/>
  <c r="I216" i="22"/>
  <c r="I217" i="22"/>
  <c r="L218" i="22"/>
  <c r="M218" i="22"/>
  <c r="H216" i="22"/>
  <c r="H217" i="22"/>
  <c r="D217" i="22"/>
  <c r="G216" i="22"/>
  <c r="G217" i="22"/>
  <c r="O218" i="22"/>
  <c r="N216" i="22"/>
  <c r="J216" i="22"/>
  <c r="P39" i="22"/>
  <c r="P49" i="22" s="1"/>
  <c r="P50" i="22" s="1"/>
  <c r="D240" i="22"/>
  <c r="D49" i="22"/>
  <c r="D50" i="22" s="1"/>
  <c r="E218" i="22"/>
  <c r="N218" i="22"/>
  <c r="J218" i="22"/>
  <c r="P90" i="23"/>
  <c r="F217" i="22"/>
  <c r="F216" i="22"/>
  <c r="K218" i="22"/>
  <c r="G30" i="19" l="1"/>
  <c r="G32" i="19" s="1"/>
  <c r="G36" i="19" s="1"/>
  <c r="H7" i="22" s="1"/>
  <c r="H13" i="22" s="1"/>
  <c r="H19" i="22" s="1"/>
  <c r="H52" i="22" s="1"/>
  <c r="G14" i="19"/>
  <c r="G17" i="19" s="1"/>
  <c r="G23" i="19" s="1"/>
  <c r="G27" i="19" s="1"/>
  <c r="D30" i="19"/>
  <c r="D32" i="19" s="1"/>
  <c r="D36" i="19" s="1"/>
  <c r="E7" i="22" s="1"/>
  <c r="E13" i="22" s="1"/>
  <c r="E19" i="22" s="1"/>
  <c r="D14" i="19"/>
  <c r="D17" i="19" s="1"/>
  <c r="D23" i="19" s="1"/>
  <c r="D27" i="19" s="1"/>
  <c r="H30" i="19"/>
  <c r="H32" i="19" s="1"/>
  <c r="H36" i="19" s="1"/>
  <c r="H14" i="19"/>
  <c r="H17" i="19" s="1"/>
  <c r="H23" i="19" s="1"/>
  <c r="H27" i="19" s="1"/>
  <c r="F14" i="19"/>
  <c r="F17" i="19" s="1"/>
  <c r="F23" i="19" s="1"/>
  <c r="F27" i="19" s="1"/>
  <c r="F30" i="19"/>
  <c r="F32" i="19" s="1"/>
  <c r="F36" i="19" s="1"/>
  <c r="F59" i="19" s="1"/>
  <c r="I30" i="19"/>
  <c r="I32" i="19" s="1"/>
  <c r="I36" i="19" s="1"/>
  <c r="J7" i="22" s="1"/>
  <c r="J13" i="22" s="1"/>
  <c r="J19" i="22" s="1"/>
  <c r="I14" i="19"/>
  <c r="I17" i="19" s="1"/>
  <c r="I23" i="19" s="1"/>
  <c r="I27" i="19" s="1"/>
  <c r="E30" i="19"/>
  <c r="E32" i="19" s="1"/>
  <c r="E36" i="19" s="1"/>
  <c r="F7" i="22" s="1"/>
  <c r="F13" i="22" s="1"/>
  <c r="F19" i="22" s="1"/>
  <c r="F52" i="22" s="1"/>
  <c r="P218" i="22"/>
  <c r="I218" i="22"/>
  <c r="H218" i="22"/>
  <c r="P216" i="22"/>
  <c r="C10" i="19"/>
  <c r="F218" i="22"/>
  <c r="G218" i="22"/>
  <c r="E240" i="22"/>
  <c r="D218" i="22"/>
  <c r="D216" i="22"/>
  <c r="I59" i="19" l="1"/>
  <c r="G59" i="19"/>
  <c r="E59" i="19"/>
  <c r="D59" i="19"/>
  <c r="F219" i="22"/>
  <c r="F70" i="23" s="1"/>
  <c r="G7" i="22"/>
  <c r="G13" i="22" s="1"/>
  <c r="G19" i="22" s="1"/>
  <c r="G52" i="22" s="1"/>
  <c r="I7" i="22"/>
  <c r="I13" i="22" s="1"/>
  <c r="I19" i="22" s="1"/>
  <c r="H59" i="19"/>
  <c r="F240" i="22"/>
  <c r="C30" i="19"/>
  <c r="C14" i="19"/>
  <c r="C17" i="19" s="1"/>
  <c r="J219" i="22"/>
  <c r="J52" i="22"/>
  <c r="E52" i="22"/>
  <c r="E219" i="22"/>
  <c r="H219" i="22"/>
  <c r="G219" i="22" l="1"/>
  <c r="G70" i="23" s="1"/>
  <c r="I52" i="22"/>
  <c r="I219" i="22"/>
  <c r="C23" i="19"/>
  <c r="J220" i="22"/>
  <c r="J70" i="23"/>
  <c r="G240" i="22"/>
  <c r="C32" i="19"/>
  <c r="C36" i="19" s="1"/>
  <c r="C59" i="19" s="1"/>
  <c r="E70" i="23"/>
  <c r="H220" i="22"/>
  <c r="H70" i="23"/>
  <c r="I220" i="22" l="1"/>
  <c r="I70" i="23"/>
  <c r="H240" i="22"/>
  <c r="C27" i="19"/>
  <c r="D7" i="22"/>
  <c r="I240" i="22" l="1"/>
  <c r="D255" i="22"/>
  <c r="D13" i="22"/>
  <c r="D19" i="22" s="1"/>
  <c r="D219" i="22" l="1"/>
  <c r="D52" i="22"/>
  <c r="D54" i="22" s="1"/>
  <c r="E255" i="22"/>
  <c r="J240" i="22"/>
  <c r="D248" i="22" l="1"/>
  <c r="D249" i="22" s="1"/>
  <c r="D277" i="22"/>
  <c r="D278" i="22" s="1"/>
  <c r="E54" i="22"/>
  <c r="K240" i="22"/>
  <c r="F255" i="22"/>
  <c r="D221" i="22"/>
  <c r="D70" i="23"/>
  <c r="D279" i="22" l="1"/>
  <c r="G255" i="22"/>
  <c r="D84" i="23"/>
  <c r="D85" i="23" s="1"/>
  <c r="D230" i="22"/>
  <c r="D87" i="23"/>
  <c r="E221" i="22"/>
  <c r="L240" i="22"/>
  <c r="E248" i="22"/>
  <c r="E249" i="22" s="1"/>
  <c r="E277" i="22"/>
  <c r="E278" i="22" s="1"/>
  <c r="F54" i="22"/>
  <c r="E279" i="22" l="1"/>
  <c r="F277" i="22"/>
  <c r="F278" i="22" s="1"/>
  <c r="F248" i="22"/>
  <c r="F249" i="22" s="1"/>
  <c r="G54" i="22"/>
  <c r="M240" i="22"/>
  <c r="E84" i="23"/>
  <c r="E85" i="23" s="1"/>
  <c r="E230" i="22"/>
  <c r="E87" i="23"/>
  <c r="E88" i="23" s="1"/>
  <c r="F221" i="22"/>
  <c r="H255" i="22"/>
  <c r="F279" i="22" l="1"/>
  <c r="N240" i="22"/>
  <c r="I255" i="22"/>
  <c r="G248" i="22"/>
  <c r="G249" i="22" s="1"/>
  <c r="G277" i="22"/>
  <c r="G278" i="22" s="1"/>
  <c r="H54" i="22"/>
  <c r="F87" i="23"/>
  <c r="F88" i="23" s="1"/>
  <c r="F230" i="22"/>
  <c r="F84" i="23"/>
  <c r="F85" i="23" s="1"/>
  <c r="G221" i="22"/>
  <c r="H248" i="22" l="1"/>
  <c r="H249" i="22" s="1"/>
  <c r="H277" i="22"/>
  <c r="H278" i="22" s="1"/>
  <c r="I54" i="22"/>
  <c r="G87" i="23"/>
  <c r="G88" i="23" s="1"/>
  <c r="G230" i="22"/>
  <c r="G84" i="23"/>
  <c r="G85" i="23" s="1"/>
  <c r="H221" i="22"/>
  <c r="J255" i="22"/>
  <c r="O240" i="22"/>
  <c r="G279" i="22"/>
  <c r="H279" i="22" l="1"/>
  <c r="H230" i="22"/>
  <c r="H87" i="23"/>
  <c r="H88" i="23" s="1"/>
  <c r="H84" i="23"/>
  <c r="H85" i="23" s="1"/>
  <c r="I221" i="22"/>
  <c r="I248" i="22"/>
  <c r="I249" i="22" s="1"/>
  <c r="I277" i="22"/>
  <c r="I278" i="22" s="1"/>
  <c r="J54" i="22"/>
  <c r="I279" i="22" l="1"/>
  <c r="J277" i="22"/>
  <c r="J278" i="22" s="1"/>
  <c r="J248" i="22"/>
  <c r="J249" i="22" s="1"/>
  <c r="I230" i="22"/>
  <c r="I84" i="23"/>
  <c r="I85" i="23" s="1"/>
  <c r="I87" i="23"/>
  <c r="I88" i="23" s="1"/>
  <c r="J221" i="22"/>
  <c r="J279" i="22" l="1"/>
  <c r="J230" i="22"/>
  <c r="J84" i="23"/>
  <c r="J85" i="23" s="1"/>
  <c r="J87" i="23"/>
  <c r="J88" i="23" s="1"/>
  <c r="L44" i="7"/>
  <c r="L61" i="7"/>
  <c r="M49" i="7" s="1"/>
  <c r="M61" i="7" s="1"/>
  <c r="N49" i="7" s="1"/>
  <c r="N61" i="7" s="1"/>
  <c r="O49" i="7" s="1"/>
  <c r="O61" i="7" s="1"/>
  <c r="M41" i="7"/>
  <c r="L50" i="7"/>
  <c r="M40" i="7"/>
  <c r="P40" i="7" s="1"/>
  <c r="M39" i="7"/>
  <c r="P39" i="7" s="1"/>
  <c r="P44" i="7" s="1"/>
  <c r="S44" i="7" s="1"/>
  <c r="L60" i="7"/>
  <c r="M48" i="7" s="1"/>
  <c r="M60" i="7" s="1"/>
  <c r="N48" i="7" s="1"/>
  <c r="N60" i="7" s="1"/>
  <c r="O48" i="7" s="1"/>
  <c r="O60" i="7" s="1"/>
  <c r="J10" i="19"/>
  <c r="J14" i="19" s="1"/>
  <c r="J17" i="19" s="1"/>
  <c r="L59" i="7"/>
  <c r="M47" i="7" s="1"/>
  <c r="M59" i="7" s="1"/>
  <c r="N47" i="7" s="1"/>
  <c r="M44" i="7" l="1"/>
  <c r="P41" i="7"/>
  <c r="R40" i="7" s="1"/>
  <c r="R41" i="7" s="1"/>
  <c r="L62" i="7"/>
  <c r="L64" i="7" s="1"/>
  <c r="L65" i="7" s="1"/>
  <c r="N50" i="7"/>
  <c r="J23" i="19"/>
  <c r="M62" i="7"/>
  <c r="M64" i="7" s="1"/>
  <c r="M50" i="7"/>
  <c r="N59" i="7"/>
  <c r="J30" i="19"/>
  <c r="K9" i="19" l="1"/>
  <c r="K10" i="19" s="1"/>
  <c r="M65" i="7"/>
  <c r="J27" i="19"/>
  <c r="J32" i="19"/>
  <c r="J36" i="19" s="1"/>
  <c r="N62" i="7"/>
  <c r="N64" i="7" s="1"/>
  <c r="N65" i="7" s="1"/>
  <c r="M9" i="19" s="1"/>
  <c r="O47" i="7"/>
  <c r="K14" i="19" l="1"/>
  <c r="K17" i="19" s="1"/>
  <c r="K23" i="19" s="1"/>
  <c r="K30" i="19"/>
  <c r="K32" i="19" s="1"/>
  <c r="K36" i="19" s="1"/>
  <c r="L7" i="22" s="1"/>
  <c r="L13" i="22" s="1"/>
  <c r="L19" i="22" s="1"/>
  <c r="L9" i="19"/>
  <c r="L10" i="19" s="1"/>
  <c r="K7" i="22"/>
  <c r="J59" i="19"/>
  <c r="O50" i="7"/>
  <c r="O59" i="7"/>
  <c r="O62" i="7" s="1"/>
  <c r="O64" i="7" s="1"/>
  <c r="O65" i="7" s="1"/>
  <c r="K59" i="19" l="1"/>
  <c r="L30" i="19"/>
  <c r="L32" i="19" s="1"/>
  <c r="L36" i="19" s="1"/>
  <c r="L14" i="19"/>
  <c r="L17" i="19" s="1"/>
  <c r="L23" i="19" s="1"/>
  <c r="L27" i="19" s="1"/>
  <c r="I197" i="10" a="1"/>
  <c r="I206" i="10" s="1"/>
  <c r="N9" i="19"/>
  <c r="N10" i="19" s="1"/>
  <c r="K27" i="19"/>
  <c r="L52" i="22"/>
  <c r="L219" i="22"/>
  <c r="M10" i="19"/>
  <c r="P65" i="7"/>
  <c r="K255" i="22"/>
  <c r="K13" i="22"/>
  <c r="K19" i="22" s="1"/>
  <c r="I204" i="10" l="1"/>
  <c r="J204" i="10" s="1"/>
  <c r="I202" i="10"/>
  <c r="J202" i="10" s="1"/>
  <c r="I207" i="10"/>
  <c r="K207" i="10" s="1"/>
  <c r="I198" i="10"/>
  <c r="J198" i="10" s="1"/>
  <c r="I203" i="10"/>
  <c r="J203" i="10" s="1"/>
  <c r="I205" i="10"/>
  <c r="J205" i="10" s="1"/>
  <c r="I199" i="10"/>
  <c r="K199" i="10" s="1"/>
  <c r="I197" i="10"/>
  <c r="K197" i="10" s="1"/>
  <c r="I200" i="10"/>
  <c r="K200" i="10" s="1"/>
  <c r="I208" i="10"/>
  <c r="I201" i="10"/>
  <c r="K201" i="10" s="1"/>
  <c r="M7" i="22"/>
  <c r="M13" i="22" s="1"/>
  <c r="M19" i="22" s="1"/>
  <c r="L59" i="19"/>
  <c r="K206" i="10"/>
  <c r="J206" i="10"/>
  <c r="L220" i="22"/>
  <c r="L70" i="23"/>
  <c r="L255" i="22"/>
  <c r="J201" i="10"/>
  <c r="N14" i="19"/>
  <c r="N17" i="19" s="1"/>
  <c r="N23" i="19" s="1"/>
  <c r="N27" i="19" s="1"/>
  <c r="N30" i="19"/>
  <c r="N32" i="19" s="1"/>
  <c r="N36" i="19" s="1"/>
  <c r="O9" i="19"/>
  <c r="O10" i="19" s="1"/>
  <c r="P10" i="19" s="1"/>
  <c r="K204" i="10"/>
  <c r="M14" i="19"/>
  <c r="M17" i="19" s="1"/>
  <c r="M30" i="19"/>
  <c r="K202" i="10"/>
  <c r="K219" i="22"/>
  <c r="K52" i="22"/>
  <c r="K54" i="22" s="1"/>
  <c r="J208" i="10" l="1"/>
  <c r="K208" i="10"/>
  <c r="J200" i="10"/>
  <c r="J197" i="10"/>
  <c r="K205" i="10"/>
  <c r="J207" i="10"/>
  <c r="K203" i="10"/>
  <c r="J199" i="10"/>
  <c r="K198" i="10"/>
  <c r="I209" i="10"/>
  <c r="M52" i="22"/>
  <c r="M219" i="22"/>
  <c r="M255" i="22"/>
  <c r="K248" i="22"/>
  <c r="K249" i="22" s="1"/>
  <c r="K277" i="22"/>
  <c r="K278" i="22" s="1"/>
  <c r="O7" i="22"/>
  <c r="O13" i="22" s="1"/>
  <c r="O19" i="22" s="1"/>
  <c r="N59" i="19"/>
  <c r="M32" i="19"/>
  <c r="M36" i="19" s="1"/>
  <c r="O30" i="19"/>
  <c r="O32" i="19" s="1"/>
  <c r="O36" i="19" s="1"/>
  <c r="L54" i="22"/>
  <c r="M23" i="19"/>
  <c r="O17" i="19"/>
  <c r="O14" i="19"/>
  <c r="P39" i="19"/>
  <c r="K221" i="22"/>
  <c r="K220" i="22"/>
  <c r="K70" i="23"/>
  <c r="K209" i="10" l="1"/>
  <c r="J209" i="10"/>
  <c r="M70" i="23"/>
  <c r="M220" i="22"/>
  <c r="O37" i="19"/>
  <c r="O59" i="19"/>
  <c r="O219" i="22"/>
  <c r="O52" i="22"/>
  <c r="M27" i="19"/>
  <c r="O27" i="19" s="1"/>
  <c r="O23" i="19"/>
  <c r="K87" i="23"/>
  <c r="K88" i="23" s="1"/>
  <c r="K230" i="22"/>
  <c r="K84" i="23"/>
  <c r="K85" i="23" s="1"/>
  <c r="L221" i="22"/>
  <c r="N7" i="22"/>
  <c r="M59" i="19"/>
  <c r="K279" i="22"/>
  <c r="L277" i="22"/>
  <c r="L278" i="22" s="1"/>
  <c r="L248" i="22"/>
  <c r="L249" i="22" s="1"/>
  <c r="M54" i="22"/>
  <c r="L279" i="22" l="1"/>
  <c r="O220" i="22"/>
  <c r="O70" i="23"/>
  <c r="M248" i="22"/>
  <c r="M249" i="22" s="1"/>
  <c r="M277" i="22"/>
  <c r="M278" i="22" s="1"/>
  <c r="L84" i="23"/>
  <c r="L85" i="23" s="1"/>
  <c r="L87" i="23"/>
  <c r="L88" i="23" s="1"/>
  <c r="L230" i="22"/>
  <c r="M221" i="22"/>
  <c r="N13" i="22"/>
  <c r="N19" i="22" s="1"/>
  <c r="P7" i="22"/>
  <c r="P13" i="22" s="1"/>
  <c r="P19" i="22" s="1"/>
  <c r="P52" i="22" s="1"/>
  <c r="N255" i="22"/>
  <c r="O255" i="22" l="1"/>
  <c r="M279" i="22"/>
  <c r="N52" i="22"/>
  <c r="N54" i="22" s="1"/>
  <c r="N219" i="22"/>
  <c r="M84" i="23"/>
  <c r="M85" i="23" s="1"/>
  <c r="M230" i="22"/>
  <c r="M87" i="23"/>
  <c r="M88" i="23" s="1"/>
  <c r="N70" i="23" l="1"/>
  <c r="N221" i="22"/>
  <c r="N220" i="22"/>
  <c r="N277" i="22"/>
  <c r="N278" i="22" s="1"/>
  <c r="N248" i="22"/>
  <c r="N249" i="22" s="1"/>
  <c r="O54" i="22"/>
  <c r="N279" i="22" l="1"/>
  <c r="O277" i="22"/>
  <c r="O278" i="22" s="1"/>
  <c r="O248" i="22"/>
  <c r="O249" i="22" s="1"/>
  <c r="P54" i="22"/>
  <c r="N84" i="23"/>
  <c r="N85" i="23" s="1"/>
  <c r="N230" i="22"/>
  <c r="N87" i="23"/>
  <c r="N88" i="23" s="1"/>
  <c r="O221" i="22"/>
  <c r="O279" i="22" l="1"/>
  <c r="O281" i="22" s="1"/>
  <c r="O87" i="23"/>
  <c r="O88" i="23" s="1"/>
  <c r="O84" i="23"/>
  <c r="O85" i="23" s="1"/>
  <c r="P219" i="22"/>
  <c r="P230" i="22" s="1"/>
  <c r="O230" i="22"/>
  <c r="D85" i="7"/>
  <c r="D91" i="7" s="1"/>
  <c r="P91" i="7" s="1"/>
  <c r="D86" i="7"/>
  <c r="D92" i="7" s="1"/>
  <c r="D96" i="7" s="1"/>
  <c r="D83" i="7"/>
  <c r="D89" i="7" s="1"/>
  <c r="P89" i="7" s="1"/>
  <c r="D82" i="7"/>
  <c r="D88" i="7" s="1"/>
  <c r="D84" i="7"/>
  <c r="D90" i="7" s="1"/>
  <c r="P90" i="7" s="1"/>
  <c r="D104" i="7" l="1"/>
  <c r="D100" i="7"/>
  <c r="P92" i="7"/>
  <c r="P96" i="7" s="1"/>
  <c r="P88" i="7"/>
  <c r="P94" i="7" s="1"/>
  <c r="D94" i="7"/>
  <c r="P100" i="7" l="1"/>
  <c r="P104" i="7"/>
  <c r="D95" i="7"/>
  <c r="D98" i="7"/>
  <c r="D102" i="7"/>
  <c r="P102" i="7"/>
  <c r="P95" i="7"/>
  <c r="P98" i="7"/>
  <c r="P99" i="7" l="1"/>
  <c r="P103" i="7"/>
  <c r="D99" i="7"/>
  <c r="D103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B9EF56-E14D-4B29-95DB-5DC4DF5418EC}" keepAlive="1" name="ThisWorkbookDataModel" description="Modèle de donnée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10ABC2C6-2D28-4DB2-A555-2A23E201FCE8}" name="WorksheetConnection_BP SIMULATION 2024.xlsm!Tableau10" type="102" refreshedVersion="7" minRefreshableVersion="5">
    <extLst>
      <ext xmlns:x15="http://schemas.microsoft.com/office/spreadsheetml/2010/11/main" uri="{DE250136-89BD-433C-8126-D09CA5730AF9}">
        <x15:connection id="Tableau10">
          <x15:rangePr sourceName="_xlcn.WorksheetConnection_BPSIMULATION2024.xlsmTableau10"/>
        </x15:connection>
      </ext>
    </extLst>
  </connection>
  <connection id="3" xr16:uid="{AA6C7057-A3C0-4DB0-97AC-8DFA4506FEE7}" name="WorksheetConnection_BP SIMULATION 2024.xlsm!TAchats" type="102" refreshedVersion="7" minRefreshableVersion="5">
    <extLst>
      <ext xmlns:x15="http://schemas.microsoft.com/office/spreadsheetml/2010/11/main" uri="{DE250136-89BD-433C-8126-D09CA5730AF9}">
        <x15:connection id="TAchats">
          <x15:rangePr sourceName="_xlcn.WorksheetConnection_BPSIMULATION2024.xlsmTAchats"/>
        </x15:connection>
      </ext>
    </extLst>
  </connection>
  <connection id="4" xr16:uid="{17BCAFF9-21A4-4855-878E-54D195FFBF6A}" name="WorksheetConnection_BP SIMULATION 2024.xlsm!TDate" type="102" refreshedVersion="7" minRefreshableVersion="5">
    <extLst>
      <ext xmlns:x15="http://schemas.microsoft.com/office/spreadsheetml/2010/11/main" uri="{DE250136-89BD-433C-8126-D09CA5730AF9}">
        <x15:connection id="TDate">
          <x15:rangePr sourceName="_xlcn.WorksheetConnection_BPSIMULATION2024.xlsmTDate"/>
        </x15:connection>
      </ext>
    </extLst>
  </connection>
  <connection id="5" xr16:uid="{6FE64F3A-F9BC-448F-926B-D104B0666BE9}" name="WorksheetConnection_BP SIMULATION 2024.xlsm!TLieuxAppro" type="102" refreshedVersion="7" minRefreshableVersion="5">
    <extLst>
      <ext xmlns:x15="http://schemas.microsoft.com/office/spreadsheetml/2010/11/main" uri="{DE250136-89BD-433C-8126-D09CA5730AF9}">
        <x15:connection id="TLieuxAppro">
          <x15:rangePr sourceName="_xlcn.WorksheetConnection_BPSIMULATION2024.xlsmTLieuxAppro"/>
        </x15:connection>
      </ext>
    </extLst>
  </connection>
  <connection id="6" xr16:uid="{218B2F21-1417-42C9-A108-2E86E331505E}" name="WorksheetConnection_BP SIMULATION 2024.xlsm!TProd" type="102" refreshedVersion="7" minRefreshableVersion="5">
    <extLst>
      <ext xmlns:x15="http://schemas.microsoft.com/office/spreadsheetml/2010/11/main" uri="{DE250136-89BD-433C-8126-D09CA5730AF9}">
        <x15:connection id="TProd">
          <x15:rangePr sourceName="_xlcn.WorksheetConnection_BPSIMULATION2024.xlsmTProd"/>
        </x15:connection>
      </ext>
    </extLst>
  </connection>
  <connection id="7" xr16:uid="{1EEAFCA3-F077-416A-A21D-E7A3E7139337}" name="WorksheetConnection_BP SIMULATION 2024.xlsm!TTypes" type="102" refreshedVersion="7" minRefreshableVersion="5">
    <extLst>
      <ext xmlns:x15="http://schemas.microsoft.com/office/spreadsheetml/2010/11/main" uri="{DE250136-89BD-433C-8126-D09CA5730AF9}">
        <x15:connection id="TTypes">
          <x15:rangePr sourceName="_xlcn.WorksheetConnection_BPSIMULATION2024.xlsmTTypes"/>
        </x15:connection>
      </ext>
    </extLst>
  </connection>
  <connection id="8" xr16:uid="{ADD91A96-ADEB-4E0F-9937-457247F83A31}" name="WorksheetConnection_BP SIMULATION 2024.xlsm!TVentes" type="102" refreshedVersion="7" minRefreshableVersion="5">
    <extLst>
      <ext xmlns:x15="http://schemas.microsoft.com/office/spreadsheetml/2010/11/main" uri="{DE250136-89BD-433C-8126-D09CA5730AF9}">
        <x15:connection id="TVentes">
          <x15:rangePr sourceName="_xlcn.WorksheetConnection_BPSIMULATION2024.xlsmTVentes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<sst xmlns="http://schemas.openxmlformats.org/spreadsheetml/2006/main" count="4982" uniqueCount="1863">
  <si>
    <t>SOMIDA  FORT - DAUPHIN</t>
  </si>
  <si>
    <t xml:space="preserve">RECAP ETAT DE PAIE TACHERONS  </t>
  </si>
  <si>
    <t>COUPEUSES / CLIVEUSES AMBOASARY ET FORT DAUPHIN</t>
  </si>
  <si>
    <t>MOIS DE NOVEMBRE 2017</t>
  </si>
  <si>
    <t>N°</t>
  </si>
  <si>
    <t>POIDS (kg)</t>
  </si>
  <si>
    <t>MONTANT1</t>
  </si>
  <si>
    <t>POIDS (kgs)</t>
  </si>
  <si>
    <t>MONTANT2</t>
  </si>
  <si>
    <t>100 ar/kg</t>
  </si>
  <si>
    <t>MONTANT3</t>
  </si>
  <si>
    <t>5000ar/j</t>
  </si>
  <si>
    <t>MONTANT4</t>
  </si>
  <si>
    <t>3500 ar/j</t>
  </si>
  <si>
    <t>MONTANT5</t>
  </si>
  <si>
    <t>MONTANT BRUT</t>
  </si>
  <si>
    <t>IRSA</t>
  </si>
  <si>
    <t>NET  A PAYER</t>
  </si>
  <si>
    <t>SOMIDA AMPANDRANDAVA</t>
  </si>
  <si>
    <t>NOM ET PRENOMS</t>
  </si>
  <si>
    <t>TOTAL POIDS</t>
  </si>
  <si>
    <t>BRUT</t>
  </si>
  <si>
    <t>NET A PAYER</t>
  </si>
  <si>
    <t>NET A PAYER ARRONDI</t>
  </si>
  <si>
    <t>ACHAT MICA BRUT FP1 FOND MINE</t>
  </si>
  <si>
    <t>POIDS 1</t>
  </si>
  <si>
    <t>POIDS2</t>
  </si>
  <si>
    <t>PRIX DU POIDS 1</t>
  </si>
  <si>
    <t>PRIX DU POIDS 2</t>
  </si>
  <si>
    <t>RECAPITULATION TACHERONS</t>
  </si>
  <si>
    <t>COUPEUSES</t>
  </si>
  <si>
    <t>TO SURFACE</t>
  </si>
  <si>
    <t>27</t>
  </si>
  <si>
    <t>TOTAL</t>
  </si>
  <si>
    <t>Cout u</t>
  </si>
  <si>
    <t>Fort dauphin</t>
  </si>
  <si>
    <t>Dir de site</t>
  </si>
  <si>
    <t>Tranomaro</t>
  </si>
  <si>
    <t>Amboasary</t>
  </si>
  <si>
    <t>Ranopiso</t>
  </si>
  <si>
    <t>Responsable</t>
  </si>
  <si>
    <t>Tsimalaho</t>
  </si>
  <si>
    <t>Ankazofotsy</t>
  </si>
  <si>
    <t>Resp. Collecte</t>
  </si>
  <si>
    <t>Andranondambo</t>
  </si>
  <si>
    <t>Ambatoabo</t>
  </si>
  <si>
    <t>Marorotro</t>
  </si>
  <si>
    <t>Ampikazo</t>
  </si>
  <si>
    <t>Resp. Magasin</t>
  </si>
  <si>
    <t>01 permanent</t>
  </si>
  <si>
    <t>Coupeuses</t>
  </si>
  <si>
    <t>50 Journaliers</t>
  </si>
  <si>
    <t>25 journaliers</t>
  </si>
  <si>
    <t>Manutentionnaires</t>
  </si>
  <si>
    <t>15 journaliers</t>
  </si>
  <si>
    <t>05 journaliers</t>
  </si>
  <si>
    <t>Sécurités</t>
  </si>
  <si>
    <t>02 permanents</t>
  </si>
  <si>
    <t>Controleur de gestion</t>
  </si>
  <si>
    <t>01 Permanent</t>
  </si>
  <si>
    <t>Sce Transit</t>
  </si>
  <si>
    <t>Sce Administratif</t>
  </si>
  <si>
    <t>Atelier bois</t>
  </si>
  <si>
    <t>Magasinier</t>
  </si>
  <si>
    <t>Atelier coupe</t>
  </si>
  <si>
    <t>Mica pieces découpées</t>
  </si>
  <si>
    <t>Splitting</t>
  </si>
  <si>
    <t>06 Permanents</t>
  </si>
  <si>
    <t>Assistante</t>
  </si>
  <si>
    <t>MO</t>
  </si>
  <si>
    <t>02 journaliers</t>
  </si>
  <si>
    <t>250 Journaliers</t>
  </si>
  <si>
    <t>Caisse</t>
  </si>
  <si>
    <t>Chauffeur</t>
  </si>
  <si>
    <t>Manutentionnaire</t>
  </si>
  <si>
    <t>03 permanents</t>
  </si>
  <si>
    <t>24 journaliers</t>
  </si>
  <si>
    <t>Aide Chauffeur</t>
  </si>
  <si>
    <t>Interventionistes</t>
  </si>
  <si>
    <t>12 journaliers</t>
  </si>
  <si>
    <t>Securités</t>
  </si>
  <si>
    <t>Mahasoa</t>
  </si>
  <si>
    <t>MANUTENTIONNAIRE</t>
  </si>
  <si>
    <t>JOURNALIER</t>
  </si>
  <si>
    <t>TRANOMARO</t>
  </si>
  <si>
    <t>Espèces</t>
  </si>
  <si>
    <t>Tovontsoa</t>
  </si>
  <si>
    <t>Retahie</t>
  </si>
  <si>
    <t>Jochristia</t>
  </si>
  <si>
    <t>Voriavy</t>
  </si>
  <si>
    <t>Sambiravo</t>
  </si>
  <si>
    <t>manutentionnaire</t>
  </si>
  <si>
    <t>M1</t>
  </si>
  <si>
    <t>Manjo Pico</t>
  </si>
  <si>
    <t>Gregoire</t>
  </si>
  <si>
    <t>Mananto</t>
  </si>
  <si>
    <t>Resokae</t>
  </si>
  <si>
    <t>Fomendraza</t>
  </si>
  <si>
    <t>ATELIER MICA/SISAL</t>
  </si>
  <si>
    <t>Malagasy</t>
  </si>
  <si>
    <t>Clovis</t>
  </si>
  <si>
    <t>Vorizoloke</t>
  </si>
  <si>
    <t>Jean Bapti</t>
  </si>
  <si>
    <t>Jean Olivi</t>
  </si>
  <si>
    <t>Tsikahoe</t>
  </si>
  <si>
    <t>Maharitsy</t>
  </si>
  <si>
    <t>Florentin</t>
  </si>
  <si>
    <t>Danie Geor</t>
  </si>
  <si>
    <t>Aimé</t>
  </si>
  <si>
    <t>Marolahy F</t>
  </si>
  <si>
    <t>Bruel Just</t>
  </si>
  <si>
    <t>Donné</t>
  </si>
  <si>
    <t>AGENT DE SECURITE</t>
  </si>
  <si>
    <t>SECURITE</t>
  </si>
  <si>
    <t>Manohiazy</t>
  </si>
  <si>
    <t>Julu</t>
  </si>
  <si>
    <t>Manjovola</t>
  </si>
  <si>
    <t>Jean Donah</t>
  </si>
  <si>
    <t>Gervais</t>
  </si>
  <si>
    <t>2B</t>
  </si>
  <si>
    <t>VILLA B.A</t>
  </si>
  <si>
    <t>Tsirina</t>
  </si>
  <si>
    <t>JARDINIER</t>
  </si>
  <si>
    <t>Jonas</t>
  </si>
  <si>
    <t>AIDE CHARPENTIER</t>
  </si>
  <si>
    <t>ATELIER MECA/BOIS</t>
  </si>
  <si>
    <t>Jean Miche</t>
  </si>
  <si>
    <t>Tofily</t>
  </si>
  <si>
    <t>Jean Claud</t>
  </si>
  <si>
    <t>Dauphin</t>
  </si>
  <si>
    <t>Renialangy</t>
  </si>
  <si>
    <t>SOMIDA AMBOASARY</t>
  </si>
  <si>
    <t>Odilon</t>
  </si>
  <si>
    <t>Noeline</t>
  </si>
  <si>
    <t>Manovomaro</t>
  </si>
  <si>
    <t>Soandro</t>
  </si>
  <si>
    <t>Vitasoa No</t>
  </si>
  <si>
    <t>Fanampisoa</t>
  </si>
  <si>
    <t>Laurent Ch</t>
  </si>
  <si>
    <t>Mahaligny</t>
  </si>
  <si>
    <t>Matavesoa</t>
  </si>
  <si>
    <t>Tovondahy</t>
  </si>
  <si>
    <t>NETTOYEUR</t>
  </si>
  <si>
    <t>Mahafaly</t>
  </si>
  <si>
    <t>Iarson Eph</t>
  </si>
  <si>
    <t>Tsitandy V</t>
  </si>
  <si>
    <t>Justin</t>
  </si>
  <si>
    <t>Alatsoa Fi</t>
  </si>
  <si>
    <t>Flavien</t>
  </si>
  <si>
    <t>Velosoa</t>
  </si>
  <si>
    <t>Masignalak</t>
  </si>
  <si>
    <t>PERMANENT</t>
  </si>
  <si>
    <t>OS3</t>
  </si>
  <si>
    <t>Virement</t>
  </si>
  <si>
    <t>OS1</t>
  </si>
  <si>
    <t>Jean De Di</t>
  </si>
  <si>
    <t>MANOEUVRE SISAL</t>
  </si>
  <si>
    <t>M2</t>
  </si>
  <si>
    <t>MAIN D'OEUVRE</t>
  </si>
  <si>
    <t>Marie Clai</t>
  </si>
  <si>
    <t>COUPEUSE MICA</t>
  </si>
  <si>
    <t>OS2</t>
  </si>
  <si>
    <t>DECOUPAGE</t>
  </si>
  <si>
    <t>Patience</t>
  </si>
  <si>
    <t>SECRETAIRE FOND MINE</t>
  </si>
  <si>
    <t>3A</t>
  </si>
  <si>
    <t>SAKAMASY</t>
  </si>
  <si>
    <t>Martin</t>
  </si>
  <si>
    <t>CHEF DE POSTE</t>
  </si>
  <si>
    <t>4B</t>
  </si>
  <si>
    <t>Charlotte</t>
  </si>
  <si>
    <t>Patrice</t>
  </si>
  <si>
    <t>CHEF DE CHANTIER</t>
  </si>
  <si>
    <t>5B</t>
  </si>
  <si>
    <t>Espérant L</t>
  </si>
  <si>
    <t>RESP PAIE DU SUD</t>
  </si>
  <si>
    <t>HC</t>
  </si>
  <si>
    <t>CADRES</t>
  </si>
  <si>
    <t>AIDE MACON</t>
  </si>
  <si>
    <t>Mezason</t>
  </si>
  <si>
    <t>CHEF ATELIER BOIS</t>
  </si>
  <si>
    <t>OP3</t>
  </si>
  <si>
    <t>STOCKISTE</t>
  </si>
  <si>
    <t>Fabienne</t>
  </si>
  <si>
    <t>CLIVEUSE MICA</t>
  </si>
  <si>
    <t>Claudia</t>
  </si>
  <si>
    <t>Claudine E</t>
  </si>
  <si>
    <t>Jean Péleg</t>
  </si>
  <si>
    <t>Richard</t>
  </si>
  <si>
    <t>RESP MICA RANOPISO</t>
  </si>
  <si>
    <t>Robertin</t>
  </si>
  <si>
    <t>PESEUR MICA BRUT</t>
  </si>
  <si>
    <t>4A</t>
  </si>
  <si>
    <t>Arlette</t>
  </si>
  <si>
    <t>1A</t>
  </si>
  <si>
    <t>Jacquis Al</t>
  </si>
  <si>
    <t>Eugène Pas</t>
  </si>
  <si>
    <t>AIDE CHAUFFEUR</t>
  </si>
  <si>
    <t>Francis</t>
  </si>
  <si>
    <t xml:space="preserve">Henintsoa </t>
  </si>
  <si>
    <t>RESP TRANSIT</t>
  </si>
  <si>
    <t>Francklin</t>
  </si>
  <si>
    <t>COLLECTEUR MICA</t>
  </si>
  <si>
    <t>Léonce Jea</t>
  </si>
  <si>
    <t>PESEUR/CONTROLE QUALITE</t>
  </si>
  <si>
    <t>Charlot</t>
  </si>
  <si>
    <t>DIR D'EXPLOITATION</t>
  </si>
  <si>
    <t>Fara</t>
  </si>
  <si>
    <t>MAGASINIERE</t>
  </si>
  <si>
    <t>5A</t>
  </si>
  <si>
    <t>Valisoa</t>
  </si>
  <si>
    <t>ASSISTANTE ADMIN/FINANCE</t>
  </si>
  <si>
    <t>OP2B</t>
  </si>
  <si>
    <t>Romain</t>
  </si>
  <si>
    <t>Jacky Pier</t>
  </si>
  <si>
    <t>CHAUFFEUR</t>
  </si>
  <si>
    <t>Jean Noel</t>
  </si>
  <si>
    <t>CHAUFFEUR TRACTEUR</t>
  </si>
  <si>
    <t>A2</t>
  </si>
  <si>
    <t>Delicia</t>
  </si>
  <si>
    <t>FEMME DE MENAGE</t>
  </si>
  <si>
    <t>Randrianja</t>
  </si>
  <si>
    <t>Louis Yvon</t>
  </si>
  <si>
    <t>CAISSIER</t>
  </si>
  <si>
    <t>Odon</t>
  </si>
  <si>
    <t>Dieudonné</t>
  </si>
  <si>
    <t>2A</t>
  </si>
  <si>
    <t>A1</t>
  </si>
  <si>
    <t>Vangeline</t>
  </si>
  <si>
    <t>ASSISTANTE RH</t>
  </si>
  <si>
    <t>Harimino Y</t>
  </si>
  <si>
    <t>ASSISTANTE FINANCIERE</t>
  </si>
  <si>
    <t>Tsimampana</t>
  </si>
  <si>
    <t>Juliosse</t>
  </si>
  <si>
    <t>Herilanja</t>
  </si>
  <si>
    <t>Alex Thiév</t>
  </si>
  <si>
    <t>Gaston</t>
  </si>
  <si>
    <t>Herisoa Ge</t>
  </si>
  <si>
    <t>Fidèle Cas</t>
  </si>
  <si>
    <t>Marcellin</t>
  </si>
  <si>
    <t>Fanomezant</t>
  </si>
  <si>
    <t>Lucien</t>
  </si>
  <si>
    <t>Rody Chris</t>
  </si>
  <si>
    <t>Urbain</t>
  </si>
  <si>
    <t>MAKA</t>
  </si>
  <si>
    <t>TOGNESOA</t>
  </si>
  <si>
    <t>RAZAFIMANDIMBY</t>
  </si>
  <si>
    <t>LAMBO</t>
  </si>
  <si>
    <t>MARA R.</t>
  </si>
  <si>
    <t>MAHATSANGA</t>
  </si>
  <si>
    <t>MOSA JOSOA</t>
  </si>
  <si>
    <t>RAFANOMEZANJANAHARY</t>
  </si>
  <si>
    <t>RAKOTONIRNA</t>
  </si>
  <si>
    <t>FANANANTSOA</t>
  </si>
  <si>
    <t>MANJOLILY</t>
  </si>
  <si>
    <t>RANDRIANANTENAINA N</t>
  </si>
  <si>
    <t>IMBOLA</t>
  </si>
  <si>
    <t>ANDRIANJAFY</t>
  </si>
  <si>
    <t>FAGNAMPEA</t>
  </si>
  <si>
    <t>MAHALIGNE</t>
  </si>
  <si>
    <t>LAHA</t>
  </si>
  <si>
    <t>MIANDRISOA</t>
  </si>
  <si>
    <t>NIRINA</t>
  </si>
  <si>
    <t>RANOAVAE</t>
  </si>
  <si>
    <t>IALY</t>
  </si>
  <si>
    <t>RANDRIANAMBINIINA</t>
  </si>
  <si>
    <t>MOSA TOVOMARO</t>
  </si>
  <si>
    <t>MAKA RANDRIANANTENAINA</t>
  </si>
  <si>
    <t>MAHATA</t>
  </si>
  <si>
    <t>SOJA</t>
  </si>
  <si>
    <t>SALAKASOA</t>
  </si>
  <si>
    <t>MAHALIGNY</t>
  </si>
  <si>
    <t>MBOLA</t>
  </si>
  <si>
    <t>MONJA</t>
  </si>
  <si>
    <t>TSIMANGORY</t>
  </si>
  <si>
    <t>RAZAFINDRASOA</t>
  </si>
  <si>
    <t>VORIANTSOA</t>
  </si>
  <si>
    <t>MIHA</t>
  </si>
  <si>
    <t>HAOVA</t>
  </si>
  <si>
    <t>RAMBESOA</t>
  </si>
  <si>
    <t>RAZANADRAKOTO</t>
  </si>
  <si>
    <t>SAMBO</t>
  </si>
  <si>
    <t>DAMY</t>
  </si>
  <si>
    <t>MAKA LIMBESOA</t>
  </si>
  <si>
    <t>FANOMEZANTSOA</t>
  </si>
  <si>
    <t>RAKOTONIRINA</t>
  </si>
  <si>
    <t>RASOANIRINA</t>
  </si>
  <si>
    <t>ZOZOBABEL</t>
  </si>
  <si>
    <t>RANDRIANIRINA ZAFINDRANO</t>
  </si>
  <si>
    <t>TSIROMBAHY</t>
  </si>
  <si>
    <t>RATEFINJANAHARY</t>
  </si>
  <si>
    <t>RASOLONANDRASANA</t>
  </si>
  <si>
    <t>ARISITIDE JUSTIN</t>
  </si>
  <si>
    <t>RAKOTO</t>
  </si>
  <si>
    <t>FIDISON</t>
  </si>
  <si>
    <t>RAHANITRINIALA</t>
  </si>
  <si>
    <t>RASOANANDRASANA</t>
  </si>
  <si>
    <t>LAFISOA</t>
  </si>
  <si>
    <t>RAVELOSONY</t>
  </si>
  <si>
    <t>RAZAFIMANANTSOA</t>
  </si>
  <si>
    <t>RAFARALAHY</t>
  </si>
  <si>
    <t>VOATSARENY</t>
  </si>
  <si>
    <t>JULIEN</t>
  </si>
  <si>
    <t>RAFALIMANANA</t>
  </si>
  <si>
    <t>ZANANDRAINY</t>
  </si>
  <si>
    <t>RAZAFINDRELAMBO MONJA SOAFIAVY</t>
  </si>
  <si>
    <t>RAZAFITSALAMA</t>
  </si>
  <si>
    <t>FAHAMARONDRAIBE</t>
  </si>
  <si>
    <t>RATOMBOTSOA</t>
  </si>
  <si>
    <t>RAZANADIMBY</t>
  </si>
  <si>
    <t>RANDRIAMANALINA</t>
  </si>
  <si>
    <t>SOLONDRAIBE</t>
  </si>
  <si>
    <t>MARA</t>
  </si>
  <si>
    <t>RANDRIANJAFY</t>
  </si>
  <si>
    <t>SAY TSIZAFY</t>
  </si>
  <si>
    <t>RAZAFINIAINA</t>
  </si>
  <si>
    <t>RAZAFY</t>
  </si>
  <si>
    <t>SOLOMAMPIONONA</t>
  </si>
  <si>
    <t>CLAUDE FARALAHY</t>
  </si>
  <si>
    <t>SOLOFOKELY NIRINELA</t>
  </si>
  <si>
    <t>RAHELINDRAMAKAVELO</t>
  </si>
  <si>
    <t>MOSA</t>
  </si>
  <si>
    <t>MANAGNINA</t>
  </si>
  <si>
    <t>TOVOSAMBIVELO</t>
  </si>
  <si>
    <t>RAZAFINDRAKOTO</t>
  </si>
  <si>
    <t>RAKOTOARISON</t>
  </si>
  <si>
    <t>RAIVONIRIKO</t>
  </si>
  <si>
    <t>TOVOGNOZATSE</t>
  </si>
  <si>
    <t>LOVASOA</t>
  </si>
  <si>
    <t>SOAZAKA</t>
  </si>
  <si>
    <t>RAHERINIAINA</t>
  </si>
  <si>
    <t>RAZAFIFAMAMBINA</t>
  </si>
  <si>
    <t>MAMENO</t>
  </si>
  <si>
    <t>DANY</t>
  </si>
  <si>
    <t>LAHASOA</t>
  </si>
  <si>
    <t>MOSALY</t>
  </si>
  <si>
    <t>LAHINIRIKO</t>
  </si>
  <si>
    <t>ZAFINDRAZA</t>
  </si>
  <si>
    <t>TOVONDRAINY</t>
  </si>
  <si>
    <t>FANAKARA</t>
  </si>
  <si>
    <t>SOMIDA FD</t>
  </si>
  <si>
    <t>SOMIDA SKY</t>
  </si>
  <si>
    <t>SOMIDA ARY</t>
  </si>
  <si>
    <t>SOMIDA TRA</t>
  </si>
  <si>
    <t>Administration</t>
  </si>
  <si>
    <t>RET CNAPS</t>
  </si>
  <si>
    <t>RET OSTIE</t>
  </si>
  <si>
    <t>Atelier Meca Bois</t>
  </si>
  <si>
    <t>Atelier Micas</t>
  </si>
  <si>
    <t>SOMIDA RSO</t>
  </si>
  <si>
    <t>Découpages</t>
  </si>
  <si>
    <t>Sécurité</t>
  </si>
  <si>
    <t>Villa BA</t>
  </si>
  <si>
    <t>FORT DAUPHIN</t>
  </si>
  <si>
    <t>AMBOASARY</t>
  </si>
  <si>
    <t>RANOPISO</t>
  </si>
  <si>
    <t>CNAPS</t>
  </si>
  <si>
    <t>OSTIE</t>
  </si>
  <si>
    <t>Patronnale</t>
  </si>
  <si>
    <t>AGENT DE MAISON</t>
  </si>
  <si>
    <t>FP1</t>
  </si>
  <si>
    <t>Productions</t>
  </si>
  <si>
    <t>Total</t>
  </si>
  <si>
    <t>Production</t>
  </si>
  <si>
    <t>Ariary</t>
  </si>
  <si>
    <t>OBJECTIFS 2018</t>
  </si>
  <si>
    <t>3- Exporter les déchets:</t>
  </si>
  <si>
    <t>- En poudre</t>
  </si>
  <si>
    <t>- NIPPON RIKA</t>
  </si>
  <si>
    <t>A- Produire et exporter 6,000T/An de SCRAP ABR-TRA</t>
  </si>
  <si>
    <t>Client: ELINAR</t>
  </si>
  <si>
    <t>Nos Points forts:</t>
  </si>
  <si>
    <t>Qualité accepté</t>
  </si>
  <si>
    <t>Prix abordable</t>
  </si>
  <si>
    <t xml:space="preserve">Priorisation </t>
  </si>
  <si>
    <t>Cannaux de distribution:</t>
  </si>
  <si>
    <t>Traders soit 50% ou moins</t>
  </si>
  <si>
    <t>Vente directe soit 50% ou plus</t>
  </si>
  <si>
    <t>POTENTIALITES EN MICA BRUTE</t>
  </si>
  <si>
    <t>Jours</t>
  </si>
  <si>
    <t>Semaines</t>
  </si>
  <si>
    <t>Mois</t>
  </si>
  <si>
    <t>PU</t>
  </si>
  <si>
    <t>Livraison</t>
  </si>
  <si>
    <t>- Tsimalaha</t>
  </si>
  <si>
    <t>Lieu même</t>
  </si>
  <si>
    <t>- Andranondambo</t>
  </si>
  <si>
    <t>- Marorotro</t>
  </si>
  <si>
    <t>- Ankazofotsy</t>
  </si>
  <si>
    <t>- Ambatoabo</t>
  </si>
  <si>
    <t>- Ampikazo</t>
  </si>
  <si>
    <t>- FRS 1</t>
  </si>
  <si>
    <t>Livré FD</t>
  </si>
  <si>
    <t>- FRS 2</t>
  </si>
  <si>
    <t>- FRS 3</t>
  </si>
  <si>
    <t>- FRS 4</t>
  </si>
  <si>
    <t>Tsivory (si besoins)</t>
  </si>
  <si>
    <t>Livré FD avec prise en charge de la 1/2 frais</t>
  </si>
  <si>
    <t>Mensuelle</t>
  </si>
  <si>
    <t>Annuelle</t>
  </si>
  <si>
    <t>Mica brut</t>
  </si>
  <si>
    <t>Mica coupé</t>
  </si>
  <si>
    <t>Potentialité annuelle</t>
  </si>
  <si>
    <t>COUPES:</t>
  </si>
  <si>
    <t>Couts</t>
  </si>
  <si>
    <t>50 x 75 = 3 750</t>
  </si>
  <si>
    <t>80 Ar/kg =&gt; 100 Ar/kg</t>
  </si>
  <si>
    <t>25 x 75 = 1 875</t>
  </si>
  <si>
    <t>250 x 75 = 18 750</t>
  </si>
  <si>
    <r>
      <rPr>
        <b/>
        <sz val="11"/>
        <color theme="1"/>
        <rFont val="Calibri"/>
        <family val="2"/>
        <scheme val="minor"/>
      </rPr>
      <t>Avec comme objectif</t>
    </r>
    <r>
      <rPr>
        <sz val="11"/>
        <color theme="1"/>
        <rFont val="Calibri"/>
        <family val="2"/>
        <scheme val="minor"/>
      </rPr>
      <t>: prioriser le centre de coupe de Tranomaro =&gt; diminuer de 30% les matieres à transporter</t>
    </r>
  </si>
  <si>
    <t>LOGISTIQUES</t>
  </si>
  <si>
    <t>Capacité</t>
  </si>
  <si>
    <t>Transport</t>
  </si>
  <si>
    <t>Fréquence</t>
  </si>
  <si>
    <t>Jour</t>
  </si>
  <si>
    <t>Semaine</t>
  </si>
  <si>
    <t>Disponibilité</t>
  </si>
  <si>
    <t>Tsimalaha - Tranomaro</t>
  </si>
  <si>
    <t>15 km</t>
  </si>
  <si>
    <t>Tracteur</t>
  </si>
  <si>
    <t>1 AR/J</t>
  </si>
  <si>
    <t>1 Tracteur</t>
  </si>
  <si>
    <t>Andranondambo - Tranomaro</t>
  </si>
  <si>
    <t>25 km</t>
  </si>
  <si>
    <t>Camion</t>
  </si>
  <si>
    <t>1 Camion</t>
  </si>
  <si>
    <t>Marorotro - Tranomaro</t>
  </si>
  <si>
    <t>30 km</t>
  </si>
  <si>
    <t>Tranomaro - Fort Dauphin</t>
  </si>
  <si>
    <t>139 km</t>
  </si>
  <si>
    <t>2 AR/Sem</t>
  </si>
  <si>
    <t>3 Camions</t>
  </si>
  <si>
    <t>Ranopiso - Fort Dauphin</t>
  </si>
  <si>
    <t>43 km</t>
  </si>
  <si>
    <t>1 Camions</t>
  </si>
  <si>
    <t>Existants</t>
  </si>
  <si>
    <t>02 Camions de 15 T</t>
  </si>
  <si>
    <t>01 Tracteur de 6 T</t>
  </si>
  <si>
    <t xml:space="preserve">01 Voiture de direction 4x4 </t>
  </si>
  <si>
    <r>
      <rPr>
        <b/>
        <sz val="11"/>
        <color theme="1"/>
        <rFont val="Calibri"/>
        <family val="2"/>
        <scheme val="minor"/>
      </rPr>
      <t>=&gt; Acquisition 3 camions + voiture 4x4</t>
    </r>
  </si>
  <si>
    <t>Consommation</t>
  </si>
  <si>
    <t>45 l au 100</t>
  </si>
  <si>
    <t>Entretiens</t>
  </si>
  <si>
    <t>1 fois par semaine: graissage roulement et croisillon</t>
  </si>
  <si>
    <t>500 g/entretien</t>
  </si>
  <si>
    <t>Vidanges</t>
  </si>
  <si>
    <t>km ou 03 mois</t>
  </si>
  <si>
    <t>Filtre huile, air  et GO</t>
  </si>
  <si>
    <t>12 litres de huile 40</t>
  </si>
  <si>
    <t>Kilometrage /semaine</t>
  </si>
  <si>
    <t>5 x 16 km x 2</t>
  </si>
  <si>
    <t>Par semaine</t>
  </si>
  <si>
    <t>Camion TRA FD N°1 SOMIDA</t>
  </si>
  <si>
    <t>Km</t>
  </si>
  <si>
    <t>Consommation GO</t>
  </si>
  <si>
    <t>Litres/semaine</t>
  </si>
  <si>
    <t>Pneumatiques</t>
  </si>
  <si>
    <t>Tous les 06 mois</t>
  </si>
  <si>
    <t>Réparations</t>
  </si>
  <si>
    <t>Chauffeurs</t>
  </si>
  <si>
    <t>Aides Chauffeurs</t>
  </si>
  <si>
    <t>Valeurs</t>
  </si>
  <si>
    <t>Amortissements</t>
  </si>
  <si>
    <t>Camions</t>
  </si>
  <si>
    <t>Frais financiers</t>
  </si>
  <si>
    <t>1- Solder les commandes 2017 (janv - Fevr) soit 33 TC dont 16 CT ABR et 17 CT TRA</t>
  </si>
  <si>
    <t>ABR</t>
  </si>
  <si>
    <t>TRA</t>
  </si>
  <si>
    <t>Capacité de production</t>
  </si>
  <si>
    <t>Prix de vente</t>
  </si>
  <si>
    <t>CA</t>
  </si>
  <si>
    <t>Prod/jour</t>
  </si>
  <si>
    <t>Journalier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</si>
  <si>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</si>
  <si>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</si>
  <si>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</si>
  <si>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</si>
  <si>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</si>
  <si>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</si>
  <si>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</si>
  <si>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</si>
  <si>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</si>
  <si>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</si>
  <si>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</si>
  <si>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</si>
  <si>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Cout journalier</t>
  </si>
  <si>
    <t>JOURNALIERS ET TEMPORAIRES</t>
  </si>
  <si>
    <t>Nombres</t>
  </si>
  <si>
    <t>Securité</t>
  </si>
  <si>
    <t>Agents</t>
  </si>
  <si>
    <t>Atelier Mecas et bois</t>
  </si>
  <si>
    <t xml:space="preserve">Ouvriers </t>
  </si>
  <si>
    <t>Nettoyeur</t>
  </si>
  <si>
    <t>Villa B.A.</t>
  </si>
  <si>
    <t>Ar/kg</t>
  </si>
  <si>
    <t>Agent de maison</t>
  </si>
  <si>
    <t>Jardinier</t>
  </si>
  <si>
    <t>Pr 50 kg</t>
  </si>
  <si>
    <t>Achats GO &amp; lub locaux</t>
  </si>
  <si>
    <t>CARBURANTS - LOCAL TOL</t>
  </si>
  <si>
    <t>LUBRIFIANTS - LOCAL TOL</t>
  </si>
  <si>
    <t>Autres achats</t>
  </si>
  <si>
    <t>FOURN.D'ENTR.MAT.TRANSP.</t>
  </si>
  <si>
    <t xml:space="preserve">PETIT OUTILLAGE </t>
  </si>
  <si>
    <t xml:space="preserve">MAT. DE CONSTR. </t>
  </si>
  <si>
    <t xml:space="preserve">PIECE DETACHEE </t>
  </si>
  <si>
    <t xml:space="preserve">PNEUMATIQUE </t>
  </si>
  <si>
    <t xml:space="preserve">QUINCAILLERIES </t>
  </si>
  <si>
    <t xml:space="preserve">FOURNIT. BUREAU </t>
  </si>
  <si>
    <t xml:space="preserve">FOURNIT. BATIMENT </t>
  </si>
  <si>
    <t xml:space="preserve">FOURNIT. DE LOGT </t>
  </si>
  <si>
    <t xml:space="preserve">FOURNIT. DE SECU </t>
  </si>
  <si>
    <t xml:space="preserve">FOURNITURE INFORMATIQUE </t>
  </si>
  <si>
    <t xml:space="preserve">EAU </t>
  </si>
  <si>
    <t xml:space="preserve">ELECTRICITE </t>
  </si>
  <si>
    <t>FOURNIT. ADMINISTRATIVES</t>
  </si>
  <si>
    <t>CONSOMMABLES</t>
  </si>
  <si>
    <t>Total général</t>
  </si>
  <si>
    <t>Achats Micas</t>
  </si>
  <si>
    <t>Total Achats</t>
  </si>
  <si>
    <t>Achat HTVA</t>
  </si>
  <si>
    <t>Achats TTC</t>
  </si>
  <si>
    <t>TVA Déductible</t>
  </si>
  <si>
    <t>Fournisseurs</t>
  </si>
  <si>
    <t>Emballages</t>
  </si>
  <si>
    <t>Divers achats imprévus</t>
  </si>
  <si>
    <t>Prestataires</t>
  </si>
  <si>
    <t>Mise à FOB</t>
  </si>
  <si>
    <t>MISE A FOB</t>
  </si>
  <si>
    <t>FRETS &amp; TRANSPORTS SUR ACHATS</t>
  </si>
  <si>
    <t>TRANSP. AUTRES BIENS</t>
  </si>
  <si>
    <t>ENVOIS-RECEP COLIS/DOCUMENTS/PLIS</t>
  </si>
  <si>
    <t>DEPLACEMENTS INTERNES</t>
  </si>
  <si>
    <t>MISSIONS (CARBURANTS EXCLUS)</t>
  </si>
  <si>
    <t>RECEPTIONS &amp; REPRESENTATIONS</t>
  </si>
  <si>
    <t>VOYA-SEJOUR INTERIEUR</t>
  </si>
  <si>
    <t>VOYA-SEJOUR VISITEURS</t>
  </si>
  <si>
    <t>AFFRANCHISSEMENT &amp; BOITE POST</t>
  </si>
  <si>
    <t>AIRTEL</t>
  </si>
  <si>
    <t>CONNEXION ORANGE</t>
  </si>
  <si>
    <t>COMMISSIONS BANCAIRES</t>
  </si>
  <si>
    <t>AUTRES CHARGES EXTERNES</t>
  </si>
  <si>
    <t>ENTR/REPAR.MAT.TRANSPORT</t>
  </si>
  <si>
    <t>AUTRES ENTR/REPAR.</t>
  </si>
  <si>
    <t>LOCATION MAGASIN</t>
  </si>
  <si>
    <t>LOYER BUREAU COGEPA</t>
  </si>
  <si>
    <t>LOYER BUREAU SPSM</t>
  </si>
  <si>
    <t>AUTRES LOCATIONS</t>
  </si>
  <si>
    <t>PHOTOCOPIES ET IMPRESSIONS</t>
  </si>
  <si>
    <t xml:space="preserve">Redevances </t>
  </si>
  <si>
    <t>DROIT DE VISITE TECHNIQUE</t>
  </si>
  <si>
    <t>DROITS D'ENREGISTREMENT</t>
  </si>
  <si>
    <t>DROITS ET TAXES DIVERS</t>
  </si>
  <si>
    <t>IFPB</t>
  </si>
  <si>
    <t>IR INTERMITTENT</t>
  </si>
  <si>
    <t>Ristournes</t>
  </si>
  <si>
    <t>IMPREVUS</t>
  </si>
  <si>
    <t>AUTRES CHARGES DE GESTION</t>
  </si>
  <si>
    <t>DONS &amp; LIBERALITES</t>
  </si>
  <si>
    <t>DOT.AMORT.MAT &amp; OUTILLAGE</t>
  </si>
  <si>
    <t>DOT.AMORT.VEHICULE UTILITAIRE</t>
  </si>
  <si>
    <t>DOT.AMORT.AGENC AMENAG CONSTRUC</t>
  </si>
  <si>
    <t>DOT.AMORT.AUTRES INSTALLATIONS</t>
  </si>
  <si>
    <t>DOT.AMORT.MATERIEL DE BUREAU</t>
  </si>
  <si>
    <t>DOT.AMORT.MATERIEL INFORMATIQUE</t>
  </si>
  <si>
    <t>DOT.AMORT.MAT.&amp; MOB.DE LOGEMENT</t>
  </si>
  <si>
    <t>RUBRIQUES</t>
  </si>
  <si>
    <t xml:space="preserve">Chiffres d'affaires </t>
  </si>
  <si>
    <t>I. Production de l'exercice</t>
  </si>
  <si>
    <t>Achats consommés</t>
  </si>
  <si>
    <t>Services extérieurs et autres consommations</t>
  </si>
  <si>
    <t>II. Consommation de l'exercice</t>
  </si>
  <si>
    <t>III. VALEUR AJOUTEE D'EXPLOITATION (I-II)</t>
  </si>
  <si>
    <t>Charges de personnel (A)</t>
  </si>
  <si>
    <t>Impots, taxes et versements assimilés</t>
  </si>
  <si>
    <t>IV. EXCEDENT BRUT D'EXPLOITATION</t>
  </si>
  <si>
    <t>Autres produits opérationnels</t>
  </si>
  <si>
    <t>Autres charges opérationnelles</t>
  </si>
  <si>
    <t xml:space="preserve">Dotations aux amortissements, </t>
  </si>
  <si>
    <t>Provisions et pertes de valeur</t>
  </si>
  <si>
    <t>Reprises sur provisions et pertes de valeur</t>
  </si>
  <si>
    <t>V. RESULTAT OPERATIONNEL</t>
  </si>
  <si>
    <t>Produits financiers</t>
  </si>
  <si>
    <t>Charges financières</t>
  </si>
  <si>
    <t>VI. RESULTAT FINANCIER</t>
  </si>
  <si>
    <t>VII. RESULTAT AVANT IMPOTS (V+VI)</t>
  </si>
  <si>
    <t>Impots exigibles sur résultats</t>
  </si>
  <si>
    <t>Impots différés (Variations)</t>
  </si>
  <si>
    <t>TOTAL DES PRODUITS DES ACTIVITES ORDINAIRES</t>
  </si>
  <si>
    <t>TOTAL DES CHARGES DES ACTIVITES ORDINAIRES</t>
  </si>
  <si>
    <t>VIII. RESULTAT NET DES ACTIVITES ORDINAIRES</t>
  </si>
  <si>
    <t>Eléments extraordinaires (produits) - à préciser</t>
  </si>
  <si>
    <t>Eléments extraordinaires (charges) - à préciser</t>
  </si>
  <si>
    <t>IX. RESULTAT EXTRAORDINAIRE</t>
  </si>
  <si>
    <t>X. RESULTAT NET DE L'EXERCICE</t>
  </si>
  <si>
    <t>Contrôle</t>
  </si>
  <si>
    <t>Salaire consolidé</t>
  </si>
  <si>
    <t>SOMIDA</t>
  </si>
  <si>
    <t>TVA</t>
  </si>
  <si>
    <t xml:space="preserve">FRAIS D'ADMINISTRATION MINIER </t>
  </si>
  <si>
    <t>Droit de certificat de conformité</t>
  </si>
  <si>
    <t xml:space="preserve">LOYER VILLA BERYL BAS </t>
  </si>
  <si>
    <t>LOYER VILLA BERYL HAUT</t>
  </si>
  <si>
    <t>INTERET COMPTES DEBITEURS</t>
  </si>
  <si>
    <t>Honoraires CAC</t>
  </si>
  <si>
    <t>SI</t>
  </si>
  <si>
    <t>ENTREES</t>
  </si>
  <si>
    <t>SORTIES</t>
  </si>
  <si>
    <t>SF</t>
  </si>
  <si>
    <t>PRIX DE REVIENT</t>
  </si>
  <si>
    <t>Cout total</t>
  </si>
  <si>
    <t>Cout unitaire</t>
  </si>
  <si>
    <t>EUR</t>
  </si>
  <si>
    <t>AN</t>
  </si>
  <si>
    <t>Mois 1</t>
  </si>
  <si>
    <t>Mois 2</t>
  </si>
  <si>
    <t>Mois 3</t>
  </si>
  <si>
    <t>Mois 4</t>
  </si>
  <si>
    <t>Mois 5</t>
  </si>
  <si>
    <t>Mois 6</t>
  </si>
  <si>
    <t>Mois 7</t>
  </si>
  <si>
    <t>Mois 8</t>
  </si>
  <si>
    <t>Mois 9</t>
  </si>
  <si>
    <t>Mois 10</t>
  </si>
  <si>
    <t>Mois 11</t>
  </si>
  <si>
    <t>Mois 12</t>
  </si>
  <si>
    <t>RESSOURCES A LT</t>
  </si>
  <si>
    <t>Capital</t>
  </si>
  <si>
    <t>Réserves légales</t>
  </si>
  <si>
    <t>Report à nouveau</t>
  </si>
  <si>
    <t>Résultat de l'exo</t>
  </si>
  <si>
    <t>RIA</t>
  </si>
  <si>
    <t>Dépots et cautionnement recus</t>
  </si>
  <si>
    <t>Pertes de valeurs</t>
  </si>
  <si>
    <t>Emprunt à LT</t>
  </si>
  <si>
    <t>Sous total 1</t>
  </si>
  <si>
    <t>EMPLOIS A LT</t>
  </si>
  <si>
    <t>Immobilisations</t>
  </si>
  <si>
    <t>Immobilisations en cours</t>
  </si>
  <si>
    <t>Sous total 2</t>
  </si>
  <si>
    <t>FONDS DE ROULEMENT</t>
  </si>
  <si>
    <t>RESSOURCES A CT</t>
  </si>
  <si>
    <t>Fournisseurs d'immo</t>
  </si>
  <si>
    <t>Prestataires de services</t>
  </si>
  <si>
    <t>Avances clients</t>
  </si>
  <si>
    <t>Personnel</t>
  </si>
  <si>
    <t>Sécurité sociale</t>
  </si>
  <si>
    <t>OSIET</t>
  </si>
  <si>
    <t>Etats - IGR</t>
  </si>
  <si>
    <t>IR</t>
  </si>
  <si>
    <t>Etat, TVA collectée</t>
  </si>
  <si>
    <t>Etat, Autres impots</t>
  </si>
  <si>
    <t>Operations groupes</t>
  </si>
  <si>
    <t>Compte courants</t>
  </si>
  <si>
    <t>Créditeurs divers</t>
  </si>
  <si>
    <t>Sous total 3</t>
  </si>
  <si>
    <t>EMPLOIS A CT</t>
  </si>
  <si>
    <t>Stocks</t>
  </si>
  <si>
    <t>Provisions stocks</t>
  </si>
  <si>
    <t>Clients</t>
  </si>
  <si>
    <t>Avances Personnel</t>
  </si>
  <si>
    <t>Acompte IR</t>
  </si>
  <si>
    <t>TVA, Déductibles</t>
  </si>
  <si>
    <t>TVA, Crédit</t>
  </si>
  <si>
    <t>Débiteurs divers</t>
  </si>
  <si>
    <t>Sous total 4</t>
  </si>
  <si>
    <t>BESOIN EN FONDS DE ROULEMENT</t>
  </si>
  <si>
    <t>TRESORERIE</t>
  </si>
  <si>
    <t>TRESORERIE CUMULEE</t>
  </si>
  <si>
    <t>Début</t>
  </si>
  <si>
    <t>Achats</t>
  </si>
  <si>
    <t>Paiements au comptant</t>
  </si>
  <si>
    <t>Paiements à échéances</t>
  </si>
  <si>
    <t>Fin</t>
  </si>
  <si>
    <t>Prestations de service</t>
  </si>
  <si>
    <t>Remuneration dû</t>
  </si>
  <si>
    <t>Paiement</t>
  </si>
  <si>
    <t>CNaPS</t>
  </si>
  <si>
    <t>Paiements</t>
  </si>
  <si>
    <t>AMIT</t>
  </si>
  <si>
    <t>IR dûs</t>
  </si>
  <si>
    <t>Apurement</t>
  </si>
  <si>
    <t>Collectées</t>
  </si>
  <si>
    <t>Autres impots</t>
  </si>
  <si>
    <t>Avances en nature</t>
  </si>
  <si>
    <t>Avances en numéraires</t>
  </si>
  <si>
    <t>Remboursements</t>
  </si>
  <si>
    <t>Actionnaires</t>
  </si>
  <si>
    <t>Avances</t>
  </si>
  <si>
    <t>SOUS TOTAL 3</t>
  </si>
  <si>
    <t>Contrôle 0</t>
  </si>
  <si>
    <t>Entrées</t>
  </si>
  <si>
    <t>Sorties</t>
  </si>
  <si>
    <t>Ventes</t>
  </si>
  <si>
    <t>Recouvrements</t>
  </si>
  <si>
    <t>Acomptes</t>
  </si>
  <si>
    <t>Apurements</t>
  </si>
  <si>
    <t>Déductible</t>
  </si>
  <si>
    <t>Déclarations</t>
  </si>
  <si>
    <t>SOUS TOTAL 4</t>
  </si>
  <si>
    <t>BFR</t>
  </si>
  <si>
    <t>TRESORERIE FIN</t>
  </si>
  <si>
    <t>Encaissements - Décaissements</t>
  </si>
  <si>
    <t>A Nouveau</t>
  </si>
  <si>
    <t>Encaissements</t>
  </si>
  <si>
    <t>Décaissements</t>
  </si>
  <si>
    <t>Solde</t>
  </si>
  <si>
    <t>Société:</t>
  </si>
  <si>
    <t xml:space="preserve">Année: </t>
  </si>
  <si>
    <t xml:space="preserve">Prévision/Réalisation de Trésorerie 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</si>
  <si>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</si>
  <si>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</si>
  <si>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</si>
  <si>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</si>
  <si>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</si>
  <si>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</si>
  <si>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</si>
  <si>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</si>
  <si>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DECEMBRE</t>
  </si>
  <si>
    <t>CUMUL</t>
  </si>
  <si>
    <t>Estimé</t>
  </si>
  <si>
    <t>Chiffre d'Affaires TTC</t>
  </si>
  <si>
    <t>Clients Termes privés</t>
  </si>
  <si>
    <t>Clients Termes Etat et Collect. Pub.</t>
  </si>
  <si>
    <t>Clients Filiales</t>
  </si>
  <si>
    <t>Clients Comptants</t>
  </si>
  <si>
    <t>Avances Reçues des Clients</t>
  </si>
  <si>
    <t xml:space="preserve">Crédit de TVA, Divers... </t>
  </si>
  <si>
    <t>ENCAISSEMENTS CLIENTS</t>
  </si>
  <si>
    <t>ENCAISSEMENTS D'EXPLOITATION NETS</t>
  </si>
  <si>
    <t xml:space="preserve">Fourn Locaux </t>
  </si>
  <si>
    <t>Fourn Locaux, EAP</t>
  </si>
  <si>
    <t xml:space="preserve">Fourn Immobilisations </t>
  </si>
  <si>
    <t>Fourn Immo, EAP</t>
  </si>
  <si>
    <t>DECAISSEMENTS FOURNISSEURS</t>
  </si>
  <si>
    <t>salaires</t>
  </si>
  <si>
    <t>Avances s/salaires</t>
  </si>
  <si>
    <t>CNaPs</t>
  </si>
  <si>
    <t>Organis° sanitaire</t>
  </si>
  <si>
    <t>SALAIRES &amp; CHARGES SOCIALES</t>
  </si>
  <si>
    <t>Impôts sur salaires</t>
  </si>
  <si>
    <t>Impôts/Chiffre d'Afff.(TVA à Payer)</t>
  </si>
  <si>
    <t>Autres impôts &amp; taxes (hors IS/IRVM)</t>
  </si>
  <si>
    <t>IMPOTS &amp; TAXES D'EXPLOITATION</t>
  </si>
  <si>
    <t>Autres DCT (Remb caution….)</t>
  </si>
  <si>
    <t>Idemnités Fonction d'Administrateurs</t>
  </si>
  <si>
    <t xml:space="preserve">Redevances Licences/Assistance Technique </t>
  </si>
  <si>
    <t>AUTRES DECAIS.D'EXPLOITATION</t>
  </si>
  <si>
    <t>DECAISSEMENTS D'EXPLOITATION hors F.Fin.</t>
  </si>
  <si>
    <t>FLUX NETS D'EXPLOITATION DIFFERENCE  A - B</t>
  </si>
  <si>
    <t>Remboursement  de fonds autres stés</t>
  </si>
  <si>
    <t>Ajout CC des actionnaires</t>
  </si>
  <si>
    <t>Encaissements HE</t>
  </si>
  <si>
    <t>Avances de fonds autres sté du groupe</t>
  </si>
  <si>
    <t>Remboursement  de CC des actionnaires</t>
  </si>
  <si>
    <t>Décaissements HE</t>
  </si>
  <si>
    <t>VARIATIONS NETTES HORS EXPL° DIFFERENCE  C - D</t>
  </si>
  <si>
    <t>Profit de change</t>
  </si>
  <si>
    <t>Produits Financiers</t>
  </si>
  <si>
    <t>Intérêts s/Emprunts &amp; s/Cautions</t>
  </si>
  <si>
    <t>Intérêts s/Découverts &amp; Escpmpte</t>
  </si>
  <si>
    <t>Pertes de change</t>
  </si>
  <si>
    <t>Autres Frais Financiers</t>
  </si>
  <si>
    <t>CHARGES FINANCIERES NETTES  E - F</t>
  </si>
  <si>
    <t>Augmentation Capital &amp; Emprunt LT</t>
  </si>
  <si>
    <t>Produits/Cession d'immob.</t>
  </si>
  <si>
    <t>Récup.Dépôts/Cautions,Prêts LMT,Fourieres zebu…</t>
  </si>
  <si>
    <t>AUTRES  RESOURCES</t>
  </si>
  <si>
    <t>Paiements d'investissements</t>
  </si>
  <si>
    <t>Autres décaissements</t>
  </si>
  <si>
    <t>Remboursement Emprunts LT</t>
  </si>
  <si>
    <t>Remboursement Crédits Court Terme (Découv.,…)</t>
  </si>
  <si>
    <t>Impôts sur Société (Solde+acptes)</t>
  </si>
  <si>
    <t>Paiement Prêts LMT, Dép.&amp;Caut., Autres Créances</t>
  </si>
  <si>
    <t>AUTRES  EMPLOIS</t>
  </si>
  <si>
    <t>DIFFERENCE   G - H</t>
  </si>
  <si>
    <t>SOLDE NET DES FLUX : S1+S2+S3+S4</t>
  </si>
  <si>
    <t>Situation Début  BANQUE TNR</t>
  </si>
  <si>
    <t>Situation Début  BANQUE FD</t>
  </si>
  <si>
    <t>Virement Automatique</t>
  </si>
  <si>
    <t>Virement Complémentaire  1</t>
  </si>
  <si>
    <t>Virement Complémentaire  2</t>
  </si>
  <si>
    <t>Ajustement Solde Compte B</t>
  </si>
  <si>
    <t>SITUATION FIN  BANQUE TNR</t>
  </si>
  <si>
    <t>SITUATION FIN  BANQUE FD</t>
  </si>
  <si>
    <t>SITUATION FIN NET DISPONIBLE</t>
  </si>
  <si>
    <t>PLACEMENTS TRESORERIE CUMULES</t>
  </si>
  <si>
    <t>TOTAL EN BANQUES &amp; CAISSES</t>
  </si>
  <si>
    <t>Contrôle Comptable</t>
  </si>
  <si>
    <t>Cnaps</t>
  </si>
  <si>
    <t>IR INTERMITANT</t>
  </si>
  <si>
    <t>TVA COLLECTEE</t>
  </si>
  <si>
    <t>VENTE HT</t>
  </si>
  <si>
    <t>CLIENTS</t>
  </si>
  <si>
    <t>2- Produire et exporter      /An de SCRAP ABR-TRA</t>
  </si>
  <si>
    <t>Avant Octobre</t>
  </si>
  <si>
    <t>Revoir les investissements location vs investissement</t>
  </si>
  <si>
    <t>Evaluer les investissements à faire sur Ampandranava</t>
  </si>
  <si>
    <t>SPSM</t>
  </si>
  <si>
    <t>SDM</t>
  </si>
  <si>
    <t>Revoir la quantité à exporter pour Elinar</t>
  </si>
  <si>
    <t>Optimiser le cout de transport</t>
  </si>
  <si>
    <t>Cout de production de SDM à calculer et rentabilité à analyser</t>
  </si>
  <si>
    <t>Quantités</t>
  </si>
  <si>
    <t>Client</t>
  </si>
  <si>
    <t>Commande</t>
  </si>
  <si>
    <t xml:space="preserve">Date de livraison </t>
  </si>
  <si>
    <t>Type</t>
  </si>
  <si>
    <t>En tonne</t>
  </si>
  <si>
    <t>Nbre CT</t>
  </si>
  <si>
    <t>Observation</t>
  </si>
  <si>
    <t>ELINAR</t>
  </si>
  <si>
    <t>Reliquat commande 2017 à livrer en 2018 jusqu'en fin Février 2018</t>
  </si>
  <si>
    <t>Commande 2018 livraison à partir de Mars 2018</t>
  </si>
  <si>
    <t>OKABE</t>
  </si>
  <si>
    <t>Retard de 02 mois</t>
  </si>
  <si>
    <t>NIPPON RIKA</t>
  </si>
  <si>
    <t xml:space="preserve">Devrait être envoyé ce mois-ci </t>
  </si>
  <si>
    <t>S FP</t>
  </si>
  <si>
    <t>Commande 2017</t>
  </si>
  <si>
    <t xml:space="preserve">Début 12/2017 </t>
  </si>
  <si>
    <t>A envoyer dès que possible (dernier envoi le 18/11/2017)</t>
  </si>
  <si>
    <t>Commande 2017/2018</t>
  </si>
  <si>
    <t>Rémunerations dues</t>
  </si>
  <si>
    <t>Cnaps salariale</t>
  </si>
  <si>
    <t>Cnaps Patronnale</t>
  </si>
  <si>
    <t>Permanents</t>
  </si>
  <si>
    <t>Charges sociales</t>
  </si>
  <si>
    <t>Salaires</t>
  </si>
  <si>
    <t>Cnaps patronale</t>
  </si>
  <si>
    <t>Rémuneration dues</t>
  </si>
  <si>
    <t>,</t>
  </si>
  <si>
    <t>Sakamasy</t>
  </si>
  <si>
    <t>239 km</t>
  </si>
  <si>
    <t>1 AR/Sem</t>
  </si>
  <si>
    <t>2 x 239 km x 1</t>
  </si>
  <si>
    <t>Céline RAKOTONIRINA</t>
  </si>
  <si>
    <t>RAKOTOMALALA</t>
  </si>
  <si>
    <t>RAKOTONIRINA Jean</t>
  </si>
  <si>
    <t>RASOARINORO</t>
  </si>
  <si>
    <t>RASONIRINA</t>
  </si>
  <si>
    <t>RAKOTONIRINA Céline</t>
  </si>
  <si>
    <t>RASOANIRINA P</t>
  </si>
  <si>
    <t>Qté</t>
  </si>
  <si>
    <t>PU HTVA</t>
  </si>
  <si>
    <t>PTTC</t>
  </si>
  <si>
    <t>Montant  HTVA</t>
  </si>
  <si>
    <t>Montant TTC</t>
  </si>
  <si>
    <t>NRK</t>
  </si>
  <si>
    <t>Dechets</t>
  </si>
  <si>
    <t>Chine</t>
  </si>
  <si>
    <t>FD</t>
  </si>
  <si>
    <t>Nombre de jour</t>
  </si>
  <si>
    <t>JANVIER</t>
  </si>
  <si>
    <t>FÉVRIER</t>
  </si>
  <si>
    <t>MARS</t>
  </si>
  <si>
    <t>AOÛT</t>
  </si>
  <si>
    <t>SITE</t>
  </si>
  <si>
    <t>Intitulé service</t>
  </si>
  <si>
    <t>Qualification</t>
  </si>
  <si>
    <t>EFFECTIFS</t>
  </si>
  <si>
    <t>3B</t>
  </si>
  <si>
    <t>Journaliers et temporaires</t>
  </si>
  <si>
    <t>Micas coupés</t>
  </si>
  <si>
    <t>IR Intermitant</t>
  </si>
  <si>
    <t>Investissements</t>
  </si>
  <si>
    <t>Total investissements</t>
  </si>
  <si>
    <t>Total amortissements</t>
  </si>
  <si>
    <t>Euro</t>
  </si>
  <si>
    <t>Prix de revient</t>
  </si>
  <si>
    <t>Année 1</t>
  </si>
  <si>
    <t>Année 2</t>
  </si>
  <si>
    <t>Année 3</t>
  </si>
  <si>
    <t>Année 4</t>
  </si>
  <si>
    <t>Emprunts</t>
  </si>
  <si>
    <t>Autres</t>
  </si>
  <si>
    <t>Unité de broyage</t>
  </si>
  <si>
    <t>Libellés</t>
  </si>
  <si>
    <t>Montant total</t>
  </si>
  <si>
    <t>Durée</t>
  </si>
  <si>
    <t>Dont differé</t>
  </si>
  <si>
    <t>Taux</t>
  </si>
  <si>
    <t>l'an</t>
  </si>
  <si>
    <t>En millier d'Ar</t>
  </si>
  <si>
    <t>n</t>
  </si>
  <si>
    <t>Differé</t>
  </si>
  <si>
    <t>i</t>
  </si>
  <si>
    <t>VA</t>
  </si>
  <si>
    <t>Annuité / PMT</t>
  </si>
  <si>
    <t>VF</t>
  </si>
  <si>
    <t>Résultat</t>
  </si>
  <si>
    <t>?</t>
  </si>
  <si>
    <t xml:space="preserve">PMT = </t>
  </si>
  <si>
    <t>Tableau d'amortissement de l'emprunt (limité à 500 périodes)</t>
  </si>
  <si>
    <t>Période</t>
  </si>
  <si>
    <t>Débloquage</t>
  </si>
  <si>
    <t>Cumul</t>
  </si>
  <si>
    <t>Annuité</t>
  </si>
  <si>
    <t>Interets</t>
  </si>
  <si>
    <t>dont</t>
  </si>
  <si>
    <t>capital</t>
  </si>
  <si>
    <t>remboursement</t>
  </si>
  <si>
    <t>final</t>
  </si>
  <si>
    <t>Emprunts à LMT</t>
  </si>
  <si>
    <t>Remboursement</t>
  </si>
  <si>
    <r>
      <t>M.A.J.</t>
    </r>
    <r>
      <rPr>
        <sz val="10"/>
        <color indexed="12"/>
        <rFont val="Arial Narrow"/>
        <family val="2"/>
      </rPr>
      <t xml:space="preserve"> :</t>
    </r>
  </si>
  <si>
    <r>
      <t>Unité</t>
    </r>
    <r>
      <rPr>
        <sz val="10"/>
        <color indexed="12"/>
        <rFont val="Arial Narrow"/>
        <family val="2"/>
      </rPr>
      <t>:  Milliers d'Ariary</t>
    </r>
  </si>
  <si>
    <r>
      <t xml:space="preserve">Mois </t>
    </r>
    <r>
      <rPr>
        <sz val="10"/>
        <rFont val="Arial Narrow"/>
        <family val="2"/>
      </rPr>
      <t>(saisir numero)</t>
    </r>
  </si>
  <si>
    <r>
      <t>-</t>
    </r>
    <r>
      <rPr>
        <sz val="10"/>
        <rFont val="Arial Narrow"/>
        <family val="2"/>
      </rPr>
      <t xml:space="preserve">Placements/+Déblocage </t>
    </r>
    <r>
      <rPr>
        <sz val="9"/>
        <rFont val="Arial Narrow"/>
        <family val="2"/>
      </rPr>
      <t>de Trésor.CT</t>
    </r>
  </si>
  <si>
    <t>Ampandrandava</t>
  </si>
  <si>
    <t xml:space="preserve">6 x 30 km </t>
  </si>
  <si>
    <t>2 x73 km x 1</t>
  </si>
  <si>
    <t>Camion TRA FD N° 2 SOMIDA</t>
  </si>
  <si>
    <t>Camion TRA FD N°3 SOMIDA</t>
  </si>
  <si>
    <t>Environ TRA</t>
  </si>
  <si>
    <t>Par mois</t>
  </si>
  <si>
    <t>Brut</t>
  </si>
  <si>
    <t>CARBURANTS -TRANSP MICA</t>
  </si>
  <si>
    <t>Camion 1</t>
  </si>
  <si>
    <t>Camion 2</t>
  </si>
  <si>
    <t>Camion 3</t>
  </si>
  <si>
    <t>Ar / camion/3 mois</t>
  </si>
  <si>
    <t>Rubriques</t>
  </si>
  <si>
    <t>Amortissements y afferents</t>
  </si>
  <si>
    <t>Charges financieres</t>
  </si>
  <si>
    <t>Données économiques</t>
  </si>
  <si>
    <t>Inflation annuelle</t>
  </si>
  <si>
    <t>Monnaie</t>
  </si>
  <si>
    <t>Unité</t>
  </si>
  <si>
    <t>Montant</t>
  </si>
  <si>
    <t>Taux de change USD</t>
  </si>
  <si>
    <t>MGA/USD</t>
  </si>
  <si>
    <t>Taux de change EUR</t>
  </si>
  <si>
    <t>MGA/EUR</t>
  </si>
  <si>
    <t>Augmentation globale de salaire</t>
  </si>
  <si>
    <t>Taux de TVA</t>
  </si>
  <si>
    <t xml:space="preserve">Glissement USD: </t>
  </si>
  <si>
    <t>MGA vs USD</t>
  </si>
  <si>
    <t>MGA vs EUR</t>
  </si>
  <si>
    <t>Année</t>
  </si>
  <si>
    <t>Tonnes</t>
  </si>
  <si>
    <t>Nombre coupeur(s)e</t>
  </si>
  <si>
    <t>T/pers/jours</t>
  </si>
  <si>
    <t>Personnes</t>
  </si>
  <si>
    <t>Besoins en Matieres Premieres</t>
  </si>
  <si>
    <t>Matieres de base</t>
  </si>
  <si>
    <t>Micas gazs</t>
  </si>
  <si>
    <t>Lieux d'achats</t>
  </si>
  <si>
    <t>Besoins en Micas Gaz</t>
  </si>
  <si>
    <t>Capacité de Production</t>
  </si>
  <si>
    <t>115 km</t>
  </si>
  <si>
    <t>260 km</t>
  </si>
  <si>
    <t>0 km</t>
  </si>
  <si>
    <t>200 km</t>
  </si>
  <si>
    <t>Distances</t>
  </si>
  <si>
    <t>ar/kg</t>
  </si>
  <si>
    <t>Locations</t>
  </si>
  <si>
    <t>Prix Gaz</t>
  </si>
  <si>
    <t>Rendement micas bruts vs gaz</t>
  </si>
  <si>
    <t>Rendement micas bruts vs dechets</t>
  </si>
  <si>
    <t>Lieux Approvisionnements</t>
  </si>
  <si>
    <t>Besoins en micas bruts</t>
  </si>
  <si>
    <t>Elinar</t>
  </si>
  <si>
    <t>FOB</t>
  </si>
  <si>
    <t>CIF</t>
  </si>
  <si>
    <t xml:space="preserve">USD </t>
  </si>
  <si>
    <t>Goodies</t>
  </si>
  <si>
    <t>Ventes (en kg)</t>
  </si>
  <si>
    <t>Dockers</t>
  </si>
  <si>
    <t>Ar/T</t>
  </si>
  <si>
    <t>Tve</t>
  </si>
  <si>
    <t>Transport s/achats</t>
  </si>
  <si>
    <t>Micas vendus</t>
  </si>
  <si>
    <t>Total TRA</t>
  </si>
  <si>
    <t>Total ABR</t>
  </si>
  <si>
    <t>Total general</t>
  </si>
  <si>
    <t>Total General</t>
  </si>
  <si>
    <t>Besoins en micas brut</t>
  </si>
  <si>
    <t>Besoins en emballages</t>
  </si>
  <si>
    <t>Productions totales</t>
  </si>
  <si>
    <t>Sacs propylenes</t>
  </si>
  <si>
    <t>Cout d"achat</t>
  </si>
  <si>
    <t>Docker</t>
  </si>
  <si>
    <t>Embarquement</t>
  </si>
  <si>
    <t>Debarquement</t>
  </si>
  <si>
    <t>Coupes</t>
  </si>
  <si>
    <t>Cabotages</t>
  </si>
  <si>
    <t>ANIVORANO</t>
  </si>
  <si>
    <t>AMPANDRANDAVA</t>
  </si>
  <si>
    <t>(01) Resp de Site</t>
  </si>
  <si>
    <t>Machiniste</t>
  </si>
  <si>
    <t>01 Aide Machiniste</t>
  </si>
  <si>
    <t>(12) Equipes  Collectes</t>
  </si>
  <si>
    <t>(03) Controleurs Qualité - Quantité</t>
  </si>
  <si>
    <t>(02) Agents Entretiens</t>
  </si>
  <si>
    <t>(03) Agents Securités</t>
  </si>
  <si>
    <t>(01) Gestionnaire Hotel</t>
  </si>
  <si>
    <t>02 Gardiens</t>
  </si>
  <si>
    <t>01 Temporaire Centrale</t>
  </si>
  <si>
    <t>Objectifs: 2,5 T/J Par équipe de collecte</t>
  </si>
  <si>
    <t>Postes</t>
  </si>
  <si>
    <t>Sal Base Unitaires</t>
  </si>
  <si>
    <t>Nbre</t>
  </si>
  <si>
    <t>Total Base</t>
  </si>
  <si>
    <t>Interessements</t>
  </si>
  <si>
    <t>Resp Site</t>
  </si>
  <si>
    <t>Ar</t>
  </si>
  <si>
    <t>+</t>
  </si>
  <si>
    <t>Salaire variable (1,5 Ar/kg)</t>
  </si>
  <si>
    <t>Collecteurs</t>
  </si>
  <si>
    <t>Aide Machiniste</t>
  </si>
  <si>
    <t>Aides Collecteurs</t>
  </si>
  <si>
    <t>Primes rendement (05 Ar/kg)</t>
  </si>
  <si>
    <t>Gardiens</t>
  </si>
  <si>
    <t>Controleurs</t>
  </si>
  <si>
    <t>Primes (Base 1 mois salaire)</t>
  </si>
  <si>
    <t>Temp Central</t>
  </si>
  <si>
    <t>Prime</t>
  </si>
  <si>
    <t>13° Mois*</t>
  </si>
  <si>
    <t>Agents entretiens</t>
  </si>
  <si>
    <t>Agents securités</t>
  </si>
  <si>
    <t>Gestionnaire</t>
  </si>
  <si>
    <t>PRIME</t>
  </si>
  <si>
    <t>(01) Resp Site</t>
  </si>
  <si>
    <t>Toamasina</t>
  </si>
  <si>
    <t>(02) Assistant</t>
  </si>
  <si>
    <t>(12) Equipe Collecte</t>
  </si>
  <si>
    <t>(03) Controleurs</t>
  </si>
  <si>
    <t>(01) Securité</t>
  </si>
  <si>
    <t>Salaire base</t>
  </si>
  <si>
    <t>Salaire brut</t>
  </si>
  <si>
    <t>OsIe</t>
  </si>
  <si>
    <t>Amit</t>
  </si>
  <si>
    <t>Total sans Primes</t>
  </si>
  <si>
    <t>Variable</t>
  </si>
  <si>
    <t>Primes rendement (10 Ar/kg)</t>
  </si>
  <si>
    <t>Aide colleceturs</t>
  </si>
  <si>
    <t>Direction Générale</t>
  </si>
  <si>
    <t>(01) Directeur Site</t>
  </si>
  <si>
    <t>(01) Resp Contrôle</t>
  </si>
  <si>
    <t>(01) Assistant Resp Contrôle</t>
  </si>
  <si>
    <t>(01) Resp Adm Fin</t>
  </si>
  <si>
    <t>(01) Resp Transit</t>
  </si>
  <si>
    <t>(03) Resp Mica</t>
  </si>
  <si>
    <t>(01) Resp Entretien</t>
  </si>
  <si>
    <t>(01) Transitaire</t>
  </si>
  <si>
    <t>(03) Cliveuse</t>
  </si>
  <si>
    <t>(01) Assistant Entretien</t>
  </si>
  <si>
    <t>(02) Contrôle Collecteur                   Autres sites de collecte</t>
  </si>
  <si>
    <t>(06) Contrôle Site : FD - Amp - TRA - RPS - Benato</t>
  </si>
  <si>
    <t>(12) Manutentionnaires</t>
  </si>
  <si>
    <t>(06) Securité</t>
  </si>
  <si>
    <t>(01) Chauffeur</t>
  </si>
  <si>
    <t>(01) Caissiere</t>
  </si>
  <si>
    <t>(01) Aide Chauffeur</t>
  </si>
  <si>
    <r>
      <rPr>
        <i/>
        <u/>
        <sz val="12"/>
        <color theme="1"/>
        <rFont val="Arial Narrow"/>
        <family val="2"/>
      </rPr>
      <t>Objectifs</t>
    </r>
    <r>
      <rPr>
        <i/>
        <sz val="12"/>
        <color theme="1"/>
        <rFont val="Arial Narrow"/>
        <family val="2"/>
      </rPr>
      <t>: 5 T/J Par équipe de collecte</t>
    </r>
  </si>
  <si>
    <t>Directeur de site</t>
  </si>
  <si>
    <t>RAF</t>
  </si>
  <si>
    <t>Resp Transit</t>
  </si>
  <si>
    <t>Resp Mica</t>
  </si>
  <si>
    <t>Resp Entretien</t>
  </si>
  <si>
    <t>Transitaire</t>
  </si>
  <si>
    <t>Cliveuse</t>
  </si>
  <si>
    <t>Aide Entretien</t>
  </si>
  <si>
    <t>Caissiere</t>
  </si>
  <si>
    <t>Assistant controleur</t>
  </si>
  <si>
    <t>Controleur autre site</t>
  </si>
  <si>
    <t>Sites</t>
  </si>
  <si>
    <t>Salaires de base</t>
  </si>
  <si>
    <t>OSIE</t>
  </si>
  <si>
    <t>Objectifs</t>
  </si>
  <si>
    <t>Primes</t>
  </si>
  <si>
    <t>3 premiers mois: 560 T/Mois</t>
  </si>
  <si>
    <t>Directeurs</t>
  </si>
  <si>
    <t>Equipe collecteurs</t>
  </si>
  <si>
    <t>9 derniers mois: 1.120 T/Mois</t>
  </si>
  <si>
    <t>Croisieres: 1.680T/mois</t>
  </si>
  <si>
    <t>* Primes : atteinte au moins 50% objectifs</t>
  </si>
  <si>
    <t xml:space="preserve">- 02,5 T/J Par équipe de collecte: </t>
  </si>
  <si>
    <t>x</t>
  </si>
  <si>
    <t>Ampandra</t>
  </si>
  <si>
    <t>- 05 T/J Par équipe de collecte pour FD</t>
  </si>
  <si>
    <t>S/Total</t>
  </si>
  <si>
    <t>Collectes (en T)</t>
  </si>
  <si>
    <t>Salaires variables  mensuelles ( x 1.000 Ar)</t>
  </si>
  <si>
    <t>Directeur (2,5 Ar/Kg)</t>
  </si>
  <si>
    <t>Resp. Site (1,5 Ar/Kg)</t>
  </si>
  <si>
    <t>Equipe Collecte Site (15 Ar/Kg)</t>
  </si>
  <si>
    <t>Equipe Collecte FD (10 Ar/Kg)</t>
  </si>
  <si>
    <t xml:space="preserve">Equipe collecte </t>
  </si>
  <si>
    <t>Atteinte Objectifs</t>
  </si>
  <si>
    <t>Salaires fixe</t>
  </si>
  <si>
    <t>Salaires variables</t>
  </si>
  <si>
    <t>Total mensuel</t>
  </si>
  <si>
    <t>USD</t>
  </si>
  <si>
    <t>Micas bruts</t>
  </si>
  <si>
    <t>Reparations toitures</t>
  </si>
  <si>
    <t>La Seal</t>
  </si>
  <si>
    <t>Fret</t>
  </si>
  <si>
    <t>/CT</t>
  </si>
  <si>
    <t xml:space="preserve">DEP &amp; CAUTIONN VERSES </t>
  </si>
  <si>
    <t>ETAT : CHARGES A PAYER</t>
  </si>
  <si>
    <t>COMPTE COURANT GROUPE D' ASSOCIES</t>
  </si>
  <si>
    <t>CC</t>
  </si>
  <si>
    <t>MCB</t>
  </si>
  <si>
    <t>Nouveau</t>
  </si>
  <si>
    <t>Assistant</t>
  </si>
  <si>
    <t>Produit brut</t>
  </si>
  <si>
    <t>Produits transformés</t>
  </si>
  <si>
    <t>Nb</t>
  </si>
  <si>
    <t>Primes Unit</t>
  </si>
  <si>
    <t>Fixes</t>
  </si>
  <si>
    <t>Sal de base</t>
  </si>
  <si>
    <t>Ch Personnel</t>
  </si>
  <si>
    <t>Net à payer</t>
  </si>
  <si>
    <t>TOAMASINA</t>
  </si>
  <si>
    <t>Sal Fixe unit</t>
  </si>
  <si>
    <t>Salaire</t>
  </si>
  <si>
    <t>Charge sociale</t>
  </si>
  <si>
    <t>Ch sociale</t>
  </si>
  <si>
    <t xml:space="preserve">Coûts </t>
  </si>
  <si>
    <t>Quantité</t>
  </si>
  <si>
    <t>Remarques</t>
  </si>
  <si>
    <t>Redevances et ristournes</t>
  </si>
  <si>
    <t>fft</t>
  </si>
  <si>
    <t>Droit certificat de conformité</t>
  </si>
  <si>
    <t>TC</t>
  </si>
  <si>
    <t>Indemnité agent douanes</t>
  </si>
  <si>
    <t>jour</t>
  </si>
  <si>
    <t xml:space="preserve">Indemnité agent mines </t>
  </si>
  <si>
    <t>Transport Hnoor</t>
  </si>
  <si>
    <t>Dokers chargement FD et Ehoala</t>
  </si>
  <si>
    <t>Gasynet</t>
  </si>
  <si>
    <t>Charge locale CMA (BL&amp;plomb)</t>
  </si>
  <si>
    <t>TOTAL A PAYER A TANA</t>
  </si>
  <si>
    <t>voyage</t>
  </si>
  <si>
    <t>La Seal (Par TC)</t>
  </si>
  <si>
    <t>Fret international (Par TC)</t>
  </si>
  <si>
    <t>M3</t>
  </si>
  <si>
    <t>M4</t>
  </si>
  <si>
    <t>M5</t>
  </si>
  <si>
    <t>M6</t>
  </si>
  <si>
    <t>M7</t>
  </si>
  <si>
    <t>M8</t>
  </si>
  <si>
    <t>M9</t>
  </si>
  <si>
    <t>M10</t>
  </si>
  <si>
    <t>Croisieres</t>
  </si>
  <si>
    <t>Vente</t>
  </si>
  <si>
    <t>ABR-FP1</t>
  </si>
  <si>
    <t>Appro Mica</t>
  </si>
  <si>
    <t>Achat</t>
  </si>
  <si>
    <t>Okabe</t>
  </si>
  <si>
    <t>Productions croisieres</t>
  </si>
  <si>
    <t>Croisiere</t>
  </si>
  <si>
    <t>Depart Port Ehoala</t>
  </si>
  <si>
    <t>Depart Port Tamatave</t>
  </si>
  <si>
    <t>Nombre TC</t>
  </si>
  <si>
    <t>Total Général</t>
  </si>
  <si>
    <t>Mis à FOB</t>
  </si>
  <si>
    <t>Tri dechets</t>
  </si>
  <si>
    <t>Assistants</t>
  </si>
  <si>
    <t>COUT ESTIMATIF POUR ENVOI MICA 3TCS</t>
  </si>
  <si>
    <t xml:space="preserve">Quantité brute </t>
  </si>
  <si>
    <t>Quantité coupée</t>
  </si>
  <si>
    <t>récuperation à 80%</t>
  </si>
  <si>
    <t>03TCS Goodeeis</t>
  </si>
  <si>
    <t>Quantité Goodeis 03TCS</t>
  </si>
  <si>
    <t>marchandise</t>
  </si>
  <si>
    <t>fret</t>
  </si>
  <si>
    <t>PU/t CFR TMM Goodeis</t>
  </si>
  <si>
    <t>Cours considéré</t>
  </si>
  <si>
    <t>Reste en ariary</t>
  </si>
  <si>
    <t>Avance reçu</t>
  </si>
  <si>
    <t>Reste</t>
  </si>
  <si>
    <t>CHARGE A FD</t>
  </si>
  <si>
    <t>Achat mica brut (à FD)</t>
  </si>
  <si>
    <t>kg</t>
  </si>
  <si>
    <t>Basé sur achat FD à 450ar/kg</t>
  </si>
  <si>
    <t>coupe</t>
  </si>
  <si>
    <t>Sacs polypropylène</t>
  </si>
  <si>
    <t>pièce</t>
  </si>
  <si>
    <t>Sacs polyéthylène</t>
  </si>
  <si>
    <t>TOTAL CHARGE A FD</t>
  </si>
  <si>
    <t>si envoi Goodeeis par Tamatave</t>
  </si>
  <si>
    <t>Si envoi Goodeeis par Ehoala</t>
  </si>
  <si>
    <t>Mise à FOB Tamatave</t>
  </si>
  <si>
    <t>MISE FOB EHOALA 84t soit 03TCS</t>
  </si>
  <si>
    <t>Dokers chargement camion vers vieux port</t>
  </si>
  <si>
    <t>tonne</t>
  </si>
  <si>
    <t>donnée FD</t>
  </si>
  <si>
    <t>Dokers embarquement vieux port</t>
  </si>
  <si>
    <t>Nourriture dokers embarquement vieux port</t>
  </si>
  <si>
    <t>Mise à FOB FD (acquisition TC, Strang)</t>
  </si>
  <si>
    <t xml:space="preserve">Essence Hardy ou Godcelot </t>
  </si>
  <si>
    <t>indemnité agent mine FD</t>
  </si>
  <si>
    <t>gasoil camion Jacky</t>
  </si>
  <si>
    <t>l</t>
  </si>
  <si>
    <t>Indemnité Jacky et son aide</t>
  </si>
  <si>
    <t>deux chargements et un déchargement suite au procédure à Ehoala</t>
  </si>
  <si>
    <t>Rajout camion</t>
  </si>
  <si>
    <t>Gasoil Jacky</t>
  </si>
  <si>
    <t>droit APMF</t>
  </si>
  <si>
    <t>Nourriture de 06 dokers et 04 couseuses à Ehoala</t>
  </si>
  <si>
    <t>fret FD Tve</t>
  </si>
  <si>
    <t>Crédit 01mois</t>
  </si>
  <si>
    <t>Essence et nourriture responsable</t>
  </si>
  <si>
    <t>Dokers débarquement port Tve</t>
  </si>
  <si>
    <t>Imprévu (5%)</t>
  </si>
  <si>
    <t>Dokers déchargement stockage</t>
  </si>
  <si>
    <t>TOTAL MISE A FOB FD</t>
  </si>
  <si>
    <t>Enveloppe Directeur Tamatave</t>
  </si>
  <si>
    <t>A PAYER APRES DEPART NAVIRE EHOALA</t>
  </si>
  <si>
    <t>Frais de déplacement agent mines</t>
  </si>
  <si>
    <t>A payer avant départ navire</t>
  </si>
  <si>
    <t>Indemnité Mr Parany</t>
  </si>
  <si>
    <t>Plomb, BL, fret CMA : 3239 usd/TC</t>
  </si>
  <si>
    <t>A payer un mois après départ navire</t>
  </si>
  <si>
    <t>frais de déplacement Mr Parany</t>
  </si>
  <si>
    <t>TOTAL A PAYER  TANA</t>
  </si>
  <si>
    <t>Indemnité Assistant Mr Parany</t>
  </si>
  <si>
    <t>frais de déplacement assistant Mr Parany</t>
  </si>
  <si>
    <t>Imprévu</t>
  </si>
  <si>
    <t>TOTAL MISE A FOB TAMATAVE</t>
  </si>
  <si>
    <t>TOTAL A PAYER A FD (achat+coupe+empotage)</t>
  </si>
  <si>
    <t>Facture Laseal</t>
  </si>
  <si>
    <t>2100000=droit sortie annulé</t>
  </si>
  <si>
    <t>crédit 3 mois (estimation)</t>
  </si>
  <si>
    <t>TOTAL MONTANT NECESSAIRE SI ENVOI PAR EHOALA</t>
  </si>
  <si>
    <t>TOTAL A PAYER APRES DEPART NAVIRE TAMATAVE</t>
  </si>
  <si>
    <t>total  coût envoi si Ehoala</t>
  </si>
  <si>
    <t>cout cabotage par TC (28t)</t>
  </si>
  <si>
    <t>hors Laseal</t>
  </si>
  <si>
    <t>TOTAL AVEC ACHAT MICA ET COUPE</t>
  </si>
  <si>
    <t>fret FD TMM par TC (28t)</t>
  </si>
  <si>
    <t>Montant necessaire jusqu'à départ navire Tamatave</t>
  </si>
  <si>
    <t>TOTAL COUT ENVOI SI TAMATAVE</t>
  </si>
  <si>
    <t>COUT ESTIMATIF POUR ENVOI MICA 15TCS japonais d'Okabe</t>
  </si>
  <si>
    <t>sacs</t>
  </si>
  <si>
    <t>Nombre TCS</t>
  </si>
  <si>
    <t>181,9t de TRA</t>
  </si>
  <si>
    <t>120t d'ABR</t>
  </si>
  <si>
    <t>PU/t FOB Ehoala Okabe</t>
  </si>
  <si>
    <t>CHARGE production  FD</t>
  </si>
  <si>
    <t>Basé sur achat FD, 45t déjà à charge de Mr Charlot à FD</t>
  </si>
  <si>
    <t>TOTAL CHARGE PRODUCTION A FD</t>
  </si>
  <si>
    <t xml:space="preserve">MISE FOB EHOALA </t>
  </si>
  <si>
    <t>litre/jour</t>
  </si>
  <si>
    <t>TOTAL MISE A FOB Ehoala</t>
  </si>
  <si>
    <t>CHARGE emballage TANA</t>
  </si>
  <si>
    <t>Envoi sacs vers FD</t>
  </si>
  <si>
    <t>envoi par poste ou autre</t>
  </si>
  <si>
    <t>TOTAL CHARGE avant production pour  TANA</t>
  </si>
  <si>
    <t>à payer pendant empotage</t>
  </si>
  <si>
    <t>à payer au pus tard un mois après depart navire</t>
  </si>
  <si>
    <t>TOTAL MISE A FOB TANA</t>
  </si>
  <si>
    <t>Total FD</t>
  </si>
  <si>
    <t>Total Tana</t>
  </si>
  <si>
    <t>COUT ESTIMATIF POUR ENVOI MICA 3TCS FP1 japonais d'Okabe</t>
  </si>
  <si>
    <t>Besoin d'un groupe de 110kva pour redemarrer l'exploitation de la mine</t>
  </si>
  <si>
    <t>110kva</t>
  </si>
  <si>
    <t>Achat mica brut Ampandrandava</t>
  </si>
  <si>
    <t>Transport Ampandrandava FD</t>
  </si>
  <si>
    <t>l*voyage</t>
  </si>
  <si>
    <t>litre*jour</t>
  </si>
  <si>
    <t>Moyenne</t>
  </si>
  <si>
    <t>Cout d'achat</t>
  </si>
  <si>
    <t>Quantité total</t>
  </si>
  <si>
    <t>Achats + Transp</t>
  </si>
  <si>
    <t>COUTS D'ACHATS</t>
  </si>
  <si>
    <t>M11</t>
  </si>
  <si>
    <t>M12</t>
  </si>
  <si>
    <t>Nbre Equipe</t>
  </si>
  <si>
    <t>Primes Unitaire</t>
  </si>
  <si>
    <t>Primes totaux</t>
  </si>
  <si>
    <t>FO</t>
  </si>
  <si>
    <t>BO</t>
  </si>
  <si>
    <t>FRONT OFFICE</t>
  </si>
  <si>
    <t>T/Mois/Equipe</t>
  </si>
  <si>
    <t>Sal Base</t>
  </si>
  <si>
    <t>Achats micas</t>
  </si>
  <si>
    <t>Back office</t>
  </si>
  <si>
    <t>Conditionnement</t>
  </si>
  <si>
    <t>T/CT</t>
  </si>
  <si>
    <t>Nbre Sacs</t>
  </si>
  <si>
    <t>Poids</t>
  </si>
  <si>
    <t>Total FP1</t>
  </si>
  <si>
    <t>Nbre mois</t>
  </si>
  <si>
    <t>Fonctions</t>
  </si>
  <si>
    <t>TOTAL  TEMPORAIRES</t>
  </si>
  <si>
    <t>TOTAL  CH SOCIALES  TEMP</t>
  </si>
  <si>
    <t>TOTAL  CH PERSONNEL TEMP</t>
  </si>
  <si>
    <t>Temporaires</t>
  </si>
  <si>
    <t>BACK OFFICE</t>
  </si>
  <si>
    <t>SECURISATION</t>
  </si>
  <si>
    <t>PERMANENTS SALAIRES DE BASE</t>
  </si>
  <si>
    <t>PERMANENTS PRIMES</t>
  </si>
  <si>
    <t>SALAIRES TOTALES</t>
  </si>
  <si>
    <t>Sal Unit</t>
  </si>
  <si>
    <t>F</t>
  </si>
  <si>
    <t>V</t>
  </si>
  <si>
    <t>Prestations fixes</t>
  </si>
  <si>
    <t>Prestations variables</t>
  </si>
  <si>
    <t>Prestations</t>
  </si>
  <si>
    <t>I&amp;T Fixes</t>
  </si>
  <si>
    <t>Achats variables</t>
  </si>
  <si>
    <t>Achats fixes</t>
  </si>
  <si>
    <t>Charges fixes</t>
  </si>
  <si>
    <t>Autres fixes</t>
  </si>
  <si>
    <t>Frais fin fixes</t>
  </si>
  <si>
    <t>Amort fixes</t>
  </si>
  <si>
    <t>Charges variables</t>
  </si>
  <si>
    <t>Chiffres d'affaires</t>
  </si>
  <si>
    <t>Marge sur cout variable</t>
  </si>
  <si>
    <t>Résultats</t>
  </si>
  <si>
    <t>Salaires variable</t>
  </si>
  <si>
    <t>Ch Perso Fixes</t>
  </si>
  <si>
    <t>Ch Sociales Fixes</t>
  </si>
  <si>
    <t>Ch Perso variables</t>
  </si>
  <si>
    <t>Ch sociales Variables</t>
  </si>
  <si>
    <t>Remunerations dues</t>
  </si>
  <si>
    <t>CA Unitaire</t>
  </si>
  <si>
    <t>Taux de marge/CV</t>
  </si>
  <si>
    <t>Total salaires fixes</t>
  </si>
  <si>
    <t>Seuil de rentabilité</t>
  </si>
  <si>
    <t>I&amp;T Variables</t>
  </si>
  <si>
    <t>En CA</t>
  </si>
  <si>
    <t>En quantité</t>
  </si>
  <si>
    <t>Charge variable correspondant</t>
  </si>
  <si>
    <t>Sal fixes</t>
  </si>
  <si>
    <t>R1</t>
  </si>
  <si>
    <t>R2</t>
  </si>
  <si>
    <t>R3</t>
  </si>
  <si>
    <t>101100</t>
  </si>
  <si>
    <t>104200</t>
  </si>
  <si>
    <t>106100</t>
  </si>
  <si>
    <t>106200</t>
  </si>
  <si>
    <t>119000</t>
  </si>
  <si>
    <t>119100</t>
  </si>
  <si>
    <t>129000</t>
  </si>
  <si>
    <t>165000</t>
  </si>
  <si>
    <t>211100</t>
  </si>
  <si>
    <t>213000</t>
  </si>
  <si>
    <t>218000</t>
  </si>
  <si>
    <t>218100</t>
  </si>
  <si>
    <t>218200</t>
  </si>
  <si>
    <t>218300</t>
  </si>
  <si>
    <t>218430</t>
  </si>
  <si>
    <t>218440</t>
  </si>
  <si>
    <t>218450</t>
  </si>
  <si>
    <t>232100</t>
  </si>
  <si>
    <t>261000</t>
  </si>
  <si>
    <t>261003</t>
  </si>
  <si>
    <t>261004</t>
  </si>
  <si>
    <t>261010</t>
  </si>
  <si>
    <t>275001</t>
  </si>
  <si>
    <t>275002</t>
  </si>
  <si>
    <t>281000</t>
  </si>
  <si>
    <t>281300</t>
  </si>
  <si>
    <t>281800</t>
  </si>
  <si>
    <t>281810</t>
  </si>
  <si>
    <t>281820</t>
  </si>
  <si>
    <t>281830</t>
  </si>
  <si>
    <t>281843</t>
  </si>
  <si>
    <t>281844</t>
  </si>
  <si>
    <t>281845</t>
  </si>
  <si>
    <t>296104</t>
  </si>
  <si>
    <t>401100</t>
  </si>
  <si>
    <t>401200</t>
  </si>
  <si>
    <t>403100</t>
  </si>
  <si>
    <t>404100</t>
  </si>
  <si>
    <t>408100</t>
  </si>
  <si>
    <t>409100</t>
  </si>
  <si>
    <t>411100</t>
  </si>
  <si>
    <t>411200</t>
  </si>
  <si>
    <t>421200</t>
  </si>
  <si>
    <t>421300</t>
  </si>
  <si>
    <t>425310</t>
  </si>
  <si>
    <t>425420</t>
  </si>
  <si>
    <t>428610</t>
  </si>
  <si>
    <t>431200</t>
  </si>
  <si>
    <t>432200</t>
  </si>
  <si>
    <t>438610</t>
  </si>
  <si>
    <t>442000</t>
  </si>
  <si>
    <t>444100</t>
  </si>
  <si>
    <t>444200</t>
  </si>
  <si>
    <t>445600</t>
  </si>
  <si>
    <t>445601</t>
  </si>
  <si>
    <t>445611</t>
  </si>
  <si>
    <t>445699</t>
  </si>
  <si>
    <t>445700</t>
  </si>
  <si>
    <t>445800</t>
  </si>
  <si>
    <t>448600</t>
  </si>
  <si>
    <t>451000</t>
  </si>
  <si>
    <t>467000</t>
  </si>
  <si>
    <t>467100</t>
  </si>
  <si>
    <t>467200</t>
  </si>
  <si>
    <t>468600</t>
  </si>
  <si>
    <t>486100</t>
  </si>
  <si>
    <t>512100</t>
  </si>
  <si>
    <t>512200</t>
  </si>
  <si>
    <t>530200</t>
  </si>
  <si>
    <t>530400</t>
  </si>
  <si>
    <t>530600</t>
  </si>
  <si>
    <t>601100</t>
  </si>
  <si>
    <t>606110</t>
  </si>
  <si>
    <t>606111</t>
  </si>
  <si>
    <t>606120</t>
  </si>
  <si>
    <t>606200</t>
  </si>
  <si>
    <t>606210</t>
  </si>
  <si>
    <t>606220</t>
  </si>
  <si>
    <t>606300</t>
  </si>
  <si>
    <t>606410</t>
  </si>
  <si>
    <t>606411</t>
  </si>
  <si>
    <t>606420</t>
  </si>
  <si>
    <t>606422</t>
  </si>
  <si>
    <t>606425</t>
  </si>
  <si>
    <t>606426</t>
  </si>
  <si>
    <t>606460</t>
  </si>
  <si>
    <t>606530</t>
  </si>
  <si>
    <t>613300</t>
  </si>
  <si>
    <t>615110</t>
  </si>
  <si>
    <t>615510</t>
  </si>
  <si>
    <t>615530</t>
  </si>
  <si>
    <t>618200</t>
  </si>
  <si>
    <t>621210</t>
  </si>
  <si>
    <t>621220</t>
  </si>
  <si>
    <t>622300</t>
  </si>
  <si>
    <t>622610</t>
  </si>
  <si>
    <t>622611</t>
  </si>
  <si>
    <t>622612</t>
  </si>
  <si>
    <t>622615</t>
  </si>
  <si>
    <t>622650</t>
  </si>
  <si>
    <t>624000</t>
  </si>
  <si>
    <t>624200</t>
  </si>
  <si>
    <t>624500</t>
  </si>
  <si>
    <t>625100</t>
  </si>
  <si>
    <t>625110</t>
  </si>
  <si>
    <t>625200</t>
  </si>
  <si>
    <t>626630</t>
  </si>
  <si>
    <t>626710</t>
  </si>
  <si>
    <t>626800</t>
  </si>
  <si>
    <t>627400</t>
  </si>
  <si>
    <t>627600</t>
  </si>
  <si>
    <t>627920</t>
  </si>
  <si>
    <t>628110</t>
  </si>
  <si>
    <t>635200</t>
  </si>
  <si>
    <t>635205</t>
  </si>
  <si>
    <t>635210</t>
  </si>
  <si>
    <t>635300</t>
  </si>
  <si>
    <t>635400</t>
  </si>
  <si>
    <t>635500</t>
  </si>
  <si>
    <t>641000</t>
  </si>
  <si>
    <t>641100</t>
  </si>
  <si>
    <t>641110</t>
  </si>
  <si>
    <t>641280</t>
  </si>
  <si>
    <t>641390</t>
  </si>
  <si>
    <t>645100</t>
  </si>
  <si>
    <t>645200</t>
  </si>
  <si>
    <t>656100</t>
  </si>
  <si>
    <t>656300</t>
  </si>
  <si>
    <t>658000</t>
  </si>
  <si>
    <t>658101</t>
  </si>
  <si>
    <t>658102</t>
  </si>
  <si>
    <t>661300</t>
  </si>
  <si>
    <t>666000</t>
  </si>
  <si>
    <t>681800</t>
  </si>
  <si>
    <t>681810</t>
  </si>
  <si>
    <t>681820</t>
  </si>
  <si>
    <t>681830</t>
  </si>
  <si>
    <t>681843</t>
  </si>
  <si>
    <t>681844</t>
  </si>
  <si>
    <t>681845</t>
  </si>
  <si>
    <t>701201</t>
  </si>
  <si>
    <t>706600</t>
  </si>
  <si>
    <t>758000</t>
  </si>
  <si>
    <t>766000</t>
  </si>
  <si>
    <t>CG</t>
  </si>
  <si>
    <t>N° - Intitulé Compte Général</t>
  </si>
  <si>
    <t>101100 - CAPITAL SOUSCRIT : NON APPELE</t>
  </si>
  <si>
    <t>104200 - PRIMES DE FUSION</t>
  </si>
  <si>
    <t>106100 - RESERVE LEGALE</t>
  </si>
  <si>
    <t>106200 - RESERVES FACULTATIVES</t>
  </si>
  <si>
    <t>119000 - REPORT A NOUVEAU SOLDE DEBITEUR</t>
  </si>
  <si>
    <t>119100 - RAN CORRECTIONS D'ERREUR (DB)</t>
  </si>
  <si>
    <t>129000 - RESULTAT DE L'EXERCICE (PERTE)</t>
  </si>
  <si>
    <t>165000 - DEPOT ET CAUTIONNEMENT RECUS</t>
  </si>
  <si>
    <t>211100 - TERRAINS</t>
  </si>
  <si>
    <t>213000 - CONSTRUCTIONS</t>
  </si>
  <si>
    <t>218000 - MATERIELS ET OUTILLAGES</t>
  </si>
  <si>
    <t xml:space="preserve">218100 - MAT DE TRANSP VEHIC UTILITAIRE </t>
  </si>
  <si>
    <t>218200 - AGENCEMENT-AMENAG.CONSTRUCTION</t>
  </si>
  <si>
    <t>218300 - AGEN-AMENAG AUTRES INSTALLATIONS</t>
  </si>
  <si>
    <t>218430 - MATERIEL &amp; MOB DE BUREAU</t>
  </si>
  <si>
    <t>218440 - MATERIEL INFORMATIQUE</t>
  </si>
  <si>
    <t>218450 - MATERIEL &amp; MOBILIER LOGEMENT</t>
  </si>
  <si>
    <t>232100 - IMMO CORPORELLES EN COURS</t>
  </si>
  <si>
    <t>261000 - TITRES DE PARTICIPATION</t>
  </si>
  <si>
    <t>261003 - TITRES DE PARTICIPATION SPSM</t>
  </si>
  <si>
    <t>261004 - TITRES DE PARTICIPATION SOMIA</t>
  </si>
  <si>
    <t>261010 - TITRES DE PARTICIPATION SLAMI</t>
  </si>
  <si>
    <t>275001 - DEP &amp; CAUTIONN VERSES TANA</t>
  </si>
  <si>
    <t>275002 - DEP &amp; CAUTIONN VERSES TAOLAGNARO</t>
  </si>
  <si>
    <t>281000 - AMORT.TERRAINS</t>
  </si>
  <si>
    <t>281300 - AMORT.CONSTRUCTIONS</t>
  </si>
  <si>
    <t>281800 - AMORT.MAT ET OUTILLAGES</t>
  </si>
  <si>
    <t>281810 - AMORT.VEHICULE UTILITAIRE</t>
  </si>
  <si>
    <t>281820 - AMORT.AGENCEMENT-AMENAG.CONSTRUCT°</t>
  </si>
  <si>
    <t>281830 - AMORT.AGEN-AMENAG INSTALLATION AUTR</t>
  </si>
  <si>
    <t>281843 - AMORT.MATERIEL DE BUREAU</t>
  </si>
  <si>
    <t>281844 - AMORT.MATERIEL INFORMATIQUE</t>
  </si>
  <si>
    <t>281845 - AMORT.MATERIEL &amp; MOBILIER LOGEMENT</t>
  </si>
  <si>
    <t>296104 - PERTE DE VALEUR S/TITRES SOMIA</t>
  </si>
  <si>
    <t>321300</t>
  </si>
  <si>
    <t>321300 - MAG. CARBURANT &amp; LUBRIFIANT</t>
  </si>
  <si>
    <t>322100</t>
  </si>
  <si>
    <t>322100 - MAG. PIECES DE RECHANGE</t>
  </si>
  <si>
    <t>322888</t>
  </si>
  <si>
    <t>322888 - FOURNITURES DE BUREAU</t>
  </si>
  <si>
    <t>322999</t>
  </si>
  <si>
    <t>322999 - AUTRES STOCKS</t>
  </si>
  <si>
    <t>326000</t>
  </si>
  <si>
    <t>326000 - EMBALLAGES</t>
  </si>
  <si>
    <t>355100</t>
  </si>
  <si>
    <t>355100 - PRODUITS FINIS</t>
  </si>
  <si>
    <t xml:space="preserve">401100 - FOURNISSEURS MALAGASY          </t>
  </si>
  <si>
    <t>409100 - FRN.DEBITEURS M/GASY AV &amp; ACPTE VER</t>
  </si>
  <si>
    <t>401200 - FOURNISSEURS ETRANGERS</t>
  </si>
  <si>
    <t>403100 - FRN.MALAGASY:EFFETS A PAYER</t>
  </si>
  <si>
    <t>404100 - FRN. IMMO MALAGASY</t>
  </si>
  <si>
    <t>408100 - FRN MALAGASY FACT.NON PARVENUES</t>
  </si>
  <si>
    <t>411100 - CLIENTS MALAGASY</t>
  </si>
  <si>
    <t>411200 - CLIENTS ETRANGERS</t>
  </si>
  <si>
    <t>421200 - REMUNERATIONS DUES TAOLAGNARO</t>
  </si>
  <si>
    <t>421300 - REMUNERATIONS DUES AMPANDRADAVA</t>
  </si>
  <si>
    <t>425120</t>
  </si>
  <si>
    <t>425120 - AVANCES QUINZAINE TAOLAGNARO</t>
  </si>
  <si>
    <t>425130</t>
  </si>
  <si>
    <t>425130 - AVANCES QUINZAINE AMPANDRADAVA</t>
  </si>
  <si>
    <t>425220</t>
  </si>
  <si>
    <t>425220 - AVANCES SUR SALAIRE TAOLAGNARO</t>
  </si>
  <si>
    <t>425300</t>
  </si>
  <si>
    <t>425300 - AUTRES AVANCES</t>
  </si>
  <si>
    <t>425310 - AVANCES EXEPTIONNELLES</t>
  </si>
  <si>
    <t>425420 - PRET &amp; CDD AU PERSONNEL TAOLAGNARO</t>
  </si>
  <si>
    <t>428610 - PERS SOMIDA CH A PAYER : CONGES PAY</t>
  </si>
  <si>
    <t>431200 - CNAPS : TOUTES PARTS TAOLAGNARO</t>
  </si>
  <si>
    <t>431300</t>
  </si>
  <si>
    <t>431300 - CNAPS : TOUTES PARTS AMPANDRADAVA</t>
  </si>
  <si>
    <t>432200 - ORGANIS SANIT : TOUTES PARTS TAOLAG</t>
  </si>
  <si>
    <t>438610 - CNAPS : CHARGES A PAYER</t>
  </si>
  <si>
    <t>442000 - IRSA A VERSER</t>
  </si>
  <si>
    <t>444100 - IR (exIBS) A PAYER</t>
  </si>
  <si>
    <t>444200 - IR (exIBS) ACPTE PROVISIONNEL</t>
  </si>
  <si>
    <t>444300</t>
  </si>
  <si>
    <t>444300 - IRI A PAYER</t>
  </si>
  <si>
    <t>445600 - TVA DEDUCTIBLE S/ACHAT</t>
  </si>
  <si>
    <t>445601 - TVA DEDUCTIBLE S/PS</t>
  </si>
  <si>
    <t>445610</t>
  </si>
  <si>
    <t>445610 - TVA DEDUCTIBLE S/ACHAT A REPORTER</t>
  </si>
  <si>
    <t>445611 - TVA DEDUCTIBLE S/PS A REPORTER</t>
  </si>
  <si>
    <t>445699 - TVA CREDIT A REPORTER</t>
  </si>
  <si>
    <t>445700 - TVA COLLECTEES</t>
  </si>
  <si>
    <t>445800 - TVA A REGULARISER</t>
  </si>
  <si>
    <t>448600 - ETAT : CHARGES A PAYER</t>
  </si>
  <si>
    <t>451000 - OPERATIONS GROUPE</t>
  </si>
  <si>
    <t>467000 - DEBITEURS &amp; CREDITEURS GROUPE</t>
  </si>
  <si>
    <t>467100 - DEBITEURS &amp; CREDITEURS PERSONNEL</t>
  </si>
  <si>
    <t>467200 - DEBITEURS &amp; CREDITEURS DIVERS</t>
  </si>
  <si>
    <t>467500</t>
  </si>
  <si>
    <t>467500 - CAISSE A REGULARISER</t>
  </si>
  <si>
    <t>468600 - CHARGES A PAYER</t>
  </si>
  <si>
    <t>486100 - CHARGES EXPL.CONSTATEES D'AV.</t>
  </si>
  <si>
    <t>512100 - BOA TANA</t>
  </si>
  <si>
    <t>512200 - BOA TAOLAGNARO</t>
  </si>
  <si>
    <t>530200 - CAISSE TAOLAGNARO</t>
  </si>
  <si>
    <t>530400 - CAISSE AMPANDRANDAVA</t>
  </si>
  <si>
    <t>530600 - CAISSE TRANOMARO</t>
  </si>
  <si>
    <t>530700</t>
  </si>
  <si>
    <t>530700 - CAISSE RANOPISO</t>
  </si>
  <si>
    <t>530800</t>
  </si>
  <si>
    <t>530800 - CAISSE SAKAMASY</t>
  </si>
  <si>
    <t>601100 - ACHAT MICA</t>
  </si>
  <si>
    <t>602100</t>
  </si>
  <si>
    <t>602100 - ACHATS MAT. CONSOMMABLES</t>
  </si>
  <si>
    <t>602140</t>
  </si>
  <si>
    <t>602140 - ACHATS LUBRIFIANT STOCKE</t>
  </si>
  <si>
    <t>602220</t>
  </si>
  <si>
    <t>602220 - ACHATS PNEUMATIQUES</t>
  </si>
  <si>
    <t>602600</t>
  </si>
  <si>
    <t>602600 - ACHATS EMBALLAGE STOCKE</t>
  </si>
  <si>
    <t>603000</t>
  </si>
  <si>
    <t>603000 - VARIATIONS DES STOCKS</t>
  </si>
  <si>
    <t>605110</t>
  </si>
  <si>
    <t>605110 - ACHAT MATERIELS DE BUREAU</t>
  </si>
  <si>
    <t>605120</t>
  </si>
  <si>
    <t>605120 - ACHAT MAT. ET EQUIP. TELEPH.</t>
  </si>
  <si>
    <t>606110 - ELECTRICITE</t>
  </si>
  <si>
    <t>606111 - ELECTRICITE LOGEMENT</t>
  </si>
  <si>
    <t>606120 - EAU</t>
  </si>
  <si>
    <t>606200 - CARBURANT MOTOS</t>
  </si>
  <si>
    <t>606210 - CARBURANT VOITURES</t>
  </si>
  <si>
    <t>606220 - LUBRIFIANT VOITURES</t>
  </si>
  <si>
    <t>606230</t>
  </si>
  <si>
    <t>606230 - COMBUSTIBLES - GAZ</t>
  </si>
  <si>
    <t>606300 - PETIT OUTILLAGE</t>
  </si>
  <si>
    <t>606410 - FOURNITURES DE BUREAU</t>
  </si>
  <si>
    <t>606411 - FOURNITURES ENCRES &amp; CARTOUCHES</t>
  </si>
  <si>
    <t>606420 - FOURNITURES D'ENTRET.BAT</t>
  </si>
  <si>
    <t>606422 - FOURNITURES DE BATIMENT</t>
  </si>
  <si>
    <t>606425 - FOURNITURES D'ENTRETIEN .LOGT</t>
  </si>
  <si>
    <t>606426 - FOURNIT. DE LOGEMENT</t>
  </si>
  <si>
    <t>606430</t>
  </si>
  <si>
    <t>606430 - FOURNIT.D'ENTRETIEN.MMB MAT.INFO</t>
  </si>
  <si>
    <t>606440</t>
  </si>
  <si>
    <t>606440 - AUTRES FOURNITURES ADMIN.</t>
  </si>
  <si>
    <t>606450</t>
  </si>
  <si>
    <t>606450 - FOURN.ENTRET.REP.MACH-OUTIL</t>
  </si>
  <si>
    <t>606460 - FOURN.D'ENTR.MAT.TRANSP.</t>
  </si>
  <si>
    <t>606470</t>
  </si>
  <si>
    <t>606470 - FOURNITURES DE SECURITE</t>
  </si>
  <si>
    <t>606530 - FOURNIT. EMBALLAGE</t>
  </si>
  <si>
    <t>606900</t>
  </si>
  <si>
    <t>606900 - ACHAT MEDICAMENTS</t>
  </si>
  <si>
    <t>613300 - LOCATIONS IMMOBILIERES</t>
  </si>
  <si>
    <t>613310</t>
  </si>
  <si>
    <t xml:space="preserve">613310 - LOCATIONS MOBILIERES </t>
  </si>
  <si>
    <t>613500</t>
  </si>
  <si>
    <t>613500 - LOCATIONS ENGINS</t>
  </si>
  <si>
    <t>613600</t>
  </si>
  <si>
    <t>613600 - LOCATIONS VOITURES-APPAREILS</t>
  </si>
  <si>
    <t>615110 - ENTRET/REPAR BATIMENTS</t>
  </si>
  <si>
    <t>615120</t>
  </si>
  <si>
    <t>615120 - ENTRET/REPAR LOGEMENTS</t>
  </si>
  <si>
    <t>615510 - ENTR/REPAR/INSTA.M.M.B-INFORMATIQ</t>
  </si>
  <si>
    <t>615530 - ENTR/REPAR.MAT.TRANSPORT</t>
  </si>
  <si>
    <t>615590</t>
  </si>
  <si>
    <t>615590 - ENTR/REPAR.OUTILLAGE</t>
  </si>
  <si>
    <t>618100</t>
  </si>
  <si>
    <t>618100 - DOCUMENTATION GENERALE</t>
  </si>
  <si>
    <t>618200 - PHOTOCOPIES ET IMPRESSIONS</t>
  </si>
  <si>
    <t>621210 - PERSONNEL OCCASIONNEL</t>
  </si>
  <si>
    <t>621220 - FRAIS DE GARDIENNAGE</t>
  </si>
  <si>
    <t>621221</t>
  </si>
  <si>
    <t>621221 - FRAIS D'ESCORTE</t>
  </si>
  <si>
    <t>622300 - HONORAIRES DOUANE</t>
  </si>
  <si>
    <t>622600</t>
  </si>
  <si>
    <t>622600 - HONORAIRES CAC</t>
  </si>
  <si>
    <t>622610 - HONORAIRES TRANSITAIRES</t>
  </si>
  <si>
    <t>622611 - FRAIS DE MISE A FOB</t>
  </si>
  <si>
    <t>622612 - HONORAIRES PRESTATIONS CIE MARITIME</t>
  </si>
  <si>
    <t>622615 - HONORAIRES PRESTATIONS GASYNET</t>
  </si>
  <si>
    <t>622650 - HONORAIRES DIVERSES</t>
  </si>
  <si>
    <t>623100</t>
  </si>
  <si>
    <t>623100 - ANNONCES ET INSERTIONS DIVERSES</t>
  </si>
  <si>
    <t>624000 - ENVOIS-RECEP COLIS/DOCUMENTS/PLIS</t>
  </si>
  <si>
    <t>624100</t>
  </si>
  <si>
    <t>624100 - FRETS &amp; TRANSPORTS SUR ACHATS</t>
  </si>
  <si>
    <t>624200 - TRANSPORT MICAS</t>
  </si>
  <si>
    <t>624210</t>
  </si>
  <si>
    <t>624210 - TRANSPORTS CONTENEURS</t>
  </si>
  <si>
    <t>624500 - TRANSP. FOURNIT. ET MAT. CONS.</t>
  </si>
  <si>
    <t>624600</t>
  </si>
  <si>
    <t>624600 - TRANSP. AUTRES BIENS</t>
  </si>
  <si>
    <t>625100 - DEPLACEMENTS INTERNES</t>
  </si>
  <si>
    <t>625110 - VOYA-SEJOUR INTERIEUR</t>
  </si>
  <si>
    <t>625200 - MISSIONS (CARBURANTS EXCLUS)</t>
  </si>
  <si>
    <t>625300</t>
  </si>
  <si>
    <t>625300 - RECEPTIONS &amp; REPRESENTATIONS</t>
  </si>
  <si>
    <t>626200</t>
  </si>
  <si>
    <t>626200 - TELMA TELECOM MALAGASY</t>
  </si>
  <si>
    <t>626210</t>
  </si>
  <si>
    <t>626210 - TELMA CREDIT</t>
  </si>
  <si>
    <t>626610</t>
  </si>
  <si>
    <t>626610 - CONNEXION ORANGE</t>
  </si>
  <si>
    <t>626620</t>
  </si>
  <si>
    <t>626620 - CONNEXION AIRTEL</t>
  </si>
  <si>
    <t>626630 - CONNEXION AUTRE</t>
  </si>
  <si>
    <t>626700</t>
  </si>
  <si>
    <t>626700 - AIRTEL</t>
  </si>
  <si>
    <t>626710 - AIRTEL CREDIT</t>
  </si>
  <si>
    <t>626800 - ORANGE FLOTTE</t>
  </si>
  <si>
    <t>627400 - COMMISSIONS BANCAIRES</t>
  </si>
  <si>
    <t>627600 - COMMISSIONS DE CHANGE</t>
  </si>
  <si>
    <t>627920 - COMMISSIONS MVOLA</t>
  </si>
  <si>
    <t>628110 - RISTOURNES MINIERES</t>
  </si>
  <si>
    <t>628120</t>
  </si>
  <si>
    <t>628120 - REDEVANCES MINIERES</t>
  </si>
  <si>
    <t>628130</t>
  </si>
  <si>
    <t>628130 - REDEVANCES COMMUNALES</t>
  </si>
  <si>
    <t>628800</t>
  </si>
  <si>
    <t>628800 - AUTRES CHARGES EXTERNES</t>
  </si>
  <si>
    <t>631300</t>
  </si>
  <si>
    <t>631300 - IR INTERMITTENT</t>
  </si>
  <si>
    <t>635200 - DROITS ET TAXES DIVERS</t>
  </si>
  <si>
    <t>635205 - DROIT CERTIF. MIN. COM.</t>
  </si>
  <si>
    <t>635210 - DROIT DE VISITE TECHNIQUE</t>
  </si>
  <si>
    <t>635300 - DROITS D'ENREGISTREMENT</t>
  </si>
  <si>
    <t>635400 - IMPOT FONCIER &amp; TAXE ANNEXE</t>
  </si>
  <si>
    <t>635500 - DROITS MINIERS</t>
  </si>
  <si>
    <t>641000 - SALAIRES &amp; APPOINTEMENTS</t>
  </si>
  <si>
    <t>641100 - HEURES SUPPLEMENTAIRES</t>
  </si>
  <si>
    <t>641110 - CONGES PAYES</t>
  </si>
  <si>
    <t>641280 - INDEMNITE COMPENSATRICE DE CONGE</t>
  </si>
  <si>
    <t>641390 - AUTRES PRIMES &amp; AVANTAGES</t>
  </si>
  <si>
    <t>645100 - COTISATIONS A LA CNAPS</t>
  </si>
  <si>
    <t>645200 - COTISATIONS OSIET</t>
  </si>
  <si>
    <t>656100 - PENALITE AMENDE FISC. &amp; PENALE</t>
  </si>
  <si>
    <t>656300 - DONS &amp; LIBERALITES</t>
  </si>
  <si>
    <t>658000 - AUTRES CHARGES DE GESTION</t>
  </si>
  <si>
    <t>658101 - AUTRES CHARGES DE GESTION1</t>
  </si>
  <si>
    <t>658102 - AUTRES CHARGES DE GESTION2</t>
  </si>
  <si>
    <t>661300 - INTERET COMPTES DEBITEURS</t>
  </si>
  <si>
    <t>666000 - PERTES DE CHANGE</t>
  </si>
  <si>
    <t>681800 - DOT.AMORT.MAT &amp; OUTILLAGE</t>
  </si>
  <si>
    <t>681810 - DOT.AMORT.VEHICULE UTILITAIRE</t>
  </si>
  <si>
    <t>681820 - DOT.AMORT.AGENC AMENAG CONSTRUC</t>
  </si>
  <si>
    <t>681830 - DOT.AMORT.AUTRES INSTALLATIONS</t>
  </si>
  <si>
    <t>681843 - DOT.AMORT.MATERIEL DE BUREAU</t>
  </si>
  <si>
    <t>681844 - DOT.AMORT.MATERIEL INFORMATIQUE</t>
  </si>
  <si>
    <t>681845 - DOT.AMORT.MAT.&amp; MOB.DE LOGEMENT</t>
  </si>
  <si>
    <t>701201 - VENTE EXPORT DE MICA</t>
  </si>
  <si>
    <t>706600 - LOYERS</t>
  </si>
  <si>
    <t>714000</t>
  </si>
  <si>
    <t>714000 - VARIATION DE STOCKS DE PRODUITS</t>
  </si>
  <si>
    <t>758000 - AUTRES PRODUITS GEST.COURANTE</t>
  </si>
  <si>
    <t>766000 - GAINS DE CHANGE</t>
  </si>
  <si>
    <t>R4</t>
  </si>
  <si>
    <t>A.N</t>
  </si>
  <si>
    <t>Étiquettes de lignes</t>
  </si>
  <si>
    <t>Rubrique</t>
  </si>
  <si>
    <t>PRODUITS FINANCIERS</t>
  </si>
  <si>
    <t xml:space="preserve">CHARGES FINANCIERES </t>
  </si>
  <si>
    <t>Date</t>
  </si>
  <si>
    <t>Lieux</t>
  </si>
  <si>
    <t>Valeur</t>
  </si>
  <si>
    <t>Types</t>
  </si>
  <si>
    <t>ABR GAZ</t>
  </si>
  <si>
    <t>FP1 GAZ</t>
  </si>
  <si>
    <t>TRA GAZ</t>
  </si>
  <si>
    <t>Somme de Qté</t>
  </si>
  <si>
    <t>Transp U</t>
  </si>
  <si>
    <t>CA U</t>
  </si>
  <si>
    <t>Somme de Cout d'achat</t>
  </si>
  <si>
    <t>Réf</t>
  </si>
  <si>
    <t>Mga</t>
  </si>
  <si>
    <t>MGA</t>
  </si>
  <si>
    <t>MGA/T</t>
  </si>
  <si>
    <t>Japon</t>
  </si>
  <si>
    <t>Russie</t>
  </si>
  <si>
    <t>Pays</t>
  </si>
  <si>
    <t>MGA/CT</t>
  </si>
  <si>
    <t>Produits</t>
  </si>
  <si>
    <t>Loyer 1</t>
  </si>
  <si>
    <t>Loyer 2</t>
  </si>
  <si>
    <t>Dr Jane</t>
  </si>
  <si>
    <t>Madagascar</t>
  </si>
  <si>
    <t>Loyers</t>
  </si>
  <si>
    <t>Niveau Stocks</t>
  </si>
  <si>
    <t>Variation</t>
  </si>
  <si>
    <t>Productions stockées</t>
  </si>
  <si>
    <t>STOCKS</t>
  </si>
  <si>
    <t>Stock</t>
  </si>
  <si>
    <t>Prod stockées</t>
  </si>
  <si>
    <t>Stock Prod Finis</t>
  </si>
  <si>
    <t>PRODUCTIONS</t>
  </si>
  <si>
    <t>Niveau de stocks</t>
  </si>
  <si>
    <t>Stocks MP</t>
  </si>
  <si>
    <t>Produits finis</t>
  </si>
  <si>
    <t>Mat Premieres</t>
  </si>
  <si>
    <t>Stock Micas</t>
  </si>
  <si>
    <t>Non decaissés</t>
  </si>
  <si>
    <t>ACTIFS</t>
  </si>
  <si>
    <t>ACTIFS NON COURANTS</t>
  </si>
  <si>
    <t>ACTIFS  COURANTS</t>
  </si>
  <si>
    <t xml:space="preserve">TRESORERIE </t>
  </si>
  <si>
    <t>Caisses et banques</t>
  </si>
  <si>
    <t>PASSIFS</t>
  </si>
  <si>
    <t>CAPITAUX PROPRES</t>
  </si>
  <si>
    <t>PASSIFS NON COURANTS</t>
  </si>
  <si>
    <t>PASSIFS COURANTS</t>
  </si>
  <si>
    <t>Banques</t>
  </si>
  <si>
    <t>Capacité normale de production</t>
  </si>
  <si>
    <t>Niveau d'activité réalisé</t>
  </si>
  <si>
    <t>PROGRAMME DE PRODUCTION</t>
  </si>
  <si>
    <t>TRA COUPE</t>
  </si>
  <si>
    <t>ABR COUPE</t>
  </si>
  <si>
    <t>FP1 COUPE</t>
  </si>
  <si>
    <t>1 PF</t>
  </si>
  <si>
    <t>2 PF</t>
  </si>
  <si>
    <t>3 PF</t>
  </si>
  <si>
    <t xml:space="preserve">Réf </t>
  </si>
  <si>
    <t>Mat 1°</t>
  </si>
  <si>
    <t>1 MC</t>
  </si>
  <si>
    <t>2 MC</t>
  </si>
  <si>
    <t>3 MC</t>
  </si>
  <si>
    <t>4 PF</t>
  </si>
  <si>
    <t>5 PF</t>
  </si>
  <si>
    <t>6 SP</t>
  </si>
  <si>
    <t>SPLITTING SO1</t>
  </si>
  <si>
    <t>7 SP</t>
  </si>
  <si>
    <t>SPLITTING SO2</t>
  </si>
  <si>
    <t>8 SP</t>
  </si>
  <si>
    <t>SPLITTING SW1</t>
  </si>
  <si>
    <t>SPLITTING SW2</t>
  </si>
  <si>
    <t>9 SP</t>
  </si>
  <si>
    <t>10 LO</t>
  </si>
  <si>
    <t>11 LO</t>
  </si>
  <si>
    <t>4 MC</t>
  </si>
  <si>
    <t>FP2 GAZ</t>
  </si>
  <si>
    <t>5 MC</t>
  </si>
  <si>
    <t>BSA GAZ</t>
  </si>
  <si>
    <t>6 MC</t>
  </si>
  <si>
    <t>BLOC TRA</t>
  </si>
  <si>
    <t>7 MC</t>
  </si>
  <si>
    <t>8 MC</t>
  </si>
  <si>
    <t>BLOC ABR</t>
  </si>
  <si>
    <t>BLOC FP1</t>
  </si>
  <si>
    <t>9 MC</t>
  </si>
  <si>
    <t>10 MC</t>
  </si>
  <si>
    <t>BLOC FP2</t>
  </si>
  <si>
    <t>BLOC BSA</t>
  </si>
  <si>
    <t>Catégories</t>
  </si>
  <si>
    <t>11 CN</t>
  </si>
  <si>
    <t>12 CN</t>
  </si>
  <si>
    <t>Cons</t>
  </si>
  <si>
    <t>Benato</t>
  </si>
  <si>
    <t>520 km</t>
  </si>
  <si>
    <t>En  MGA</t>
  </si>
  <si>
    <t>FP2 COUPE</t>
  </si>
  <si>
    <t>BSA COUPE</t>
  </si>
  <si>
    <t>%</t>
  </si>
  <si>
    <t>A.N.</t>
  </si>
  <si>
    <t>Somme de Quantité</t>
  </si>
  <si>
    <t>Somme de MGA</t>
  </si>
  <si>
    <t xml:space="preserve">     Tableau de Bord</t>
  </si>
  <si>
    <t>max</t>
  </si>
  <si>
    <t>Janv.</t>
  </si>
  <si>
    <t>Fev.</t>
  </si>
  <si>
    <t>Avr.</t>
  </si>
  <si>
    <t>Mar.</t>
  </si>
  <si>
    <t>Jui.</t>
  </si>
  <si>
    <t>Jul.</t>
  </si>
  <si>
    <t>Aou.</t>
  </si>
  <si>
    <t>Sept</t>
  </si>
  <si>
    <t>Oct.</t>
  </si>
  <si>
    <t>Nov.</t>
  </si>
  <si>
    <t>Déc.</t>
  </si>
  <si>
    <t>TRA et ABR</t>
  </si>
  <si>
    <t>Poids (en kg)</t>
  </si>
  <si>
    <t>Cout d'achat unitaire</t>
  </si>
  <si>
    <t>Somme de Cout d'achat2</t>
  </si>
  <si>
    <t>Somme de MGA2</t>
  </si>
  <si>
    <t>Étiquettes de colonnes</t>
  </si>
  <si>
    <t>Vente en Tonne</t>
  </si>
  <si>
    <t>PR en Ariary</t>
  </si>
  <si>
    <t>PR unitaire en Ariary</t>
  </si>
  <si>
    <t>Vente micas en Ariary</t>
  </si>
  <si>
    <t>PV unitaire en Ariary</t>
  </si>
  <si>
    <t>Marge unitaire en Ariary</t>
  </si>
  <si>
    <t>Recapitulatif</t>
  </si>
  <si>
    <t>Seuil de rentabilité en Ariary</t>
  </si>
  <si>
    <t>Seuil de rentabilité en quantité</t>
  </si>
  <si>
    <t>Besoins Micas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</si>
</sst>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0"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0%;\(0%\)"/>
    <numFmt numFmtId="166" formatCode="0.0%"/>
    <numFmt numFmtId="167" formatCode="&quot;$&quot;#,##0"/>
    <numFmt numFmtId="168" formatCode="_(* #,##0_);_(* \(#,##0\);_(* &quot;-&quot;_);_(@_)"/>
    <numFmt numFmtId="169" formatCode="_-* #,##0.00\ _F_-;\-* #,##0.00\ _F_-;_-* &quot;-&quot;??\ _F_-;_-@_-"/>
    <numFmt numFmtId="170" formatCode="#,##0.0_);\(#,##0.0\)"/>
    <numFmt numFmtId="171" formatCode="_(* #,##0.00_);_(* \(#,##0.00\);_(* &quot;-&quot;??_);_(@_)"/>
    <numFmt numFmtId="172" formatCode="_(&quot;$&quot;* #,##0_);_(&quot;$&quot;* \(#,##0\);_(&quot;$&quot;* &quot;-&quot;_);_(@_)"/>
    <numFmt numFmtId="173" formatCode="&quot;$&quot;#,##0_);\(&quot;$&quot;#,##0\)"/>
    <numFmt numFmtId="174" formatCode="_(&quot;$&quot;* #,##0.00_);_(&quot;$&quot;* \(#,##0.00\);_(&quot;$&quot;* &quot;-&quot;??_);_(@_)"/>
    <numFmt numFmtId="175" formatCode="#."/>
    <numFmt numFmtId="176" formatCode="_-* #,##0.00\ [$€-1]_-;\-* #,##0.00\ [$€-1]_-;_-* &quot;-&quot;??\ [$€-1]_-"/>
    <numFmt numFmtId="177" formatCode="dd/mm/yy;@"/>
    <numFmt numFmtId="178" formatCode="_([$€-2]* #,##0.00_);_([$€-2]* \(#,##0.00\);_([$€-2]* &quot;-&quot;??_)"/>
    <numFmt numFmtId="179" formatCode="#.00"/>
    <numFmt numFmtId="180" formatCode="#,##0;\(#,##0\)"/>
    <numFmt numFmtId="181" formatCode="&quot;$&quot;#,##0_);[Red]\(&quot;$&quot;#,##0\)"/>
    <numFmt numFmtId="182" formatCode="hh&quot;:&quot;mm&quot;:&quot;ss"/>
    <numFmt numFmtId="183" formatCode="#,##0.00\ &quot;F&quot;;[Red]\-#,##0.00\ &quot;F&quot;"/>
    <numFmt numFmtId="184" formatCode="_-* #&quot;,&quot;##0.00\ _€_-;\-* #&quot;,&quot;##0.00\ _€_-;_-* &quot;-&quot;??\ _€_-;_-@_-"/>
    <numFmt numFmtId="185" formatCode="[$-40C]dddd\ d\ mmmm\ yyyy"/>
    <numFmt numFmtId="186" formatCode="[$-40C]d\ mmmm\ yyyy;@"/>
    <numFmt numFmtId="187" formatCode="#,##0.00&quot; kr&quot;;[Red]\-#,##0.00&quot; kr&quot;"/>
    <numFmt numFmtId="188" formatCode="_-* #,##0.00\ _ _-;\-* #,##0.00\ _ _-;_-* &quot;-&quot;??\ _ _-;_-@_-"/>
    <numFmt numFmtId="189" formatCode="#,##0\ &quot;F&quot;;\-#,##0\ &quot;F&quot;"/>
    <numFmt numFmtId="190" formatCode="_-* #,##0.00\ &quot; &quot;_-;\-* #,##0.00\ &quot; &quot;_-;_-* &quot;-&quot;??\ &quot; &quot;_-;_-@_-"/>
    <numFmt numFmtId="191" formatCode="#,##0.00;\(#,##0.00\)"/>
    <numFmt numFmtId="192" formatCode="dd\/mm\/yyyy"/>
    <numFmt numFmtId="193" formatCode="_-* #,##0.00\ &quot;F&quot;_-;\-* #,##0.00\ &quot;F&quot;_-;_-* &quot;-&quot;??\ &quot;F&quot;_-;_-@_-"/>
    <numFmt numFmtId="194" formatCode="&quot;$&quot;#.00"/>
    <numFmt numFmtId="195" formatCode="%#.00"/>
    <numFmt numFmtId="196" formatCode="_ * #,##0.00_ ;_ * \-#,##0.00_ ;_ * &quot;-&quot;??_ ;_ @_ "/>
    <numFmt numFmtId="197" formatCode="_ &quot;\&quot;* #,##0_ ;_ &quot;\&quot;* \-#,##0_ ;_ &quot;\&quot;* &quot;-&quot;_ ;_ @_ "/>
    <numFmt numFmtId="198" formatCode="_ &quot;\&quot;* #,##0.00_ ;_ &quot;\&quot;* \-#,##0.00_ ;_ &quot;\&quot;* &quot;-&quot;??_ ;_ @_ "/>
    <numFmt numFmtId="199" formatCode="#,##0.00_ ;[Red]\-#,##0.00\ "/>
    <numFmt numFmtId="200" formatCode="#,##0.0"/>
    <numFmt numFmtId="201" formatCode="_-* #,##0.000\ _€_-;\-* #,##0.000\ _€_-;_-* &quot;-&quot;??\ _€_-;_-@_-"/>
    <numFmt numFmtId="202" formatCode="#,##0.00_ ;\-#,##0.00\ "/>
    <numFmt numFmtId="203" formatCode="_-* #,##0\ _F_-;\-* #,##0\ _F_-;_-* &quot;-&quot;??\ _F_-;_-@_-"/>
    <numFmt numFmtId="204" formatCode="dd/mm/yy_)"/>
    <numFmt numFmtId="205" formatCode="#,##0_);\(#,##0\)"/>
    <numFmt numFmtId="206" formatCode="#,##0.000"/>
    <numFmt numFmtId="207" formatCode="_-* #,##0\ _€_-;\-* #,##0\ _€_-;_-* &quot;-&quot;??\ _€_-;_-@_-"/>
    <numFmt numFmtId="208" formatCode="#,##0_ ;[Red]\-#,##0\ "/>
    <numFmt numFmtId="209" formatCode="#,##0.0_ ;[Red]\-#,##0.0\ "/>
    <numFmt numFmtId="210" formatCode="0.0"/>
    <numFmt numFmtId="211" formatCode="0.0000%"/>
    <numFmt numFmtId="212" formatCode="#,##0.00\ &quot;€&quot;"/>
    <numFmt numFmtId="213" formatCode="#,##0.00\ [$USD]"/>
    <numFmt numFmtId="214" formatCode="#,##0.00\ [$MGA]"/>
    <numFmt numFmtId="215" formatCode="#,##0\ _€"/>
    <numFmt numFmtId="216" formatCode="#,##0.00;[Red]#,##0.00"/>
    <numFmt numFmtId="217" formatCode="#,##0;[Red]#,##0"/>
    <numFmt numFmtId="218" formatCode="#,##0.00\ [$MGA];[Red]\-#,##0.00\ [$MGA]"/>
    <numFmt numFmtId="219" formatCode="#,##0.00\ [$MGA];[Red]\-#,##0.\ [$MGA]"/>
    <numFmt numFmtId="220" formatCode="#,##0\ [$MGA];[Red]\-#,##0\ [$MGA]"/>
    <numFmt numFmtId="221" formatCode="d/m;@"/>
    <numFmt numFmtId="222" formatCode="0.000%"/>
  </numFmts>
  <fonts count="18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theme="4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"/>
      <name val="Arial"/>
      <family val="2"/>
      <charset val="1"/>
    </font>
    <font>
      <sz val="13"/>
      <name val="Tms Rmn"/>
      <family val="1"/>
    </font>
    <font>
      <sz val="14"/>
      <name val="EucrosiaUPC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name val="Tahoma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0"/>
      <color indexed="9"/>
      <name val="Arial"/>
      <family val="2"/>
    </font>
    <font>
      <b/>
      <sz val="11"/>
      <color indexed="9"/>
      <name val="Calibri"/>
      <family val="2"/>
    </font>
    <font>
      <b/>
      <sz val="13"/>
      <name val="Tms Rmn"/>
      <family val="1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2"/>
      <name val="Times New Roman"/>
      <family val="1"/>
    </font>
    <font>
      <i/>
      <sz val="11"/>
      <color indexed="23"/>
      <name val="Calibri"/>
      <family val="2"/>
    </font>
    <font>
      <sz val="10"/>
      <name val="Helv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8"/>
      <name val="Arial"/>
      <family val="2"/>
    </font>
    <font>
      <u/>
      <sz val="16"/>
      <color indexed="10"/>
      <name val="Arial"/>
      <family val="2"/>
    </font>
    <font>
      <b/>
      <sz val="8"/>
      <color indexed="9"/>
      <name val="Tahoma"/>
      <family val="2"/>
    </font>
    <font>
      <b/>
      <sz val="8"/>
      <color indexed="8"/>
      <name val="Tahom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u/>
      <sz val="10"/>
      <color theme="10"/>
      <name val="Arial"/>
      <family val="2"/>
    </font>
    <font>
      <sz val="11"/>
      <color indexed="52"/>
      <name val="Calibri"/>
      <family val="2"/>
    </font>
    <font>
      <sz val="8"/>
      <color theme="1"/>
      <name val="Arial"/>
      <family val="2"/>
    </font>
    <font>
      <sz val="10"/>
      <name val="Times New Roman"/>
      <family val="1"/>
    </font>
    <font>
      <b/>
      <sz val="9.9499999999999993"/>
      <color indexed="8"/>
      <name val="Tahoma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sz val="10"/>
      <name val="Courier"/>
      <family val="3"/>
    </font>
    <font>
      <b/>
      <i/>
      <sz val="16"/>
      <name val="Helv"/>
    </font>
    <font>
      <sz val="10"/>
      <color indexed="8"/>
      <name val="MS Sans Serif"/>
      <family val="2"/>
    </font>
    <font>
      <sz val="10"/>
      <color theme="1"/>
      <name val="Arial"/>
      <family val="2"/>
    </font>
    <font>
      <sz val="10"/>
      <color indexed="8"/>
      <name val="Arial"/>
      <family val="2"/>
    </font>
    <font>
      <b/>
      <sz val="11"/>
      <name val="Arial"/>
      <family val="2"/>
    </font>
    <font>
      <b/>
      <sz val="11"/>
      <color indexed="63"/>
      <name val="Calibri"/>
      <family val="2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sz val="10"/>
      <name val="Verdana"/>
      <family val="2"/>
    </font>
    <font>
      <sz val="12"/>
      <name val="Helv"/>
    </font>
    <font>
      <sz val="10"/>
      <name val="MS Sans Serif"/>
      <family val="2"/>
    </font>
    <font>
      <b/>
      <sz val="10"/>
      <name val="MS Sans Serif"/>
      <family val="2"/>
    </font>
    <font>
      <b/>
      <u/>
      <sz val="8"/>
      <name val="Arial"/>
      <family val="2"/>
    </font>
    <font>
      <u/>
      <sz val="10"/>
      <name val="Arial"/>
      <family val="2"/>
    </font>
    <font>
      <b/>
      <i/>
      <u/>
      <sz val="10"/>
      <name val="Arial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2"/>
      <name val="穝灿砰"/>
      <charset val="134"/>
    </font>
    <font>
      <sz val="12"/>
      <name val="Book Antiqua"/>
      <family val="1"/>
    </font>
    <font>
      <sz val="11"/>
      <color indexed="8"/>
      <name val="Helvetica Neue"/>
    </font>
    <font>
      <sz val="11"/>
      <color indexed="8"/>
      <name val="Arial Narrow"/>
      <family val="2"/>
    </font>
    <font>
      <b/>
      <sz val="11"/>
      <color indexed="8"/>
      <name val="Arial Narrow"/>
      <family val="2"/>
    </font>
    <font>
      <i/>
      <sz val="11"/>
      <color indexed="8"/>
      <name val="Arial Narrow"/>
      <family val="2"/>
    </font>
    <font>
      <b/>
      <u/>
      <sz val="11"/>
      <color indexed="8"/>
      <name val="Arial Narrow"/>
      <family val="2"/>
    </font>
    <font>
      <b/>
      <u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indexed="8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1"/>
      <color indexed="8"/>
      <name val="Calibri"/>
      <family val="2"/>
      <scheme val="minor"/>
    </font>
    <font>
      <b/>
      <sz val="8"/>
      <color theme="1"/>
      <name val="Arial"/>
      <family val="2"/>
    </font>
    <font>
      <i/>
      <sz val="10"/>
      <color theme="1"/>
      <name val="Arial Narrow"/>
      <family val="2"/>
    </font>
    <font>
      <b/>
      <i/>
      <sz val="10"/>
      <color theme="1"/>
      <name val="Arial Narrow"/>
      <family val="2"/>
    </font>
    <font>
      <sz val="9"/>
      <color theme="1"/>
      <name val="Arial"/>
      <family val="2"/>
    </font>
    <font>
      <sz val="9"/>
      <color theme="0"/>
      <name val="Arial"/>
      <family val="2"/>
    </font>
    <font>
      <sz val="10"/>
      <color indexed="8"/>
      <name val="Arial Narrow"/>
      <family val="2"/>
    </font>
    <font>
      <b/>
      <sz val="10"/>
      <color indexed="8"/>
      <name val="Arial Narrow"/>
      <family val="2"/>
    </font>
    <font>
      <b/>
      <u/>
      <sz val="10"/>
      <color indexed="8"/>
      <name val="Arial Narrow"/>
      <family val="2"/>
    </font>
    <font>
      <b/>
      <sz val="10"/>
      <color rgb="FFFF0000"/>
      <name val="Arial Narrow"/>
      <family val="2"/>
    </font>
    <font>
      <sz val="10"/>
      <color indexed="9"/>
      <name val="Arial Narrow"/>
      <family val="2"/>
    </font>
    <font>
      <b/>
      <sz val="10"/>
      <color theme="1"/>
      <name val="Calibri"/>
      <family val="2"/>
      <scheme val="minor"/>
    </font>
    <font>
      <b/>
      <sz val="9"/>
      <color theme="1"/>
      <name val="Arial"/>
      <family val="2"/>
    </font>
    <font>
      <b/>
      <u/>
      <sz val="9"/>
      <color theme="1"/>
      <name val="Arial"/>
      <family val="2"/>
    </font>
    <font>
      <sz val="9"/>
      <color indexed="8"/>
      <name val="Arial Narrow"/>
      <family val="2"/>
    </font>
    <font>
      <b/>
      <sz val="11"/>
      <color rgb="FFFFFFFF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"/>
      <name val="Arial Narrow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b/>
      <i/>
      <sz val="11"/>
      <color rgb="FFFF0000"/>
      <name val="Arial Narrow"/>
      <family val="2"/>
    </font>
    <font>
      <sz val="11"/>
      <color theme="0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theme="0"/>
      <name val="Arial Narrow"/>
      <family val="2"/>
    </font>
    <font>
      <b/>
      <i/>
      <sz val="8"/>
      <name val="Arial Narrow"/>
      <family val="2"/>
    </font>
    <font>
      <i/>
      <sz val="10"/>
      <name val="Arial Narrow"/>
      <family val="2"/>
    </font>
    <font>
      <i/>
      <sz val="10"/>
      <color theme="0"/>
      <name val="Arial Narrow"/>
      <family val="2"/>
    </font>
    <font>
      <b/>
      <sz val="10"/>
      <color indexed="12"/>
      <name val="Arial Narrow"/>
      <family val="2"/>
    </font>
    <font>
      <b/>
      <sz val="10"/>
      <color indexed="10"/>
      <name val="Arial Narrow"/>
      <family val="2"/>
    </font>
    <font>
      <sz val="10"/>
      <color indexed="12"/>
      <name val="Arial Narrow"/>
      <family val="2"/>
    </font>
    <font>
      <sz val="9"/>
      <color indexed="12"/>
      <name val="Arial Narrow"/>
      <family val="2"/>
    </font>
    <font>
      <i/>
      <sz val="10"/>
      <color indexed="12"/>
      <name val="Arial Narrow"/>
      <family val="2"/>
    </font>
    <font>
      <sz val="10"/>
      <color indexed="10"/>
      <name val="Arial Narrow"/>
      <family val="2"/>
    </font>
    <font>
      <sz val="9"/>
      <name val="Arial Narrow"/>
      <family val="2"/>
    </font>
    <font>
      <b/>
      <sz val="6"/>
      <color indexed="10"/>
      <name val="Arial Narrow"/>
      <family val="2"/>
    </font>
    <font>
      <i/>
      <sz val="8"/>
      <color rgb="FFFF0000"/>
      <name val="Arial Narrow"/>
      <family val="2"/>
    </font>
    <font>
      <i/>
      <sz val="8"/>
      <color indexed="10"/>
      <name val="Arial Narrow"/>
      <family val="2"/>
    </font>
    <font>
      <b/>
      <sz val="10"/>
      <color theme="4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u/>
      <sz val="12"/>
      <color theme="1"/>
      <name val="Arial Narrow"/>
      <family val="2"/>
    </font>
    <font>
      <sz val="12"/>
      <color theme="1"/>
      <name val="Arial Narrow"/>
      <family val="2"/>
    </font>
    <font>
      <b/>
      <sz val="12"/>
      <color theme="1"/>
      <name val="Arial Narrow"/>
      <family val="2"/>
    </font>
    <font>
      <i/>
      <sz val="12"/>
      <color theme="1"/>
      <name val="Arial Narrow"/>
      <family val="2"/>
    </font>
    <font>
      <i/>
      <u/>
      <sz val="12"/>
      <color theme="1"/>
      <name val="Arial Narrow"/>
      <family val="2"/>
    </font>
    <font>
      <u/>
      <sz val="12"/>
      <color theme="1"/>
      <name val="Arial Narrow"/>
      <family val="2"/>
    </font>
    <font>
      <sz val="10"/>
      <color rgb="FFFF0000"/>
      <name val="Calibri"/>
      <family val="2"/>
      <scheme val="minor"/>
    </font>
    <font>
      <u/>
      <sz val="11"/>
      <color indexed="8"/>
      <name val="Arial Narrow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Arial Narrow"/>
      <family val="2"/>
    </font>
    <font>
      <sz val="10"/>
      <color rgb="FFFF0000"/>
      <name val="Arial Narrow"/>
      <family val="2"/>
    </font>
    <font>
      <sz val="11"/>
      <color theme="1"/>
      <name val="Arial"/>
      <family val="2"/>
    </font>
    <font>
      <b/>
      <sz val="9"/>
      <name val="Arial Narrow"/>
      <family val="2"/>
    </font>
    <font>
      <sz val="11"/>
      <color rgb="FFFF0000"/>
      <name val="Arial Narrow"/>
      <family val="2"/>
    </font>
    <font>
      <b/>
      <sz val="11"/>
      <color rgb="FFFF0000"/>
      <name val="Arial Narrow"/>
      <family val="2"/>
    </font>
    <font>
      <i/>
      <sz val="11"/>
      <color theme="3" tint="0.39997558519241921"/>
      <name val="Arial Narrow"/>
      <family val="2"/>
    </font>
    <font>
      <b/>
      <sz val="11"/>
      <color theme="4" tint="-0.249977111117893"/>
      <name val="Arial Narrow"/>
      <family val="2"/>
    </font>
    <font>
      <u/>
      <sz val="11"/>
      <color theme="1"/>
      <name val="Arial Narrow"/>
      <family val="2"/>
    </font>
    <font>
      <b/>
      <i/>
      <sz val="11"/>
      <color theme="1"/>
      <name val="Arial Narrow"/>
      <family val="2"/>
    </font>
    <font>
      <b/>
      <sz val="11"/>
      <color rgb="FF0070C0"/>
      <name val="Arial Narrow"/>
      <family val="2"/>
    </font>
    <font>
      <sz val="8"/>
      <color theme="1"/>
      <name val="Arial Narrow"/>
      <family val="2"/>
    </font>
    <font>
      <b/>
      <sz val="8"/>
      <color theme="1"/>
      <name val="Arial Narrow"/>
      <family val="2"/>
    </font>
    <font>
      <b/>
      <i/>
      <sz val="8"/>
      <color theme="1"/>
      <name val="Arial Narrow"/>
      <family val="2"/>
    </font>
    <font>
      <b/>
      <u/>
      <sz val="8"/>
      <color theme="1"/>
      <name val="Arial Narrow"/>
      <family val="2"/>
    </font>
    <font>
      <sz val="8"/>
      <color rgb="FFFF0000"/>
      <name val="Arial Narrow"/>
      <family val="2"/>
    </font>
    <font>
      <sz val="8"/>
      <name val="Arial Narrow"/>
      <family val="2"/>
    </font>
    <font>
      <b/>
      <sz val="8"/>
      <name val="Arial"/>
      <family val="2"/>
    </font>
    <font>
      <b/>
      <u/>
      <sz val="8"/>
      <color theme="1"/>
      <name val="Arial"/>
      <family val="2"/>
    </font>
    <font>
      <b/>
      <i/>
      <sz val="8"/>
      <color rgb="FFFF0000"/>
      <name val="Arial Narrow"/>
      <family val="2"/>
    </font>
    <font>
      <b/>
      <i/>
      <sz val="8"/>
      <color theme="4" tint="-0.249977111117893"/>
      <name val="Arial Narrow"/>
      <family val="2"/>
    </font>
    <font>
      <i/>
      <sz val="8"/>
      <color theme="4" tint="-0.249977111117893"/>
      <name val="Arial Narrow"/>
      <family val="2"/>
    </font>
    <font>
      <b/>
      <sz val="36"/>
      <color theme="0"/>
      <name val="Gilroy-Bold"/>
    </font>
    <font>
      <b/>
      <sz val="22"/>
      <color theme="4"/>
      <name val="Product Sans"/>
      <family val="2"/>
    </font>
    <font>
      <sz val="11"/>
      <color theme="1"/>
      <name val="Gilroy-BlackItalic"/>
    </font>
    <font>
      <sz val="11"/>
      <color theme="3" tint="0.39997558519241921"/>
      <name val="Arial Narrow"/>
      <family val="2"/>
    </font>
  </fonts>
  <fills count="7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9"/>
        <bgColor indexed="64"/>
      </patternFill>
    </fill>
    <fill>
      <patternFill patternType="solid">
        <fgColor indexed="22"/>
      </patternFill>
    </fill>
    <fill>
      <patternFill patternType="solid">
        <fgColor indexed="24"/>
        <bgColor indexed="64"/>
      </patternFill>
    </fill>
    <fill>
      <patternFill patternType="solid">
        <fgColor indexed="55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lightTrellis">
        <fgColor indexed="8"/>
      </patternFill>
    </fill>
    <fill>
      <patternFill patternType="solid">
        <fgColor indexed="65"/>
        <bgColor indexed="8"/>
      </patternFill>
    </fill>
    <fill>
      <patternFill patternType="solid">
        <fgColor rgb="FF4BACC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FB9C61"/>
        <bgColor indexed="64"/>
      </patternFill>
    </fill>
    <fill>
      <patternFill patternType="solid">
        <fgColor theme="3" tint="0.79998168889431442"/>
        <bgColor indexed="64"/>
      </patternFill>
    </fill>
  </fills>
  <borders count="1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medium">
        <color indexed="24"/>
      </top>
      <bottom style="medium">
        <color indexed="2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rgb="FF4BACC6"/>
      </top>
      <bottom style="medium">
        <color rgb="FF4BACC6"/>
      </bottom>
      <diagonal/>
    </border>
    <border>
      <left style="medium">
        <color rgb="FF4BACC6"/>
      </left>
      <right/>
      <top style="medium">
        <color rgb="FF4BACC6"/>
      </top>
      <bottom/>
      <diagonal/>
    </border>
    <border>
      <left/>
      <right/>
      <top style="medium">
        <color rgb="FF4BACC6"/>
      </top>
      <bottom/>
      <diagonal/>
    </border>
    <border>
      <left/>
      <right style="medium">
        <color rgb="FF4BACC6"/>
      </right>
      <top style="medium">
        <color rgb="FF4BACC6"/>
      </top>
      <bottom/>
      <diagonal/>
    </border>
    <border>
      <left style="medium">
        <color rgb="FF4BACC6"/>
      </left>
      <right/>
      <top style="medium">
        <color rgb="FF4BACC6"/>
      </top>
      <bottom style="medium">
        <color rgb="FF4BACC6"/>
      </bottom>
      <diagonal/>
    </border>
    <border>
      <left/>
      <right style="medium">
        <color rgb="FF4BACC6"/>
      </right>
      <top style="medium">
        <color rgb="FF4BACC6"/>
      </top>
      <bottom style="medium">
        <color rgb="FF4BACC6"/>
      </bottom>
      <diagonal/>
    </border>
    <border>
      <left style="medium">
        <color rgb="FF4BACC6"/>
      </left>
      <right/>
      <top/>
      <bottom style="medium">
        <color rgb="FF4BACC6"/>
      </bottom>
      <diagonal/>
    </border>
    <border>
      <left/>
      <right/>
      <top/>
      <bottom style="medium">
        <color rgb="FF4BACC6"/>
      </bottom>
      <diagonal/>
    </border>
    <border>
      <left/>
      <right style="medium">
        <color rgb="FF4BACC6"/>
      </right>
      <top/>
      <bottom style="medium">
        <color rgb="FF4BACC6"/>
      </bottom>
      <diagonal/>
    </border>
    <border>
      <left style="medium">
        <color rgb="FF4BACC6"/>
      </left>
      <right style="thin">
        <color rgb="FF4BACC6"/>
      </right>
      <top style="medium">
        <color rgb="FF4BACC6"/>
      </top>
      <bottom style="medium">
        <color rgb="FF4BACC6"/>
      </bottom>
      <diagonal/>
    </border>
    <border>
      <left style="thin">
        <color rgb="FF4BACC6"/>
      </left>
      <right style="medium">
        <color rgb="FF4BACC6"/>
      </right>
      <top style="medium">
        <color rgb="FF4BACC6"/>
      </top>
      <bottom style="medium">
        <color rgb="FF4BACC6"/>
      </bottom>
      <diagonal/>
    </border>
    <border>
      <left style="medium">
        <color rgb="FF4BACC6"/>
      </left>
      <right style="thin">
        <color rgb="FF4BACC6"/>
      </right>
      <top style="medium">
        <color rgb="FF4BACC6"/>
      </top>
      <bottom/>
      <diagonal/>
    </border>
    <border>
      <left style="thin">
        <color rgb="FF4BACC6"/>
      </left>
      <right style="thin">
        <color rgb="FF4BACC6"/>
      </right>
      <top style="medium">
        <color rgb="FF4BACC6"/>
      </top>
      <bottom/>
      <diagonal/>
    </border>
    <border>
      <left style="thin">
        <color rgb="FF4BACC6"/>
      </left>
      <right style="medium">
        <color rgb="FF4BACC6"/>
      </right>
      <top style="medium">
        <color rgb="FF4BACC6"/>
      </top>
      <bottom/>
      <diagonal/>
    </border>
    <border>
      <left style="medium">
        <color rgb="FF4BACC6"/>
      </left>
      <right style="thin">
        <color rgb="FF4BACC6"/>
      </right>
      <top/>
      <bottom/>
      <diagonal/>
    </border>
    <border>
      <left style="thin">
        <color rgb="FF4BACC6"/>
      </left>
      <right style="thin">
        <color rgb="FF4BACC6"/>
      </right>
      <top/>
      <bottom/>
      <diagonal/>
    </border>
    <border>
      <left style="thin">
        <color rgb="FF4BACC6"/>
      </left>
      <right style="medium">
        <color rgb="FF4BACC6"/>
      </right>
      <top/>
      <bottom/>
      <diagonal/>
    </border>
    <border>
      <left style="medium">
        <color rgb="FF4BACC6"/>
      </left>
      <right style="thin">
        <color rgb="FF4BACC6"/>
      </right>
      <top/>
      <bottom style="medium">
        <color rgb="FF4BACC6"/>
      </bottom>
      <diagonal/>
    </border>
    <border>
      <left style="thin">
        <color rgb="FF4BACC6"/>
      </left>
      <right style="thin">
        <color rgb="FF4BACC6"/>
      </right>
      <top/>
      <bottom style="medium">
        <color rgb="FF4BACC6"/>
      </bottom>
      <diagonal/>
    </border>
    <border>
      <left style="thin">
        <color rgb="FF4BACC6"/>
      </left>
      <right style="medium">
        <color rgb="FF4BACC6"/>
      </right>
      <top/>
      <bottom style="medium">
        <color rgb="FF4BACC6"/>
      </bottom>
      <diagonal/>
    </border>
    <border>
      <left style="medium">
        <color rgb="FF4BACC6"/>
      </left>
      <right style="medium">
        <color rgb="FF4BACC6"/>
      </right>
      <top style="medium">
        <color rgb="FF4BACC6"/>
      </top>
      <bottom style="medium">
        <color rgb="FF4BACC6"/>
      </bottom>
      <diagonal/>
    </border>
    <border>
      <left/>
      <right style="thin">
        <color auto="1"/>
      </right>
      <top/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double">
        <color indexed="64"/>
      </bottom>
      <diagonal/>
    </border>
    <border>
      <left/>
      <right style="thin">
        <color indexed="8"/>
      </right>
      <top style="thin">
        <color indexed="8"/>
      </top>
      <bottom style="double">
        <color indexed="64"/>
      </bottom>
      <diagonal/>
    </border>
    <border>
      <left style="thin">
        <color indexed="8"/>
      </left>
      <right style="thin">
        <color indexed="64"/>
      </right>
      <top/>
      <bottom style="thin">
        <color indexed="8"/>
      </bottom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399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4" fontId="1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0" fontId="25" fillId="0" borderId="0"/>
    <xf numFmtId="0" fontId="30" fillId="0" borderId="0"/>
    <xf numFmtId="165" fontId="31" fillId="0" borderId="0" applyFont="0" applyFill="0" applyBorder="0" applyAlignment="0" applyProtection="0"/>
    <xf numFmtId="0" fontId="32" fillId="0" borderId="0"/>
    <xf numFmtId="0" fontId="32" fillId="0" borderId="0"/>
    <xf numFmtId="166" fontId="31" fillId="0" borderId="0" applyFont="0" applyFill="0" applyBorder="0" applyAlignment="0" applyProtection="0"/>
    <xf numFmtId="10" fontId="31" fillId="0" borderId="0" applyFont="0" applyFill="0" applyBorder="0" applyAlignment="0" applyProtection="0"/>
    <xf numFmtId="0" fontId="33" fillId="34" borderId="0" applyNumberFormat="0" applyBorder="0" applyAlignment="0" applyProtection="0"/>
    <xf numFmtId="0" fontId="33" fillId="34" borderId="0" applyNumberFormat="0" applyBorder="0" applyAlignment="0" applyProtection="0"/>
    <xf numFmtId="0" fontId="33" fillId="35" borderId="0" applyNumberFormat="0" applyBorder="0" applyAlignment="0" applyProtection="0"/>
    <xf numFmtId="0" fontId="33" fillId="35" borderId="0" applyNumberFormat="0" applyBorder="0" applyAlignment="0" applyProtection="0"/>
    <xf numFmtId="0" fontId="33" fillId="36" borderId="0" applyNumberFormat="0" applyBorder="0" applyAlignment="0" applyProtection="0"/>
    <xf numFmtId="0" fontId="33" fillId="36" borderId="0" applyNumberFormat="0" applyBorder="0" applyAlignment="0" applyProtection="0"/>
    <xf numFmtId="0" fontId="33" fillId="37" borderId="0" applyNumberFormat="0" applyBorder="0" applyAlignment="0" applyProtection="0"/>
    <xf numFmtId="0" fontId="33" fillId="37" borderId="0" applyNumberFormat="0" applyBorder="0" applyAlignment="0" applyProtection="0"/>
    <xf numFmtId="0" fontId="33" fillId="38" borderId="0" applyNumberFormat="0" applyBorder="0" applyAlignment="0" applyProtection="0"/>
    <xf numFmtId="0" fontId="33" fillId="38" borderId="0" applyNumberFormat="0" applyBorder="0" applyAlignment="0" applyProtection="0"/>
    <xf numFmtId="0" fontId="33" fillId="39" borderId="0" applyNumberFormat="0" applyBorder="0" applyAlignment="0" applyProtection="0"/>
    <xf numFmtId="0" fontId="33" fillId="39" borderId="0" applyNumberFormat="0" applyBorder="0" applyAlignment="0" applyProtection="0"/>
    <xf numFmtId="0" fontId="33" fillId="40" borderId="0" applyNumberFormat="0" applyBorder="0" applyAlignment="0" applyProtection="0"/>
    <xf numFmtId="0" fontId="33" fillId="40" borderId="0" applyNumberFormat="0" applyBorder="0" applyAlignment="0" applyProtection="0"/>
    <xf numFmtId="0" fontId="33" fillId="41" borderId="0" applyNumberFormat="0" applyBorder="0" applyAlignment="0" applyProtection="0"/>
    <xf numFmtId="0" fontId="33" fillId="41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37" borderId="0" applyNumberFormat="0" applyBorder="0" applyAlignment="0" applyProtection="0"/>
    <xf numFmtId="0" fontId="33" fillId="37" borderId="0" applyNumberFormat="0" applyBorder="0" applyAlignment="0" applyProtection="0"/>
    <xf numFmtId="0" fontId="33" fillId="40" borderId="0" applyNumberFormat="0" applyBorder="0" applyAlignment="0" applyProtection="0"/>
    <xf numFmtId="0" fontId="33" fillId="40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4" fillId="44" borderId="0" applyNumberFormat="0" applyBorder="0" applyAlignment="0" applyProtection="0"/>
    <xf numFmtId="0" fontId="34" fillId="44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2" borderId="0" applyNumberFormat="0" applyBorder="0" applyAlignment="0" applyProtection="0"/>
    <xf numFmtId="0" fontId="34" fillId="42" borderId="0" applyNumberFormat="0" applyBorder="0" applyAlignment="0" applyProtection="0"/>
    <xf numFmtId="0" fontId="34" fillId="45" borderId="0" applyNumberFormat="0" applyBorder="0" applyAlignment="0" applyProtection="0"/>
    <xf numFmtId="0" fontId="34" fillId="45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167" fontId="35" fillId="48" borderId="11" applyFont="0" applyFill="0" applyBorder="0" applyProtection="0">
      <alignment vertical="center"/>
    </xf>
    <xf numFmtId="0" fontId="36" fillId="35" borderId="0" applyNumberFormat="0" applyBorder="0" applyAlignment="0" applyProtection="0"/>
    <xf numFmtId="0" fontId="36" fillId="35" borderId="0" applyNumberFormat="0" applyBorder="0" applyAlignment="0" applyProtection="0"/>
    <xf numFmtId="0" fontId="37" fillId="49" borderId="24" applyNumberFormat="0" applyAlignment="0" applyProtection="0"/>
    <xf numFmtId="0" fontId="37" fillId="49" borderId="24" applyNumberFormat="0" applyAlignment="0" applyProtection="0"/>
    <xf numFmtId="0" fontId="38" fillId="50" borderId="25" applyFont="0" applyFill="0" applyBorder="0" applyAlignment="0" applyProtection="0">
      <alignment wrapText="1"/>
    </xf>
    <xf numFmtId="0" fontId="38" fillId="50" borderId="25" applyFont="0" applyFill="0" applyBorder="0" applyAlignment="0" applyProtection="0">
      <alignment wrapText="1"/>
    </xf>
    <xf numFmtId="0" fontId="39" fillId="51" borderId="26" applyNumberFormat="0" applyAlignment="0" applyProtection="0"/>
    <xf numFmtId="0" fontId="39" fillId="51" borderId="26" applyNumberFormat="0" applyAlignment="0" applyProtection="0"/>
    <xf numFmtId="0" fontId="40" fillId="0" borderId="18" applyNumberFormat="0" applyFill="0" applyProtection="0">
      <alignment horizontal="center"/>
    </xf>
    <xf numFmtId="168" fontId="25" fillId="0" borderId="0" applyFont="0" applyFill="0" applyBorder="0" applyAlignment="0" applyProtection="0"/>
    <xf numFmtId="169" fontId="25" fillId="0" borderId="0" applyFont="0" applyFill="0" applyBorder="0" applyAlignment="0" applyProtection="0"/>
    <xf numFmtId="37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39" fontId="31" fillId="0" borderId="0" applyFont="0" applyFill="0" applyBorder="0" applyAlignment="0" applyProtection="0"/>
    <xf numFmtId="171" fontId="25" fillId="0" borderId="0" applyFont="0" applyFill="0" applyBorder="0" applyAlignment="0" applyProtection="0"/>
    <xf numFmtId="0" fontId="33" fillId="8" borderId="8" applyNumberFormat="0" applyFont="0" applyAlignment="0" applyProtection="0"/>
    <xf numFmtId="172" fontId="25" fillId="0" borderId="0" applyFont="0" applyFill="0" applyBorder="0" applyAlignment="0" applyProtection="0"/>
    <xf numFmtId="173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174" fontId="25" fillId="0" borderId="0" applyFont="0" applyFill="0" applyBorder="0" applyAlignment="0" applyProtection="0"/>
    <xf numFmtId="0" fontId="41" fillId="0" borderId="0">
      <protection locked="0"/>
    </xf>
    <xf numFmtId="175" fontId="42" fillId="0" borderId="0">
      <protection locked="0"/>
    </xf>
    <xf numFmtId="175" fontId="42" fillId="0" borderId="0">
      <protection locked="0"/>
    </xf>
    <xf numFmtId="176" fontId="43" fillId="0" borderId="0" applyFont="0" applyFill="0" applyBorder="0" applyAlignment="0" applyProtection="0"/>
    <xf numFmtId="177" fontId="25" fillId="0" borderId="0" applyFont="0" applyFill="0" applyBorder="0" applyAlignment="0" applyProtection="0"/>
    <xf numFmtId="178" fontId="25" fillId="0" borderId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179" fontId="41" fillId="0" borderId="0">
      <protection locked="0"/>
    </xf>
    <xf numFmtId="180" fontId="45" fillId="0" borderId="0" applyFont="0" applyFill="0" applyBorder="0" applyAlignment="0" applyProtection="0"/>
    <xf numFmtId="4" fontId="41" fillId="0" borderId="0">
      <protection locked="0"/>
    </xf>
    <xf numFmtId="0" fontId="46" fillId="0" borderId="0" applyNumberFormat="0" applyFill="0" applyBorder="0" applyAlignment="0" applyProtection="0">
      <alignment vertical="top"/>
      <protection locked="0"/>
    </xf>
    <xf numFmtId="0" fontId="47" fillId="36" borderId="0" applyNumberFormat="0" applyBorder="0" applyAlignment="0" applyProtection="0"/>
    <xf numFmtId="0" fontId="47" fillId="36" borderId="0" applyNumberFormat="0" applyBorder="0" applyAlignment="0" applyProtection="0"/>
    <xf numFmtId="38" fontId="48" fillId="48" borderId="0" applyNumberFormat="0" applyBorder="0" applyAlignment="0" applyProtection="0"/>
    <xf numFmtId="0" fontId="49" fillId="0" borderId="0"/>
    <xf numFmtId="167" fontId="50" fillId="52" borderId="20" applyBorder="0" applyAlignment="0">
      <alignment horizontal="left" vertical="center" indent="1"/>
    </xf>
    <xf numFmtId="167" fontId="51" fillId="53" borderId="27" applyBorder="0">
      <alignment horizontal="left" vertical="center" indent="1"/>
    </xf>
    <xf numFmtId="167" fontId="25" fillId="52" borderId="20" applyBorder="0" applyAlignment="0">
      <alignment horizontal="left" vertical="center" indent="1"/>
    </xf>
    <xf numFmtId="0" fontId="51" fillId="54" borderId="28" applyNumberFormat="0" applyBorder="0">
      <alignment horizontal="left" vertical="top" indent="1"/>
    </xf>
    <xf numFmtId="0" fontId="51" fillId="48" borderId="0" applyBorder="0">
      <alignment horizontal="left" vertical="center" indent="1"/>
    </xf>
    <xf numFmtId="0" fontId="51" fillId="0" borderId="28" applyNumberFormat="0" applyFill="0">
      <alignment horizontal="centerContinuous" vertical="top"/>
    </xf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>
      <alignment vertical="top"/>
      <protection locked="0"/>
    </xf>
    <xf numFmtId="0" fontId="56" fillId="39" borderId="32" applyNumberFormat="0" applyAlignment="0" applyProtection="0"/>
    <xf numFmtId="10" fontId="48" fillId="48" borderId="10" applyNumberFormat="0" applyBorder="0" applyAlignment="0" applyProtection="0"/>
    <xf numFmtId="0" fontId="56" fillId="39" borderId="32" applyNumberFormat="0" applyAlignment="0" applyProtection="0"/>
    <xf numFmtId="177" fontId="25" fillId="0" borderId="10"/>
    <xf numFmtId="0" fontId="57" fillId="0" borderId="0" applyNumberFormat="0" applyFill="0" applyBorder="0" applyAlignment="0" applyProtection="0">
      <alignment vertical="top"/>
      <protection locked="0"/>
    </xf>
    <xf numFmtId="0" fontId="58" fillId="0" borderId="33" applyNumberFormat="0" applyFill="0" applyAlignment="0" applyProtection="0"/>
    <xf numFmtId="0" fontId="58" fillId="0" borderId="33" applyNumberFormat="0" applyFill="0" applyAlignment="0" applyProtection="0"/>
    <xf numFmtId="168" fontId="25" fillId="0" borderId="0" applyFont="0" applyFill="0" applyBorder="0" applyAlignment="0" applyProtection="0"/>
    <xf numFmtId="171" fontId="25" fillId="0" borderId="0" applyFont="0" applyFill="0" applyBorder="0" applyAlignment="0" applyProtection="0"/>
    <xf numFmtId="168" fontId="25" fillId="0" borderId="0" applyFont="0" applyFill="0" applyBorder="0" applyAlignment="0" applyProtection="0"/>
    <xf numFmtId="169" fontId="25" fillId="0" borderId="0" applyFont="0" applyFill="0" applyBorder="0" applyAlignment="0" applyProtection="0"/>
    <xf numFmtId="176" fontId="25" fillId="0" borderId="0" applyFont="0" applyFill="0" applyBorder="0" applyAlignment="0" applyProtection="0"/>
    <xf numFmtId="176" fontId="25" fillId="0" borderId="0" applyFont="0" applyFill="0" applyBorder="0" applyAlignment="0" applyProtection="0"/>
    <xf numFmtId="171" fontId="25" fillId="0" borderId="0" applyFont="0" applyFill="0" applyBorder="0" applyAlignment="0" applyProtection="0"/>
    <xf numFmtId="171" fontId="25" fillId="0" borderId="0" applyFont="0" applyFill="0" applyBorder="0" applyAlignment="0" applyProtection="0"/>
    <xf numFmtId="171" fontId="25" fillId="0" borderId="0" applyFont="0" applyFill="0" applyBorder="0" applyAlignment="0" applyProtection="0"/>
    <xf numFmtId="181" fontId="25" fillId="0" borderId="0" applyFont="0" applyFill="0" applyBorder="0" applyAlignment="0" applyProtection="0"/>
    <xf numFmtId="171" fontId="25" fillId="0" borderId="0" applyFont="0" applyFill="0" applyBorder="0" applyAlignment="0" applyProtection="0"/>
    <xf numFmtId="181" fontId="25" fillId="0" borderId="0" applyFont="0" applyFill="0" applyBorder="0" applyAlignment="0" applyProtection="0"/>
    <xf numFmtId="171" fontId="25" fillId="0" borderId="0" applyFont="0" applyFill="0" applyBorder="0" applyAlignment="0" applyProtection="0"/>
    <xf numFmtId="171" fontId="33" fillId="0" borderId="0" applyFont="0" applyFill="0" applyBorder="0" applyAlignment="0" applyProtection="0"/>
    <xf numFmtId="171" fontId="25" fillId="0" borderId="0" applyFont="0" applyFill="0" applyBorder="0" applyAlignment="0" applyProtection="0"/>
    <xf numFmtId="182" fontId="25" fillId="0" borderId="0" applyFont="0" applyFill="0" applyBorder="0" applyAlignment="0" applyProtection="0"/>
    <xf numFmtId="171" fontId="33" fillId="0" borderId="0" applyFont="0" applyFill="0" applyBorder="0" applyAlignment="0" applyProtection="0"/>
    <xf numFmtId="182" fontId="25" fillId="0" borderId="0" applyFont="0" applyFill="0" applyBorder="0" applyAlignment="0" applyProtection="0"/>
    <xf numFmtId="171" fontId="25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9" fontId="25" fillId="0" borderId="0" applyFont="0" applyFill="0" applyBorder="0" applyAlignment="0" applyProtection="0"/>
    <xf numFmtId="182" fontId="25" fillId="0" borderId="0" applyFont="0" applyFill="0" applyBorder="0" applyAlignment="0" applyProtection="0"/>
    <xf numFmtId="182" fontId="25" fillId="0" borderId="0" applyFont="0" applyFill="0" applyBorder="0" applyAlignment="0" applyProtection="0"/>
    <xf numFmtId="169" fontId="25" fillId="0" borderId="0" applyFont="0" applyFill="0" applyBorder="0" applyAlignment="0" applyProtection="0"/>
    <xf numFmtId="169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171" fontId="33" fillId="0" borderId="0" applyFont="0" applyFill="0" applyBorder="0" applyAlignment="0" applyProtection="0"/>
    <xf numFmtId="183" fontId="25" fillId="0" borderId="0" applyFont="0" applyFill="0" applyBorder="0" applyAlignment="0" applyProtection="0"/>
    <xf numFmtId="171" fontId="25" fillId="0" borderId="0" applyFont="0" applyFill="0" applyBorder="0" applyAlignment="0" applyProtection="0"/>
    <xf numFmtId="171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171" fontId="25" fillId="0" borderId="0" applyFont="0" applyFill="0" applyBorder="0" applyAlignment="0" applyProtection="0"/>
    <xf numFmtId="171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83" fontId="33" fillId="0" borderId="0" applyFont="0" applyFill="0" applyBorder="0" applyAlignment="0" applyProtection="0"/>
    <xf numFmtId="171" fontId="1" fillId="0" borderId="0" applyFont="0" applyFill="0" applyBorder="0" applyAlignment="0" applyProtection="0"/>
    <xf numFmtId="184" fontId="25" fillId="0" borderId="0" applyFont="0" applyFill="0" applyBorder="0" applyAlignment="0" applyProtection="0"/>
    <xf numFmtId="164" fontId="59" fillId="0" borderId="0" applyFont="0" applyFill="0" applyBorder="0" applyAlignment="0" applyProtection="0"/>
    <xf numFmtId="0" fontId="25" fillId="0" borderId="0" applyFont="0" applyFill="0" applyBorder="0" applyAlignment="0" applyProtection="0"/>
    <xf numFmtId="171" fontId="60" fillId="0" borderId="0" applyFont="0" applyFill="0" applyBorder="0" applyAlignment="0" applyProtection="0"/>
    <xf numFmtId="185" fontId="25" fillId="0" borderId="0" applyFont="0" applyFill="0" applyBorder="0" applyAlignment="0" applyProtection="0"/>
    <xf numFmtId="171" fontId="33" fillId="0" borderId="0" applyFont="0" applyFill="0" applyBorder="0" applyAlignment="0" applyProtection="0"/>
    <xf numFmtId="186" fontId="25" fillId="0" borderId="0" applyFont="0" applyFill="0" applyBorder="0" applyAlignment="0" applyProtection="0"/>
    <xf numFmtId="187" fontId="25" fillId="0" borderId="0" applyFont="0" applyFill="0" applyBorder="0" applyAlignment="0" applyProtection="0"/>
    <xf numFmtId="188" fontId="61" fillId="0" borderId="0" applyFont="0" applyFill="0" applyBorder="0" applyAlignment="0" applyProtection="0"/>
    <xf numFmtId="188" fontId="61" fillId="0" borderId="0" applyFont="0" applyFill="0" applyBorder="0" applyAlignment="0" applyProtection="0"/>
    <xf numFmtId="171" fontId="25" fillId="0" borderId="0" applyFont="0" applyFill="0" applyBorder="0" applyAlignment="0" applyProtection="0"/>
    <xf numFmtId="171" fontId="33" fillId="0" borderId="0" applyFont="0" applyFill="0" applyBorder="0" applyAlignment="0" applyProtection="0"/>
    <xf numFmtId="189" fontId="25" fillId="0" borderId="0" applyFont="0" applyFill="0" applyBorder="0" applyAlignment="0" applyProtection="0"/>
    <xf numFmtId="189" fontId="25" fillId="0" borderId="0" applyFont="0" applyFill="0" applyBorder="0" applyAlignment="0" applyProtection="0"/>
    <xf numFmtId="171" fontId="25" fillId="0" borderId="0" applyFont="0" applyFill="0" applyBorder="0" applyAlignment="0" applyProtection="0"/>
    <xf numFmtId="169" fontId="25" fillId="0" borderId="0" applyFont="0" applyFill="0" applyBorder="0" applyAlignment="0" applyProtection="0"/>
    <xf numFmtId="169" fontId="25" fillId="0" borderId="0" applyFont="0" applyFill="0" applyBorder="0" applyAlignment="0" applyProtection="0"/>
    <xf numFmtId="171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171" fontId="25" fillId="0" borderId="0" applyFont="0" applyFill="0" applyBorder="0" applyAlignment="0" applyProtection="0"/>
    <xf numFmtId="169" fontId="25" fillId="0" borderId="0" applyFont="0" applyFill="0" applyBorder="0" applyAlignment="0" applyProtection="0"/>
    <xf numFmtId="171" fontId="25" fillId="0" borderId="0" applyFont="0" applyFill="0" applyBorder="0" applyAlignment="0" applyProtection="0"/>
    <xf numFmtId="171" fontId="25" fillId="0" borderId="0" applyFont="0" applyFill="0" applyBorder="0" applyAlignment="0" applyProtection="0"/>
    <xf numFmtId="171" fontId="25" fillId="0" borderId="0" applyFont="0" applyFill="0" applyBorder="0" applyAlignment="0" applyProtection="0"/>
    <xf numFmtId="172" fontId="25" fillId="0" borderId="0" applyFont="0" applyFill="0" applyBorder="0" applyAlignment="0" applyProtection="0"/>
    <xf numFmtId="174" fontId="25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25" fillId="0" borderId="0" applyFont="0" applyFill="0" applyBorder="0" applyAlignment="0" applyProtection="0"/>
    <xf numFmtId="191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192" fontId="33" fillId="0" borderId="0" applyFont="0" applyFill="0" applyBorder="0" applyAlignment="0" applyProtection="0"/>
    <xf numFmtId="187" fontId="25" fillId="0" borderId="0" applyFont="0" applyFill="0" applyBorder="0" applyAlignment="0" applyProtection="0"/>
    <xf numFmtId="44" fontId="1" fillId="0" borderId="0" applyFont="0" applyFill="0" applyBorder="0" applyAlignment="0" applyProtection="0"/>
    <xf numFmtId="193" fontId="25" fillId="0" borderId="0" applyFont="0" applyFill="0" applyBorder="0" applyAlignment="0" applyProtection="0"/>
    <xf numFmtId="194" fontId="41" fillId="0" borderId="0">
      <protection locked="0"/>
    </xf>
    <xf numFmtId="0" fontId="62" fillId="55" borderId="0" applyNumberFormat="0" applyBorder="0" applyAlignment="0" applyProtection="0"/>
    <xf numFmtId="0" fontId="62" fillId="55" borderId="0" applyNumberFormat="0" applyBorder="0" applyAlignment="0" applyProtection="0"/>
    <xf numFmtId="37" fontId="63" fillId="0" borderId="0"/>
    <xf numFmtId="0" fontId="64" fillId="0" borderId="0"/>
    <xf numFmtId="0" fontId="65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5" fillId="0" borderId="0"/>
    <xf numFmtId="0" fontId="25" fillId="0" borderId="0"/>
    <xf numFmtId="0" fontId="25" fillId="0" borderId="0"/>
    <xf numFmtId="0" fontId="66" fillId="0" borderId="0"/>
    <xf numFmtId="0" fontId="25" fillId="0" borderId="0"/>
    <xf numFmtId="0" fontId="66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33" fillId="0" borderId="0"/>
    <xf numFmtId="0" fontId="25" fillId="0" borderId="0"/>
    <xf numFmtId="0" fontId="66" fillId="0" borderId="0"/>
    <xf numFmtId="0" fontId="33" fillId="0" borderId="0"/>
    <xf numFmtId="0" fontId="66" fillId="0" borderId="0"/>
    <xf numFmtId="0" fontId="25" fillId="0" borderId="0"/>
    <xf numFmtId="0" fontId="25" fillId="0" borderId="0"/>
    <xf numFmtId="0" fontId="1" fillId="0" borderId="0"/>
    <xf numFmtId="0" fontId="25" fillId="0" borderId="0"/>
    <xf numFmtId="0" fontId="5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66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66" fillId="0" borderId="0"/>
    <xf numFmtId="0" fontId="25" fillId="0" borderId="0"/>
    <xf numFmtId="0" fontId="33" fillId="0" borderId="0"/>
    <xf numFmtId="0" fontId="25" fillId="0" borderId="0"/>
    <xf numFmtId="0" fontId="25" fillId="0" borderId="0"/>
    <xf numFmtId="0" fontId="33" fillId="0" borderId="0"/>
    <xf numFmtId="0" fontId="66" fillId="0" borderId="0"/>
    <xf numFmtId="0" fontId="1" fillId="0" borderId="0"/>
    <xf numFmtId="0" fontId="25" fillId="0" borderId="0"/>
    <xf numFmtId="0" fontId="33" fillId="0" borderId="0"/>
    <xf numFmtId="0" fontId="59" fillId="0" borderId="0"/>
    <xf numFmtId="0" fontId="1" fillId="0" borderId="0"/>
    <xf numFmtId="0" fontId="25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59" fillId="0" borderId="0"/>
    <xf numFmtId="0" fontId="25" fillId="0" borderId="0"/>
    <xf numFmtId="0" fontId="1" fillId="0" borderId="0"/>
    <xf numFmtId="0" fontId="25" fillId="0" borderId="0"/>
    <xf numFmtId="0" fontId="1" fillId="0" borderId="0"/>
    <xf numFmtId="0" fontId="25" fillId="0" borderId="0"/>
    <xf numFmtId="0" fontId="1" fillId="0" borderId="0"/>
    <xf numFmtId="0" fontId="66" fillId="0" borderId="0"/>
    <xf numFmtId="0" fontId="66" fillId="0" borderId="0"/>
    <xf numFmtId="0" fontId="59" fillId="0" borderId="0"/>
    <xf numFmtId="0" fontId="60" fillId="0" borderId="0"/>
    <xf numFmtId="0" fontId="25" fillId="0" borderId="0"/>
    <xf numFmtId="0" fontId="67" fillId="0" borderId="0"/>
    <xf numFmtId="0" fontId="25" fillId="0" borderId="0"/>
    <xf numFmtId="0" fontId="25" fillId="0" borderId="0"/>
    <xf numFmtId="0" fontId="68" fillId="0" borderId="0"/>
    <xf numFmtId="0" fontId="25" fillId="0" borderId="0"/>
    <xf numFmtId="0" fontId="25" fillId="0" borderId="0"/>
    <xf numFmtId="0" fontId="59" fillId="0" borderId="0"/>
    <xf numFmtId="0" fontId="25" fillId="0" borderId="0">
      <alignment vertical="top"/>
    </xf>
    <xf numFmtId="0" fontId="66" fillId="0" borderId="0"/>
    <xf numFmtId="0" fontId="25" fillId="0" borderId="0"/>
    <xf numFmtId="0" fontId="25" fillId="0" borderId="0">
      <alignment vertical="top"/>
    </xf>
    <xf numFmtId="0" fontId="1" fillId="0" borderId="0"/>
    <xf numFmtId="0" fontId="25" fillId="0" borderId="0"/>
    <xf numFmtId="0" fontId="59" fillId="0" borderId="0"/>
    <xf numFmtId="0" fontId="66" fillId="0" borderId="0"/>
    <xf numFmtId="0" fontId="25" fillId="0" borderId="0"/>
    <xf numFmtId="0" fontId="25" fillId="0" borderId="0"/>
    <xf numFmtId="0" fontId="25" fillId="56" borderId="34" applyNumberFormat="0" applyFont="0" applyAlignment="0" applyProtection="0"/>
    <xf numFmtId="0" fontId="25" fillId="56" borderId="34" applyNumberFormat="0" applyFont="0" applyAlignment="0" applyProtection="0"/>
    <xf numFmtId="0" fontId="6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49" borderId="35" applyNumberFormat="0" applyAlignment="0" applyProtection="0"/>
    <xf numFmtId="0" fontId="70" fillId="49" borderId="35" applyNumberFormat="0" applyAlignment="0" applyProtection="0"/>
    <xf numFmtId="40" fontId="71" fillId="48" borderId="0">
      <alignment horizontal="right"/>
    </xf>
    <xf numFmtId="0" fontId="72" fillId="48" borderId="0">
      <alignment horizontal="right"/>
    </xf>
    <xf numFmtId="0" fontId="73" fillId="48" borderId="36"/>
    <xf numFmtId="0" fontId="73" fillId="0" borderId="0" applyBorder="0">
      <alignment horizontal="centerContinuous"/>
    </xf>
    <xf numFmtId="0" fontId="74" fillId="0" borderId="0" applyBorder="0">
      <alignment horizontal="centerContinuous"/>
    </xf>
    <xf numFmtId="10" fontId="25" fillId="0" borderId="0" applyFont="0" applyFill="0" applyBorder="0" applyAlignment="0" applyProtection="0"/>
    <xf numFmtId="195" fontId="41" fillId="0" borderId="0">
      <protection locked="0"/>
    </xf>
    <xf numFmtId="9" fontId="1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76" fillId="0" borderId="0"/>
    <xf numFmtId="0" fontId="77" fillId="0" borderId="0" applyNumberFormat="0" applyFont="0" applyFill="0" applyBorder="0" applyAlignment="0" applyProtection="0">
      <alignment horizontal="left"/>
    </xf>
    <xf numFmtId="0" fontId="78" fillId="0" borderId="28">
      <alignment horizontal="center"/>
    </xf>
    <xf numFmtId="0" fontId="79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Alignment="0" applyProtection="0"/>
    <xf numFmtId="0" fontId="80" fillId="0" borderId="0" applyNumberFormat="0" applyFill="0" applyAlignment="0" applyProtection="0"/>
    <xf numFmtId="0" fontId="46" fillId="0" borderId="0" applyNumberFormat="0" applyFill="0" applyAlignment="0" applyProtection="0"/>
    <xf numFmtId="0" fontId="79" fillId="0" borderId="0" applyNumberFormat="0" applyFill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Alignment="0" applyProtection="0"/>
    <xf numFmtId="0" fontId="46" fillId="0" borderId="0" applyNumberFormat="0" applyFill="0" applyAlignment="0" applyProtection="0"/>
    <xf numFmtId="0" fontId="81" fillId="0" borderId="0" applyNumberFormat="0" applyFill="0" applyBorder="0" applyAlignment="0" applyProtection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3" fillId="0" borderId="0"/>
    <xf numFmtId="0" fontId="83" fillId="0" borderId="0"/>
    <xf numFmtId="0" fontId="83" fillId="0" borderId="0"/>
    <xf numFmtId="0" fontId="25" fillId="0" borderId="0"/>
    <xf numFmtId="0" fontId="68" fillId="0" borderId="0">
      <alignment vertical="top"/>
    </xf>
    <xf numFmtId="0" fontId="48" fillId="0" borderId="0"/>
    <xf numFmtId="0" fontId="6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38" fontId="45" fillId="0" borderId="0" applyFont="0" applyFill="0" applyBorder="0" applyAlignment="0" applyProtection="0"/>
    <xf numFmtId="196" fontId="25" fillId="0" borderId="0" applyFont="0" applyFill="0" applyBorder="0" applyAlignment="0" applyProtection="0"/>
    <xf numFmtId="181" fontId="45" fillId="0" borderId="0" applyFont="0" applyFill="0" applyBorder="0" applyAlignment="0" applyProtection="0"/>
    <xf numFmtId="187" fontId="45" fillId="0" borderId="0" applyFon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/>
    <xf numFmtId="168" fontId="87" fillId="0" borderId="0" applyFont="0" applyFill="0" applyBorder="0" applyAlignment="0" applyProtection="0"/>
    <xf numFmtId="171" fontId="87" fillId="0" borderId="0" applyFont="0" applyFill="0" applyBorder="0" applyAlignment="0" applyProtection="0"/>
    <xf numFmtId="0" fontId="25" fillId="0" borderId="0"/>
    <xf numFmtId="197" fontId="25" fillId="0" borderId="0" applyFont="0" applyFill="0" applyBorder="0" applyAlignment="0" applyProtection="0"/>
    <xf numFmtId="198" fontId="2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 applyNumberFormat="0" applyFill="0" applyBorder="0" applyProtection="0">
      <alignment vertical="top"/>
    </xf>
    <xf numFmtId="165" fontId="25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64" fontId="60" fillId="0" borderId="0" applyFont="0" applyFill="0" applyBorder="0" applyAlignment="0" applyProtection="0"/>
    <xf numFmtId="0" fontId="25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57" fillId="0" borderId="0"/>
  </cellStyleXfs>
  <cellXfs count="1309">
    <xf numFmtId="0" fontId="0" fillId="0" borderId="0" xfId="0"/>
    <xf numFmtId="0" fontId="18" fillId="0" borderId="0" xfId="0" applyFont="1"/>
    <xf numFmtId="0" fontId="19" fillId="0" borderId="0" xfId="0" applyFont="1"/>
    <xf numFmtId="3" fontId="18" fillId="0" borderId="0" xfId="0" applyNumberFormat="1" applyFont="1" applyAlignment="1">
      <alignment horizontal="center"/>
    </xf>
    <xf numFmtId="3" fontId="20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4" fontId="21" fillId="0" borderId="0" xfId="0" applyNumberFormat="1" applyFont="1" applyAlignment="1">
      <alignment horizontal="center"/>
    </xf>
    <xf numFmtId="0" fontId="22" fillId="0" borderId="0" xfId="0" applyFont="1"/>
    <xf numFmtId="0" fontId="18" fillId="0" borderId="0" xfId="0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3" fontId="21" fillId="0" borderId="10" xfId="0" applyNumberFormat="1" applyFont="1" applyBorder="1" applyAlignment="1">
      <alignment horizontal="center" vertical="center"/>
    </xf>
    <xf numFmtId="3" fontId="18" fillId="0" borderId="10" xfId="0" applyNumberFormat="1" applyFont="1" applyBorder="1" applyAlignment="1">
      <alignment horizontal="center" vertical="center"/>
    </xf>
    <xf numFmtId="3" fontId="23" fillId="0" borderId="10" xfId="0" applyNumberFormat="1" applyFont="1" applyBorder="1" applyAlignment="1">
      <alignment horizontal="center" vertical="center"/>
    </xf>
    <xf numFmtId="3" fontId="24" fillId="0" borderId="10" xfId="0" applyNumberFormat="1" applyFont="1" applyBorder="1" applyAlignment="1">
      <alignment horizontal="left" vertical="center"/>
    </xf>
    <xf numFmtId="3" fontId="20" fillId="0" borderId="10" xfId="0" applyNumberFormat="1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1" fillId="0" borderId="10" xfId="0" applyFont="1" applyBorder="1" applyAlignment="1">
      <alignment horizontal="center" vertical="center"/>
    </xf>
    <xf numFmtId="164" fontId="18" fillId="0" borderId="10" xfId="41" applyFont="1" applyBorder="1" applyAlignment="1">
      <alignment horizontal="center" vertical="center"/>
    </xf>
    <xf numFmtId="164" fontId="21" fillId="0" borderId="10" xfId="41" applyFont="1" applyFill="1" applyBorder="1" applyAlignment="1">
      <alignment horizontal="center" vertical="center"/>
    </xf>
    <xf numFmtId="164" fontId="21" fillId="0" borderId="10" xfId="41" applyFont="1" applyBorder="1" applyAlignment="1">
      <alignment horizontal="center" vertical="center"/>
    </xf>
    <xf numFmtId="3" fontId="18" fillId="0" borderId="0" xfId="0" applyNumberFormat="1" applyFont="1" applyAlignment="1">
      <alignment horizontal="left"/>
    </xf>
    <xf numFmtId="3" fontId="18" fillId="0" borderId="10" xfId="0" applyNumberFormat="1" applyFont="1" applyBorder="1" applyAlignment="1">
      <alignment horizontal="center"/>
    </xf>
    <xf numFmtId="164" fontId="18" fillId="0" borderId="10" xfId="41" applyFont="1" applyBorder="1" applyAlignment="1">
      <alignment horizontal="center"/>
    </xf>
    <xf numFmtId="164" fontId="18" fillId="0" borderId="0" xfId="0" applyNumberFormat="1" applyFont="1" applyAlignment="1">
      <alignment horizontal="center"/>
    </xf>
    <xf numFmtId="164" fontId="21" fillId="0" borderId="0" xfId="0" applyNumberFormat="1" applyFont="1" applyAlignment="1">
      <alignment horizontal="center"/>
    </xf>
    <xf numFmtId="164" fontId="18" fillId="0" borderId="0" xfId="41" applyFont="1"/>
    <xf numFmtId="0" fontId="18" fillId="0" borderId="10" xfId="0" applyFont="1" applyBorder="1" applyAlignment="1">
      <alignment horizontal="center"/>
    </xf>
    <xf numFmtId="0" fontId="18" fillId="0" borderId="10" xfId="0" applyFont="1" applyBorder="1"/>
    <xf numFmtId="164" fontId="18" fillId="0" borderId="10" xfId="41" applyFont="1" applyBorder="1"/>
    <xf numFmtId="14" fontId="18" fillId="0" borderId="10" xfId="0" applyNumberFormat="1" applyFont="1" applyBorder="1"/>
    <xf numFmtId="2" fontId="18" fillId="0" borderId="0" xfId="0" applyNumberFormat="1" applyFont="1"/>
    <xf numFmtId="0" fontId="21" fillId="0" borderId="10" xfId="0" applyFont="1" applyBorder="1" applyAlignment="1">
      <alignment horizontal="center" vertical="center" wrapText="1"/>
    </xf>
    <xf numFmtId="2" fontId="21" fillId="0" borderId="10" xfId="0" applyNumberFormat="1" applyFont="1" applyBorder="1" applyAlignment="1">
      <alignment horizontal="center" vertical="center"/>
    </xf>
    <xf numFmtId="164" fontId="18" fillId="0" borderId="10" xfId="41" applyFont="1" applyFill="1" applyBorder="1" applyAlignment="1">
      <alignment horizontal="center" vertical="center"/>
    </xf>
    <xf numFmtId="164" fontId="21" fillId="0" borderId="10" xfId="4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164" fontId="18" fillId="0" borderId="0" xfId="41" applyFont="1" applyFill="1"/>
    <xf numFmtId="164" fontId="18" fillId="0" borderId="0" xfId="0" applyNumberFormat="1" applyFont="1"/>
    <xf numFmtId="0" fontId="27" fillId="0" borderId="0" xfId="0" applyFont="1"/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17" fontId="18" fillId="0" borderId="0" xfId="0" applyNumberFormat="1" applyFont="1"/>
    <xf numFmtId="1" fontId="18" fillId="0" borderId="10" xfId="0" applyNumberFormat="1" applyFont="1" applyBorder="1" applyAlignment="1">
      <alignment horizontal="center" vertical="center"/>
    </xf>
    <xf numFmtId="0" fontId="26" fillId="0" borderId="11" xfId="0" applyFont="1" applyBorder="1" applyAlignment="1">
      <alignment vertical="center"/>
    </xf>
    <xf numFmtId="0" fontId="18" fillId="0" borderId="12" xfId="0" applyFont="1" applyBorder="1" applyAlignment="1">
      <alignment vertical="center"/>
    </xf>
    <xf numFmtId="164" fontId="18" fillId="0" borderId="10" xfId="0" applyNumberFormat="1" applyFont="1" applyBorder="1" applyAlignment="1">
      <alignment vertical="center"/>
    </xf>
    <xf numFmtId="4" fontId="18" fillId="0" borderId="10" xfId="41" applyNumberFormat="1" applyFont="1" applyFill="1" applyBorder="1" applyAlignment="1">
      <alignment horizontal="center" vertical="center"/>
    </xf>
    <xf numFmtId="49" fontId="18" fillId="0" borderId="10" xfId="0" applyNumberFormat="1" applyFont="1" applyBorder="1" applyAlignment="1">
      <alignment horizontal="center" vertical="center"/>
    </xf>
    <xf numFmtId="164" fontId="18" fillId="0" borderId="10" xfId="41" applyFont="1" applyFill="1" applyBorder="1" applyAlignment="1">
      <alignment vertical="center"/>
    </xf>
    <xf numFmtId="0" fontId="26" fillId="0" borderId="0" xfId="0" applyFont="1" applyAlignment="1">
      <alignment horizontal="center" vertical="center"/>
    </xf>
    <xf numFmtId="0" fontId="26" fillId="0" borderId="0" xfId="0" applyFont="1"/>
    <xf numFmtId="49" fontId="26" fillId="0" borderId="0" xfId="0" applyNumberFormat="1" applyFont="1"/>
    <xf numFmtId="14" fontId="26" fillId="0" borderId="0" xfId="0" applyNumberFormat="1" applyFont="1"/>
    <xf numFmtId="14" fontId="18" fillId="0" borderId="0" xfId="0" applyNumberFormat="1" applyFont="1"/>
    <xf numFmtId="164" fontId="18" fillId="0" borderId="0" xfId="41" applyFont="1" applyBorder="1"/>
    <xf numFmtId="4" fontId="18" fillId="0" borderId="0" xfId="0" applyNumberFormat="1" applyFont="1"/>
    <xf numFmtId="4" fontId="28" fillId="0" borderId="0" xfId="0" applyNumberFormat="1" applyFont="1"/>
    <xf numFmtId="0" fontId="0" fillId="33" borderId="0" xfId="0" applyFill="1"/>
    <xf numFmtId="0" fontId="0" fillId="33" borderId="18" xfId="0" applyFill="1" applyBorder="1"/>
    <xf numFmtId="0" fontId="0" fillId="33" borderId="19" xfId="0" applyFill="1" applyBorder="1"/>
    <xf numFmtId="0" fontId="0" fillId="33" borderId="20" xfId="0" applyFill="1" applyBorder="1"/>
    <xf numFmtId="0" fontId="0" fillId="33" borderId="21" xfId="0" applyFill="1" applyBorder="1"/>
    <xf numFmtId="0" fontId="0" fillId="33" borderId="0" xfId="0" applyFill="1" applyAlignment="1">
      <alignment horizontal="center"/>
    </xf>
    <xf numFmtId="0" fontId="0" fillId="33" borderId="20" xfId="0" applyFill="1" applyBorder="1" applyAlignment="1">
      <alignment horizontal="center"/>
    </xf>
    <xf numFmtId="0" fontId="0" fillId="33" borderId="22" xfId="0" applyFill="1" applyBorder="1"/>
    <xf numFmtId="0" fontId="0" fillId="33" borderId="10" xfId="0" applyFill="1" applyBorder="1"/>
    <xf numFmtId="0" fontId="0" fillId="33" borderId="11" xfId="0" applyFill="1" applyBorder="1"/>
    <xf numFmtId="0" fontId="0" fillId="33" borderId="0" xfId="0" applyFill="1" applyAlignment="1">
      <alignment horizontal="center" vertical="center"/>
    </xf>
    <xf numFmtId="0" fontId="0" fillId="33" borderId="20" xfId="0" applyFill="1" applyBorder="1" applyAlignment="1">
      <alignment horizontal="center" vertical="center"/>
    </xf>
    <xf numFmtId="0" fontId="0" fillId="33" borderId="23" xfId="0" applyFill="1" applyBorder="1"/>
    <xf numFmtId="0" fontId="29" fillId="33" borderId="0" xfId="0" applyFont="1" applyFill="1" applyAlignment="1">
      <alignment horizontal="center"/>
    </xf>
    <xf numFmtId="0" fontId="0" fillId="33" borderId="10" xfId="0" quotePrefix="1" applyFill="1" applyBorder="1"/>
    <xf numFmtId="0" fontId="28" fillId="0" borderId="0" xfId="0" applyFont="1"/>
    <xf numFmtId="0" fontId="18" fillId="0" borderId="0" xfId="0" applyFont="1" applyAlignment="1">
      <alignment horizontal="left" indent="1"/>
    </xf>
    <xf numFmtId="0" fontId="28" fillId="0" borderId="0" xfId="0" applyFont="1" applyAlignment="1">
      <alignment horizontal="center" vertical="center"/>
    </xf>
    <xf numFmtId="199" fontId="18" fillId="0" borderId="0" xfId="0" applyNumberFormat="1" applyFont="1"/>
    <xf numFmtId="199" fontId="28" fillId="0" borderId="0" xfId="0" applyNumberFormat="1" applyFont="1"/>
    <xf numFmtId="0" fontId="28" fillId="0" borderId="0" xfId="0" applyFont="1" applyAlignment="1">
      <alignment horizontal="center"/>
    </xf>
    <xf numFmtId="0" fontId="89" fillId="33" borderId="0" xfId="385" applyFont="1" applyFill="1" applyAlignment="1"/>
    <xf numFmtId="0" fontId="89" fillId="33" borderId="0" xfId="385" applyFont="1" applyFill="1" applyAlignment="1">
      <alignment horizontal="left" indent="1"/>
    </xf>
    <xf numFmtId="0" fontId="89" fillId="33" borderId="22" xfId="385" applyFont="1" applyFill="1" applyBorder="1" applyAlignment="1">
      <alignment horizontal="left" indent="1"/>
    </xf>
    <xf numFmtId="0" fontId="93" fillId="33" borderId="0" xfId="0" applyFont="1" applyFill="1" applyAlignment="1">
      <alignment horizontal="centerContinuous" vertical="distributed"/>
    </xf>
    <xf numFmtId="0" fontId="0" fillId="33" borderId="0" xfId="0" applyFill="1" applyAlignment="1">
      <alignment horizontal="centerContinuous" vertical="distributed"/>
    </xf>
    <xf numFmtId="0" fontId="0" fillId="33" borderId="0" xfId="0" applyFill="1" applyAlignment="1">
      <alignment horizontal="left" indent="1"/>
    </xf>
    <xf numFmtId="0" fontId="0" fillId="33" borderId="0" xfId="0" quotePrefix="1" applyFill="1" applyAlignment="1">
      <alignment horizontal="left" indent="2"/>
    </xf>
    <xf numFmtId="0" fontId="16" fillId="33" borderId="0" xfId="0" applyFont="1" applyFill="1"/>
    <xf numFmtId="0" fontId="16" fillId="33" borderId="0" xfId="0" applyFont="1" applyFill="1" applyAlignment="1">
      <alignment horizontal="left" indent="1"/>
    </xf>
    <xf numFmtId="0" fontId="0" fillId="33" borderId="0" xfId="0" applyFill="1" applyAlignment="1">
      <alignment horizontal="left" indent="2"/>
    </xf>
    <xf numFmtId="0" fontId="0" fillId="33" borderId="0" xfId="0" applyFill="1" applyAlignment="1">
      <alignment horizontal="left" indent="3"/>
    </xf>
    <xf numFmtId="0" fontId="16" fillId="33" borderId="0" xfId="0" applyFont="1" applyFill="1" applyAlignment="1">
      <alignment horizontal="center" vertical="center"/>
    </xf>
    <xf numFmtId="0" fontId="0" fillId="33" borderId="0" xfId="0" quotePrefix="1" applyFill="1" applyAlignment="1">
      <alignment horizontal="left" indent="1"/>
    </xf>
    <xf numFmtId="164" fontId="0" fillId="33" borderId="0" xfId="41" applyFont="1" applyFill="1"/>
    <xf numFmtId="164" fontId="16" fillId="33" borderId="0" xfId="41" applyFont="1" applyFill="1"/>
    <xf numFmtId="164" fontId="16" fillId="33" borderId="0" xfId="41" applyFont="1" applyFill="1" applyAlignment="1">
      <alignment horizontal="left" indent="1"/>
    </xf>
    <xf numFmtId="0" fontId="0" fillId="33" borderId="0" xfId="0" applyFill="1" applyAlignment="1">
      <alignment horizontal="right"/>
    </xf>
    <xf numFmtId="164" fontId="0" fillId="0" borderId="0" xfId="41" applyFont="1"/>
    <xf numFmtId="0" fontId="94" fillId="33" borderId="0" xfId="0" applyFont="1" applyFill="1"/>
    <xf numFmtId="164" fontId="0" fillId="33" borderId="0" xfId="0" applyNumberFormat="1" applyFill="1"/>
    <xf numFmtId="164" fontId="0" fillId="0" borderId="0" xfId="0" applyNumberFormat="1"/>
    <xf numFmtId="199" fontId="0" fillId="33" borderId="0" xfId="0" applyNumberFormat="1" applyFill="1"/>
    <xf numFmtId="0" fontId="16" fillId="58" borderId="0" xfId="0" applyFont="1" applyFill="1"/>
    <xf numFmtId="199" fontId="16" fillId="58" borderId="0" xfId="0" applyNumberFormat="1" applyFont="1" applyFill="1"/>
    <xf numFmtId="199" fontId="16" fillId="33" borderId="0" xfId="0" applyNumberFormat="1" applyFont="1" applyFill="1"/>
    <xf numFmtId="4" fontId="95" fillId="33" borderId="0" xfId="385" applyNumberFormat="1" applyFont="1" applyFill="1" applyBorder="1" applyAlignment="1"/>
    <xf numFmtId="4" fontId="95" fillId="33" borderId="10" xfId="385" applyNumberFormat="1" applyFont="1" applyFill="1" applyBorder="1" applyAlignment="1"/>
    <xf numFmtId="0" fontId="96" fillId="33" borderId="0" xfId="0" applyFont="1" applyFill="1"/>
    <xf numFmtId="0" fontId="97" fillId="33" borderId="0" xfId="0" applyFont="1" applyFill="1" applyAlignment="1">
      <alignment horizontal="center" vertical="center"/>
    </xf>
    <xf numFmtId="0" fontId="97" fillId="33" borderId="0" xfId="0" applyFont="1" applyFill="1"/>
    <xf numFmtId="4" fontId="96" fillId="33" borderId="0" xfId="0" applyNumberFormat="1" applyFont="1" applyFill="1"/>
    <xf numFmtId="0" fontId="96" fillId="33" borderId="0" xfId="0" applyFont="1" applyFill="1" applyAlignment="1">
      <alignment horizontal="left" indent="2"/>
    </xf>
    <xf numFmtId="199" fontId="96" fillId="33" borderId="0" xfId="0" applyNumberFormat="1" applyFont="1" applyFill="1"/>
    <xf numFmtId="4" fontId="97" fillId="33" borderId="0" xfId="0" applyNumberFormat="1" applyFont="1" applyFill="1"/>
    <xf numFmtId="0" fontId="98" fillId="33" borderId="0" xfId="0" applyFont="1" applyFill="1"/>
    <xf numFmtId="0" fontId="89" fillId="33" borderId="0" xfId="0" applyFont="1" applyFill="1"/>
    <xf numFmtId="0" fontId="89" fillId="33" borderId="0" xfId="0" applyFont="1" applyFill="1" applyAlignment="1">
      <alignment horizontal="left" indent="1"/>
    </xf>
    <xf numFmtId="199" fontId="89" fillId="33" borderId="0" xfId="0" applyNumberFormat="1" applyFont="1" applyFill="1"/>
    <xf numFmtId="199" fontId="90" fillId="33" borderId="0" xfId="0" applyNumberFormat="1" applyFont="1" applyFill="1"/>
    <xf numFmtId="0" fontId="92" fillId="33" borderId="0" xfId="0" applyFont="1" applyFill="1" applyAlignment="1">
      <alignment horizontal="center"/>
    </xf>
    <xf numFmtId="4" fontId="91" fillId="33" borderId="22" xfId="385" applyNumberFormat="1" applyFont="1" applyFill="1" applyBorder="1" applyAlignment="1"/>
    <xf numFmtId="0" fontId="95" fillId="33" borderId="10" xfId="385" applyFont="1" applyFill="1" applyBorder="1" applyAlignment="1">
      <alignment horizontal="center" vertical="center"/>
    </xf>
    <xf numFmtId="4" fontId="95" fillId="33" borderId="37" xfId="385" applyNumberFormat="1" applyFont="1" applyFill="1" applyBorder="1" applyAlignment="1"/>
    <xf numFmtId="4" fontId="91" fillId="33" borderId="38" xfId="385" applyNumberFormat="1" applyFont="1" applyFill="1" applyBorder="1" applyAlignment="1"/>
    <xf numFmtId="4" fontId="95" fillId="33" borderId="38" xfId="385" applyNumberFormat="1" applyFont="1" applyFill="1" applyBorder="1" applyAlignment="1"/>
    <xf numFmtId="4" fontId="91" fillId="33" borderId="41" xfId="385" applyNumberFormat="1" applyFont="1" applyFill="1" applyBorder="1" applyAlignment="1"/>
    <xf numFmtId="0" fontId="92" fillId="33" borderId="37" xfId="385" applyFont="1" applyFill="1" applyBorder="1" applyAlignment="1"/>
    <xf numFmtId="4" fontId="95" fillId="33" borderId="10" xfId="385" applyNumberFormat="1" applyFont="1" applyFill="1" applyBorder="1" applyAlignment="1">
      <alignment horizontal="center" vertical="center"/>
    </xf>
    <xf numFmtId="164" fontId="28" fillId="0" borderId="0" xfId="41" applyFont="1"/>
    <xf numFmtId="4" fontId="0" fillId="33" borderId="0" xfId="0" applyNumberFormat="1" applyFill="1"/>
    <xf numFmtId="164" fontId="96" fillId="33" borderId="0" xfId="41" applyFont="1" applyFill="1"/>
    <xf numFmtId="0" fontId="96" fillId="33" borderId="0" xfId="0" applyFont="1" applyFill="1" applyAlignment="1">
      <alignment horizontal="center"/>
    </xf>
    <xf numFmtId="0" fontId="100" fillId="33" borderId="0" xfId="0" applyFont="1" applyFill="1"/>
    <xf numFmtId="0" fontId="100" fillId="33" borderId="0" xfId="0" applyFont="1" applyFill="1" applyAlignment="1">
      <alignment horizontal="left" indent="1"/>
    </xf>
    <xf numFmtId="199" fontId="100" fillId="33" borderId="0" xfId="0" applyNumberFormat="1" applyFont="1" applyFill="1"/>
    <xf numFmtId="0" fontId="101" fillId="33" borderId="0" xfId="0" applyFont="1" applyFill="1"/>
    <xf numFmtId="0" fontId="102" fillId="0" borderId="0" xfId="0" applyFont="1"/>
    <xf numFmtId="199" fontId="102" fillId="0" borderId="0" xfId="0" applyNumberFormat="1" applyFont="1"/>
    <xf numFmtId="0" fontId="90" fillId="33" borderId="0" xfId="0" applyFont="1" applyFill="1"/>
    <xf numFmtId="4" fontId="89" fillId="33" borderId="0" xfId="0" applyNumberFormat="1" applyFont="1" applyFill="1"/>
    <xf numFmtId="0" fontId="102" fillId="33" borderId="0" xfId="0" applyFont="1" applyFill="1"/>
    <xf numFmtId="0" fontId="99" fillId="33" borderId="0" xfId="0" applyFont="1" applyFill="1"/>
    <xf numFmtId="4" fontId="16" fillId="33" borderId="0" xfId="0" applyNumberFormat="1" applyFont="1" applyFill="1"/>
    <xf numFmtId="0" fontId="104" fillId="33" borderId="0" xfId="385" applyFont="1" applyFill="1" applyAlignment="1"/>
    <xf numFmtId="0" fontId="104" fillId="0" borderId="0" xfId="385" applyFont="1" applyAlignment="1"/>
    <xf numFmtId="0" fontId="104" fillId="33" borderId="0" xfId="385" applyFont="1" applyFill="1" applyBorder="1" applyAlignment="1"/>
    <xf numFmtId="0" fontId="105" fillId="57" borderId="0" xfId="385" applyFont="1" applyFill="1" applyAlignment="1"/>
    <xf numFmtId="0" fontId="106" fillId="33" borderId="0" xfId="385" applyFont="1" applyFill="1" applyAlignment="1"/>
    <xf numFmtId="0" fontId="105" fillId="33" borderId="0" xfId="385" applyFont="1" applyFill="1" applyAlignment="1"/>
    <xf numFmtId="0" fontId="104" fillId="33" borderId="0" xfId="385" applyFont="1" applyFill="1" applyAlignment="1">
      <alignment horizontal="left" indent="1"/>
    </xf>
    <xf numFmtId="0" fontId="104" fillId="33" borderId="0" xfId="385" applyFont="1" applyFill="1" applyAlignment="1">
      <alignment horizontal="center"/>
    </xf>
    <xf numFmtId="200" fontId="104" fillId="33" borderId="0" xfId="385" applyNumberFormat="1" applyFont="1" applyFill="1" applyAlignment="1"/>
    <xf numFmtId="0" fontId="107" fillId="33" borderId="0" xfId="385" applyNumberFormat="1" applyFont="1" applyFill="1" applyAlignment="1">
      <alignment horizontal="left" vertical="top" wrapText="1"/>
    </xf>
    <xf numFmtId="0" fontId="108" fillId="33" borderId="0" xfId="385" applyNumberFormat="1" applyFont="1" applyFill="1" applyAlignment="1">
      <alignment horizontal="left" vertical="top" wrapText="1"/>
    </xf>
    <xf numFmtId="0" fontId="105" fillId="33" borderId="0" xfId="385" applyFont="1" applyFill="1" applyAlignment="1">
      <alignment horizontal="center"/>
    </xf>
    <xf numFmtId="4" fontId="104" fillId="33" borderId="0" xfId="385" applyNumberFormat="1" applyFont="1" applyFill="1" applyAlignment="1"/>
    <xf numFmtId="0" fontId="105" fillId="33" borderId="0" xfId="385" applyFont="1" applyFill="1" applyAlignment="1">
      <alignment horizontal="left" indent="1"/>
    </xf>
    <xf numFmtId="0" fontId="29" fillId="33" borderId="0" xfId="0" applyFont="1" applyFill="1" applyAlignment="1">
      <alignment horizontal="left" indent="1"/>
    </xf>
    <xf numFmtId="0" fontId="113" fillId="63" borderId="67" xfId="0" applyFont="1" applyFill="1" applyBorder="1" applyAlignment="1">
      <alignment horizontal="center" vertical="top" wrapText="1"/>
    </xf>
    <xf numFmtId="0" fontId="113" fillId="63" borderId="68" xfId="0" applyFont="1" applyFill="1" applyBorder="1" applyAlignment="1">
      <alignment horizontal="center" vertical="top" wrapText="1"/>
    </xf>
    <xf numFmtId="0" fontId="113" fillId="63" borderId="69" xfId="0" applyFont="1" applyFill="1" applyBorder="1" applyAlignment="1">
      <alignment horizontal="center" vertical="top" wrapText="1"/>
    </xf>
    <xf numFmtId="199" fontId="0" fillId="0" borderId="0" xfId="0" applyNumberFormat="1"/>
    <xf numFmtId="4" fontId="89" fillId="33" borderId="0" xfId="385" applyNumberFormat="1" applyFont="1" applyFill="1" applyAlignment="1"/>
    <xf numFmtId="0" fontId="16" fillId="33" borderId="75" xfId="0" applyFont="1" applyFill="1" applyBorder="1" applyAlignment="1">
      <alignment vertical="top" wrapText="1"/>
    </xf>
    <xf numFmtId="4" fontId="16" fillId="33" borderId="76" xfId="0" applyNumberFormat="1" applyFont="1" applyFill="1" applyBorder="1"/>
    <xf numFmtId="0" fontId="0" fillId="33" borderId="66" xfId="0" applyFill="1" applyBorder="1"/>
    <xf numFmtId="0" fontId="16" fillId="33" borderId="78" xfId="0" applyFont="1" applyFill="1" applyBorder="1" applyAlignment="1">
      <alignment vertical="top" wrapText="1"/>
    </xf>
    <xf numFmtId="199" fontId="0" fillId="33" borderId="79" xfId="0" applyNumberFormat="1" applyFill="1" applyBorder="1" applyAlignment="1">
      <alignment vertical="top" wrapText="1"/>
    </xf>
    <xf numFmtId="0" fontId="16" fillId="33" borderId="81" xfId="0" applyFont="1" applyFill="1" applyBorder="1" applyAlignment="1">
      <alignment vertical="top" wrapText="1"/>
    </xf>
    <xf numFmtId="199" fontId="1" fillId="33" borderId="82" xfId="41" applyNumberFormat="1" applyFont="1" applyFill="1" applyBorder="1"/>
    <xf numFmtId="199" fontId="0" fillId="33" borderId="82" xfId="0" applyNumberFormat="1" applyFill="1" applyBorder="1"/>
    <xf numFmtId="0" fontId="16" fillId="33" borderId="84" xfId="0" applyFont="1" applyFill="1" applyBorder="1" applyAlignment="1">
      <alignment vertical="top" wrapText="1"/>
    </xf>
    <xf numFmtId="199" fontId="0" fillId="33" borderId="85" xfId="0" applyNumberFormat="1" applyFill="1" applyBorder="1"/>
    <xf numFmtId="4" fontId="16" fillId="33" borderId="86" xfId="0" applyNumberFormat="1" applyFont="1" applyFill="1" applyBorder="1"/>
    <xf numFmtId="0" fontId="114" fillId="33" borderId="70" xfId="0" applyFont="1" applyFill="1" applyBorder="1" applyAlignment="1">
      <alignment vertical="top" wrapText="1"/>
    </xf>
    <xf numFmtId="0" fontId="115" fillId="33" borderId="66" xfId="0" applyFont="1" applyFill="1" applyBorder="1" applyAlignment="1">
      <alignment vertical="top" wrapText="1"/>
    </xf>
    <xf numFmtId="0" fontId="114" fillId="33" borderId="66" xfId="0" applyFont="1" applyFill="1" applyBorder="1" applyAlignment="1">
      <alignment horizontal="center" vertical="top" wrapText="1"/>
    </xf>
    <xf numFmtId="199" fontId="115" fillId="33" borderId="66" xfId="0" applyNumberFormat="1" applyFont="1" applyFill="1" applyBorder="1" applyAlignment="1">
      <alignment vertical="top" wrapText="1"/>
    </xf>
    <xf numFmtId="0" fontId="115" fillId="33" borderId="71" xfId="0" applyFont="1" applyFill="1" applyBorder="1" applyAlignment="1">
      <alignment vertical="top" wrapText="1"/>
    </xf>
    <xf numFmtId="0" fontId="114" fillId="33" borderId="72" xfId="0" applyFont="1" applyFill="1" applyBorder="1" applyAlignment="1">
      <alignment vertical="top" wrapText="1"/>
    </xf>
    <xf numFmtId="0" fontId="115" fillId="33" borderId="73" xfId="0" applyFont="1" applyFill="1" applyBorder="1" applyAlignment="1">
      <alignment vertical="top" wrapText="1"/>
    </xf>
    <xf numFmtId="0" fontId="114" fillId="33" borderId="73" xfId="0" applyFont="1" applyFill="1" applyBorder="1" applyAlignment="1">
      <alignment horizontal="center" vertical="top" wrapText="1"/>
    </xf>
    <xf numFmtId="199" fontId="115" fillId="33" borderId="73" xfId="0" applyNumberFormat="1" applyFont="1" applyFill="1" applyBorder="1" applyAlignment="1">
      <alignment vertical="top" wrapText="1"/>
    </xf>
    <xf numFmtId="0" fontId="115" fillId="33" borderId="74" xfId="0" applyFont="1" applyFill="1" applyBorder="1" applyAlignment="1">
      <alignment vertical="top" wrapText="1"/>
    </xf>
    <xf numFmtId="17" fontId="115" fillId="33" borderId="73" xfId="0" applyNumberFormat="1" applyFont="1" applyFill="1" applyBorder="1" applyAlignment="1">
      <alignment vertical="top" wrapText="1"/>
    </xf>
    <xf numFmtId="199" fontId="115" fillId="33" borderId="68" xfId="0" applyNumberFormat="1" applyFont="1" applyFill="1" applyBorder="1" applyAlignment="1">
      <alignment vertical="top" wrapText="1"/>
    </xf>
    <xf numFmtId="0" fontId="89" fillId="33" borderId="40" xfId="385" applyFont="1" applyFill="1" applyBorder="1" applyAlignment="1"/>
    <xf numFmtId="0" fontId="90" fillId="33" borderId="0" xfId="385" applyFont="1" applyFill="1" applyAlignment="1"/>
    <xf numFmtId="0" fontId="89" fillId="33" borderId="46" xfId="385" applyFont="1" applyFill="1" applyBorder="1" applyAlignment="1">
      <alignment horizontal="left" indent="1"/>
    </xf>
    <xf numFmtId="4" fontId="91" fillId="33" borderId="87" xfId="385" applyNumberFormat="1" applyFont="1" applyFill="1" applyBorder="1" applyAlignment="1"/>
    <xf numFmtId="0" fontId="90" fillId="33" borderId="37" xfId="385" applyFont="1" applyFill="1" applyBorder="1" applyAlignment="1"/>
    <xf numFmtId="0" fontId="92" fillId="33" borderId="46" xfId="385" applyFont="1" applyFill="1" applyBorder="1" applyAlignment="1"/>
    <xf numFmtId="164" fontId="97" fillId="33" borderId="0" xfId="0" applyNumberFormat="1" applyFont="1" applyFill="1"/>
    <xf numFmtId="164" fontId="16" fillId="0" borderId="0" xfId="0" applyNumberFormat="1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89" fillId="33" borderId="0" xfId="41" applyFont="1" applyFill="1" applyAlignment="1"/>
    <xf numFmtId="0" fontId="117" fillId="33" borderId="0" xfId="0" applyFont="1" applyFill="1"/>
    <xf numFmtId="0" fontId="118" fillId="33" borderId="0" xfId="0" applyFont="1" applyFill="1"/>
    <xf numFmtId="0" fontId="0" fillId="33" borderId="10" xfId="0" applyFill="1" applyBorder="1" applyAlignment="1">
      <alignment horizontal="center"/>
    </xf>
    <xf numFmtId="0" fontId="105" fillId="33" borderId="0" xfId="385" applyFont="1" applyFill="1" applyBorder="1" applyAlignment="1"/>
    <xf numFmtId="200" fontId="105" fillId="33" borderId="0" xfId="385" applyNumberFormat="1" applyFont="1" applyFill="1" applyBorder="1" applyAlignment="1"/>
    <xf numFmtId="164" fontId="16" fillId="33" borderId="0" xfId="0" applyNumberFormat="1" applyFont="1" applyFill="1"/>
    <xf numFmtId="0" fontId="0" fillId="33" borderId="88" xfId="0" applyFill="1" applyBorder="1"/>
    <xf numFmtId="0" fontId="0" fillId="33" borderId="89" xfId="0" applyFill="1" applyBorder="1"/>
    <xf numFmtId="0" fontId="0" fillId="33" borderId="63" xfId="0" applyFill="1" applyBorder="1"/>
    <xf numFmtId="164" fontId="0" fillId="33" borderId="10" xfId="0" applyNumberFormat="1" applyFill="1" applyBorder="1" applyAlignment="1">
      <alignment horizontal="center"/>
    </xf>
    <xf numFmtId="164" fontId="0" fillId="33" borderId="10" xfId="0" applyNumberFormat="1" applyFill="1" applyBorder="1"/>
    <xf numFmtId="0" fontId="0" fillId="33" borderId="45" xfId="0" applyFill="1" applyBorder="1"/>
    <xf numFmtId="199" fontId="104" fillId="33" borderId="0" xfId="385" applyNumberFormat="1" applyFont="1" applyFill="1" applyAlignment="1">
      <alignment horizontal="left" indent="1"/>
    </xf>
    <xf numFmtId="199" fontId="104" fillId="33" borderId="0" xfId="385" applyNumberFormat="1" applyFont="1" applyFill="1" applyAlignment="1"/>
    <xf numFmtId="199" fontId="112" fillId="33" borderId="0" xfId="0" applyNumberFormat="1" applyFont="1" applyFill="1"/>
    <xf numFmtId="199" fontId="116" fillId="33" borderId="0" xfId="0" applyNumberFormat="1" applyFont="1" applyFill="1"/>
    <xf numFmtId="199" fontId="105" fillId="33" borderId="0" xfId="385" applyNumberFormat="1" applyFont="1" applyFill="1" applyAlignment="1"/>
    <xf numFmtId="164" fontId="104" fillId="33" borderId="0" xfId="41" applyFont="1" applyFill="1" applyAlignment="1"/>
    <xf numFmtId="0" fontId="105" fillId="33" borderId="0" xfId="385" applyFont="1" applyFill="1" applyAlignment="1">
      <alignment horizontal="left"/>
    </xf>
    <xf numFmtId="199" fontId="112" fillId="33" borderId="0" xfId="0" applyNumberFormat="1" applyFont="1" applyFill="1" applyAlignment="1">
      <alignment horizontal="left" indent="1"/>
    </xf>
    <xf numFmtId="0" fontId="97" fillId="33" borderId="0" xfId="0" applyFont="1" applyFill="1" applyAlignment="1">
      <alignment horizontal="left" indent="1"/>
    </xf>
    <xf numFmtId="0" fontId="96" fillId="33" borderId="0" xfId="0" applyFont="1" applyFill="1" applyAlignment="1">
      <alignment horizontal="left" indent="3"/>
    </xf>
    <xf numFmtId="0" fontId="96" fillId="33" borderId="0" xfId="0" applyFont="1" applyFill="1" applyAlignment="1">
      <alignment horizontal="left" indent="4"/>
    </xf>
    <xf numFmtId="4" fontId="95" fillId="33" borderId="0" xfId="385" applyNumberFormat="1" applyFont="1" applyFill="1" applyBorder="1" applyAlignment="1">
      <alignment horizontal="center" vertical="center"/>
    </xf>
    <xf numFmtId="4" fontId="91" fillId="33" borderId="0" xfId="385" applyNumberFormat="1" applyFont="1" applyFill="1" applyBorder="1" applyAlignment="1"/>
    <xf numFmtId="0" fontId="89" fillId="33" borderId="0" xfId="385" applyFont="1" applyFill="1" applyBorder="1" applyAlignment="1"/>
    <xf numFmtId="0" fontId="90" fillId="33" borderId="0" xfId="385" applyFont="1" applyFill="1" applyBorder="1" applyAlignment="1"/>
    <xf numFmtId="164" fontId="89" fillId="33" borderId="0" xfId="41" applyFont="1" applyFill="1" applyBorder="1" applyAlignment="1"/>
    <xf numFmtId="206" fontId="91" fillId="33" borderId="38" xfId="385" applyNumberFormat="1" applyFont="1" applyFill="1" applyBorder="1" applyAlignment="1"/>
    <xf numFmtId="206" fontId="91" fillId="33" borderId="22" xfId="385" applyNumberFormat="1" applyFont="1" applyFill="1" applyBorder="1" applyAlignment="1"/>
    <xf numFmtId="0" fontId="89" fillId="33" borderId="0" xfId="385" quotePrefix="1" applyFont="1" applyFill="1" applyAlignment="1"/>
    <xf numFmtId="0" fontId="119" fillId="33" borderId="0" xfId="385" applyFont="1" applyFill="1" applyAlignment="1"/>
    <xf numFmtId="0" fontId="89" fillId="33" borderId="0" xfId="0" applyFont="1" applyFill="1" applyAlignment="1">
      <alignment horizontal="left" indent="2"/>
    </xf>
    <xf numFmtId="0" fontId="103" fillId="33" borderId="0" xfId="0" applyFont="1" applyFill="1"/>
    <xf numFmtId="199" fontId="102" fillId="33" borderId="0" xfId="0" applyNumberFormat="1" applyFont="1" applyFill="1"/>
    <xf numFmtId="4" fontId="102" fillId="33" borderId="0" xfId="0" applyNumberFormat="1" applyFont="1" applyFill="1"/>
    <xf numFmtId="0" fontId="102" fillId="33" borderId="0" xfId="0" applyFont="1" applyFill="1" applyAlignment="1">
      <alignment horizontal="left" indent="1"/>
    </xf>
    <xf numFmtId="0" fontId="111" fillId="33" borderId="10" xfId="0" applyFont="1" applyFill="1" applyBorder="1"/>
    <xf numFmtId="0" fontId="110" fillId="33" borderId="10" xfId="0" applyFont="1" applyFill="1" applyBorder="1" applyAlignment="1">
      <alignment horizontal="center" vertical="center"/>
    </xf>
    <xf numFmtId="0" fontId="102" fillId="33" borderId="37" xfId="0" applyFont="1" applyFill="1" applyBorder="1" applyAlignment="1">
      <alignment horizontal="left" indent="1"/>
    </xf>
    <xf numFmtId="199" fontId="102" fillId="33" borderId="37" xfId="0" applyNumberFormat="1" applyFont="1" applyFill="1" applyBorder="1" applyAlignment="1">
      <alignment horizontal="right" indent="1"/>
    </xf>
    <xf numFmtId="0" fontId="102" fillId="33" borderId="38" xfId="0" applyFont="1" applyFill="1" applyBorder="1" applyAlignment="1">
      <alignment horizontal="left" indent="1"/>
    </xf>
    <xf numFmtId="199" fontId="102" fillId="33" borderId="38" xfId="0" applyNumberFormat="1" applyFont="1" applyFill="1" applyBorder="1" applyAlignment="1">
      <alignment horizontal="right" indent="1"/>
    </xf>
    <xf numFmtId="0" fontId="102" fillId="33" borderId="10" xfId="0" applyFont="1" applyFill="1" applyBorder="1" applyAlignment="1">
      <alignment horizontal="left" indent="1"/>
    </xf>
    <xf numFmtId="199" fontId="102" fillId="33" borderId="0" xfId="0" applyNumberFormat="1" applyFont="1" applyFill="1" applyAlignment="1">
      <alignment horizontal="right"/>
    </xf>
    <xf numFmtId="199" fontId="102" fillId="33" borderId="38" xfId="0" applyNumberFormat="1" applyFont="1" applyFill="1" applyBorder="1" applyAlignment="1">
      <alignment horizontal="right"/>
    </xf>
    <xf numFmtId="199" fontId="102" fillId="33" borderId="10" xfId="0" applyNumberFormat="1" applyFont="1" applyFill="1" applyBorder="1" applyAlignment="1">
      <alignment horizontal="right"/>
    </xf>
    <xf numFmtId="199" fontId="117" fillId="33" borderId="0" xfId="0" applyNumberFormat="1" applyFont="1" applyFill="1"/>
    <xf numFmtId="4" fontId="101" fillId="33" borderId="0" xfId="0" applyNumberFormat="1" applyFont="1" applyFill="1"/>
    <xf numFmtId="0" fontId="97" fillId="33" borderId="0" xfId="0" applyFont="1" applyFill="1" applyAlignment="1">
      <alignment horizontal="left" indent="2"/>
    </xf>
    <xf numFmtId="0" fontId="97" fillId="33" borderId="0" xfId="0" applyFont="1" applyFill="1" applyAlignment="1">
      <alignment horizontal="left" indent="3"/>
    </xf>
    <xf numFmtId="0" fontId="122" fillId="0" borderId="0" xfId="294" applyFont="1"/>
    <xf numFmtId="0" fontId="121" fillId="0" borderId="0" xfId="294" applyFont="1"/>
    <xf numFmtId="0" fontId="122" fillId="33" borderId="0" xfId="294" applyFont="1" applyFill="1" applyAlignment="1">
      <alignment horizontal="left" indent="1"/>
    </xf>
    <xf numFmtId="4" fontId="122" fillId="33" borderId="0" xfId="294" applyNumberFormat="1" applyFont="1" applyFill="1"/>
    <xf numFmtId="3" fontId="123" fillId="33" borderId="0" xfId="294" applyNumberFormat="1" applyFont="1" applyFill="1"/>
    <xf numFmtId="164" fontId="121" fillId="0" borderId="0" xfId="390" applyFont="1" applyFill="1"/>
    <xf numFmtId="0" fontId="121" fillId="0" borderId="0" xfId="294" applyFont="1" applyAlignment="1">
      <alignment horizontal="left"/>
    </xf>
    <xf numFmtId="0" fontId="121" fillId="33" borderId="0" xfId="294" applyFont="1" applyFill="1" applyAlignment="1">
      <alignment horizontal="left" indent="1"/>
    </xf>
    <xf numFmtId="3" fontId="121" fillId="33" borderId="0" xfId="294" applyNumberFormat="1" applyFont="1" applyFill="1"/>
    <xf numFmtId="0" fontId="121" fillId="33" borderId="0" xfId="294" applyFont="1" applyFill="1"/>
    <xf numFmtId="13" fontId="121" fillId="0" borderId="0" xfId="190" applyNumberFormat="1" applyFont="1" applyFill="1"/>
    <xf numFmtId="171" fontId="121" fillId="0" borderId="0" xfId="190" applyFont="1" applyFill="1"/>
    <xf numFmtId="3" fontId="121" fillId="33" borderId="0" xfId="294" applyNumberFormat="1" applyFont="1" applyFill="1" applyAlignment="1">
      <alignment horizontal="right"/>
    </xf>
    <xf numFmtId="0" fontId="122" fillId="0" borderId="0" xfId="294" applyFont="1" applyAlignment="1">
      <alignment horizontal="left"/>
    </xf>
    <xf numFmtId="0" fontId="121" fillId="33" borderId="0" xfId="294" applyFont="1" applyFill="1" applyAlignment="1">
      <alignment horizontal="left"/>
    </xf>
    <xf numFmtId="166" fontId="121" fillId="33" borderId="0" xfId="332" applyNumberFormat="1" applyFont="1" applyFill="1" applyAlignment="1">
      <alignment horizontal="right"/>
    </xf>
    <xf numFmtId="0" fontId="124" fillId="0" borderId="0" xfId="294" applyFont="1" applyAlignment="1">
      <alignment horizontal="left"/>
    </xf>
    <xf numFmtId="0" fontId="121" fillId="0" borderId="0" xfId="294" applyFont="1" applyAlignment="1">
      <alignment horizontal="right"/>
    </xf>
    <xf numFmtId="0" fontId="125" fillId="0" borderId="91" xfId="294" applyFont="1" applyBorder="1" applyAlignment="1">
      <alignment horizontal="center"/>
    </xf>
    <xf numFmtId="171" fontId="126" fillId="0" borderId="0" xfId="190" applyFont="1" applyFill="1" applyAlignment="1">
      <alignment horizontal="center"/>
    </xf>
    <xf numFmtId="0" fontId="123" fillId="0" borderId="0" xfId="294" applyFont="1"/>
    <xf numFmtId="3" fontId="121" fillId="0" borderId="91" xfId="294" applyNumberFormat="1" applyFont="1" applyBorder="1" applyAlignment="1">
      <alignment horizontal="center"/>
    </xf>
    <xf numFmtId="9" fontId="121" fillId="0" borderId="91" xfId="294" applyNumberFormat="1" applyFont="1" applyBorder="1" applyAlignment="1">
      <alignment horizontal="center"/>
    </xf>
    <xf numFmtId="207" fontId="121" fillId="0" borderId="91" xfId="190" applyNumberFormat="1" applyFont="1" applyFill="1" applyBorder="1" applyAlignment="1">
      <alignment horizontal="center"/>
    </xf>
    <xf numFmtId="0" fontId="121" fillId="0" borderId="91" xfId="294" applyFont="1" applyBorder="1" applyAlignment="1">
      <alignment horizontal="center"/>
    </xf>
    <xf numFmtId="171" fontId="123" fillId="0" borderId="0" xfId="190" applyFont="1" applyFill="1" applyAlignment="1">
      <alignment horizontal="right"/>
    </xf>
    <xf numFmtId="171" fontId="123" fillId="0" borderId="0" xfId="190" applyFont="1" applyFill="1"/>
    <xf numFmtId="0" fontId="121" fillId="0" borderId="90" xfId="294" applyFont="1" applyBorder="1" applyAlignment="1">
      <alignment horizontal="center"/>
    </xf>
    <xf numFmtId="0" fontId="121" fillId="0" borderId="22" xfId="294" applyFont="1" applyBorder="1" applyAlignment="1">
      <alignment horizontal="center"/>
    </xf>
    <xf numFmtId="208" fontId="121" fillId="0" borderId="22" xfId="294" applyNumberFormat="1" applyFont="1" applyBorder="1" applyAlignment="1">
      <alignment horizontal="right"/>
    </xf>
    <xf numFmtId="3" fontId="121" fillId="0" borderId="22" xfId="294" applyNumberFormat="1" applyFont="1" applyBorder="1" applyAlignment="1">
      <alignment horizontal="center"/>
    </xf>
    <xf numFmtId="171" fontId="121" fillId="0" borderId="0" xfId="391" applyFont="1" applyFill="1"/>
    <xf numFmtId="3" fontId="121" fillId="0" borderId="0" xfId="294" applyNumberFormat="1" applyFont="1"/>
    <xf numFmtId="3" fontId="122" fillId="0" borderId="91" xfId="294" applyNumberFormat="1" applyFont="1" applyBorder="1" applyAlignment="1">
      <alignment horizontal="center"/>
    </xf>
    <xf numFmtId="3" fontId="104" fillId="33" borderId="0" xfId="385" applyNumberFormat="1" applyFont="1" applyFill="1" applyAlignment="1"/>
    <xf numFmtId="0" fontId="127" fillId="0" borderId="0" xfId="287" applyFont="1" applyAlignment="1">
      <alignment horizontal="left"/>
    </xf>
    <xf numFmtId="0" fontId="121" fillId="0" borderId="0" xfId="287" applyFont="1"/>
    <xf numFmtId="199" fontId="121" fillId="0" borderId="0" xfId="287" applyNumberFormat="1" applyFont="1"/>
    <xf numFmtId="200" fontId="121" fillId="0" borderId="0" xfId="287" applyNumberFormat="1" applyFont="1" applyProtection="1">
      <protection locked="0"/>
    </xf>
    <xf numFmtId="200" fontId="121" fillId="0" borderId="0" xfId="287" applyNumberFormat="1" applyFont="1"/>
    <xf numFmtId="203" fontId="121" fillId="0" borderId="0" xfId="169" applyNumberFormat="1" applyFont="1" applyBorder="1" applyProtection="1"/>
    <xf numFmtId="203" fontId="121" fillId="0" borderId="0" xfId="169" applyNumberFormat="1" applyFont="1" applyFill="1" applyBorder="1" applyAlignment="1" applyProtection="1">
      <protection locked="0"/>
    </xf>
    <xf numFmtId="203" fontId="121" fillId="0" borderId="0" xfId="169" applyNumberFormat="1" applyFont="1" applyProtection="1"/>
    <xf numFmtId="1" fontId="121" fillId="0" borderId="0" xfId="287" applyNumberFormat="1" applyFont="1"/>
    <xf numFmtId="203" fontId="121" fillId="0" borderId="0" xfId="287" applyNumberFormat="1" applyFont="1"/>
    <xf numFmtId="204" fontId="130" fillId="0" borderId="0" xfId="287" applyNumberFormat="1" applyFont="1"/>
    <xf numFmtId="169" fontId="121" fillId="0" borderId="0" xfId="169" applyFont="1" applyFill="1" applyAlignment="1" applyProtection="1"/>
    <xf numFmtId="0" fontId="129" fillId="0" borderId="0" xfId="287" applyFont="1"/>
    <xf numFmtId="4" fontId="129" fillId="0" borderId="0" xfId="169" applyNumberFormat="1" applyFont="1" applyProtection="1"/>
    <xf numFmtId="10" fontId="121" fillId="0" borderId="0" xfId="287" applyNumberFormat="1" applyFont="1"/>
    <xf numFmtId="164" fontId="129" fillId="0" borderId="0" xfId="287" applyNumberFormat="1" applyFont="1"/>
    <xf numFmtId="1" fontId="121" fillId="0" borderId="0" xfId="287" applyNumberFormat="1" applyFont="1" applyAlignment="1">
      <alignment horizontal="left"/>
    </xf>
    <xf numFmtId="0" fontId="122" fillId="60" borderId="11" xfId="287" applyFont="1" applyFill="1" applyBorder="1" applyAlignment="1">
      <alignment horizontal="right"/>
    </xf>
    <xf numFmtId="0" fontId="128" fillId="0" borderId="10" xfId="287" applyFont="1" applyBorder="1" applyAlignment="1" applyProtection="1">
      <alignment horizontal="center"/>
      <protection locked="0"/>
    </xf>
    <xf numFmtId="0" fontId="122" fillId="0" borderId="43" xfId="287" applyFont="1" applyBorder="1" applyAlignment="1">
      <alignment horizontal="center"/>
    </xf>
    <xf numFmtId="0" fontId="122" fillId="0" borderId="44" xfId="287" applyFont="1" applyBorder="1" applyAlignment="1">
      <alignment horizontal="center"/>
    </xf>
    <xf numFmtId="0" fontId="122" fillId="0" borderId="37" xfId="287" applyFont="1" applyBorder="1" applyAlignment="1">
      <alignment horizontal="center"/>
    </xf>
    <xf numFmtId="0" fontId="121" fillId="61" borderId="0" xfId="287" applyFont="1" applyFill="1"/>
    <xf numFmtId="0" fontId="121" fillId="0" borderId="45" xfId="287" applyFont="1" applyBorder="1"/>
    <xf numFmtId="0" fontId="127" fillId="0" borderId="46" xfId="287" applyFont="1" applyBorder="1"/>
    <xf numFmtId="0" fontId="131" fillId="0" borderId="47" xfId="287" applyFont="1" applyBorder="1" applyAlignment="1" applyProtection="1">
      <alignment horizontal="center"/>
      <protection locked="0"/>
    </xf>
    <xf numFmtId="0" fontId="121" fillId="0" borderId="11" xfId="287" applyFont="1" applyBorder="1"/>
    <xf numFmtId="0" fontId="121" fillId="0" borderId="10" xfId="287" applyFont="1" applyBorder="1"/>
    <xf numFmtId="4" fontId="121" fillId="0" borderId="47" xfId="287" applyNumberFormat="1" applyFont="1" applyBorder="1"/>
    <xf numFmtId="4" fontId="121" fillId="0" borderId="48" xfId="287" applyNumberFormat="1" applyFont="1" applyBorder="1"/>
    <xf numFmtId="200" fontId="121" fillId="0" borderId="10" xfId="287" applyNumberFormat="1" applyFont="1" applyBorder="1"/>
    <xf numFmtId="0" fontId="121" fillId="0" borderId="45" xfId="287" applyFont="1" applyBorder="1" applyAlignment="1">
      <alignment horizontal="left"/>
    </xf>
    <xf numFmtId="0" fontId="121" fillId="0" borderId="46" xfId="287" applyFont="1" applyBorder="1"/>
    <xf numFmtId="199" fontId="121" fillId="0" borderId="49" xfId="287" applyNumberFormat="1" applyFont="1" applyBorder="1" applyProtection="1">
      <protection locked="0"/>
    </xf>
    <xf numFmtId="200" fontId="121" fillId="0" borderId="46" xfId="287" applyNumberFormat="1" applyFont="1" applyBorder="1" applyAlignment="1">
      <alignment horizontal="right"/>
    </xf>
    <xf numFmtId="200" fontId="121" fillId="61" borderId="0" xfId="287" applyNumberFormat="1" applyFont="1" applyFill="1"/>
    <xf numFmtId="199" fontId="121" fillId="0" borderId="50" xfId="287" applyNumberFormat="1" applyFont="1" applyBorder="1" applyProtection="1">
      <protection locked="0"/>
    </xf>
    <xf numFmtId="0" fontId="122" fillId="0" borderId="45" xfId="287" applyFont="1" applyBorder="1" applyAlignment="1">
      <alignment horizontal="right"/>
    </xf>
    <xf numFmtId="199" fontId="122" fillId="0" borderId="47" xfId="287" applyNumberFormat="1" applyFont="1" applyBorder="1"/>
    <xf numFmtId="199" fontId="122" fillId="0" borderId="48" xfId="287" applyNumberFormat="1" applyFont="1" applyBorder="1"/>
    <xf numFmtId="3" fontId="122" fillId="0" borderId="48" xfId="287" applyNumberFormat="1" applyFont="1" applyBorder="1"/>
    <xf numFmtId="3" fontId="121" fillId="61" borderId="0" xfId="287" applyNumberFormat="1" applyFont="1" applyFill="1"/>
    <xf numFmtId="0" fontId="132" fillId="0" borderId="45" xfId="287" applyFont="1" applyBorder="1" applyAlignment="1">
      <alignment horizontal="left"/>
    </xf>
    <xf numFmtId="0" fontId="129" fillId="0" borderId="46" xfId="287" applyFont="1" applyBorder="1"/>
    <xf numFmtId="199" fontId="132" fillId="0" borderId="49" xfId="287" applyNumberFormat="1" applyFont="1" applyBorder="1" applyProtection="1">
      <protection locked="0"/>
    </xf>
    <xf numFmtId="199" fontId="132" fillId="0" borderId="50" xfId="287" applyNumberFormat="1" applyFont="1" applyBorder="1" applyProtection="1">
      <protection locked="0"/>
    </xf>
    <xf numFmtId="3" fontId="132" fillId="0" borderId="50" xfId="287" applyNumberFormat="1" applyFont="1" applyBorder="1" applyProtection="1">
      <protection locked="0"/>
    </xf>
    <xf numFmtId="205" fontId="121" fillId="61" borderId="0" xfId="287" applyNumberFormat="1" applyFont="1" applyFill="1" applyAlignment="1">
      <alignment horizontal="right"/>
    </xf>
    <xf numFmtId="199" fontId="121" fillId="0" borderId="50" xfId="287" applyNumberFormat="1" applyFont="1" applyBorder="1" applyAlignment="1" applyProtection="1">
      <alignment horizontal="right"/>
      <protection locked="0"/>
    </xf>
    <xf numFmtId="0" fontId="122" fillId="0" borderId="10" xfId="287" applyFont="1" applyBorder="1" applyAlignment="1">
      <alignment horizontal="right"/>
    </xf>
    <xf numFmtId="199" fontId="122" fillId="0" borderId="47" xfId="287" applyNumberFormat="1" applyFont="1" applyBorder="1" applyAlignment="1">
      <alignment horizontal="right"/>
    </xf>
    <xf numFmtId="3" fontId="122" fillId="0" borderId="47" xfId="287" applyNumberFormat="1" applyFont="1" applyBorder="1" applyAlignment="1">
      <alignment horizontal="right"/>
    </xf>
    <xf numFmtId="164" fontId="121" fillId="0" borderId="0" xfId="188" applyFont="1" applyProtection="1"/>
    <xf numFmtId="199" fontId="121" fillId="0" borderId="49" xfId="287" applyNumberFormat="1" applyFont="1" applyBorder="1" applyAlignment="1" applyProtection="1">
      <alignment horizontal="right"/>
      <protection locked="0"/>
    </xf>
    <xf numFmtId="199" fontId="122" fillId="0" borderId="48" xfId="287" applyNumberFormat="1" applyFont="1" applyBorder="1" applyAlignment="1">
      <alignment horizontal="right"/>
    </xf>
    <xf numFmtId="3" fontId="122" fillId="0" borderId="48" xfId="287" applyNumberFormat="1" applyFont="1" applyBorder="1" applyAlignment="1">
      <alignment horizontal="right"/>
    </xf>
    <xf numFmtId="199" fontId="121" fillId="0" borderId="0" xfId="287" applyNumberFormat="1" applyFont="1" applyProtection="1">
      <protection locked="0"/>
    </xf>
    <xf numFmtId="4" fontId="121" fillId="0" borderId="46" xfId="287" applyNumberFormat="1" applyFont="1" applyBorder="1"/>
    <xf numFmtId="0" fontId="121" fillId="60" borderId="46" xfId="287" applyFont="1" applyFill="1" applyBorder="1"/>
    <xf numFmtId="199" fontId="127" fillId="60" borderId="47" xfId="287" applyNumberFormat="1" applyFont="1" applyFill="1" applyBorder="1" applyAlignment="1">
      <alignment horizontal="right"/>
    </xf>
    <xf numFmtId="0" fontId="121" fillId="0" borderId="37" xfId="287" applyFont="1" applyBorder="1"/>
    <xf numFmtId="199" fontId="121" fillId="0" borderId="42" xfId="287" applyNumberFormat="1" applyFont="1" applyBorder="1" applyProtection="1">
      <protection locked="0"/>
    </xf>
    <xf numFmtId="199" fontId="121" fillId="0" borderId="54" xfId="287" applyNumberFormat="1" applyFont="1" applyBorder="1" applyProtection="1">
      <protection locked="0"/>
    </xf>
    <xf numFmtId="200" fontId="121" fillId="0" borderId="54" xfId="287" applyNumberFormat="1" applyFont="1" applyBorder="1" applyAlignment="1">
      <alignment horizontal="right"/>
    </xf>
    <xf numFmtId="0" fontId="121" fillId="0" borderId="22" xfId="287" applyFont="1" applyBorder="1"/>
    <xf numFmtId="199" fontId="121" fillId="0" borderId="55" xfId="287" applyNumberFormat="1" applyFont="1" applyBorder="1" applyProtection="1">
      <protection locked="0"/>
    </xf>
    <xf numFmtId="200" fontId="121" fillId="0" borderId="56" xfId="287" applyNumberFormat="1" applyFont="1" applyBorder="1" applyAlignment="1">
      <alignment horizontal="right"/>
    </xf>
    <xf numFmtId="199" fontId="127" fillId="0" borderId="46" xfId="287" applyNumberFormat="1" applyFont="1" applyBorder="1" applyAlignment="1">
      <alignment horizontal="right"/>
    </xf>
    <xf numFmtId="3" fontId="127" fillId="0" borderId="46" xfId="287" applyNumberFormat="1" applyFont="1" applyBorder="1" applyAlignment="1">
      <alignment horizontal="right"/>
    </xf>
    <xf numFmtId="0" fontId="129" fillId="0" borderId="46" xfId="287" applyFont="1" applyBorder="1" applyAlignment="1">
      <alignment horizontal="left"/>
    </xf>
    <xf numFmtId="200" fontId="121" fillId="0" borderId="54" xfId="287" applyNumberFormat="1" applyFont="1" applyBorder="1" applyProtection="1">
      <protection locked="0"/>
    </xf>
    <xf numFmtId="199" fontId="121" fillId="0" borderId="22" xfId="287" applyNumberFormat="1" applyFont="1" applyBorder="1" applyProtection="1">
      <protection locked="0"/>
    </xf>
    <xf numFmtId="200" fontId="121" fillId="0" borderId="22" xfId="287" applyNumberFormat="1" applyFont="1" applyBorder="1" applyProtection="1">
      <protection locked="0"/>
    </xf>
    <xf numFmtId="0" fontId="129" fillId="60" borderId="58" xfId="287" applyFont="1" applyFill="1" applyBorder="1"/>
    <xf numFmtId="199" fontId="127" fillId="60" borderId="48" xfId="287" applyNumberFormat="1" applyFont="1" applyFill="1" applyBorder="1" applyAlignment="1">
      <alignment horizontal="right"/>
    </xf>
    <xf numFmtId="199" fontId="127" fillId="60" borderId="59" xfId="287" applyNumberFormat="1" applyFont="1" applyFill="1" applyBorder="1" applyAlignment="1">
      <alignment horizontal="right"/>
    </xf>
    <xf numFmtId="200" fontId="127" fillId="60" borderId="10" xfId="287" applyNumberFormat="1" applyFont="1" applyFill="1" applyBorder="1" applyAlignment="1">
      <alignment horizontal="right"/>
    </xf>
    <xf numFmtId="199" fontId="121" fillId="0" borderId="54" xfId="287" applyNumberFormat="1" applyFont="1" applyBorder="1" applyAlignment="1">
      <alignment horizontal="right"/>
    </xf>
    <xf numFmtId="199" fontId="121" fillId="0" borderId="22" xfId="287" applyNumberFormat="1" applyFont="1" applyBorder="1"/>
    <xf numFmtId="0" fontId="129" fillId="0" borderId="45" xfId="287" applyFont="1" applyBorder="1" applyAlignment="1">
      <alignment horizontal="left"/>
    </xf>
    <xf numFmtId="199" fontId="121" fillId="0" borderId="46" xfId="287" applyNumberFormat="1" applyFont="1" applyBorder="1" applyAlignment="1">
      <alignment horizontal="right"/>
    </xf>
    <xf numFmtId="199" fontId="122" fillId="0" borderId="10" xfId="287" applyNumberFormat="1" applyFont="1" applyBorder="1" applyAlignment="1" applyProtection="1">
      <alignment horizontal="right"/>
      <protection locked="0"/>
    </xf>
    <xf numFmtId="199" fontId="121" fillId="0" borderId="46" xfId="287" applyNumberFormat="1" applyFont="1" applyBorder="1"/>
    <xf numFmtId="0" fontId="129" fillId="0" borderId="45" xfId="287" applyFont="1" applyBorder="1"/>
    <xf numFmtId="199" fontId="121" fillId="0" borderId="10" xfId="287" applyNumberFormat="1" applyFont="1" applyBorder="1" applyProtection="1">
      <protection locked="0"/>
    </xf>
    <xf numFmtId="0" fontId="121" fillId="60" borderId="63" xfId="287" applyFont="1" applyFill="1" applyBorder="1" applyAlignment="1">
      <alignment horizontal="left"/>
    </xf>
    <xf numFmtId="199" fontId="122" fillId="59" borderId="48" xfId="287" applyNumberFormat="1" applyFont="1" applyFill="1" applyBorder="1"/>
    <xf numFmtId="0" fontId="127" fillId="0" borderId="11" xfId="287" applyFont="1" applyBorder="1" applyAlignment="1">
      <alignment horizontal="left"/>
    </xf>
    <xf numFmtId="0" fontId="127" fillId="0" borderId="10" xfId="287" applyFont="1" applyBorder="1"/>
    <xf numFmtId="199" fontId="127" fillId="0" borderId="48" xfId="287" applyNumberFormat="1" applyFont="1" applyBorder="1"/>
    <xf numFmtId="199" fontId="127" fillId="0" borderId="10" xfId="287" applyNumberFormat="1" applyFont="1" applyBorder="1"/>
    <xf numFmtId="199" fontId="134" fillId="0" borderId="64" xfId="287" applyNumberFormat="1" applyFont="1" applyBorder="1" applyAlignment="1">
      <alignment horizontal="center"/>
    </xf>
    <xf numFmtId="199" fontId="129" fillId="0" borderId="36" xfId="287" applyNumberFormat="1" applyFont="1" applyBorder="1"/>
    <xf numFmtId="199" fontId="129" fillId="0" borderId="65" xfId="287" applyNumberFormat="1" applyFont="1" applyBorder="1"/>
    <xf numFmtId="199" fontId="129" fillId="0" borderId="46" xfId="287" applyNumberFormat="1" applyFont="1" applyBorder="1"/>
    <xf numFmtId="199" fontId="129" fillId="0" borderId="49" xfId="287" applyNumberFormat="1" applyFont="1" applyBorder="1" applyProtection="1">
      <protection locked="0"/>
    </xf>
    <xf numFmtId="199" fontId="129" fillId="0" borderId="50" xfId="287" applyNumberFormat="1" applyFont="1" applyBorder="1" applyProtection="1">
      <protection locked="0"/>
    </xf>
    <xf numFmtId="199" fontId="129" fillId="0" borderId="0" xfId="287" applyNumberFormat="1" applyFont="1" applyProtection="1">
      <protection locked="0"/>
    </xf>
    <xf numFmtId="0" fontId="127" fillId="0" borderId="45" xfId="287" applyFont="1" applyBorder="1" applyAlignment="1">
      <alignment horizontal="left"/>
    </xf>
    <xf numFmtId="199" fontId="127" fillId="0" borderId="50" xfId="287" applyNumberFormat="1" applyFont="1" applyBorder="1"/>
    <xf numFmtId="199" fontId="127" fillId="0" borderId="46" xfId="287" applyNumberFormat="1" applyFont="1" applyBorder="1"/>
    <xf numFmtId="0" fontId="127" fillId="60" borderId="60" xfId="287" applyFont="1" applyFill="1" applyBorder="1" applyAlignment="1">
      <alignment horizontal="left"/>
    </xf>
    <xf numFmtId="199" fontId="127" fillId="60" borderId="10" xfId="287" applyNumberFormat="1" applyFont="1" applyFill="1" applyBorder="1"/>
    <xf numFmtId="199" fontId="127" fillId="60" borderId="52" xfId="287" applyNumberFormat="1" applyFont="1" applyFill="1" applyBorder="1"/>
    <xf numFmtId="199" fontId="127" fillId="60" borderId="53" xfId="287" applyNumberFormat="1" applyFont="1" applyFill="1" applyBorder="1"/>
    <xf numFmtId="199" fontId="127" fillId="60" borderId="61" xfId="287" applyNumberFormat="1" applyFont="1" applyFill="1" applyBorder="1"/>
    <xf numFmtId="199" fontId="127" fillId="60" borderId="62" xfId="287" applyNumberFormat="1" applyFont="1" applyFill="1" applyBorder="1"/>
    <xf numFmtId="0" fontId="122" fillId="0" borderId="45" xfId="287" applyFont="1" applyBorder="1" applyAlignment="1">
      <alignment horizontal="left"/>
    </xf>
    <xf numFmtId="0" fontId="122" fillId="0" borderId="46" xfId="287" applyFont="1" applyBorder="1"/>
    <xf numFmtId="200" fontId="122" fillId="0" borderId="49" xfId="287" applyNumberFormat="1" applyFont="1" applyBorder="1" applyProtection="1">
      <protection locked="0"/>
    </xf>
    <xf numFmtId="200" fontId="122" fillId="0" borderId="50" xfId="287" applyNumberFormat="1" applyFont="1" applyBorder="1" applyProtection="1">
      <protection locked="0"/>
    </xf>
    <xf numFmtId="0" fontId="127" fillId="60" borderId="11" xfId="287" applyFont="1" applyFill="1" applyBorder="1" applyAlignment="1">
      <alignment horizontal="left"/>
    </xf>
    <xf numFmtId="0" fontId="135" fillId="0" borderId="0" xfId="287" applyFont="1" applyAlignment="1">
      <alignment horizontal="left"/>
    </xf>
    <xf numFmtId="4" fontId="136" fillId="0" borderId="0" xfId="287" applyNumberFormat="1" applyFont="1" applyAlignment="1">
      <alignment horizontal="right"/>
    </xf>
    <xf numFmtId="200" fontId="121" fillId="62" borderId="0" xfId="287" applyNumberFormat="1" applyFont="1" applyFill="1"/>
    <xf numFmtId="4" fontId="121" fillId="0" borderId="0" xfId="287" applyNumberFormat="1" applyFont="1"/>
    <xf numFmtId="0" fontId="121" fillId="0" borderId="0" xfId="287" applyFont="1" applyProtection="1">
      <protection locked="0"/>
    </xf>
    <xf numFmtId="0" fontId="89" fillId="33" borderId="38" xfId="385" applyFont="1" applyFill="1" applyBorder="1" applyAlignment="1">
      <alignment horizontal="left" indent="1"/>
    </xf>
    <xf numFmtId="202" fontId="0" fillId="33" borderId="0" xfId="0" applyNumberFormat="1" applyFill="1"/>
    <xf numFmtId="0" fontId="96" fillId="33" borderId="0" xfId="0" applyFont="1" applyFill="1" applyAlignment="1">
      <alignment horizontal="left" indent="1"/>
    </xf>
    <xf numFmtId="0" fontId="97" fillId="33" borderId="0" xfId="0" applyFont="1" applyFill="1" applyAlignment="1">
      <alignment horizontal="left" vertical="center" indent="1"/>
    </xf>
    <xf numFmtId="0" fontId="117" fillId="33" borderId="0" xfId="0" applyFont="1" applyFill="1" applyAlignment="1">
      <alignment horizontal="center" vertical="center"/>
    </xf>
    <xf numFmtId="0" fontId="117" fillId="33" borderId="0" xfId="0" applyFont="1" applyFill="1" applyAlignment="1">
      <alignment horizontal="left" indent="1"/>
    </xf>
    <xf numFmtId="0" fontId="118" fillId="33" borderId="96" xfId="0" applyFont="1" applyFill="1" applyBorder="1"/>
    <xf numFmtId="0" fontId="118" fillId="33" borderId="96" xfId="0" applyFont="1" applyFill="1" applyBorder="1" applyAlignment="1">
      <alignment horizontal="center" vertical="center"/>
    </xf>
    <xf numFmtId="0" fontId="118" fillId="33" borderId="27" xfId="0" applyFont="1" applyFill="1" applyBorder="1"/>
    <xf numFmtId="199" fontId="118" fillId="33" borderId="27" xfId="0" applyNumberFormat="1" applyFont="1" applyFill="1" applyBorder="1"/>
    <xf numFmtId="0" fontId="16" fillId="0" borderId="0" xfId="0" applyFont="1"/>
    <xf numFmtId="0" fontId="26" fillId="0" borderId="97" xfId="0" applyFont="1" applyBorder="1"/>
    <xf numFmtId="166" fontId="137" fillId="0" borderId="97" xfId="0" applyNumberFormat="1" applyFont="1" applyBorder="1"/>
    <xf numFmtId="0" fontId="109" fillId="0" borderId="98" xfId="0" applyFont="1" applyBorder="1"/>
    <xf numFmtId="199" fontId="109" fillId="0" borderId="98" xfId="0" applyNumberFormat="1" applyFont="1" applyBorder="1" applyAlignment="1">
      <alignment horizontal="center"/>
    </xf>
    <xf numFmtId="199" fontId="109" fillId="0" borderId="98" xfId="0" applyNumberFormat="1" applyFont="1" applyBorder="1" applyAlignment="1">
      <alignment horizontal="right"/>
    </xf>
    <xf numFmtId="0" fontId="26" fillId="0" borderId="13" xfId="0" applyFont="1" applyBorder="1"/>
    <xf numFmtId="209" fontId="26" fillId="0" borderId="13" xfId="0" applyNumberFormat="1" applyFont="1" applyBorder="1" applyAlignment="1">
      <alignment horizontal="center"/>
    </xf>
    <xf numFmtId="208" fontId="26" fillId="0" borderId="13" xfId="0" applyNumberFormat="1" applyFont="1" applyBorder="1"/>
    <xf numFmtId="199" fontId="26" fillId="0" borderId="0" xfId="0" applyNumberFormat="1" applyFont="1" applyAlignment="1">
      <alignment horizontal="center"/>
    </xf>
    <xf numFmtId="208" fontId="26" fillId="0" borderId="0" xfId="0" applyNumberFormat="1" applyFont="1"/>
    <xf numFmtId="166" fontId="138" fillId="0" borderId="0" xfId="384" applyNumberFormat="1" applyFont="1" applyFill="1" applyBorder="1"/>
    <xf numFmtId="0" fontId="26" fillId="0" borderId="28" xfId="0" applyFont="1" applyBorder="1"/>
    <xf numFmtId="199" fontId="26" fillId="0" borderId="28" xfId="0" applyNumberFormat="1" applyFont="1" applyBorder="1" applyAlignment="1">
      <alignment horizontal="center"/>
    </xf>
    <xf numFmtId="166" fontId="138" fillId="0" borderId="28" xfId="384" applyNumberFormat="1" applyFont="1" applyFill="1" applyBorder="1"/>
    <xf numFmtId="208" fontId="26" fillId="0" borderId="97" xfId="0" applyNumberFormat="1" applyFont="1" applyBorder="1"/>
    <xf numFmtId="208" fontId="26" fillId="0" borderId="28" xfId="0" applyNumberFormat="1" applyFont="1" applyBorder="1"/>
    <xf numFmtId="0" fontId="16" fillId="0" borderId="97" xfId="0" applyFont="1" applyBorder="1"/>
    <xf numFmtId="0" fontId="0" fillId="0" borderId="97" xfId="0" applyBorder="1"/>
    <xf numFmtId="0" fontId="0" fillId="0" borderId="96" xfId="0" applyBorder="1" applyAlignment="1">
      <alignment horizontal="left" indent="1"/>
    </xf>
    <xf numFmtId="0" fontId="109" fillId="0" borderId="96" xfId="0" applyFont="1" applyBorder="1" applyAlignment="1">
      <alignment horizontal="center"/>
    </xf>
    <xf numFmtId="0" fontId="16" fillId="0" borderId="0" xfId="0" applyFont="1" applyAlignment="1">
      <alignment horizontal="left" indent="1"/>
    </xf>
    <xf numFmtId="0" fontId="109" fillId="0" borderId="0" xfId="0" applyFont="1" applyAlignment="1">
      <alignment horizontal="center"/>
    </xf>
    <xf numFmtId="0" fontId="0" fillId="0" borderId="0" xfId="0" applyAlignment="1">
      <alignment horizontal="left" indent="2"/>
    </xf>
    <xf numFmtId="9" fontId="26" fillId="0" borderId="0" xfId="0" applyNumberFormat="1" applyFont="1"/>
    <xf numFmtId="0" fontId="26" fillId="0" borderId="0" xfId="0" applyFont="1" applyAlignment="1">
      <alignment horizontal="left" indent="2"/>
    </xf>
    <xf numFmtId="4" fontId="26" fillId="0" borderId="0" xfId="0" applyNumberFormat="1" applyFont="1"/>
    <xf numFmtId="0" fontId="26" fillId="0" borderId="28" xfId="0" applyFont="1" applyBorder="1" applyAlignment="1">
      <alignment horizontal="left" indent="2"/>
    </xf>
    <xf numFmtId="4" fontId="26" fillId="0" borderId="28" xfId="0" applyNumberFormat="1" applyFont="1" applyBorder="1"/>
    <xf numFmtId="0" fontId="109" fillId="0" borderId="96" xfId="0" applyFont="1" applyBorder="1" applyAlignment="1">
      <alignment horizontal="left" indent="1"/>
    </xf>
    <xf numFmtId="0" fontId="109" fillId="0" borderId="96" xfId="0" applyFont="1" applyBorder="1" applyAlignment="1">
      <alignment horizontal="right"/>
    </xf>
    <xf numFmtId="166" fontId="139" fillId="0" borderId="0" xfId="0" applyNumberFormat="1" applyFont="1" applyAlignment="1">
      <alignment horizontal="center"/>
    </xf>
    <xf numFmtId="0" fontId="109" fillId="0" borderId="0" xfId="0" applyFont="1" applyAlignment="1">
      <alignment horizontal="right"/>
    </xf>
    <xf numFmtId="0" fontId="26" fillId="0" borderId="0" xfId="0" applyFont="1" applyAlignment="1">
      <alignment horizontal="left" indent="3"/>
    </xf>
    <xf numFmtId="210" fontId="138" fillId="0" borderId="0" xfId="0" applyNumberFormat="1" applyFont="1"/>
    <xf numFmtId="0" fontId="0" fillId="0" borderId="0" xfId="0" applyAlignment="1">
      <alignment horizontal="left" indent="1"/>
    </xf>
    <xf numFmtId="4" fontId="26" fillId="0" borderId="27" xfId="0" applyNumberFormat="1" applyFont="1" applyBorder="1"/>
    <xf numFmtId="4" fontId="109" fillId="0" borderId="0" xfId="0" applyNumberFormat="1" applyFont="1"/>
    <xf numFmtId="0" fontId="26" fillId="0" borderId="0" xfId="0" applyFont="1" applyAlignment="1">
      <alignment horizontal="left" indent="4"/>
    </xf>
    <xf numFmtId="9" fontId="0" fillId="0" borderId="0" xfId="0" applyNumberFormat="1"/>
    <xf numFmtId="0" fontId="109" fillId="0" borderId="0" xfId="0" applyFont="1" applyAlignment="1">
      <alignment horizontal="left" indent="2"/>
    </xf>
    <xf numFmtId="0" fontId="140" fillId="0" borderId="0" xfId="0" applyFont="1" applyAlignment="1">
      <alignment horizontal="left" indent="3"/>
    </xf>
    <xf numFmtId="4" fontId="26" fillId="0" borderId="0" xfId="0" applyNumberFormat="1" applyFont="1" applyAlignment="1">
      <alignment horizontal="right"/>
    </xf>
    <xf numFmtId="4" fontId="26" fillId="0" borderId="28" xfId="0" applyNumberFormat="1" applyFont="1" applyBorder="1" applyAlignment="1">
      <alignment horizontal="right"/>
    </xf>
    <xf numFmtId="0" fontId="26" fillId="0" borderId="27" xfId="0" applyFont="1" applyBorder="1" applyAlignment="1">
      <alignment horizontal="left" indent="3"/>
    </xf>
    <xf numFmtId="0" fontId="26" fillId="0" borderId="27" xfId="0" applyFont="1" applyBorder="1"/>
    <xf numFmtId="0" fontId="0" fillId="0" borderId="28" xfId="0" applyBorder="1"/>
    <xf numFmtId="0" fontId="0" fillId="0" borderId="0" xfId="0" applyAlignment="1">
      <alignment horizontal="right"/>
    </xf>
    <xf numFmtId="0" fontId="26" fillId="0" borderId="0" xfId="0" applyFont="1" applyAlignment="1">
      <alignment horizontal="right"/>
    </xf>
    <xf numFmtId="0" fontId="118" fillId="33" borderId="0" xfId="0" applyFont="1" applyFill="1" applyAlignment="1">
      <alignment horizontal="left" indent="1"/>
    </xf>
    <xf numFmtId="0" fontId="117" fillId="33" borderId="0" xfId="0" applyFont="1" applyFill="1" applyAlignment="1">
      <alignment horizontal="left" indent="2"/>
    </xf>
    <xf numFmtId="200" fontId="117" fillId="33" borderId="0" xfId="0" applyNumberFormat="1" applyFont="1" applyFill="1"/>
    <xf numFmtId="200" fontId="118" fillId="33" borderId="0" xfId="0" applyNumberFormat="1" applyFont="1" applyFill="1"/>
    <xf numFmtId="200" fontId="118" fillId="33" borderId="59" xfId="0" applyNumberFormat="1" applyFont="1" applyFill="1" applyBorder="1"/>
    <xf numFmtId="0" fontId="118" fillId="33" borderId="99" xfId="0" applyFont="1" applyFill="1" applyBorder="1" applyAlignment="1">
      <alignment horizontal="left" indent="1"/>
    </xf>
    <xf numFmtId="0" fontId="117" fillId="33" borderId="99" xfId="0" applyFont="1" applyFill="1" applyBorder="1" applyAlignment="1">
      <alignment horizontal="left" indent="2"/>
    </xf>
    <xf numFmtId="0" fontId="118" fillId="33" borderId="96" xfId="0" applyFont="1" applyFill="1" applyBorder="1" applyAlignment="1">
      <alignment horizontal="center"/>
    </xf>
    <xf numFmtId="0" fontId="117" fillId="33" borderId="0" xfId="0" applyFont="1" applyFill="1" applyAlignment="1">
      <alignment horizontal="center"/>
    </xf>
    <xf numFmtId="199" fontId="117" fillId="33" borderId="0" xfId="0" applyNumberFormat="1" applyFont="1" applyFill="1" applyAlignment="1">
      <alignment horizontal="center"/>
    </xf>
    <xf numFmtId="0" fontId="118" fillId="33" borderId="27" xfId="0" applyFont="1" applyFill="1" applyBorder="1" applyAlignment="1">
      <alignment horizontal="left" indent="1"/>
    </xf>
    <xf numFmtId="200" fontId="118" fillId="33" borderId="27" xfId="0" applyNumberFormat="1" applyFont="1" applyFill="1" applyBorder="1"/>
    <xf numFmtId="0" fontId="118" fillId="33" borderId="96" xfId="0" applyFont="1" applyFill="1" applyBorder="1" applyAlignment="1">
      <alignment horizontal="left"/>
    </xf>
    <xf numFmtId="0" fontId="90" fillId="33" borderId="0" xfId="0" applyFont="1" applyFill="1" applyAlignment="1">
      <alignment horizontal="left" indent="1"/>
    </xf>
    <xf numFmtId="0" fontId="89" fillId="33" borderId="0" xfId="0" applyFont="1" applyFill="1" applyAlignment="1">
      <alignment horizontal="left"/>
    </xf>
    <xf numFmtId="164" fontId="117" fillId="33" borderId="0" xfId="41" applyFont="1" applyFill="1" applyBorder="1"/>
    <xf numFmtId="164" fontId="117" fillId="33" borderId="0" xfId="0" applyNumberFormat="1" applyFont="1" applyFill="1"/>
    <xf numFmtId="0" fontId="92" fillId="33" borderId="96" xfId="0" applyFont="1" applyFill="1" applyBorder="1" applyAlignment="1">
      <alignment horizontal="center"/>
    </xf>
    <xf numFmtId="0" fontId="90" fillId="33" borderId="96" xfId="0" applyFont="1" applyFill="1" applyBorder="1" applyAlignment="1">
      <alignment horizontal="center"/>
    </xf>
    <xf numFmtId="0" fontId="90" fillId="33" borderId="27" xfId="0" applyFont="1" applyFill="1" applyBorder="1" applyAlignment="1">
      <alignment horizontal="center"/>
    </xf>
    <xf numFmtId="199" fontId="90" fillId="33" borderId="27" xfId="0" applyNumberFormat="1" applyFont="1" applyFill="1" applyBorder="1"/>
    <xf numFmtId="199" fontId="90" fillId="33" borderId="59" xfId="0" applyNumberFormat="1" applyFont="1" applyFill="1" applyBorder="1"/>
    <xf numFmtId="0" fontId="118" fillId="33" borderId="97" xfId="0" applyFont="1" applyFill="1" applyBorder="1"/>
    <xf numFmtId="199" fontId="118" fillId="33" borderId="97" xfId="0" applyNumberFormat="1" applyFont="1" applyFill="1" applyBorder="1" applyAlignment="1">
      <alignment horizontal="right" vertical="center"/>
    </xf>
    <xf numFmtId="0" fontId="118" fillId="33" borderId="97" xfId="0" applyFont="1" applyFill="1" applyBorder="1" applyAlignment="1">
      <alignment horizontal="left" indent="1"/>
    </xf>
    <xf numFmtId="200" fontId="118" fillId="33" borderId="97" xfId="0" applyNumberFormat="1" applyFont="1" applyFill="1" applyBorder="1"/>
    <xf numFmtId="0" fontId="141" fillId="0" borderId="0" xfId="396" applyFont="1"/>
    <xf numFmtId="0" fontId="142" fillId="0" borderId="0" xfId="396" applyFont="1"/>
    <xf numFmtId="0" fontId="142" fillId="0" borderId="99" xfId="396" applyFont="1" applyBorder="1"/>
    <xf numFmtId="0" fontId="142" fillId="0" borderId="94" xfId="396" applyFont="1" applyBorder="1"/>
    <xf numFmtId="0" fontId="142" fillId="0" borderId="20" xfId="396" applyFont="1" applyBorder="1"/>
    <xf numFmtId="0" fontId="142" fillId="0" borderId="99" xfId="396" applyFont="1" applyBorder="1" applyAlignment="1">
      <alignment horizontal="center"/>
    </xf>
    <xf numFmtId="0" fontId="142" fillId="0" borderId="94" xfId="396" applyFont="1" applyBorder="1" applyAlignment="1">
      <alignment horizontal="center"/>
    </xf>
    <xf numFmtId="0" fontId="142" fillId="0" borderId="21" xfId="396" applyFont="1" applyBorder="1"/>
    <xf numFmtId="0" fontId="144" fillId="0" borderId="0" xfId="396" applyFont="1"/>
    <xf numFmtId="0" fontId="143" fillId="0" borderId="96" xfId="396" applyFont="1" applyBorder="1" applyAlignment="1">
      <alignment horizontal="center"/>
    </xf>
    <xf numFmtId="0" fontId="142" fillId="0" borderId="96" xfId="396" applyFont="1" applyBorder="1"/>
    <xf numFmtId="0" fontId="142" fillId="0" borderId="0" xfId="396" applyFont="1" applyAlignment="1">
      <alignment horizontal="center"/>
    </xf>
    <xf numFmtId="0" fontId="143" fillId="0" borderId="27" xfId="396" applyFont="1" applyBorder="1"/>
    <xf numFmtId="0" fontId="142" fillId="0" borderId="28" xfId="396" applyFont="1" applyBorder="1"/>
    <xf numFmtId="0" fontId="143" fillId="0" borderId="0" xfId="396" applyFont="1"/>
    <xf numFmtId="164" fontId="143" fillId="0" borderId="0" xfId="397" applyFont="1" applyBorder="1" applyAlignment="1">
      <alignment horizontal="right" indent="1"/>
    </xf>
    <xf numFmtId="164" fontId="143" fillId="0" borderId="0" xfId="396" applyNumberFormat="1" applyFont="1" applyAlignment="1">
      <alignment horizontal="center"/>
    </xf>
    <xf numFmtId="0" fontId="143" fillId="0" borderId="0" xfId="396" applyFont="1" applyAlignment="1">
      <alignment horizontal="center"/>
    </xf>
    <xf numFmtId="164" fontId="143" fillId="0" borderId="0" xfId="397" applyFont="1" applyBorder="1" applyAlignment="1">
      <alignment horizontal="right"/>
    </xf>
    <xf numFmtId="0" fontId="143" fillId="0" borderId="0" xfId="396" applyFont="1" applyAlignment="1">
      <alignment vertical="center"/>
    </xf>
    <xf numFmtId="0" fontId="142" fillId="0" borderId="95" xfId="396" applyFont="1" applyBorder="1"/>
    <xf numFmtId="0" fontId="142" fillId="0" borderId="11" xfId="396" applyFont="1" applyBorder="1"/>
    <xf numFmtId="0" fontId="143" fillId="0" borderId="96" xfId="396" applyFont="1" applyBorder="1"/>
    <xf numFmtId="0" fontId="142" fillId="0" borderId="27" xfId="396" applyFont="1" applyBorder="1"/>
    <xf numFmtId="0" fontId="142" fillId="0" borderId="0" xfId="396" applyFont="1" applyAlignment="1">
      <alignment horizontal="center" vertical="center"/>
    </xf>
    <xf numFmtId="0" fontId="142" fillId="0" borderId="0" xfId="396" applyFont="1" applyAlignment="1">
      <alignment vertical="center"/>
    </xf>
    <xf numFmtId="0" fontId="142" fillId="0" borderId="0" xfId="396" applyFont="1" applyAlignment="1">
      <alignment horizontal="left" vertical="center" indent="1"/>
    </xf>
    <xf numFmtId="0" fontId="142" fillId="0" borderId="97" xfId="396" applyFont="1" applyBorder="1"/>
    <xf numFmtId="0" fontId="142" fillId="0" borderId="0" xfId="396" applyFont="1" applyAlignment="1">
      <alignment horizontal="left" indent="1"/>
    </xf>
    <xf numFmtId="0" fontId="142" fillId="0" borderId="0" xfId="396" quotePrefix="1" applyFont="1" applyAlignment="1">
      <alignment horizontal="left" indent="1"/>
    </xf>
    <xf numFmtId="0" fontId="142" fillId="0" borderId="0" xfId="396" quotePrefix="1" applyFont="1"/>
    <xf numFmtId="0" fontId="142" fillId="0" borderId="0" xfId="396" quotePrefix="1" applyFont="1" applyAlignment="1">
      <alignment horizontal="left" indent="5"/>
    </xf>
    <xf numFmtId="0" fontId="143" fillId="0" borderId="96" xfId="396" quotePrefix="1" applyFont="1" applyBorder="1"/>
    <xf numFmtId="0" fontId="142" fillId="0" borderId="96" xfId="396" quotePrefix="1" applyFont="1" applyBorder="1"/>
    <xf numFmtId="9" fontId="118" fillId="0" borderId="96" xfId="396" applyNumberFormat="1" applyFont="1" applyBorder="1"/>
    <xf numFmtId="0" fontId="142" fillId="0" borderId="99" xfId="396" quotePrefix="1" applyFont="1" applyBorder="1" applyAlignment="1">
      <alignment horizontal="left" indent="1"/>
    </xf>
    <xf numFmtId="0" fontId="142" fillId="0" borderId="0" xfId="396" quotePrefix="1" applyFont="1" applyAlignment="1">
      <alignment horizontal="center"/>
    </xf>
    <xf numFmtId="0" fontId="142" fillId="0" borderId="0" xfId="396" quotePrefix="1" applyFont="1" applyAlignment="1">
      <alignment horizontal="left" indent="3"/>
    </xf>
    <xf numFmtId="0" fontId="143" fillId="0" borderId="59" xfId="396" quotePrefix="1" applyFont="1" applyBorder="1" applyAlignment="1">
      <alignment horizontal="left" indent="1"/>
    </xf>
    <xf numFmtId="0" fontId="142" fillId="0" borderId="59" xfId="396" quotePrefix="1" applyFont="1" applyBorder="1" applyAlignment="1">
      <alignment horizontal="left" indent="1"/>
    </xf>
    <xf numFmtId="0" fontId="142" fillId="0" borderId="0" xfId="396" applyFont="1" applyAlignment="1">
      <alignment horizontal="left" indent="6"/>
    </xf>
    <xf numFmtId="0" fontId="117" fillId="0" borderId="0" xfId="396" applyFont="1" applyAlignment="1">
      <alignment horizontal="left" indent="1"/>
    </xf>
    <xf numFmtId="0" fontId="117" fillId="0" borderId="28" xfId="396" applyFont="1" applyBorder="1" applyAlignment="1">
      <alignment horizontal="left" indent="1"/>
    </xf>
    <xf numFmtId="0" fontId="142" fillId="0" borderId="28" xfId="396" applyFont="1" applyBorder="1" applyAlignment="1">
      <alignment horizontal="left" indent="1"/>
    </xf>
    <xf numFmtId="0" fontId="143" fillId="0" borderId="96" xfId="396" applyFont="1" applyBorder="1" applyAlignment="1">
      <alignment horizontal="left" indent="1"/>
    </xf>
    <xf numFmtId="0" fontId="142" fillId="0" borderId="0" xfId="396" applyFont="1" applyAlignment="1">
      <alignment horizontal="left" indent="2"/>
    </xf>
    <xf numFmtId="0" fontId="142" fillId="0" borderId="28" xfId="396" applyFont="1" applyBorder="1" applyAlignment="1">
      <alignment horizontal="left" indent="2"/>
    </xf>
    <xf numFmtId="0" fontId="146" fillId="0" borderId="0" xfId="396" applyFont="1"/>
    <xf numFmtId="9" fontId="143" fillId="0" borderId="0" xfId="396" applyNumberFormat="1" applyFont="1" applyAlignment="1">
      <alignment horizontal="center"/>
    </xf>
    <xf numFmtId="0" fontId="142" fillId="0" borderId="59" xfId="396" applyFont="1" applyBorder="1"/>
    <xf numFmtId="3" fontId="142" fillId="0" borderId="13" xfId="396" applyNumberFormat="1" applyFont="1" applyBorder="1" applyAlignment="1">
      <alignment horizontal="center"/>
    </xf>
    <xf numFmtId="0" fontId="142" fillId="0" borderId="99" xfId="396" applyFont="1" applyBorder="1" applyAlignment="1">
      <alignment horizontal="left" indent="1"/>
    </xf>
    <xf numFmtId="3" fontId="121" fillId="57" borderId="22" xfId="294" applyNumberFormat="1" applyFont="1" applyFill="1" applyBorder="1" applyAlignment="1">
      <alignment horizontal="center"/>
    </xf>
    <xf numFmtId="3" fontId="121" fillId="57" borderId="91" xfId="294" applyNumberFormat="1" applyFont="1" applyFill="1" applyBorder="1" applyAlignment="1">
      <alignment horizontal="center"/>
    </xf>
    <xf numFmtId="199" fontId="91" fillId="33" borderId="0" xfId="0" applyNumberFormat="1" applyFont="1" applyFill="1"/>
    <xf numFmtId="199" fontId="89" fillId="33" borderId="0" xfId="385" applyNumberFormat="1" applyFont="1" applyFill="1" applyAlignment="1"/>
    <xf numFmtId="0" fontId="0" fillId="0" borderId="0" xfId="0" applyAlignment="1">
      <alignment horizontal="left" indent="3"/>
    </xf>
    <xf numFmtId="0" fontId="90" fillId="33" borderId="96" xfId="0" applyFont="1" applyFill="1" applyBorder="1"/>
    <xf numFmtId="0" fontId="89" fillId="33" borderId="96" xfId="0" applyFont="1" applyFill="1" applyBorder="1"/>
    <xf numFmtId="0" fontId="90" fillId="33" borderId="96" xfId="0" applyFont="1" applyFill="1" applyBorder="1" applyAlignment="1">
      <alignment horizontal="center" vertical="center"/>
    </xf>
    <xf numFmtId="4" fontId="90" fillId="33" borderId="27" xfId="0" applyNumberFormat="1" applyFont="1" applyFill="1" applyBorder="1"/>
    <xf numFmtId="0" fontId="89" fillId="33" borderId="28" xfId="0" applyFont="1" applyFill="1" applyBorder="1" applyAlignment="1">
      <alignment horizontal="left" indent="1"/>
    </xf>
    <xf numFmtId="4" fontId="89" fillId="33" borderId="28" xfId="0" applyNumberFormat="1" applyFont="1" applyFill="1" applyBorder="1"/>
    <xf numFmtId="4" fontId="89" fillId="33" borderId="0" xfId="0" applyNumberFormat="1" applyFont="1" applyFill="1" applyAlignment="1">
      <alignment horizontal="center"/>
    </xf>
    <xf numFmtId="4" fontId="89" fillId="33" borderId="28" xfId="0" applyNumberFormat="1" applyFont="1" applyFill="1" applyBorder="1" applyAlignment="1">
      <alignment horizontal="center"/>
    </xf>
    <xf numFmtId="0" fontId="89" fillId="33" borderId="28" xfId="0" applyFont="1" applyFill="1" applyBorder="1" applyAlignment="1">
      <alignment horizontal="left" indent="2"/>
    </xf>
    <xf numFmtId="9" fontId="90" fillId="33" borderId="27" xfId="0" applyNumberFormat="1" applyFont="1" applyFill="1" applyBorder="1"/>
    <xf numFmtId="9" fontId="121" fillId="0" borderId="0" xfId="287" applyNumberFormat="1" applyFont="1"/>
    <xf numFmtId="0" fontId="142" fillId="0" borderId="99" xfId="396" applyFont="1" applyBorder="1" applyAlignment="1">
      <alignment horizontal="center" vertical="center"/>
    </xf>
    <xf numFmtId="4" fontId="147" fillId="0" borderId="0" xfId="0" applyNumberFormat="1" applyFont="1" applyAlignment="1">
      <alignment horizontal="right"/>
    </xf>
    <xf numFmtId="0" fontId="148" fillId="33" borderId="0" xfId="385" applyFont="1" applyFill="1" applyAlignment="1"/>
    <xf numFmtId="0" fontId="89" fillId="33" borderId="28" xfId="385" applyFont="1" applyFill="1" applyBorder="1" applyAlignment="1">
      <alignment horizontal="left" indent="1"/>
    </xf>
    <xf numFmtId="0" fontId="89" fillId="33" borderId="28" xfId="385" applyFont="1" applyFill="1" applyBorder="1" applyAlignment="1"/>
    <xf numFmtId="4" fontId="89" fillId="33" borderId="28" xfId="385" applyNumberFormat="1" applyFont="1" applyFill="1" applyBorder="1" applyAlignment="1"/>
    <xf numFmtId="0" fontId="89" fillId="33" borderId="0" xfId="385" applyFont="1" applyFill="1" applyBorder="1" applyAlignment="1">
      <alignment horizontal="left" indent="1"/>
    </xf>
    <xf numFmtId="0" fontId="90" fillId="33" borderId="27" xfId="385" applyFont="1" applyFill="1" applyBorder="1" applyAlignment="1"/>
    <xf numFmtId="0" fontId="96" fillId="33" borderId="59" xfId="0" applyFont="1" applyFill="1" applyBorder="1" applyAlignment="1">
      <alignment horizontal="left"/>
    </xf>
    <xf numFmtId="199" fontId="96" fillId="33" borderId="59" xfId="0" applyNumberFormat="1" applyFont="1" applyFill="1" applyBorder="1"/>
    <xf numFmtId="0" fontId="97" fillId="33" borderId="27" xfId="0" applyFont="1" applyFill="1" applyBorder="1"/>
    <xf numFmtId="199" fontId="97" fillId="33" borderId="27" xfId="0" applyNumberFormat="1" applyFont="1" applyFill="1" applyBorder="1"/>
    <xf numFmtId="0" fontId="97" fillId="33" borderId="96" xfId="0" applyFont="1" applyFill="1" applyBorder="1" applyAlignment="1">
      <alignment horizontal="left" vertical="center"/>
    </xf>
    <xf numFmtId="0" fontId="97" fillId="33" borderId="96" xfId="0" applyFont="1" applyFill="1" applyBorder="1" applyAlignment="1">
      <alignment horizontal="center" vertical="center"/>
    </xf>
    <xf numFmtId="0" fontId="96" fillId="33" borderId="0" xfId="0" applyFont="1" applyFill="1" applyAlignment="1">
      <alignment vertical="center"/>
    </xf>
    <xf numFmtId="4" fontId="89" fillId="33" borderId="0" xfId="0" applyNumberFormat="1" applyFont="1" applyFill="1" applyAlignment="1">
      <alignment horizontal="left" indent="1"/>
    </xf>
    <xf numFmtId="0" fontId="0" fillId="33" borderId="27" xfId="0" applyFill="1" applyBorder="1"/>
    <xf numFmtId="4" fontId="16" fillId="33" borderId="27" xfId="0" applyNumberFormat="1" applyFont="1" applyFill="1" applyBorder="1"/>
    <xf numFmtId="10" fontId="121" fillId="0" borderId="0" xfId="384" applyNumberFormat="1" applyFont="1" applyFill="1"/>
    <xf numFmtId="0" fontId="122" fillId="0" borderId="100" xfId="287" applyFont="1" applyBorder="1" applyAlignment="1">
      <alignment horizontal="center"/>
    </xf>
    <xf numFmtId="9" fontId="90" fillId="33" borderId="0" xfId="384" applyFont="1" applyFill="1" applyBorder="1" applyAlignment="1"/>
    <xf numFmtId="9" fontId="117" fillId="33" borderId="0" xfId="384" applyFont="1" applyFill="1" applyBorder="1"/>
    <xf numFmtId="9" fontId="89" fillId="33" borderId="0" xfId="384" applyFont="1" applyFill="1" applyBorder="1" applyAlignment="1"/>
    <xf numFmtId="0" fontId="118" fillId="33" borderId="96" xfId="0" applyFont="1" applyFill="1" applyBorder="1" applyAlignment="1">
      <alignment horizontal="left" indent="2"/>
    </xf>
    <xf numFmtId="0" fontId="90" fillId="33" borderId="0" xfId="0" applyFont="1" applyFill="1" applyAlignment="1">
      <alignment horizontal="left" indent="15"/>
    </xf>
    <xf numFmtId="0" fontId="95" fillId="33" borderId="0" xfId="0" applyFont="1" applyFill="1" applyAlignment="1">
      <alignment horizontal="left" indent="13"/>
    </xf>
    <xf numFmtId="0" fontId="91" fillId="33" borderId="0" xfId="0" applyFont="1" applyFill="1"/>
    <xf numFmtId="199" fontId="90" fillId="33" borderId="28" xfId="0" applyNumberFormat="1" applyFont="1" applyFill="1" applyBorder="1"/>
    <xf numFmtId="0" fontId="117" fillId="0" borderId="0" xfId="396" applyFont="1" applyAlignment="1">
      <alignment horizontal="right"/>
    </xf>
    <xf numFmtId="0" fontId="117" fillId="0" borderId="99" xfId="396" applyFont="1" applyBorder="1" applyAlignment="1">
      <alignment horizontal="right"/>
    </xf>
    <xf numFmtId="0" fontId="118" fillId="0" borderId="59" xfId="396" applyFont="1" applyBorder="1" applyAlignment="1">
      <alignment horizontal="right"/>
    </xf>
    <xf numFmtId="0" fontId="118" fillId="0" borderId="27" xfId="396" applyFont="1" applyBorder="1" applyAlignment="1">
      <alignment horizontal="right"/>
    </xf>
    <xf numFmtId="0" fontId="117" fillId="0" borderId="28" xfId="396" applyFont="1" applyBorder="1" applyAlignment="1">
      <alignment horizontal="right"/>
    </xf>
    <xf numFmtId="199" fontId="142" fillId="0" borderId="0" xfId="396" applyNumberFormat="1" applyFont="1" applyAlignment="1">
      <alignment horizontal="right"/>
    </xf>
    <xf numFmtId="164" fontId="142" fillId="0" borderId="0" xfId="396" applyNumberFormat="1" applyFont="1" applyAlignment="1">
      <alignment horizontal="center"/>
    </xf>
    <xf numFmtId="164" fontId="142" fillId="0" borderId="0" xfId="397" applyFont="1" applyAlignment="1">
      <alignment horizontal="right" indent="1"/>
    </xf>
    <xf numFmtId="164" fontId="142" fillId="0" borderId="0" xfId="397" applyFont="1" applyBorder="1" applyAlignment="1">
      <alignment horizontal="right"/>
    </xf>
    <xf numFmtId="164" fontId="143" fillId="0" borderId="27" xfId="397" applyFont="1" applyBorder="1" applyAlignment="1">
      <alignment horizontal="right" indent="1"/>
    </xf>
    <xf numFmtId="3" fontId="142" fillId="0" borderId="0" xfId="396" applyNumberFormat="1" applyFont="1" applyAlignment="1">
      <alignment horizontal="right"/>
    </xf>
    <xf numFmtId="3" fontId="142" fillId="0" borderId="28" xfId="396" applyNumberFormat="1" applyFont="1" applyBorder="1" applyAlignment="1">
      <alignment horizontal="right"/>
    </xf>
    <xf numFmtId="3" fontId="142" fillId="0" borderId="59" xfId="396" applyNumberFormat="1" applyFont="1" applyBorder="1" applyAlignment="1">
      <alignment horizontal="right"/>
    </xf>
    <xf numFmtId="3" fontId="142" fillId="0" borderId="27" xfId="396" applyNumberFormat="1" applyFont="1" applyBorder="1" applyAlignment="1">
      <alignment horizontal="right"/>
    </xf>
    <xf numFmtId="3" fontId="142" fillId="0" borderId="99" xfId="396" applyNumberFormat="1" applyFont="1" applyBorder="1" applyAlignment="1">
      <alignment horizontal="right"/>
    </xf>
    <xf numFmtId="164" fontId="142" fillId="0" borderId="99" xfId="397" applyFont="1" applyBorder="1" applyAlignment="1"/>
    <xf numFmtId="164" fontId="142" fillId="0" borderId="13" xfId="397" applyFont="1" applyBorder="1" applyAlignment="1"/>
    <xf numFmtId="166" fontId="117" fillId="33" borderId="0" xfId="0" applyNumberFormat="1" applyFont="1" applyFill="1"/>
    <xf numFmtId="0" fontId="117" fillId="0" borderId="0" xfId="0" applyFont="1"/>
    <xf numFmtId="0" fontId="117" fillId="0" borderId="0" xfId="0" applyFont="1" applyAlignment="1">
      <alignment horizontal="left" indent="1"/>
    </xf>
    <xf numFmtId="0" fontId="118" fillId="0" borderId="0" xfId="0" applyFont="1"/>
    <xf numFmtId="0" fontId="118" fillId="0" borderId="0" xfId="0" applyFont="1" applyAlignment="1">
      <alignment horizontal="center"/>
    </xf>
    <xf numFmtId="0" fontId="118" fillId="0" borderId="0" xfId="0" applyFont="1" applyAlignment="1">
      <alignment horizontal="center" vertical="center"/>
    </xf>
    <xf numFmtId="199" fontId="142" fillId="0" borderId="0" xfId="396" applyNumberFormat="1" applyFont="1"/>
    <xf numFmtId="199" fontId="117" fillId="0" borderId="0" xfId="0" applyNumberFormat="1" applyFont="1"/>
    <xf numFmtId="199" fontId="118" fillId="0" borderId="0" xfId="0" applyNumberFormat="1" applyFont="1"/>
    <xf numFmtId="199" fontId="142" fillId="0" borderId="99" xfId="396" applyNumberFormat="1" applyFont="1" applyBorder="1"/>
    <xf numFmtId="4" fontId="142" fillId="0" borderId="0" xfId="396" applyNumberFormat="1" applyFont="1"/>
    <xf numFmtId="9" fontId="142" fillId="0" borderId="0" xfId="396" applyNumberFormat="1" applyFont="1"/>
    <xf numFmtId="9" fontId="143" fillId="0" borderId="96" xfId="396" applyNumberFormat="1" applyFont="1" applyBorder="1"/>
    <xf numFmtId="3" fontId="142" fillId="0" borderId="28" xfId="396" applyNumberFormat="1" applyFont="1" applyBorder="1"/>
    <xf numFmtId="3" fontId="142" fillId="0" borderId="0" xfId="396" applyNumberFormat="1" applyFont="1"/>
    <xf numFmtId="0" fontId="118" fillId="0" borderId="96" xfId="0" applyFont="1" applyBorder="1"/>
    <xf numFmtId="199" fontId="118" fillId="0" borderId="96" xfId="0" applyNumberFormat="1" applyFont="1" applyBorder="1" applyAlignment="1">
      <alignment horizontal="center"/>
    </xf>
    <xf numFmtId="0" fontId="117" fillId="0" borderId="28" xfId="0" applyFont="1" applyBorder="1" applyAlignment="1">
      <alignment horizontal="left" indent="1"/>
    </xf>
    <xf numFmtId="0" fontId="117" fillId="0" borderId="28" xfId="0" applyFont="1" applyBorder="1"/>
    <xf numFmtId="199" fontId="117" fillId="0" borderId="28" xfId="0" applyNumberFormat="1" applyFont="1" applyBorder="1"/>
    <xf numFmtId="4" fontId="0" fillId="0" borderId="0" xfId="0" applyNumberFormat="1"/>
    <xf numFmtId="208" fontId="89" fillId="33" borderId="0" xfId="0" applyNumberFormat="1" applyFont="1" applyFill="1"/>
    <xf numFmtId="0" fontId="149" fillId="0" borderId="10" xfId="0" applyFont="1" applyBorder="1" applyAlignment="1">
      <alignment vertical="center"/>
    </xf>
    <xf numFmtId="0" fontId="150" fillId="0" borderId="10" xfId="0" applyFont="1" applyBorder="1" applyAlignment="1">
      <alignment vertical="center"/>
    </xf>
    <xf numFmtId="9" fontId="0" fillId="0" borderId="10" xfId="0" applyNumberFormat="1" applyBorder="1"/>
    <xf numFmtId="0" fontId="0" fillId="0" borderId="10" xfId="0" applyBorder="1"/>
    <xf numFmtId="207" fontId="150" fillId="0" borderId="10" xfId="0" applyNumberFormat="1" applyFont="1" applyBorder="1" applyAlignment="1">
      <alignment vertical="center"/>
    </xf>
    <xf numFmtId="207" fontId="0" fillId="0" borderId="10" xfId="41" applyNumberFormat="1" applyFont="1" applyBorder="1" applyAlignment="1">
      <alignment vertical="center"/>
    </xf>
    <xf numFmtId="0" fontId="150" fillId="0" borderId="10" xfId="0" applyFont="1" applyBorder="1" applyAlignment="1">
      <alignment vertical="center" wrapText="1"/>
    </xf>
    <xf numFmtId="207" fontId="150" fillId="0" borderId="101" xfId="0" applyNumberFormat="1" applyFont="1" applyBorder="1" applyAlignment="1">
      <alignment vertical="center"/>
    </xf>
    <xf numFmtId="0" fontId="0" fillId="0" borderId="106" xfId="0" applyBorder="1"/>
    <xf numFmtId="207" fontId="0" fillId="0" borderId="10" xfId="41" applyNumberFormat="1" applyFont="1" applyFill="1" applyBorder="1" applyAlignment="1">
      <alignment vertical="center"/>
    </xf>
    <xf numFmtId="207" fontId="0" fillId="0" borderId="0" xfId="0" applyNumberFormat="1"/>
    <xf numFmtId="0" fontId="150" fillId="0" borderId="101" xfId="0" applyFont="1" applyBorder="1" applyAlignment="1">
      <alignment vertical="center"/>
    </xf>
    <xf numFmtId="207" fontId="0" fillId="0" borderId="101" xfId="41" applyNumberFormat="1" applyFont="1" applyBorder="1" applyAlignment="1">
      <alignment vertical="center"/>
    </xf>
    <xf numFmtId="0" fontId="0" fillId="0" borderId="101" xfId="0" applyBorder="1"/>
    <xf numFmtId="207" fontId="16" fillId="0" borderId="105" xfId="0" applyNumberFormat="1" applyFont="1" applyBorder="1"/>
    <xf numFmtId="207" fontId="16" fillId="0" borderId="0" xfId="0" applyNumberFormat="1" applyFont="1"/>
    <xf numFmtId="164" fontId="118" fillId="33" borderId="0" xfId="41" applyFont="1" applyFill="1" applyBorder="1"/>
    <xf numFmtId="4" fontId="0" fillId="0" borderId="0" xfId="0" applyNumberFormat="1" applyAlignment="1">
      <alignment horizontal="left" indent="1"/>
    </xf>
    <xf numFmtId="4" fontId="0" fillId="0" borderId="0" xfId="0" applyNumberFormat="1" applyAlignment="1">
      <alignment horizontal="left" indent="2"/>
    </xf>
    <xf numFmtId="0" fontId="109" fillId="0" borderId="96" xfId="0" applyFont="1" applyBorder="1" applyAlignment="1">
      <alignment horizontal="left"/>
    </xf>
    <xf numFmtId="0" fontId="16" fillId="0" borderId="27" xfId="0" applyFont="1" applyBorder="1"/>
    <xf numFmtId="4" fontId="109" fillId="0" borderId="27" xfId="0" applyNumberFormat="1" applyFont="1" applyBorder="1" applyAlignment="1">
      <alignment horizontal="right"/>
    </xf>
    <xf numFmtId="0" fontId="16" fillId="0" borderId="96" xfId="0" applyFont="1" applyBorder="1" applyAlignment="1">
      <alignment horizontal="left" indent="1"/>
    </xf>
    <xf numFmtId="0" fontId="16" fillId="0" borderId="96" xfId="0" applyFont="1" applyBorder="1" applyAlignment="1">
      <alignment horizontal="center" vertical="center"/>
    </xf>
    <xf numFmtId="0" fontId="16" fillId="0" borderId="96" xfId="0" applyFont="1" applyBorder="1"/>
    <xf numFmtId="0" fontId="0" fillId="0" borderId="96" xfId="0" applyBorder="1"/>
    <xf numFmtId="0" fontId="0" fillId="0" borderId="28" xfId="0" applyBorder="1" applyAlignment="1">
      <alignment horizontal="left" indent="1"/>
    </xf>
    <xf numFmtId="0" fontId="16" fillId="0" borderId="96" xfId="0" applyFont="1" applyBorder="1" applyAlignment="1">
      <alignment horizontal="center"/>
    </xf>
    <xf numFmtId="4" fontId="0" fillId="0" borderId="27" xfId="0" applyNumberFormat="1" applyBorder="1" applyAlignment="1">
      <alignment horizontal="left" indent="2"/>
    </xf>
    <xf numFmtId="4" fontId="0" fillId="0" borderId="27" xfId="0" applyNumberFormat="1" applyBorder="1"/>
    <xf numFmtId="199" fontId="89" fillId="33" borderId="0" xfId="385" applyNumberFormat="1" applyFont="1" applyFill="1" applyBorder="1" applyAlignment="1"/>
    <xf numFmtId="4" fontId="109" fillId="0" borderId="0" xfId="0" applyNumberFormat="1" applyFont="1" applyAlignment="1">
      <alignment horizontal="right"/>
    </xf>
    <xf numFmtId="4" fontId="151" fillId="0" borderId="0" xfId="0" applyNumberFormat="1" applyFont="1" applyAlignment="1">
      <alignment horizontal="right"/>
    </xf>
    <xf numFmtId="4" fontId="109" fillId="0" borderId="96" xfId="0" applyNumberFormat="1" applyFont="1" applyBorder="1" applyAlignment="1">
      <alignment horizontal="right"/>
    </xf>
    <xf numFmtId="4" fontId="16" fillId="0" borderId="0" xfId="0" applyNumberFormat="1" applyFont="1"/>
    <xf numFmtId="4" fontId="16" fillId="0" borderId="0" xfId="0" applyNumberFormat="1" applyFont="1" applyAlignment="1">
      <alignment horizontal="left"/>
    </xf>
    <xf numFmtId="4" fontId="0" fillId="0" borderId="28" xfId="0" applyNumberFormat="1" applyBorder="1"/>
    <xf numFmtId="0" fontId="102" fillId="0" borderId="0" xfId="0" applyFont="1" applyAlignment="1">
      <alignment horizontal="left" indent="1"/>
    </xf>
    <xf numFmtId="0" fontId="102" fillId="0" borderId="0" xfId="0" applyFont="1" applyAlignment="1">
      <alignment horizontal="left" indent="2"/>
    </xf>
    <xf numFmtId="0" fontId="102" fillId="0" borderId="107" xfId="0" applyFont="1" applyBorder="1" applyAlignment="1">
      <alignment horizontal="left" indent="2"/>
    </xf>
    <xf numFmtId="0" fontId="102" fillId="0" borderId="107" xfId="0" applyFont="1" applyBorder="1"/>
    <xf numFmtId="0" fontId="110" fillId="0" borderId="27" xfId="0" applyFont="1" applyBorder="1" applyAlignment="1">
      <alignment horizontal="left"/>
    </xf>
    <xf numFmtId="0" fontId="110" fillId="0" borderId="27" xfId="0" applyFont="1" applyBorder="1"/>
    <xf numFmtId="164" fontId="102" fillId="0" borderId="0" xfId="41" applyFont="1"/>
    <xf numFmtId="164" fontId="89" fillId="33" borderId="0" xfId="0" applyNumberFormat="1" applyFont="1" applyFill="1"/>
    <xf numFmtId="0" fontId="120" fillId="33" borderId="0" xfId="385" applyFont="1" applyFill="1" applyAlignment="1"/>
    <xf numFmtId="9" fontId="118" fillId="0" borderId="96" xfId="396" applyNumberFormat="1" applyFont="1" applyBorder="1" applyAlignment="1">
      <alignment horizontal="center"/>
    </xf>
    <xf numFmtId="0" fontId="104" fillId="33" borderId="0" xfId="385" applyFont="1" applyFill="1" applyBorder="1" applyAlignment="1">
      <alignment horizontal="center"/>
    </xf>
    <xf numFmtId="200" fontId="105" fillId="57" borderId="0" xfId="385" applyNumberFormat="1" applyFont="1" applyFill="1" applyAlignment="1">
      <alignment horizontal="center"/>
    </xf>
    <xf numFmtId="199" fontId="90" fillId="33" borderId="0" xfId="385" applyNumberFormat="1" applyFont="1" applyFill="1" applyBorder="1" applyAlignment="1"/>
    <xf numFmtId="0" fontId="0" fillId="64" borderId="0" xfId="0" applyFill="1"/>
    <xf numFmtId="212" fontId="16" fillId="0" borderId="0" xfId="0" applyNumberFormat="1" applyFont="1"/>
    <xf numFmtId="2" fontId="16" fillId="0" borderId="10" xfId="0" applyNumberFormat="1" applyFont="1" applyBorder="1"/>
    <xf numFmtId="213" fontId="0" fillId="0" borderId="10" xfId="0" applyNumberFormat="1" applyBorder="1"/>
    <xf numFmtId="214" fontId="0" fillId="0" borderId="10" xfId="0" applyNumberFormat="1" applyBorder="1"/>
    <xf numFmtId="214" fontId="0" fillId="0" borderId="0" xfId="0" applyNumberFormat="1"/>
    <xf numFmtId="214" fontId="0" fillId="64" borderId="0" xfId="0" applyNumberFormat="1" applyFill="1"/>
    <xf numFmtId="0" fontId="16" fillId="0" borderId="10" xfId="0" applyFont="1" applyBorder="1"/>
    <xf numFmtId="214" fontId="16" fillId="0" borderId="10" xfId="0" applyNumberFormat="1" applyFont="1" applyBorder="1"/>
    <xf numFmtId="214" fontId="16" fillId="0" borderId="0" xfId="0" applyNumberFormat="1" applyFont="1"/>
    <xf numFmtId="212" fontId="0" fillId="0" borderId="0" xfId="0" applyNumberFormat="1"/>
    <xf numFmtId="207" fontId="0" fillId="64" borderId="0" xfId="0" applyNumberFormat="1" applyFill="1"/>
    <xf numFmtId="0" fontId="0" fillId="65" borderId="108" xfId="0" applyFill="1" applyBorder="1"/>
    <xf numFmtId="212" fontId="0" fillId="0" borderId="98" xfId="0" applyNumberFormat="1" applyBorder="1"/>
    <xf numFmtId="0" fontId="0" fillId="0" borderId="98" xfId="0" applyBorder="1"/>
    <xf numFmtId="207" fontId="0" fillId="0" borderId="98" xfId="0" applyNumberFormat="1" applyBorder="1"/>
    <xf numFmtId="0" fontId="0" fillId="0" borderId="109" xfId="0" applyBorder="1"/>
    <xf numFmtId="0" fontId="149" fillId="0" borderId="110" xfId="0" applyFont="1" applyBorder="1" applyAlignment="1">
      <alignment vertical="center"/>
    </xf>
    <xf numFmtId="0" fontId="149" fillId="0" borderId="111" xfId="0" applyFont="1" applyBorder="1" applyAlignment="1">
      <alignment vertical="center"/>
    </xf>
    <xf numFmtId="0" fontId="150" fillId="0" borderId="110" xfId="0" applyFont="1" applyBorder="1" applyAlignment="1">
      <alignment vertical="center"/>
    </xf>
    <xf numFmtId="207" fontId="150" fillId="0" borderId="10" xfId="41" applyNumberFormat="1" applyFont="1" applyFill="1" applyBorder="1" applyAlignment="1">
      <alignment vertical="center"/>
    </xf>
    <xf numFmtId="0" fontId="150" fillId="0" borderId="111" xfId="0" applyFont="1" applyBorder="1" applyAlignment="1">
      <alignment vertical="center"/>
    </xf>
    <xf numFmtId="207" fontId="150" fillId="0" borderId="10" xfId="41" applyNumberFormat="1" applyFont="1" applyBorder="1" applyAlignment="1">
      <alignment vertical="center"/>
    </xf>
    <xf numFmtId="0" fontId="150" fillId="0" borderId="112" xfId="0" applyFont="1" applyBorder="1" applyAlignment="1">
      <alignment vertical="center"/>
    </xf>
    <xf numFmtId="207" fontId="150" fillId="0" borderId="101" xfId="41" applyNumberFormat="1" applyFont="1" applyBorder="1" applyAlignment="1">
      <alignment vertical="center"/>
    </xf>
    <xf numFmtId="207" fontId="16" fillId="0" borderId="104" xfId="0" applyNumberFormat="1" applyFont="1" applyBorder="1"/>
    <xf numFmtId="0" fontId="0" fillId="0" borderId="113" xfId="0" applyBorder="1"/>
    <xf numFmtId="0" fontId="0" fillId="0" borderId="114" xfId="0" applyBorder="1"/>
    <xf numFmtId="0" fontId="149" fillId="0" borderId="0" xfId="0" applyFont="1" applyAlignment="1">
      <alignment horizontal="center" vertical="center"/>
    </xf>
    <xf numFmtId="0" fontId="150" fillId="57" borderId="0" xfId="0" applyFont="1" applyFill="1" applyAlignment="1">
      <alignment vertical="center"/>
    </xf>
    <xf numFmtId="0" fontId="0" fillId="57" borderId="0" xfId="0" applyFill="1"/>
    <xf numFmtId="0" fontId="149" fillId="64" borderId="0" xfId="0" applyFont="1" applyFill="1" applyAlignment="1">
      <alignment vertical="center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wrapText="1"/>
    </xf>
    <xf numFmtId="0" fontId="0" fillId="64" borderId="0" xfId="0" applyFill="1" applyAlignment="1">
      <alignment wrapText="1"/>
    </xf>
    <xf numFmtId="207" fontId="0" fillId="0" borderId="0" xfId="41" applyNumberFormat="1" applyFont="1" applyAlignment="1">
      <alignment vertical="center"/>
    </xf>
    <xf numFmtId="207" fontId="150" fillId="66" borderId="10" xfId="0" applyNumberFormat="1" applyFont="1" applyFill="1" applyBorder="1" applyAlignment="1">
      <alignment vertical="center"/>
    </xf>
    <xf numFmtId="0" fontId="0" fillId="0" borderId="10" xfId="0" applyBorder="1" applyAlignment="1">
      <alignment vertical="top" wrapText="1"/>
    </xf>
    <xf numFmtId="0" fontId="150" fillId="0" borderId="10" xfId="0" applyFont="1" applyBorder="1" applyAlignment="1">
      <alignment vertical="top" wrapText="1"/>
    </xf>
    <xf numFmtId="0" fontId="150" fillId="0" borderId="101" xfId="0" applyFont="1" applyBorder="1" applyAlignment="1">
      <alignment vertical="top" wrapText="1"/>
    </xf>
    <xf numFmtId="207" fontId="149" fillId="0" borderId="104" xfId="0" applyNumberFormat="1" applyFont="1" applyBorder="1" applyAlignment="1">
      <alignment vertical="center"/>
    </xf>
    <xf numFmtId="0" fontId="0" fillId="0" borderId="117" xfId="0" applyBorder="1"/>
    <xf numFmtId="0" fontId="150" fillId="0" borderId="0" xfId="0" applyFont="1" applyAlignment="1">
      <alignment horizontal="center" vertical="center" wrapText="1"/>
    </xf>
    <xf numFmtId="0" fontId="150" fillId="0" borderId="87" xfId="0" applyFont="1" applyBorder="1" applyAlignment="1">
      <alignment horizontal="center" vertical="center" wrapText="1"/>
    </xf>
    <xf numFmtId="207" fontId="150" fillId="0" borderId="0" xfId="0" applyNumberFormat="1" applyFont="1" applyAlignment="1">
      <alignment vertical="center"/>
    </xf>
    <xf numFmtId="9" fontId="0" fillId="0" borderId="10" xfId="0" applyNumberFormat="1" applyBorder="1" applyAlignment="1">
      <alignment vertical="center"/>
    </xf>
    <xf numFmtId="0" fontId="150" fillId="57" borderId="10" xfId="0" applyFont="1" applyFill="1" applyBorder="1" applyAlignment="1">
      <alignment vertical="center" wrapText="1"/>
    </xf>
    <xf numFmtId="0" fontId="149" fillId="0" borderId="10" xfId="0" applyFont="1" applyBorder="1" applyAlignment="1">
      <alignment vertical="center" wrapText="1"/>
    </xf>
    <xf numFmtId="207" fontId="16" fillId="0" borderId="10" xfId="41" applyNumberFormat="1" applyFont="1" applyBorder="1" applyAlignment="1">
      <alignment vertical="center"/>
    </xf>
    <xf numFmtId="207" fontId="149" fillId="0" borderId="10" xfId="0" applyNumberFormat="1" applyFont="1" applyBorder="1" applyAlignment="1">
      <alignment vertical="center"/>
    </xf>
    <xf numFmtId="207" fontId="0" fillId="0" borderId="118" xfId="0" applyNumberFormat="1" applyBorder="1"/>
    <xf numFmtId="0" fontId="149" fillId="0" borderId="0" xfId="0" applyFont="1" applyAlignment="1">
      <alignment horizontal="center" vertical="center" wrapText="1"/>
    </xf>
    <xf numFmtId="207" fontId="0" fillId="0" borderId="10" xfId="0" applyNumberFormat="1" applyBorder="1"/>
    <xf numFmtId="207" fontId="152" fillId="59" borderId="0" xfId="0" applyNumberFormat="1" applyFont="1" applyFill="1"/>
    <xf numFmtId="0" fontId="153" fillId="0" borderId="0" xfId="0" applyFont="1"/>
    <xf numFmtId="207" fontId="154" fillId="0" borderId="0" xfId="0" applyNumberFormat="1" applyFont="1"/>
    <xf numFmtId="0" fontId="152" fillId="59" borderId="0" xfId="0" applyFont="1" applyFill="1"/>
    <xf numFmtId="207" fontId="154" fillId="0" borderId="0" xfId="41" applyNumberFormat="1" applyFont="1"/>
    <xf numFmtId="0" fontId="16" fillId="64" borderId="0" xfId="0" applyFont="1" applyFill="1"/>
    <xf numFmtId="1" fontId="0" fillId="0" borderId="0" xfId="0" applyNumberFormat="1"/>
    <xf numFmtId="0" fontId="0" fillId="59" borderId="0" xfId="0" applyFill="1"/>
    <xf numFmtId="212" fontId="0" fillId="0" borderId="10" xfId="0" applyNumberFormat="1" applyBorder="1"/>
    <xf numFmtId="0" fontId="0" fillId="0" borderId="108" xfId="0" applyBorder="1"/>
    <xf numFmtId="207" fontId="150" fillId="0" borderId="103" xfId="0" applyNumberFormat="1" applyFont="1" applyBorder="1" applyAlignment="1">
      <alignment vertical="center"/>
    </xf>
    <xf numFmtId="0" fontId="149" fillId="0" borderId="104" xfId="0" applyFont="1" applyBorder="1" applyAlignment="1">
      <alignment vertical="center"/>
    </xf>
    <xf numFmtId="215" fontId="0" fillId="0" borderId="10" xfId="0" applyNumberFormat="1" applyBorder="1"/>
    <xf numFmtId="9" fontId="0" fillId="65" borderId="10" xfId="0" applyNumberFormat="1" applyFill="1" applyBorder="1"/>
    <xf numFmtId="1" fontId="0" fillId="0" borderId="10" xfId="0" applyNumberFormat="1" applyBorder="1"/>
    <xf numFmtId="0" fontId="115" fillId="0" borderId="115" xfId="0" applyFont="1" applyBorder="1"/>
    <xf numFmtId="207" fontId="0" fillId="0" borderId="103" xfId="41" applyNumberFormat="1" applyFont="1" applyBorder="1" applyAlignment="1">
      <alignment vertical="center"/>
    </xf>
    <xf numFmtId="207" fontId="150" fillId="0" borderId="103" xfId="41" applyNumberFormat="1" applyFont="1" applyFill="1" applyBorder="1" applyAlignment="1">
      <alignment vertical="center"/>
    </xf>
    <xf numFmtId="0" fontId="150" fillId="0" borderId="103" xfId="0" applyFont="1" applyBorder="1" applyAlignment="1">
      <alignment vertical="center"/>
    </xf>
    <xf numFmtId="207" fontId="150" fillId="0" borderId="104" xfId="0" applyNumberFormat="1" applyFont="1" applyBorder="1" applyAlignment="1">
      <alignment vertical="center"/>
    </xf>
    <xf numFmtId="0" fontId="149" fillId="0" borderId="119" xfId="0" applyFont="1" applyBorder="1" applyAlignment="1">
      <alignment vertical="center"/>
    </xf>
    <xf numFmtId="0" fontId="149" fillId="0" borderId="93" xfId="0" applyFont="1" applyBorder="1" applyAlignment="1">
      <alignment vertical="center" wrapText="1"/>
    </xf>
    <xf numFmtId="207" fontId="16" fillId="0" borderId="93" xfId="41" applyNumberFormat="1" applyFont="1" applyBorder="1" applyAlignment="1">
      <alignment vertical="center"/>
    </xf>
    <xf numFmtId="0" fontId="16" fillId="0" borderId="93" xfId="0" applyFont="1" applyBorder="1"/>
    <xf numFmtId="207" fontId="149" fillId="0" borderId="93" xfId="0" applyNumberFormat="1" applyFont="1" applyBorder="1" applyAlignment="1">
      <alignment vertical="center"/>
    </xf>
    <xf numFmtId="207" fontId="150" fillId="0" borderId="101" xfId="41" applyNumberFormat="1" applyFont="1" applyFill="1" applyBorder="1" applyAlignment="1">
      <alignment vertical="center"/>
    </xf>
    <xf numFmtId="0" fontId="150" fillId="0" borderId="113" xfId="0" applyFont="1" applyBorder="1" applyAlignment="1">
      <alignment vertical="center"/>
    </xf>
    <xf numFmtId="0" fontId="0" fillId="0" borderId="105" xfId="0" applyBorder="1"/>
    <xf numFmtId="0" fontId="152" fillId="58" borderId="120" xfId="0" applyFont="1" applyFill="1" applyBorder="1"/>
    <xf numFmtId="207" fontId="152" fillId="58" borderId="121" xfId="0" applyNumberFormat="1" applyFont="1" applyFill="1" applyBorder="1"/>
    <xf numFmtId="0" fontId="152" fillId="58" borderId="110" xfId="0" applyFont="1" applyFill="1" applyBorder="1"/>
    <xf numFmtId="207" fontId="152" fillId="58" borderId="111" xfId="0" applyNumberFormat="1" applyFont="1" applyFill="1" applyBorder="1"/>
    <xf numFmtId="0" fontId="152" fillId="58" borderId="16" xfId="0" applyFont="1" applyFill="1" applyBorder="1"/>
    <xf numFmtId="207" fontId="152" fillId="58" borderId="17" xfId="0" applyNumberFormat="1" applyFont="1" applyFill="1" applyBorder="1"/>
    <xf numFmtId="0" fontId="150" fillId="0" borderId="87" xfId="0" applyFont="1" applyBorder="1" applyAlignment="1">
      <alignment vertical="center"/>
    </xf>
    <xf numFmtId="207" fontId="0" fillId="0" borderId="46" xfId="41" applyNumberFormat="1" applyFont="1" applyBorder="1" applyAlignment="1">
      <alignment vertical="center"/>
    </xf>
    <xf numFmtId="207" fontId="150" fillId="0" borderId="46" xfId="41" applyNumberFormat="1" applyFont="1" applyFill="1" applyBorder="1" applyAlignment="1">
      <alignment vertical="center"/>
    </xf>
    <xf numFmtId="0" fontId="150" fillId="0" borderId="46" xfId="0" applyFont="1" applyBorder="1" applyAlignment="1">
      <alignment vertical="center"/>
    </xf>
    <xf numFmtId="0" fontId="149" fillId="0" borderId="20" xfId="0" applyFont="1" applyBorder="1" applyAlignment="1">
      <alignment vertical="center"/>
    </xf>
    <xf numFmtId="0" fontId="0" fillId="0" borderId="10" xfId="0" applyBorder="1" applyAlignment="1">
      <alignment vertical="top"/>
    </xf>
    <xf numFmtId="0" fontId="92" fillId="33" borderId="96" xfId="0" applyFont="1" applyFill="1" applyBorder="1" applyAlignment="1">
      <alignment horizontal="left"/>
    </xf>
    <xf numFmtId="0" fontId="118" fillId="33" borderId="0" xfId="0" applyFont="1" applyFill="1" applyAlignment="1">
      <alignment horizontal="center" vertical="center"/>
    </xf>
    <xf numFmtId="4" fontId="89" fillId="33" borderId="0" xfId="385" applyNumberFormat="1" applyFont="1" applyFill="1" applyBorder="1" applyAlignment="1"/>
    <xf numFmtId="2" fontId="90" fillId="33" borderId="0" xfId="385" applyNumberFormat="1" applyFont="1" applyFill="1" applyBorder="1" applyAlignment="1"/>
    <xf numFmtId="0" fontId="92" fillId="33" borderId="0" xfId="385" applyFont="1" applyFill="1" applyBorder="1" applyAlignment="1">
      <alignment horizontal="center"/>
    </xf>
    <xf numFmtId="0" fontId="117" fillId="0" borderId="0" xfId="0" applyFont="1" applyAlignment="1">
      <alignment horizontal="center"/>
    </xf>
    <xf numFmtId="164" fontId="142" fillId="0" borderId="0" xfId="396" applyNumberFormat="1" applyFont="1"/>
    <xf numFmtId="0" fontId="117" fillId="33" borderId="107" xfId="0" applyFont="1" applyFill="1" applyBorder="1" applyAlignment="1">
      <alignment horizontal="left" indent="1"/>
    </xf>
    <xf numFmtId="0" fontId="117" fillId="33" borderId="107" xfId="0" applyFont="1" applyFill="1" applyBorder="1"/>
    <xf numFmtId="0" fontId="117" fillId="33" borderId="28" xfId="0" applyFont="1" applyFill="1" applyBorder="1" applyAlignment="1">
      <alignment horizontal="left" indent="1"/>
    </xf>
    <xf numFmtId="0" fontId="117" fillId="33" borderId="28" xfId="0" applyFont="1" applyFill="1" applyBorder="1"/>
    <xf numFmtId="216" fontId="117" fillId="33" borderId="0" xfId="0" applyNumberFormat="1" applyFont="1" applyFill="1"/>
    <xf numFmtId="0" fontId="118" fillId="33" borderId="0" xfId="0" applyFont="1" applyFill="1" applyAlignment="1">
      <alignment horizontal="left"/>
    </xf>
    <xf numFmtId="9" fontId="118" fillId="33" borderId="96" xfId="0" applyNumberFormat="1" applyFont="1" applyFill="1" applyBorder="1" applyAlignment="1">
      <alignment horizontal="center" vertical="center"/>
    </xf>
    <xf numFmtId="0" fontId="117" fillId="33" borderId="27" xfId="0" applyFont="1" applyFill="1" applyBorder="1"/>
    <xf numFmtId="0" fontId="118" fillId="33" borderId="96" xfId="0" applyFont="1" applyFill="1" applyBorder="1" applyAlignment="1">
      <alignment horizontal="left" indent="1"/>
    </xf>
    <xf numFmtId="0" fontId="118" fillId="33" borderId="107" xfId="0" applyFont="1" applyFill="1" applyBorder="1" applyAlignment="1">
      <alignment horizontal="left" indent="1"/>
    </xf>
    <xf numFmtId="216" fontId="118" fillId="33" borderId="107" xfId="0" applyNumberFormat="1" applyFont="1" applyFill="1" applyBorder="1"/>
    <xf numFmtId="0" fontId="118" fillId="33" borderId="107" xfId="0" applyFont="1" applyFill="1" applyBorder="1" applyAlignment="1">
      <alignment horizontal="center" vertical="center"/>
    </xf>
    <xf numFmtId="216" fontId="118" fillId="33" borderId="27" xfId="0" applyNumberFormat="1" applyFont="1" applyFill="1" applyBorder="1"/>
    <xf numFmtId="0" fontId="118" fillId="33" borderId="107" xfId="0" applyFont="1" applyFill="1" applyBorder="1"/>
    <xf numFmtId="200" fontId="118" fillId="33" borderId="107" xfId="0" applyNumberFormat="1" applyFont="1" applyFill="1" applyBorder="1"/>
    <xf numFmtId="216" fontId="117" fillId="33" borderId="28" xfId="0" applyNumberFormat="1" applyFont="1" applyFill="1" applyBorder="1"/>
    <xf numFmtId="0" fontId="105" fillId="33" borderId="96" xfId="385" applyFont="1" applyFill="1" applyBorder="1" applyAlignment="1"/>
    <xf numFmtId="0" fontId="104" fillId="33" borderId="96" xfId="385" applyFont="1" applyFill="1" applyBorder="1" applyAlignment="1"/>
    <xf numFmtId="0" fontId="105" fillId="33" borderId="96" xfId="385" applyFont="1" applyFill="1" applyBorder="1" applyAlignment="1">
      <alignment horizontal="center"/>
    </xf>
    <xf numFmtId="0" fontId="105" fillId="33" borderId="96" xfId="385" applyFont="1" applyFill="1" applyBorder="1" applyAlignment="1">
      <alignment horizontal="center" vertical="center"/>
    </xf>
    <xf numFmtId="0" fontId="104" fillId="59" borderId="107" xfId="385" applyFont="1" applyFill="1" applyBorder="1" applyAlignment="1"/>
    <xf numFmtId="0" fontId="105" fillId="59" borderId="107" xfId="385" applyFont="1" applyFill="1" applyBorder="1" applyAlignment="1">
      <alignment horizontal="center"/>
    </xf>
    <xf numFmtId="4" fontId="104" fillId="59" borderId="107" xfId="385" applyNumberFormat="1" applyFont="1" applyFill="1" applyBorder="1" applyAlignment="1"/>
    <xf numFmtId="0" fontId="105" fillId="59" borderId="27" xfId="385" applyFont="1" applyFill="1" applyBorder="1" applyAlignment="1"/>
    <xf numFmtId="0" fontId="104" fillId="59" borderId="27" xfId="385" applyFont="1" applyFill="1" applyBorder="1" applyAlignment="1"/>
    <xf numFmtId="0" fontId="105" fillId="59" borderId="27" xfId="385" applyFont="1" applyFill="1" applyBorder="1" applyAlignment="1">
      <alignment horizontal="center"/>
    </xf>
    <xf numFmtId="4" fontId="105" fillId="59" borderId="27" xfId="385" applyNumberFormat="1" applyFont="1" applyFill="1" applyBorder="1" applyAlignment="1"/>
    <xf numFmtId="0" fontId="104" fillId="0" borderId="107" xfId="385" applyFont="1" applyBorder="1" applyAlignment="1"/>
    <xf numFmtId="0" fontId="105" fillId="33" borderId="107" xfId="385" applyFont="1" applyFill="1" applyBorder="1" applyAlignment="1"/>
    <xf numFmtId="217" fontId="105" fillId="33" borderId="107" xfId="385" applyNumberFormat="1" applyFont="1" applyFill="1" applyBorder="1" applyAlignment="1">
      <alignment horizontal="center"/>
    </xf>
    <xf numFmtId="216" fontId="105" fillId="33" borderId="107" xfId="385" applyNumberFormat="1" applyFont="1" applyFill="1" applyBorder="1" applyAlignment="1">
      <alignment horizontal="center"/>
    </xf>
    <xf numFmtId="0" fontId="118" fillId="33" borderId="27" xfId="0" applyFont="1" applyFill="1" applyBorder="1" applyAlignment="1">
      <alignment horizontal="left" indent="2"/>
    </xf>
    <xf numFmtId="0" fontId="155" fillId="33" borderId="107" xfId="0" applyFont="1" applyFill="1" applyBorder="1" applyAlignment="1">
      <alignment horizontal="left" indent="2"/>
    </xf>
    <xf numFmtId="216" fontId="155" fillId="33" borderId="107" xfId="0" applyNumberFormat="1" applyFont="1" applyFill="1" applyBorder="1"/>
    <xf numFmtId="0" fontId="118" fillId="33" borderId="122" xfId="0" applyFont="1" applyFill="1" applyBorder="1" applyAlignment="1">
      <alignment horizontal="left" indent="2"/>
    </xf>
    <xf numFmtId="216" fontId="118" fillId="33" borderId="122" xfId="0" applyNumberFormat="1" applyFont="1" applyFill="1" applyBorder="1"/>
    <xf numFmtId="0" fontId="117" fillId="33" borderId="99" xfId="0" applyFont="1" applyFill="1" applyBorder="1"/>
    <xf numFmtId="216" fontId="117" fillId="33" borderId="0" xfId="0" applyNumberFormat="1" applyFont="1" applyFill="1" applyAlignment="1">
      <alignment horizontal="right"/>
    </xf>
    <xf numFmtId="216" fontId="118" fillId="33" borderId="27" xfId="0" applyNumberFormat="1" applyFont="1" applyFill="1" applyBorder="1" applyAlignment="1">
      <alignment horizontal="right"/>
    </xf>
    <xf numFmtId="0" fontId="117" fillId="33" borderId="107" xfId="0" applyFont="1" applyFill="1" applyBorder="1" applyAlignment="1">
      <alignment horizontal="left" indent="2"/>
    </xf>
    <xf numFmtId="200" fontId="117" fillId="33" borderId="107" xfId="0" applyNumberFormat="1" applyFont="1" applyFill="1" applyBorder="1"/>
    <xf numFmtId="200" fontId="118" fillId="33" borderId="122" xfId="0" applyNumberFormat="1" applyFont="1" applyFill="1" applyBorder="1"/>
    <xf numFmtId="0" fontId="105" fillId="33" borderId="0" xfId="385" applyFont="1" applyFill="1" applyAlignment="1">
      <alignment horizontal="right"/>
    </xf>
    <xf numFmtId="0" fontId="104" fillId="0" borderId="0" xfId="385" applyFont="1" applyBorder="1" applyAlignment="1"/>
    <xf numFmtId="217" fontId="105" fillId="33" borderId="0" xfId="385" applyNumberFormat="1" applyFont="1" applyFill="1" applyBorder="1" applyAlignment="1">
      <alignment horizontal="center"/>
    </xf>
    <xf numFmtId="199" fontId="156" fillId="33" borderId="0" xfId="385" applyNumberFormat="1" applyFont="1" applyFill="1" applyAlignment="1"/>
    <xf numFmtId="0" fontId="106" fillId="33" borderId="0" xfId="385" applyFont="1" applyFill="1" applyAlignment="1">
      <alignment horizontal="center"/>
    </xf>
    <xf numFmtId="0" fontId="104" fillId="33" borderId="0" xfId="385" applyFont="1" applyFill="1" applyBorder="1" applyAlignment="1">
      <alignment horizontal="left" indent="1"/>
    </xf>
    <xf numFmtId="200" fontId="104" fillId="33" borderId="0" xfId="385" applyNumberFormat="1" applyFont="1" applyFill="1" applyBorder="1" applyAlignment="1"/>
    <xf numFmtId="0" fontId="104" fillId="33" borderId="96" xfId="385" applyFont="1" applyFill="1" applyBorder="1" applyAlignment="1">
      <alignment horizontal="center"/>
    </xf>
    <xf numFmtId="0" fontId="104" fillId="33" borderId="107" xfId="385" applyFont="1" applyFill="1" applyBorder="1" applyAlignment="1">
      <alignment horizontal="center"/>
    </xf>
    <xf numFmtId="200" fontId="105" fillId="33" borderId="107" xfId="385" applyNumberFormat="1" applyFont="1" applyFill="1" applyBorder="1" applyAlignment="1"/>
    <xf numFmtId="0" fontId="105" fillId="33" borderId="27" xfId="385" applyFont="1" applyFill="1" applyBorder="1" applyAlignment="1"/>
    <xf numFmtId="0" fontId="104" fillId="33" borderId="27" xfId="385" applyFont="1" applyFill="1" applyBorder="1" applyAlignment="1">
      <alignment horizontal="center"/>
    </xf>
    <xf numFmtId="200" fontId="105" fillId="33" borderId="27" xfId="385" applyNumberFormat="1" applyFont="1" applyFill="1" applyBorder="1" applyAlignment="1"/>
    <xf numFmtId="0" fontId="117" fillId="33" borderId="122" xfId="0" applyFont="1" applyFill="1" applyBorder="1"/>
    <xf numFmtId="199" fontId="89" fillId="33" borderId="122" xfId="0" applyNumberFormat="1" applyFont="1" applyFill="1" applyBorder="1"/>
    <xf numFmtId="199" fontId="89" fillId="33" borderId="28" xfId="0" applyNumberFormat="1" applyFont="1" applyFill="1" applyBorder="1"/>
    <xf numFmtId="0" fontId="105" fillId="0" borderId="0" xfId="385" applyFont="1" applyFill="1" applyAlignment="1"/>
    <xf numFmtId="0" fontId="105" fillId="0" borderId="0" xfId="385" applyFont="1" applyFill="1" applyAlignment="1">
      <alignment horizontal="center"/>
    </xf>
    <xf numFmtId="199" fontId="105" fillId="0" borderId="0" xfId="385" applyNumberFormat="1" applyFont="1" applyFill="1" applyAlignment="1"/>
    <xf numFmtId="0" fontId="104" fillId="33" borderId="27" xfId="385" applyFont="1" applyFill="1" applyBorder="1" applyAlignment="1"/>
    <xf numFmtId="199" fontId="105" fillId="33" borderId="27" xfId="385" applyNumberFormat="1" applyFont="1" applyFill="1" applyBorder="1" applyAlignment="1"/>
    <xf numFmtId="0" fontId="105" fillId="33" borderId="27" xfId="385" applyFont="1" applyFill="1" applyBorder="1" applyAlignment="1">
      <alignment horizontal="center"/>
    </xf>
    <xf numFmtId="0" fontId="105" fillId="33" borderId="123" xfId="385" applyFont="1" applyFill="1" applyBorder="1" applyAlignment="1"/>
    <xf numFmtId="0" fontId="104" fillId="33" borderId="123" xfId="385" applyFont="1" applyFill="1" applyBorder="1" applyAlignment="1">
      <alignment horizontal="center"/>
    </xf>
    <xf numFmtId="0" fontId="105" fillId="33" borderId="123" xfId="385" applyFont="1" applyFill="1" applyBorder="1" applyAlignment="1">
      <alignment horizontal="center"/>
    </xf>
    <xf numFmtId="199" fontId="104" fillId="33" borderId="28" xfId="385" applyNumberFormat="1" applyFont="1" applyFill="1" applyBorder="1" applyAlignment="1">
      <alignment horizontal="left" indent="1"/>
    </xf>
    <xf numFmtId="0" fontId="104" fillId="33" borderId="28" xfId="385" applyFont="1" applyFill="1" applyBorder="1" applyAlignment="1">
      <alignment horizontal="center"/>
    </xf>
    <xf numFmtId="199" fontId="104" fillId="33" borderId="28" xfId="385" applyNumberFormat="1" applyFont="1" applyFill="1" applyBorder="1" applyAlignment="1"/>
    <xf numFmtId="0" fontId="104" fillId="33" borderId="28" xfId="385" applyFont="1" applyFill="1" applyBorder="1" applyAlignment="1"/>
    <xf numFmtId="0" fontId="59" fillId="0" borderId="0" xfId="252"/>
    <xf numFmtId="199" fontId="99" fillId="0" borderId="0" xfId="252" applyNumberFormat="1" applyFont="1"/>
    <xf numFmtId="0" fontId="99" fillId="0" borderId="0" xfId="252" applyFont="1"/>
    <xf numFmtId="0" fontId="99" fillId="0" borderId="0" xfId="252" applyFont="1" applyAlignment="1">
      <alignment horizontal="center"/>
    </xf>
    <xf numFmtId="199" fontId="59" fillId="0" borderId="0" xfId="252" applyNumberFormat="1"/>
    <xf numFmtId="0" fontId="90" fillId="33" borderId="27" xfId="0" applyFont="1" applyFill="1" applyBorder="1"/>
    <xf numFmtId="0" fontId="118" fillId="33" borderId="123" xfId="0" applyFont="1" applyFill="1" applyBorder="1" applyAlignment="1">
      <alignment horizontal="center" vertical="center"/>
    </xf>
    <xf numFmtId="0" fontId="90" fillId="33" borderId="123" xfId="0" applyFont="1" applyFill="1" applyBorder="1"/>
    <xf numFmtId="0" fontId="102" fillId="33" borderId="27" xfId="0" applyFont="1" applyFill="1" applyBorder="1" applyAlignment="1">
      <alignment horizontal="left" indent="1"/>
    </xf>
    <xf numFmtId="199" fontId="102" fillId="33" borderId="27" xfId="0" applyNumberFormat="1" applyFont="1" applyFill="1" applyBorder="1" applyAlignment="1">
      <alignment horizontal="right"/>
    </xf>
    <xf numFmtId="0" fontId="96" fillId="33" borderId="122" xfId="0" applyFont="1" applyFill="1" applyBorder="1" applyAlignment="1">
      <alignment horizontal="left"/>
    </xf>
    <xf numFmtId="199" fontId="96" fillId="33" borderId="122" xfId="0" applyNumberFormat="1" applyFont="1" applyFill="1" applyBorder="1"/>
    <xf numFmtId="0" fontId="0" fillId="0" borderId="0" xfId="0" pivotButton="1"/>
    <xf numFmtId="210" fontId="117" fillId="33" borderId="0" xfId="0" applyNumberFormat="1" applyFont="1" applyFill="1"/>
    <xf numFmtId="200" fontId="117" fillId="33" borderId="28" xfId="0" applyNumberFormat="1" applyFont="1" applyFill="1" applyBorder="1"/>
    <xf numFmtId="210" fontId="117" fillId="33" borderId="28" xfId="0" applyNumberFormat="1" applyFont="1" applyFill="1" applyBorder="1"/>
    <xf numFmtId="0" fontId="112" fillId="33" borderId="0" xfId="232" applyFont="1" applyFill="1"/>
    <xf numFmtId="171" fontId="112" fillId="33" borderId="0" xfId="386" applyNumberFormat="1" applyFont="1" applyFill="1"/>
    <xf numFmtId="0" fontId="116" fillId="33" borderId="0" xfId="232" applyFont="1" applyFill="1"/>
    <xf numFmtId="199" fontId="112" fillId="33" borderId="0" xfId="232" applyNumberFormat="1" applyFont="1" applyFill="1"/>
    <xf numFmtId="199" fontId="116" fillId="33" borderId="0" xfId="232" applyNumberFormat="1" applyFont="1" applyFill="1"/>
    <xf numFmtId="211" fontId="112" fillId="33" borderId="0" xfId="384" applyNumberFormat="1" applyFont="1" applyFill="1"/>
    <xf numFmtId="0" fontId="116" fillId="33" borderId="123" xfId="232" applyFont="1" applyFill="1" applyBorder="1"/>
    <xf numFmtId="202" fontId="116" fillId="33" borderId="123" xfId="232" applyNumberFormat="1" applyFont="1" applyFill="1" applyBorder="1" applyAlignment="1">
      <alignment horizontal="center"/>
    </xf>
    <xf numFmtId="0" fontId="116" fillId="33" borderId="0" xfId="232" applyFont="1" applyFill="1" applyAlignment="1">
      <alignment horizontal="left" indent="1"/>
    </xf>
    <xf numFmtId="0" fontId="116" fillId="33" borderId="122" xfId="232" applyFont="1" applyFill="1" applyBorder="1" applyAlignment="1">
      <alignment horizontal="left" indent="1"/>
    </xf>
    <xf numFmtId="199" fontId="116" fillId="33" borderId="122" xfId="232" applyNumberFormat="1" applyFont="1" applyFill="1" applyBorder="1"/>
    <xf numFmtId="0" fontId="112" fillId="33" borderId="0" xfId="232" applyFont="1" applyFill="1" applyAlignment="1">
      <alignment horizontal="left" indent="2"/>
    </xf>
    <xf numFmtId="0" fontId="112" fillId="33" borderId="99" xfId="232" applyFont="1" applyFill="1" applyBorder="1" applyAlignment="1">
      <alignment horizontal="left" indent="2"/>
    </xf>
    <xf numFmtId="199" fontId="112" fillId="33" borderId="99" xfId="232" applyNumberFormat="1" applyFont="1" applyFill="1" applyBorder="1"/>
    <xf numFmtId="0" fontId="116" fillId="33" borderId="99" xfId="232" applyFont="1" applyFill="1" applyBorder="1" applyAlignment="1">
      <alignment horizontal="left" indent="1"/>
    </xf>
    <xf numFmtId="10" fontId="116" fillId="33" borderId="99" xfId="232" applyNumberFormat="1" applyFont="1" applyFill="1" applyBorder="1"/>
    <xf numFmtId="0" fontId="116" fillId="33" borderId="27" xfId="232" applyFont="1" applyFill="1" applyBorder="1" applyAlignment="1">
      <alignment horizontal="left" indent="1"/>
    </xf>
    <xf numFmtId="199" fontId="116" fillId="33" borderId="27" xfId="232" applyNumberFormat="1" applyFont="1" applyFill="1" applyBorder="1"/>
    <xf numFmtId="0" fontId="135" fillId="33" borderId="0" xfId="232" applyFont="1" applyFill="1"/>
    <xf numFmtId="199" fontId="135" fillId="33" borderId="0" xfId="232" applyNumberFormat="1" applyFont="1" applyFill="1"/>
    <xf numFmtId="166" fontId="112" fillId="33" borderId="0" xfId="384" applyNumberFormat="1" applyFont="1" applyFill="1"/>
    <xf numFmtId="0" fontId="116" fillId="33" borderId="107" xfId="232" applyFont="1" applyFill="1" applyBorder="1" applyAlignment="1">
      <alignment horizontal="left" indent="2"/>
    </xf>
    <xf numFmtId="199" fontId="116" fillId="33" borderId="107" xfId="232" applyNumberFormat="1" applyFont="1" applyFill="1" applyBorder="1"/>
    <xf numFmtId="0" fontId="112" fillId="33" borderId="0" xfId="232" applyFont="1" applyFill="1" applyAlignment="1">
      <alignment horizontal="left" indent="3"/>
    </xf>
    <xf numFmtId="0" fontId="116" fillId="33" borderId="27" xfId="232" applyFont="1" applyFill="1" applyBorder="1" applyAlignment="1">
      <alignment horizontal="left" indent="2"/>
    </xf>
    <xf numFmtId="0" fontId="112" fillId="33" borderId="0" xfId="232" quotePrefix="1" applyFont="1" applyFill="1" applyAlignment="1">
      <alignment horizontal="left"/>
    </xf>
    <xf numFmtId="199" fontId="112" fillId="33" borderId="0" xfId="386" applyNumberFormat="1" applyFont="1" applyFill="1" applyBorder="1"/>
    <xf numFmtId="0" fontId="112" fillId="33" borderId="0" xfId="232" quotePrefix="1" applyFont="1" applyFill="1" applyAlignment="1">
      <alignment horizontal="left" indent="1"/>
    </xf>
    <xf numFmtId="199" fontId="116" fillId="33" borderId="0" xfId="232" applyNumberFormat="1" applyFont="1" applyFill="1" applyAlignment="1">
      <alignment horizontal="center"/>
    </xf>
    <xf numFmtId="199" fontId="112" fillId="33" borderId="0" xfId="232" applyNumberFormat="1" applyFont="1" applyFill="1" applyAlignment="1">
      <alignment horizontal="center"/>
    </xf>
    <xf numFmtId="0" fontId="116" fillId="33" borderId="0" xfId="232" applyFont="1" applyFill="1" applyAlignment="1">
      <alignment horizontal="center" vertical="center"/>
    </xf>
    <xf numFmtId="199" fontId="112" fillId="33" borderId="0" xfId="388" applyNumberFormat="1" applyFont="1" applyFill="1" applyBorder="1"/>
    <xf numFmtId="201" fontId="112" fillId="33" borderId="0" xfId="388" applyNumberFormat="1" applyFont="1" applyFill="1" applyBorder="1"/>
    <xf numFmtId="0" fontId="116" fillId="33" borderId="123" xfId="232" applyFont="1" applyFill="1" applyBorder="1" applyAlignment="1">
      <alignment horizontal="center"/>
    </xf>
    <xf numFmtId="0" fontId="158" fillId="33" borderId="123" xfId="387" applyFont="1" applyFill="1" applyBorder="1" applyAlignment="1">
      <alignment horizontal="center" vertical="center"/>
    </xf>
    <xf numFmtId="171" fontId="116" fillId="33" borderId="123" xfId="386" applyNumberFormat="1" applyFont="1" applyFill="1" applyBorder="1" applyAlignment="1">
      <alignment horizontal="center" vertical="center"/>
    </xf>
    <xf numFmtId="0" fontId="116" fillId="33" borderId="107" xfId="232" applyFont="1" applyFill="1" applyBorder="1"/>
    <xf numFmtId="199" fontId="116" fillId="33" borderId="107" xfId="386" applyNumberFormat="1" applyFont="1" applyFill="1" applyBorder="1"/>
    <xf numFmtId="0" fontId="116" fillId="33" borderId="27" xfId="232" applyFont="1" applyFill="1" applyBorder="1"/>
    <xf numFmtId="199" fontId="116" fillId="33" borderId="27" xfId="386" applyNumberFormat="1" applyFont="1" applyFill="1" applyBorder="1"/>
    <xf numFmtId="0" fontId="118" fillId="33" borderId="27" xfId="0" applyFont="1" applyFill="1" applyBorder="1" applyAlignment="1">
      <alignment horizontal="center"/>
    </xf>
    <xf numFmtId="0" fontId="117" fillId="33" borderId="123" xfId="0" applyFont="1" applyFill="1" applyBorder="1"/>
    <xf numFmtId="199" fontId="89" fillId="33" borderId="0" xfId="0" applyNumberFormat="1" applyFont="1" applyFill="1" applyAlignment="1">
      <alignment horizontal="right"/>
    </xf>
    <xf numFmtId="0" fontId="121" fillId="0" borderId="87" xfId="287" applyFont="1" applyBorder="1"/>
    <xf numFmtId="0" fontId="121" fillId="0" borderId="46" xfId="287" applyFont="1" applyBorder="1" applyProtection="1">
      <protection locked="0"/>
    </xf>
    <xf numFmtId="0" fontId="121" fillId="0" borderId="45" xfId="287" applyFont="1" applyBorder="1" applyAlignment="1">
      <alignment horizontal="left" indent="1"/>
    </xf>
    <xf numFmtId="0" fontId="132" fillId="0" borderId="45" xfId="287" quotePrefix="1" applyFont="1" applyBorder="1" applyAlignment="1">
      <alignment horizontal="left" indent="1"/>
    </xf>
    <xf numFmtId="0" fontId="121" fillId="0" borderId="46" xfId="287" applyFont="1" applyBorder="1" applyAlignment="1">
      <alignment horizontal="left" indent="1"/>
    </xf>
    <xf numFmtId="0" fontId="96" fillId="0" borderId="39" xfId="287" applyFont="1" applyBorder="1" applyAlignment="1">
      <alignment horizontal="left" indent="1"/>
    </xf>
    <xf numFmtId="199" fontId="127" fillId="0" borderId="10" xfId="287" applyNumberFormat="1" applyFont="1" applyBorder="1" applyAlignment="1">
      <alignment horizontal="right"/>
    </xf>
    <xf numFmtId="0" fontId="127" fillId="0" borderId="10" xfId="287" applyFont="1" applyBorder="1" applyAlignment="1">
      <alignment horizontal="left" indent="4"/>
    </xf>
    <xf numFmtId="0" fontId="127" fillId="0" borderId="106" xfId="287" applyFont="1" applyBorder="1" applyAlignment="1">
      <alignment horizontal="left" indent="4"/>
    </xf>
    <xf numFmtId="0" fontId="127" fillId="0" borderId="46" xfId="287" applyFont="1" applyBorder="1" applyAlignment="1">
      <alignment horizontal="right"/>
    </xf>
    <xf numFmtId="0" fontId="127" fillId="60" borderId="57" xfId="287" applyFont="1" applyFill="1" applyBorder="1" applyAlignment="1">
      <alignment horizontal="left"/>
    </xf>
    <xf numFmtId="0" fontId="127" fillId="60" borderId="124" xfId="287" applyFont="1" applyFill="1" applyBorder="1" applyAlignment="1">
      <alignment horizontal="left"/>
    </xf>
    <xf numFmtId="0" fontId="96" fillId="0" borderId="45" xfId="287" applyFont="1" applyBorder="1" applyAlignment="1">
      <alignment horizontal="left" indent="1"/>
    </xf>
    <xf numFmtId="0" fontId="127" fillId="0" borderId="22" xfId="287" applyFont="1" applyBorder="1" applyAlignment="1">
      <alignment horizontal="right"/>
    </xf>
    <xf numFmtId="0" fontId="127" fillId="0" borderId="51" xfId="287" applyFont="1" applyBorder="1"/>
    <xf numFmtId="0" fontId="96" fillId="0" borderId="19" xfId="287" applyFont="1" applyBorder="1" applyAlignment="1">
      <alignment horizontal="left" indent="1"/>
    </xf>
    <xf numFmtId="0" fontId="127" fillId="0" borderId="125" xfId="287" applyFont="1" applyBorder="1" applyAlignment="1">
      <alignment horizontal="left" indent="4"/>
    </xf>
    <xf numFmtId="199" fontId="127" fillId="0" borderId="126" xfId="287" applyNumberFormat="1" applyFont="1" applyBorder="1" applyAlignment="1">
      <alignment horizontal="right"/>
    </xf>
    <xf numFmtId="199" fontId="127" fillId="0" borderId="127" xfId="287" applyNumberFormat="1" applyFont="1" applyBorder="1" applyAlignment="1">
      <alignment horizontal="right"/>
    </xf>
    <xf numFmtId="205" fontId="127" fillId="0" borderId="127" xfId="287" applyNumberFormat="1" applyFont="1" applyBorder="1" applyAlignment="1">
      <alignment horizontal="right"/>
    </xf>
    <xf numFmtId="0" fontId="127" fillId="60" borderId="128" xfId="287" applyFont="1" applyFill="1" applyBorder="1" applyAlignment="1">
      <alignment horizontal="left"/>
    </xf>
    <xf numFmtId="199" fontId="127" fillId="60" borderId="129" xfId="287" applyNumberFormat="1" applyFont="1" applyFill="1" applyBorder="1" applyAlignment="1">
      <alignment horizontal="right"/>
    </xf>
    <xf numFmtId="0" fontId="127" fillId="0" borderId="130" xfId="287" applyFont="1" applyBorder="1" applyAlignment="1">
      <alignment horizontal="left" indent="4"/>
    </xf>
    <xf numFmtId="0" fontId="117" fillId="33" borderId="0" xfId="0" applyFont="1" applyFill="1" applyAlignment="1">
      <alignment horizontal="right"/>
    </xf>
    <xf numFmtId="199" fontId="117" fillId="33" borderId="0" xfId="0" applyNumberFormat="1" applyFont="1" applyFill="1" applyAlignment="1">
      <alignment horizontal="right"/>
    </xf>
    <xf numFmtId="199" fontId="118" fillId="33" borderId="0" xfId="0" applyNumberFormat="1" applyFont="1" applyFill="1"/>
    <xf numFmtId="0" fontId="118" fillId="33" borderId="123" xfId="0" applyFont="1" applyFill="1" applyBorder="1"/>
    <xf numFmtId="199" fontId="118" fillId="33" borderId="131" xfId="0" applyNumberFormat="1" applyFont="1" applyFill="1" applyBorder="1"/>
    <xf numFmtId="0" fontId="118" fillId="33" borderId="131" xfId="0" applyFont="1" applyFill="1" applyBorder="1"/>
    <xf numFmtId="199" fontId="159" fillId="33" borderId="0" xfId="0" applyNumberFormat="1" applyFont="1" applyFill="1"/>
    <xf numFmtId="0" fontId="159" fillId="33" borderId="0" xfId="0" applyFont="1" applyFill="1"/>
    <xf numFmtId="199" fontId="117" fillId="33" borderId="0" xfId="0" applyNumberFormat="1" applyFont="1" applyFill="1" applyAlignment="1">
      <alignment horizontal="left" indent="1"/>
    </xf>
    <xf numFmtId="218" fontId="118" fillId="33" borderId="131" xfId="0" applyNumberFormat="1" applyFont="1" applyFill="1" applyBorder="1"/>
    <xf numFmtId="219" fontId="118" fillId="33" borderId="131" xfId="0" applyNumberFormat="1" applyFont="1" applyFill="1" applyBorder="1"/>
    <xf numFmtId="199" fontId="160" fillId="33" borderId="131" xfId="0" applyNumberFormat="1" applyFont="1" applyFill="1" applyBorder="1"/>
    <xf numFmtId="0" fontId="0" fillId="0" borderId="0" xfId="0" applyAlignment="1">
      <alignment horizontal="center" vertical="center"/>
    </xf>
    <xf numFmtId="0" fontId="0" fillId="0" borderId="28" xfId="0" applyBorder="1" applyAlignment="1">
      <alignment horizontal="center" vertical="center"/>
    </xf>
    <xf numFmtId="199" fontId="161" fillId="33" borderId="0" xfId="0" applyNumberFormat="1" applyFont="1" applyFill="1"/>
    <xf numFmtId="0" fontId="117" fillId="33" borderId="131" xfId="0" applyFont="1" applyFill="1" applyBorder="1"/>
    <xf numFmtId="0" fontId="117" fillId="33" borderId="59" xfId="0" applyFont="1" applyFill="1" applyBorder="1"/>
    <xf numFmtId="199" fontId="118" fillId="33" borderId="59" xfId="0" applyNumberFormat="1" applyFont="1" applyFill="1" applyBorder="1"/>
    <xf numFmtId="0" fontId="117" fillId="33" borderId="98" xfId="0" applyFont="1" applyFill="1" applyBorder="1" applyAlignment="1">
      <alignment horizontal="center" vertical="center"/>
    </xf>
    <xf numFmtId="0" fontId="117" fillId="33" borderId="98" xfId="0" applyFont="1" applyFill="1" applyBorder="1"/>
    <xf numFmtId="199" fontId="117" fillId="33" borderId="98" xfId="0" applyNumberFormat="1" applyFont="1" applyFill="1" applyBorder="1"/>
    <xf numFmtId="199" fontId="118" fillId="33" borderId="0" xfId="0" applyNumberFormat="1" applyFont="1" applyFill="1" applyAlignment="1">
      <alignment horizontal="right" vertical="center"/>
    </xf>
    <xf numFmtId="0" fontId="162" fillId="33" borderId="0" xfId="0" applyFont="1" applyFill="1"/>
    <xf numFmtId="9" fontId="162" fillId="33" borderId="0" xfId="0" applyNumberFormat="1" applyFont="1" applyFill="1"/>
    <xf numFmtId="0" fontId="163" fillId="33" borderId="0" xfId="0" applyFont="1" applyFill="1"/>
    <xf numFmtId="0" fontId="89" fillId="33" borderId="123" xfId="385" applyFont="1" applyFill="1" applyBorder="1" applyAlignment="1"/>
    <xf numFmtId="199" fontId="89" fillId="33" borderId="123" xfId="0" applyNumberFormat="1" applyFont="1" applyFill="1" applyBorder="1"/>
    <xf numFmtId="0" fontId="89" fillId="33" borderId="131" xfId="385" applyFont="1" applyFill="1" applyBorder="1" applyAlignment="1"/>
    <xf numFmtId="0" fontId="90" fillId="33" borderId="131" xfId="385" applyFont="1" applyFill="1" applyBorder="1" applyAlignment="1"/>
    <xf numFmtId="199" fontId="89" fillId="33" borderId="131" xfId="385" applyNumberFormat="1" applyFont="1" applyFill="1" applyBorder="1" applyAlignment="1"/>
    <xf numFmtId="0" fontId="164" fillId="33" borderId="59" xfId="0" applyFont="1" applyFill="1" applyBorder="1" applyAlignment="1">
      <alignment horizontal="left" indent="2"/>
    </xf>
    <xf numFmtId="0" fontId="95" fillId="33" borderId="59" xfId="0" applyFont="1" applyFill="1" applyBorder="1"/>
    <xf numFmtId="199" fontId="95" fillId="33" borderId="59" xfId="0" applyNumberFormat="1" applyFont="1" applyFill="1" applyBorder="1"/>
    <xf numFmtId="0" fontId="90" fillId="33" borderId="28" xfId="385" applyFont="1" applyFill="1" applyBorder="1" applyAlignment="1"/>
    <xf numFmtId="2" fontId="90" fillId="33" borderId="28" xfId="385" applyNumberFormat="1" applyFont="1" applyFill="1" applyBorder="1" applyAlignment="1"/>
    <xf numFmtId="0" fontId="164" fillId="33" borderId="131" xfId="0" applyFont="1" applyFill="1" applyBorder="1" applyAlignment="1">
      <alignment horizontal="left" indent="2"/>
    </xf>
    <xf numFmtId="0" fontId="95" fillId="33" borderId="131" xfId="0" applyFont="1" applyFill="1" applyBorder="1"/>
    <xf numFmtId="0" fontId="89" fillId="33" borderId="131" xfId="0" applyFont="1" applyFill="1" applyBorder="1"/>
    <xf numFmtId="0" fontId="117" fillId="33" borderId="13" xfId="0" applyFont="1" applyFill="1" applyBorder="1"/>
    <xf numFmtId="199" fontId="118" fillId="33" borderId="13" xfId="0" applyNumberFormat="1" applyFont="1" applyFill="1" applyBorder="1"/>
    <xf numFmtId="0" fontId="118" fillId="33" borderId="13" xfId="0" applyFont="1" applyFill="1" applyBorder="1"/>
    <xf numFmtId="199" fontId="117" fillId="33" borderId="0" xfId="0" applyNumberFormat="1" applyFont="1" applyFill="1" applyAlignment="1">
      <alignment horizontal="center" vertical="center"/>
    </xf>
    <xf numFmtId="0" fontId="165" fillId="33" borderId="0" xfId="0" applyFont="1" applyFill="1"/>
    <xf numFmtId="9" fontId="165" fillId="33" borderId="0" xfId="0" applyNumberFormat="1" applyFont="1" applyFill="1"/>
    <xf numFmtId="0" fontId="118" fillId="33" borderId="59" xfId="0" applyFont="1" applyFill="1" applyBorder="1"/>
    <xf numFmtId="0" fontId="166" fillId="33" borderId="0" xfId="0" applyFont="1" applyFill="1"/>
    <xf numFmtId="199" fontId="166" fillId="33" borderId="0" xfId="0" applyNumberFormat="1" applyFont="1" applyFill="1"/>
    <xf numFmtId="49" fontId="167" fillId="33" borderId="0" xfId="0" applyNumberFormat="1" applyFont="1" applyFill="1"/>
    <xf numFmtId="49" fontId="167" fillId="33" borderId="0" xfId="0" applyNumberFormat="1" applyFont="1" applyFill="1" applyAlignment="1">
      <alignment horizontal="center" vertical="center"/>
    </xf>
    <xf numFmtId="0" fontId="167" fillId="33" borderId="0" xfId="0" applyFont="1" applyFill="1" applyAlignment="1">
      <alignment horizontal="center" vertical="center"/>
    </xf>
    <xf numFmtId="49" fontId="167" fillId="33" borderId="0" xfId="0" applyNumberFormat="1" applyFont="1" applyFill="1" applyAlignment="1">
      <alignment horizontal="left" indent="1"/>
    </xf>
    <xf numFmtId="49" fontId="166" fillId="33" borderId="0" xfId="0" applyNumberFormat="1" applyFont="1" applyFill="1" applyAlignment="1">
      <alignment horizontal="left" indent="2"/>
    </xf>
    <xf numFmtId="199" fontId="166" fillId="33" borderId="0" xfId="0" applyNumberFormat="1" applyFont="1" applyFill="1" applyAlignment="1">
      <alignment horizontal="left" indent="2"/>
    </xf>
    <xf numFmtId="0" fontId="166" fillId="33" borderId="0" xfId="0" applyFont="1" applyFill="1" applyAlignment="1">
      <alignment horizontal="left" indent="2"/>
    </xf>
    <xf numFmtId="199" fontId="166" fillId="33" borderId="0" xfId="0" applyNumberFormat="1" applyFont="1" applyFill="1" applyAlignment="1">
      <alignment horizontal="right"/>
    </xf>
    <xf numFmtId="0" fontId="168" fillId="33" borderId="0" xfId="0" applyFont="1" applyFill="1" applyAlignment="1">
      <alignment horizontal="left" indent="2"/>
    </xf>
    <xf numFmtId="199" fontId="168" fillId="33" borderId="0" xfId="0" applyNumberFormat="1" applyFont="1" applyFill="1"/>
    <xf numFmtId="199" fontId="167" fillId="33" borderId="0" xfId="0" applyNumberFormat="1" applyFont="1" applyFill="1" applyAlignment="1">
      <alignment horizontal="left" indent="1"/>
    </xf>
    <xf numFmtId="0" fontId="166" fillId="33" borderId="0" xfId="0" applyFont="1" applyFill="1" applyAlignment="1">
      <alignment horizontal="left" indent="1"/>
    </xf>
    <xf numFmtId="199" fontId="166" fillId="33" borderId="0" xfId="0" applyNumberFormat="1" applyFont="1" applyFill="1" applyAlignment="1">
      <alignment horizontal="left" indent="1"/>
    </xf>
    <xf numFmtId="0" fontId="166" fillId="0" borderId="0" xfId="0" applyFont="1"/>
    <xf numFmtId="0" fontId="167" fillId="58" borderId="0" xfId="0" applyFont="1" applyFill="1"/>
    <xf numFmtId="199" fontId="168" fillId="58" borderId="0" xfId="0" applyNumberFormat="1" applyFont="1" applyFill="1"/>
    <xf numFmtId="0" fontId="166" fillId="58" borderId="0" xfId="0" applyFont="1" applyFill="1"/>
    <xf numFmtId="199" fontId="166" fillId="58" borderId="0" xfId="0" applyNumberFormat="1" applyFont="1" applyFill="1"/>
    <xf numFmtId="0" fontId="166" fillId="33" borderId="0" xfId="394" applyFont="1" applyFill="1"/>
    <xf numFmtId="0" fontId="169" fillId="33" borderId="91" xfId="394" applyFont="1" applyFill="1" applyBorder="1"/>
    <xf numFmtId="49" fontId="167" fillId="33" borderId="91" xfId="394" applyNumberFormat="1" applyFont="1" applyFill="1" applyBorder="1" applyAlignment="1">
      <alignment horizontal="center" vertical="center"/>
    </xf>
    <xf numFmtId="0" fontId="166" fillId="33" borderId="90" xfId="394" applyFont="1" applyFill="1" applyBorder="1" applyAlignment="1">
      <alignment horizontal="left" indent="1"/>
    </xf>
    <xf numFmtId="199" fontId="166" fillId="33" borderId="90" xfId="394" applyNumberFormat="1" applyFont="1" applyFill="1" applyBorder="1" applyAlignment="1">
      <alignment horizontal="right" indent="1"/>
    </xf>
    <xf numFmtId="199" fontId="166" fillId="33" borderId="90" xfId="394" applyNumberFormat="1" applyFont="1" applyFill="1" applyBorder="1"/>
    <xf numFmtId="0" fontId="166" fillId="33" borderId="46" xfId="394" applyFont="1" applyFill="1" applyBorder="1" applyAlignment="1">
      <alignment horizontal="left" indent="1"/>
    </xf>
    <xf numFmtId="199" fontId="166" fillId="33" borderId="46" xfId="394" applyNumberFormat="1" applyFont="1" applyFill="1" applyBorder="1" applyAlignment="1">
      <alignment horizontal="right" indent="1"/>
    </xf>
    <xf numFmtId="199" fontId="166" fillId="33" borderId="46" xfId="394" applyNumberFormat="1" applyFont="1" applyFill="1" applyBorder="1"/>
    <xf numFmtId="199" fontId="166" fillId="33" borderId="0" xfId="394" applyNumberFormat="1" applyFont="1" applyFill="1"/>
    <xf numFmtId="0" fontId="166" fillId="33" borderId="46" xfId="394" applyFont="1" applyFill="1" applyBorder="1" applyAlignment="1">
      <alignment horizontal="left" indent="2"/>
    </xf>
    <xf numFmtId="0" fontId="166" fillId="33" borderId="91" xfId="394" applyFont="1" applyFill="1" applyBorder="1" applyAlignment="1">
      <alignment horizontal="left" indent="1"/>
    </xf>
    <xf numFmtId="199" fontId="166" fillId="33" borderId="91" xfId="394" applyNumberFormat="1" applyFont="1" applyFill="1" applyBorder="1" applyAlignment="1">
      <alignment horizontal="right" indent="1"/>
    </xf>
    <xf numFmtId="199" fontId="166" fillId="33" borderId="91" xfId="394" applyNumberFormat="1" applyFont="1" applyFill="1" applyBorder="1"/>
    <xf numFmtId="49" fontId="166" fillId="33" borderId="0" xfId="0" applyNumberFormat="1" applyFont="1" applyFill="1" applyAlignment="1">
      <alignment horizontal="left" indent="1"/>
    </xf>
    <xf numFmtId="0" fontId="169" fillId="33" borderId="10" xfId="0" applyFont="1" applyFill="1" applyBorder="1"/>
    <xf numFmtId="0" fontId="167" fillId="33" borderId="10" xfId="0" applyFont="1" applyFill="1" applyBorder="1" applyAlignment="1">
      <alignment horizontal="center" vertical="center"/>
    </xf>
    <xf numFmtId="0" fontId="166" fillId="33" borderId="37" xfId="0" applyFont="1" applyFill="1" applyBorder="1" applyAlignment="1">
      <alignment horizontal="left" indent="1"/>
    </xf>
    <xf numFmtId="199" fontId="166" fillId="33" borderId="37" xfId="0" applyNumberFormat="1" applyFont="1" applyFill="1" applyBorder="1" applyAlignment="1">
      <alignment horizontal="right" indent="1"/>
    </xf>
    <xf numFmtId="199" fontId="166" fillId="33" borderId="37" xfId="0" applyNumberFormat="1" applyFont="1" applyFill="1" applyBorder="1"/>
    <xf numFmtId="0" fontId="166" fillId="33" borderId="38" xfId="0" applyFont="1" applyFill="1" applyBorder="1" applyAlignment="1">
      <alignment horizontal="left" indent="1"/>
    </xf>
    <xf numFmtId="199" fontId="166" fillId="33" borderId="38" xfId="0" applyNumberFormat="1" applyFont="1" applyFill="1" applyBorder="1" applyAlignment="1">
      <alignment horizontal="right" indent="1"/>
    </xf>
    <xf numFmtId="199" fontId="166" fillId="33" borderId="38" xfId="0" applyNumberFormat="1" applyFont="1" applyFill="1" applyBorder="1"/>
    <xf numFmtId="0" fontId="166" fillId="33" borderId="22" xfId="0" applyFont="1" applyFill="1" applyBorder="1" applyAlignment="1">
      <alignment horizontal="left" indent="1"/>
    </xf>
    <xf numFmtId="199" fontId="166" fillId="33" borderId="22" xfId="0" applyNumberFormat="1" applyFont="1" applyFill="1" applyBorder="1" applyAlignment="1">
      <alignment horizontal="right" indent="1"/>
    </xf>
    <xf numFmtId="199" fontId="166" fillId="33" borderId="22" xfId="0" applyNumberFormat="1" applyFont="1" applyFill="1" applyBorder="1"/>
    <xf numFmtId="0" fontId="166" fillId="33" borderId="10" xfId="0" applyFont="1" applyFill="1" applyBorder="1" applyAlignment="1">
      <alignment horizontal="left" indent="1"/>
    </xf>
    <xf numFmtId="199" fontId="166" fillId="33" borderId="10" xfId="0" applyNumberFormat="1" applyFont="1" applyFill="1" applyBorder="1" applyAlignment="1">
      <alignment horizontal="right" indent="1"/>
    </xf>
    <xf numFmtId="199" fontId="166" fillId="33" borderId="10" xfId="0" applyNumberFormat="1" applyFont="1" applyFill="1" applyBorder="1"/>
    <xf numFmtId="0" fontId="169" fillId="33" borderId="37" xfId="0" applyFont="1" applyFill="1" applyBorder="1"/>
    <xf numFmtId="0" fontId="167" fillId="33" borderId="37" xfId="0" applyFont="1" applyFill="1" applyBorder="1" applyAlignment="1">
      <alignment horizontal="center" vertical="center"/>
    </xf>
    <xf numFmtId="0" fontId="166" fillId="33" borderId="39" xfId="0" applyFont="1" applyFill="1" applyBorder="1" applyAlignment="1">
      <alignment horizontal="left" indent="1"/>
    </xf>
    <xf numFmtId="0" fontId="166" fillId="33" borderId="20" xfId="0" applyFont="1" applyFill="1" applyBorder="1" applyAlignment="1">
      <alignment horizontal="left" indent="1"/>
    </xf>
    <xf numFmtId="0" fontId="166" fillId="33" borderId="19" xfId="0" applyFont="1" applyFill="1" applyBorder="1" applyAlignment="1">
      <alignment horizontal="left" indent="1"/>
    </xf>
    <xf numFmtId="199" fontId="166" fillId="33" borderId="22" xfId="0" applyNumberFormat="1" applyFont="1" applyFill="1" applyBorder="1" applyAlignment="1">
      <alignment horizontal="right"/>
    </xf>
    <xf numFmtId="199" fontId="166" fillId="33" borderId="37" xfId="0" applyNumberFormat="1" applyFont="1" applyFill="1" applyBorder="1" applyAlignment="1">
      <alignment horizontal="right"/>
    </xf>
    <xf numFmtId="199" fontId="166" fillId="33" borderId="38" xfId="0" applyNumberFormat="1" applyFont="1" applyFill="1" applyBorder="1" applyAlignment="1">
      <alignment horizontal="right"/>
    </xf>
    <xf numFmtId="199" fontId="166" fillId="33" borderId="10" xfId="0" applyNumberFormat="1" applyFont="1" applyFill="1" applyBorder="1" applyAlignment="1">
      <alignment horizontal="right"/>
    </xf>
    <xf numFmtId="199" fontId="166" fillId="33" borderId="46" xfId="0" applyNumberFormat="1" applyFont="1" applyFill="1" applyBorder="1"/>
    <xf numFmtId="199" fontId="167" fillId="33" borderId="38" xfId="0" applyNumberFormat="1" applyFont="1" applyFill="1" applyBorder="1"/>
    <xf numFmtId="199" fontId="168" fillId="33" borderId="0" xfId="0" applyNumberFormat="1" applyFont="1" applyFill="1" applyAlignment="1">
      <alignment horizontal="right" indent="2"/>
    </xf>
    <xf numFmtId="0" fontId="170" fillId="33" borderId="0" xfId="0" applyFont="1" applyFill="1" applyAlignment="1">
      <alignment horizontal="center" vertical="center"/>
    </xf>
    <xf numFmtId="199" fontId="170" fillId="33" borderId="0" xfId="0" applyNumberFormat="1" applyFont="1" applyFill="1" applyAlignment="1">
      <alignment horizontal="center" vertical="center"/>
    </xf>
    <xf numFmtId="0" fontId="169" fillId="33" borderId="38" xfId="0" applyFont="1" applyFill="1" applyBorder="1"/>
    <xf numFmtId="0" fontId="167" fillId="33" borderId="38" xfId="0" applyFont="1" applyFill="1" applyBorder="1" applyAlignment="1">
      <alignment horizontal="center" vertical="center"/>
    </xf>
    <xf numFmtId="199" fontId="166" fillId="33" borderId="38" xfId="0" quotePrefix="1" applyNumberFormat="1" applyFont="1" applyFill="1" applyBorder="1"/>
    <xf numFmtId="199" fontId="166" fillId="33" borderId="20" xfId="0" applyNumberFormat="1" applyFont="1" applyFill="1" applyBorder="1"/>
    <xf numFmtId="199" fontId="166" fillId="33" borderId="0" xfId="0" applyNumberFormat="1" applyFont="1" applyFill="1" applyAlignment="1">
      <alignment horizontal="right" indent="1"/>
    </xf>
    <xf numFmtId="199" fontId="167" fillId="58" borderId="0" xfId="0" applyNumberFormat="1" applyFont="1" applyFill="1" applyAlignment="1">
      <alignment horizontal="right"/>
    </xf>
    <xf numFmtId="199" fontId="167" fillId="58" borderId="0" xfId="0" applyNumberFormat="1" applyFont="1" applyFill="1"/>
    <xf numFmtId="0" fontId="171" fillId="33" borderId="0" xfId="0" applyFont="1" applyFill="1" applyAlignment="1">
      <alignment horizontal="center" vertical="center"/>
    </xf>
    <xf numFmtId="199" fontId="171" fillId="33" borderId="0" xfId="0" applyNumberFormat="1" applyFont="1" applyFill="1" applyAlignment="1">
      <alignment horizontal="right" vertical="center"/>
    </xf>
    <xf numFmtId="199" fontId="171" fillId="33" borderId="0" xfId="0" applyNumberFormat="1" applyFont="1" applyFill="1" applyAlignment="1">
      <alignment horizontal="center" vertical="center"/>
    </xf>
    <xf numFmtId="0" fontId="167" fillId="33" borderId="96" xfId="0" applyFont="1" applyFill="1" applyBorder="1" applyAlignment="1">
      <alignment horizontal="center" vertical="center"/>
    </xf>
    <xf numFmtId="0" fontId="167" fillId="33" borderId="123" xfId="0" applyFont="1" applyFill="1" applyBorder="1" applyAlignment="1">
      <alignment horizontal="center" vertical="center"/>
    </xf>
    <xf numFmtId="0" fontId="167" fillId="33" borderId="0" xfId="0" applyFont="1" applyFill="1"/>
    <xf numFmtId="0" fontId="167" fillId="33" borderId="59" xfId="0" applyFont="1" applyFill="1" applyBorder="1"/>
    <xf numFmtId="0" fontId="167" fillId="33" borderId="107" xfId="0" applyFont="1" applyFill="1" applyBorder="1"/>
    <xf numFmtId="199" fontId="167" fillId="33" borderId="59" xfId="0" applyNumberFormat="1" applyFont="1" applyFill="1" applyBorder="1"/>
    <xf numFmtId="199" fontId="167" fillId="33" borderId="27" xfId="0" applyNumberFormat="1" applyFont="1" applyFill="1" applyBorder="1"/>
    <xf numFmtId="0" fontId="166" fillId="33" borderId="99" xfId="0" applyFont="1" applyFill="1" applyBorder="1"/>
    <xf numFmtId="199" fontId="166" fillId="33" borderId="99" xfId="0" applyNumberFormat="1" applyFont="1" applyFill="1" applyBorder="1"/>
    <xf numFmtId="0" fontId="48" fillId="33" borderId="123" xfId="0" applyFont="1" applyFill="1" applyBorder="1" applyAlignment="1">
      <alignment horizontal="center" vertical="center"/>
    </xf>
    <xf numFmtId="199" fontId="172" fillId="33" borderId="123" xfId="0" applyNumberFormat="1" applyFont="1" applyFill="1" applyBorder="1" applyAlignment="1">
      <alignment horizontal="center" vertical="center"/>
    </xf>
    <xf numFmtId="0" fontId="173" fillId="33" borderId="0" xfId="0" applyFont="1" applyFill="1"/>
    <xf numFmtId="0" fontId="59" fillId="33" borderId="0" xfId="0" applyFont="1" applyFill="1"/>
    <xf numFmtId="164" fontId="59" fillId="33" borderId="0" xfId="41" applyFont="1" applyFill="1"/>
    <xf numFmtId="199" fontId="59" fillId="33" borderId="0" xfId="0" applyNumberFormat="1" applyFont="1" applyFill="1"/>
    <xf numFmtId="0" fontId="59" fillId="33" borderId="0" xfId="0" applyFont="1" applyFill="1" applyAlignment="1">
      <alignment horizontal="left" indent="1"/>
    </xf>
    <xf numFmtId="0" fontId="59" fillId="33" borderId="0" xfId="0" applyFont="1" applyFill="1" applyAlignment="1">
      <alignment horizontal="left" indent="2"/>
    </xf>
    <xf numFmtId="0" fontId="99" fillId="33" borderId="0" xfId="0" applyFont="1" applyFill="1" applyAlignment="1">
      <alignment horizontal="left" indent="1"/>
    </xf>
    <xf numFmtId="199" fontId="99" fillId="33" borderId="0" xfId="0" applyNumberFormat="1" applyFont="1" applyFill="1"/>
    <xf numFmtId="0" fontId="99" fillId="33" borderId="59" xfId="0" applyFont="1" applyFill="1" applyBorder="1"/>
    <xf numFmtId="199" fontId="99" fillId="33" borderId="59" xfId="0" applyNumberFormat="1" applyFont="1" applyFill="1" applyBorder="1"/>
    <xf numFmtId="0" fontId="99" fillId="33" borderId="131" xfId="0" applyFont="1" applyFill="1" applyBorder="1"/>
    <xf numFmtId="199" fontId="99" fillId="33" borderId="131" xfId="0" applyNumberFormat="1" applyFont="1" applyFill="1" applyBorder="1"/>
    <xf numFmtId="49" fontId="59" fillId="33" borderId="0" xfId="0" applyNumberFormat="1" applyFont="1" applyFill="1" applyAlignment="1">
      <alignment horizontal="left" indent="2"/>
    </xf>
    <xf numFmtId="208" fontId="0" fillId="0" borderId="0" xfId="0" applyNumberFormat="1"/>
    <xf numFmtId="220" fontId="0" fillId="0" borderId="0" xfId="0" applyNumberFormat="1"/>
    <xf numFmtId="4" fontId="90" fillId="33" borderId="27" xfId="385" applyNumberFormat="1" applyFont="1" applyFill="1" applyBorder="1" applyAlignment="1"/>
    <xf numFmtId="0" fontId="90" fillId="33" borderId="27" xfId="385" applyFont="1" applyFill="1" applyBorder="1" applyAlignment="1">
      <alignment horizontal="left" indent="1"/>
    </xf>
    <xf numFmtId="0" fontId="90" fillId="33" borderId="123" xfId="385" applyFont="1" applyFill="1" applyBorder="1" applyAlignment="1">
      <alignment horizontal="left" indent="1"/>
    </xf>
    <xf numFmtId="0" fontId="90" fillId="33" borderId="123" xfId="385" applyFont="1" applyFill="1" applyBorder="1" applyAlignment="1"/>
    <xf numFmtId="199" fontId="90" fillId="33" borderId="123" xfId="385" applyNumberFormat="1" applyFont="1" applyFill="1" applyBorder="1" applyAlignment="1"/>
    <xf numFmtId="0" fontId="90" fillId="33" borderId="131" xfId="385" applyFont="1" applyFill="1" applyBorder="1" applyAlignment="1">
      <alignment horizontal="left" indent="1"/>
    </xf>
    <xf numFmtId="10" fontId="90" fillId="33" borderId="131" xfId="384" applyNumberFormat="1" applyFont="1" applyFill="1" applyBorder="1" applyAlignment="1"/>
    <xf numFmtId="0" fontId="89" fillId="33" borderId="0" xfId="385" applyFont="1" applyFill="1" applyAlignment="1">
      <alignment horizontal="left" indent="2"/>
    </xf>
    <xf numFmtId="0" fontId="89" fillId="33" borderId="0" xfId="385" applyFont="1" applyFill="1" applyBorder="1" applyAlignment="1">
      <alignment horizontal="left" indent="2"/>
    </xf>
    <xf numFmtId="4" fontId="117" fillId="33" borderId="0" xfId="0" applyNumberFormat="1" applyFont="1" applyFill="1"/>
    <xf numFmtId="10" fontId="89" fillId="33" borderId="123" xfId="384" applyNumberFormat="1" applyFont="1" applyFill="1" applyBorder="1" applyAlignment="1"/>
    <xf numFmtId="199" fontId="95" fillId="33" borderId="131" xfId="0" applyNumberFormat="1" applyFont="1" applyFill="1" applyBorder="1"/>
    <xf numFmtId="0" fontId="89" fillId="33" borderId="13" xfId="385" applyFont="1" applyFill="1" applyBorder="1" applyAlignment="1">
      <alignment horizontal="left" indent="1"/>
    </xf>
    <xf numFmtId="0" fontId="90" fillId="33" borderId="13" xfId="385" applyFont="1" applyFill="1" applyBorder="1" applyAlignment="1"/>
    <xf numFmtId="4" fontId="89" fillId="33" borderId="13" xfId="385" applyNumberFormat="1" applyFont="1" applyFill="1" applyBorder="1" applyAlignment="1"/>
    <xf numFmtId="199" fontId="90" fillId="33" borderId="13" xfId="385" applyNumberFormat="1" applyFont="1" applyFill="1" applyBorder="1" applyAlignment="1"/>
    <xf numFmtId="0" fontId="89" fillId="33" borderId="131" xfId="385" applyFont="1" applyFill="1" applyBorder="1" applyAlignment="1">
      <alignment horizontal="left" indent="1"/>
    </xf>
    <xf numFmtId="199" fontId="90" fillId="33" borderId="131" xfId="385" applyNumberFormat="1" applyFont="1" applyFill="1" applyBorder="1" applyAlignment="1">
      <alignment horizontal="right"/>
    </xf>
    <xf numFmtId="3" fontId="117" fillId="33" borderId="0" xfId="0" applyNumberFormat="1" applyFont="1" applyFill="1"/>
    <xf numFmtId="208" fontId="117" fillId="33" borderId="0" xfId="0" applyNumberFormat="1" applyFont="1" applyFill="1"/>
    <xf numFmtId="208" fontId="118" fillId="33" borderId="131" xfId="0" applyNumberFormat="1" applyFont="1" applyFill="1" applyBorder="1"/>
    <xf numFmtId="3" fontId="118" fillId="33" borderId="131" xfId="0" applyNumberFormat="1" applyFont="1" applyFill="1" applyBorder="1"/>
    <xf numFmtId="210" fontId="118" fillId="33" borderId="131" xfId="0" applyNumberFormat="1" applyFont="1" applyFill="1" applyBorder="1"/>
    <xf numFmtId="200" fontId="118" fillId="33" borderId="131" xfId="0" applyNumberFormat="1" applyFont="1" applyFill="1" applyBorder="1"/>
    <xf numFmtId="166" fontId="89" fillId="33" borderId="0" xfId="384" applyNumberFormat="1" applyFont="1" applyFill="1" applyBorder="1" applyAlignment="1"/>
    <xf numFmtId="166" fontId="90" fillId="33" borderId="131" xfId="384" applyNumberFormat="1" applyFont="1" applyFill="1" applyBorder="1" applyAlignment="1"/>
    <xf numFmtId="166" fontId="118" fillId="33" borderId="0" xfId="0" applyNumberFormat="1" applyFont="1" applyFill="1"/>
    <xf numFmtId="0" fontId="90" fillId="33" borderId="123" xfId="385" applyFont="1" applyFill="1" applyBorder="1" applyAlignment="1">
      <alignment horizontal="center" vertical="center"/>
    </xf>
    <xf numFmtId="4" fontId="90" fillId="33" borderId="123" xfId="385" applyNumberFormat="1" applyFont="1" applyFill="1" applyBorder="1" applyAlignment="1">
      <alignment horizontal="center" vertical="center"/>
    </xf>
    <xf numFmtId="4" fontId="90" fillId="33" borderId="131" xfId="385" applyNumberFormat="1" applyFont="1" applyFill="1" applyBorder="1" applyAlignment="1"/>
    <xf numFmtId="0" fontId="166" fillId="33" borderId="99" xfId="0" applyFont="1" applyFill="1" applyBorder="1" applyAlignment="1">
      <alignment horizontal="left" indent="1"/>
    </xf>
    <xf numFmtId="199" fontId="90" fillId="33" borderId="123" xfId="0" applyNumberFormat="1" applyFont="1" applyFill="1" applyBorder="1"/>
    <xf numFmtId="199" fontId="90" fillId="33" borderId="123" xfId="0" applyNumberFormat="1" applyFont="1" applyFill="1" applyBorder="1" applyAlignment="1">
      <alignment horizontal="center" vertical="center"/>
    </xf>
    <xf numFmtId="0" fontId="164" fillId="33" borderId="0" xfId="0" applyFont="1" applyFill="1"/>
    <xf numFmtId="0" fontId="95" fillId="33" borderId="0" xfId="0" applyFont="1" applyFill="1" applyAlignment="1">
      <alignment horizontal="left" indent="2"/>
    </xf>
    <xf numFmtId="199" fontId="95" fillId="33" borderId="0" xfId="0" applyNumberFormat="1" applyFont="1" applyFill="1"/>
    <xf numFmtId="0" fontId="95" fillId="33" borderId="0" xfId="0" applyFont="1" applyFill="1" applyAlignment="1">
      <alignment horizontal="left" indent="1"/>
    </xf>
    <xf numFmtId="164" fontId="89" fillId="33" borderId="0" xfId="41" applyFont="1" applyFill="1" applyAlignment="1">
      <alignment horizontal="left" indent="1"/>
    </xf>
    <xf numFmtId="164" fontId="89" fillId="33" borderId="0" xfId="385" applyNumberFormat="1" applyFont="1" applyFill="1" applyAlignment="1">
      <alignment horizontal="left" indent="1"/>
    </xf>
    <xf numFmtId="200" fontId="156" fillId="33" borderId="0" xfId="385" applyNumberFormat="1" applyFont="1" applyFill="1" applyAlignment="1"/>
    <xf numFmtId="166" fontId="104" fillId="0" borderId="0" xfId="384" applyNumberFormat="1" applyFont="1" applyBorder="1" applyAlignment="1"/>
    <xf numFmtId="166" fontId="105" fillId="33" borderId="107" xfId="384" applyNumberFormat="1" applyFont="1" applyFill="1" applyBorder="1" applyAlignment="1"/>
    <xf numFmtId="199" fontId="97" fillId="33" borderId="0" xfId="0" applyNumberFormat="1" applyFont="1" applyFill="1"/>
    <xf numFmtId="0" fontId="174" fillId="33" borderId="0" xfId="0" applyFont="1" applyFill="1"/>
    <xf numFmtId="200" fontId="174" fillId="33" borderId="0" xfId="0" applyNumberFormat="1" applyFont="1" applyFill="1"/>
    <xf numFmtId="199" fontId="174" fillId="33" borderId="0" xfId="0" applyNumberFormat="1" applyFont="1" applyFill="1"/>
    <xf numFmtId="199" fontId="90" fillId="33" borderId="0" xfId="385" applyNumberFormat="1" applyFont="1" applyFill="1" applyAlignment="1"/>
    <xf numFmtId="0" fontId="128" fillId="0" borderId="0" xfId="287" applyFont="1" applyAlignment="1">
      <alignment horizontal="center" vertical="center"/>
    </xf>
    <xf numFmtId="0" fontId="127" fillId="0" borderId="0" xfId="287" applyFont="1" applyAlignment="1">
      <alignment horizontal="center" vertical="center"/>
    </xf>
    <xf numFmtId="204" fontId="130" fillId="0" borderId="0" xfId="287" applyNumberFormat="1" applyFont="1" applyAlignment="1">
      <alignment horizontal="center" vertical="center"/>
    </xf>
    <xf numFmtId="4" fontId="90" fillId="33" borderId="0" xfId="385" applyNumberFormat="1" applyFont="1" applyFill="1" applyBorder="1" applyAlignment="1">
      <alignment horizontal="center" vertical="center"/>
    </xf>
    <xf numFmtId="0" fontId="175" fillId="33" borderId="0" xfId="0" applyFont="1" applyFill="1" applyAlignment="1">
      <alignment horizontal="center" vertical="center"/>
    </xf>
    <xf numFmtId="200" fontId="175" fillId="33" borderId="0" xfId="0" applyNumberFormat="1" applyFont="1" applyFill="1"/>
    <xf numFmtId="0" fontId="176" fillId="33" borderId="0" xfId="0" applyFont="1" applyFill="1"/>
    <xf numFmtId="0" fontId="97" fillId="0" borderId="0" xfId="0" applyFont="1"/>
    <xf numFmtId="0" fontId="96" fillId="0" borderId="0" xfId="0" applyFont="1"/>
    <xf numFmtId="3" fontId="96" fillId="0" borderId="0" xfId="0" applyNumberFormat="1" applyFont="1"/>
    <xf numFmtId="208" fontId="96" fillId="0" borderId="0" xfId="0" applyNumberFormat="1" applyFont="1"/>
    <xf numFmtId="3" fontId="97" fillId="0" borderId="0" xfId="0" applyNumberFormat="1" applyFont="1" applyAlignment="1">
      <alignment horizontal="center" vertical="center"/>
    </xf>
    <xf numFmtId="3" fontId="0" fillId="0" borderId="0" xfId="0" applyNumberFormat="1"/>
    <xf numFmtId="3" fontId="97" fillId="0" borderId="0" xfId="0" applyNumberFormat="1" applyFont="1"/>
    <xf numFmtId="221" fontId="0" fillId="0" borderId="0" xfId="0" applyNumberFormat="1" applyAlignment="1">
      <alignment horizontal="left"/>
    </xf>
    <xf numFmtId="0" fontId="0" fillId="67" borderId="0" xfId="0" applyFill="1"/>
    <xf numFmtId="0" fontId="178" fillId="67" borderId="0" xfId="0" applyFont="1" applyFill="1"/>
    <xf numFmtId="0" fontId="179" fillId="67" borderId="0" xfId="0" applyFont="1" applyFill="1"/>
    <xf numFmtId="0" fontId="177" fillId="67" borderId="0" xfId="0" applyFont="1" applyFill="1" applyAlignment="1">
      <alignment horizontal="center"/>
    </xf>
    <xf numFmtId="200" fontId="117" fillId="33" borderId="99" xfId="0" applyNumberFormat="1" applyFont="1" applyFill="1" applyBorder="1"/>
    <xf numFmtId="0" fontId="118" fillId="33" borderId="96" xfId="0" applyFont="1" applyFill="1" applyBorder="1" applyAlignment="1">
      <alignment horizontal="left" vertical="center"/>
    </xf>
    <xf numFmtId="0" fontId="117" fillId="33" borderId="99" xfId="0" applyFont="1" applyFill="1" applyBorder="1" applyAlignment="1">
      <alignment horizontal="left" indent="1"/>
    </xf>
    <xf numFmtId="208" fontId="117" fillId="33" borderId="28" xfId="0" applyNumberFormat="1" applyFont="1" applyFill="1" applyBorder="1"/>
    <xf numFmtId="9" fontId="180" fillId="33" borderId="0" xfId="384" applyFont="1" applyFill="1" applyBorder="1"/>
    <xf numFmtId="222" fontId="89" fillId="33" borderId="0" xfId="384" applyNumberFormat="1" applyFont="1" applyFill="1" applyAlignment="1"/>
    <xf numFmtId="10" fontId="95" fillId="33" borderId="0" xfId="384" applyNumberFormat="1" applyFont="1" applyFill="1" applyBorder="1" applyAlignment="1"/>
    <xf numFmtId="4" fontId="112" fillId="33" borderId="0" xfId="232" applyNumberFormat="1" applyFont="1" applyFill="1"/>
    <xf numFmtId="199" fontId="112" fillId="33" borderId="107" xfId="232" applyNumberFormat="1" applyFont="1" applyFill="1" applyBorder="1"/>
    <xf numFmtId="199" fontId="112" fillId="33" borderId="27" xfId="232" applyNumberFormat="1" applyFont="1" applyFill="1" applyBorder="1"/>
    <xf numFmtId="0" fontId="112" fillId="33" borderId="107" xfId="232" applyFont="1" applyFill="1" applyBorder="1" applyAlignment="1">
      <alignment horizontal="left" indent="1"/>
    </xf>
    <xf numFmtId="0" fontId="112" fillId="33" borderId="27" xfId="232" applyFont="1" applyFill="1" applyBorder="1" applyAlignment="1">
      <alignment horizontal="left" indent="1"/>
    </xf>
    <xf numFmtId="9" fontId="117" fillId="33" borderId="0" xfId="0" applyNumberFormat="1" applyFont="1" applyFill="1"/>
    <xf numFmtId="0" fontId="118" fillId="33" borderId="59" xfId="0" applyFont="1" applyFill="1" applyBorder="1" applyAlignment="1">
      <alignment horizontal="left"/>
    </xf>
    <xf numFmtId="216" fontId="118" fillId="33" borderId="59" xfId="0" applyNumberFormat="1" applyFont="1" applyFill="1" applyBorder="1"/>
    <xf numFmtId="3" fontId="121" fillId="69" borderId="91" xfId="294" applyNumberFormat="1" applyFont="1" applyFill="1" applyBorder="1" applyAlignment="1">
      <alignment horizontal="center"/>
    </xf>
    <xf numFmtId="3" fontId="121" fillId="70" borderId="91" xfId="294" applyNumberFormat="1" applyFont="1" applyFill="1" applyBorder="1" applyAlignment="1">
      <alignment horizontal="center"/>
    </xf>
    <xf numFmtId="3" fontId="121" fillId="59" borderId="91" xfId="294" applyNumberFormat="1" applyFont="1" applyFill="1" applyBorder="1" applyAlignment="1">
      <alignment horizontal="center"/>
    </xf>
    <xf numFmtId="0" fontId="105" fillId="33" borderId="28" xfId="385" applyFont="1" applyFill="1" applyBorder="1" applyAlignment="1">
      <alignment horizontal="left" indent="1"/>
    </xf>
    <xf numFmtId="199" fontId="105" fillId="33" borderId="28" xfId="385" applyNumberFormat="1" applyFont="1" applyFill="1" applyBorder="1" applyAlignment="1"/>
    <xf numFmtId="0" fontId="104" fillId="33" borderId="99" xfId="385" applyFont="1" applyFill="1" applyBorder="1" applyAlignment="1">
      <alignment horizontal="left" indent="1"/>
    </xf>
    <xf numFmtId="199" fontId="104" fillId="33" borderId="99" xfId="385" applyNumberFormat="1" applyFont="1" applyFill="1" applyBorder="1" applyAlignment="1"/>
    <xf numFmtId="3" fontId="122" fillId="0" borderId="11" xfId="294" applyNumberFormat="1" applyFont="1" applyBorder="1" applyAlignment="1">
      <alignment horizontal="center"/>
    </xf>
    <xf numFmtId="3" fontId="122" fillId="0" borderId="59" xfId="294" applyNumberFormat="1" applyFont="1" applyBorder="1" applyAlignment="1">
      <alignment horizontal="center"/>
    </xf>
    <xf numFmtId="3" fontId="122" fillId="0" borderId="12" xfId="294" applyNumberFormat="1" applyFont="1" applyBorder="1" applyAlignment="1">
      <alignment horizontal="center"/>
    </xf>
    <xf numFmtId="164" fontId="28" fillId="0" borderId="0" xfId="41" applyFont="1" applyAlignment="1">
      <alignment horizontal="center" wrapText="1"/>
    </xf>
    <xf numFmtId="3" fontId="142" fillId="0" borderId="27" xfId="396" applyNumberFormat="1" applyFont="1" applyBorder="1" applyAlignment="1">
      <alignment horizontal="right"/>
    </xf>
    <xf numFmtId="3" fontId="142" fillId="0" borderId="0" xfId="396" applyNumberFormat="1" applyFont="1" applyAlignment="1">
      <alignment horizontal="right"/>
    </xf>
    <xf numFmtId="3" fontId="142" fillId="0" borderId="99" xfId="396" applyNumberFormat="1" applyFont="1" applyBorder="1" applyAlignment="1">
      <alignment horizontal="right"/>
    </xf>
    <xf numFmtId="3" fontId="142" fillId="0" borderId="59" xfId="396" applyNumberFormat="1" applyFont="1" applyBorder="1" applyAlignment="1">
      <alignment horizontal="right"/>
    </xf>
    <xf numFmtId="0" fontId="143" fillId="0" borderId="96" xfId="396" applyFont="1" applyBorder="1" applyAlignment="1">
      <alignment horizontal="center"/>
    </xf>
    <xf numFmtId="9" fontId="143" fillId="0" borderId="96" xfId="396" applyNumberFormat="1" applyFont="1" applyBorder="1" applyAlignment="1">
      <alignment horizontal="center"/>
    </xf>
    <xf numFmtId="0" fontId="142" fillId="0" borderId="28" xfId="396" applyFont="1" applyBorder="1" applyAlignment="1">
      <alignment horizontal="center"/>
    </xf>
    <xf numFmtId="3" fontId="142" fillId="0" borderId="28" xfId="396" applyNumberFormat="1" applyFont="1" applyBorder="1" applyAlignment="1">
      <alignment horizontal="right"/>
    </xf>
    <xf numFmtId="0" fontId="142" fillId="0" borderId="0" xfId="396" applyFont="1" applyAlignment="1">
      <alignment horizontal="center"/>
    </xf>
    <xf numFmtId="0" fontId="142" fillId="0" borderId="0" xfId="396" quotePrefix="1" applyFont="1" applyAlignment="1">
      <alignment horizontal="center"/>
    </xf>
    <xf numFmtId="0" fontId="141" fillId="0" borderId="0" xfId="396" applyFont="1" applyAlignment="1">
      <alignment horizontal="left"/>
    </xf>
    <xf numFmtId="0" fontId="142" fillId="0" borderId="99" xfId="396" applyFont="1" applyBorder="1" applyAlignment="1">
      <alignment horizontal="center"/>
    </xf>
    <xf numFmtId="0" fontId="142" fillId="0" borderId="27" xfId="396" applyFont="1" applyBorder="1" applyAlignment="1">
      <alignment horizontal="center"/>
    </xf>
    <xf numFmtId="0" fontId="142" fillId="0" borderId="0" xfId="396" applyFont="1" applyAlignment="1">
      <alignment horizontal="left" indent="1"/>
    </xf>
    <xf numFmtId="164" fontId="142" fillId="0" borderId="0" xfId="396" applyNumberFormat="1" applyFont="1" applyAlignment="1">
      <alignment horizontal="center"/>
    </xf>
    <xf numFmtId="0" fontId="143" fillId="0" borderId="27" xfId="396" applyFont="1" applyBorder="1" applyAlignment="1">
      <alignment horizontal="center"/>
    </xf>
    <xf numFmtId="164" fontId="143" fillId="0" borderId="27" xfId="396" applyNumberFormat="1" applyFont="1" applyBorder="1" applyAlignment="1">
      <alignment horizontal="center"/>
    </xf>
    <xf numFmtId="164" fontId="143" fillId="0" borderId="97" xfId="396" applyNumberFormat="1" applyFont="1" applyBorder="1" applyAlignment="1">
      <alignment horizontal="center"/>
    </xf>
    <xf numFmtId="0" fontId="142" fillId="0" borderId="97" xfId="396" applyFont="1" applyBorder="1" applyAlignment="1">
      <alignment horizontal="left" vertical="center"/>
    </xf>
    <xf numFmtId="164" fontId="142" fillId="0" borderId="97" xfId="397" applyFont="1" applyBorder="1" applyAlignment="1">
      <alignment horizontal="right" indent="1"/>
    </xf>
    <xf numFmtId="0" fontId="142" fillId="0" borderId="97" xfId="396" applyFont="1" applyBorder="1" applyAlignment="1">
      <alignment horizontal="center"/>
    </xf>
    <xf numFmtId="164" fontId="142" fillId="0" borderId="97" xfId="396" applyNumberFormat="1" applyFont="1" applyBorder="1" applyAlignment="1">
      <alignment horizontal="center"/>
    </xf>
    <xf numFmtId="0" fontId="142" fillId="0" borderId="0" xfId="396" applyFont="1" applyAlignment="1">
      <alignment horizontal="left" vertical="center" indent="1"/>
    </xf>
    <xf numFmtId="164" fontId="142" fillId="0" borderId="0" xfId="397" applyFont="1" applyAlignment="1">
      <alignment horizontal="right" indent="1"/>
    </xf>
    <xf numFmtId="0" fontId="142" fillId="0" borderId="11" xfId="396" applyFont="1" applyBorder="1" applyAlignment="1">
      <alignment horizontal="center" vertical="center"/>
    </xf>
    <xf numFmtId="0" fontId="142" fillId="0" borderId="59" xfId="396" applyFont="1" applyBorder="1" applyAlignment="1">
      <alignment horizontal="center" vertical="center"/>
    </xf>
    <xf numFmtId="0" fontId="142" fillId="0" borderId="12" xfId="396" applyFont="1" applyBorder="1" applyAlignment="1">
      <alignment horizontal="center" vertical="center"/>
    </xf>
    <xf numFmtId="0" fontId="143" fillId="0" borderId="96" xfId="396" applyFont="1" applyBorder="1" applyAlignment="1">
      <alignment vertical="center"/>
    </xf>
    <xf numFmtId="0" fontId="142" fillId="0" borderId="21" xfId="396" applyFont="1" applyBorder="1" applyAlignment="1">
      <alignment horizontal="center" vertical="center"/>
    </xf>
    <xf numFmtId="0" fontId="142" fillId="0" borderId="13" xfId="396" applyFont="1" applyBorder="1" applyAlignment="1">
      <alignment horizontal="center" vertical="center"/>
    </xf>
    <xf numFmtId="0" fontId="142" fillId="0" borderId="92" xfId="396" applyFont="1" applyBorder="1" applyAlignment="1">
      <alignment horizontal="center" vertical="center"/>
    </xf>
    <xf numFmtId="0" fontId="142" fillId="0" borderId="94" xfId="396" applyFont="1" applyBorder="1" applyAlignment="1">
      <alignment horizontal="center" vertical="center"/>
    </xf>
    <xf numFmtId="0" fontId="142" fillId="0" borderId="99" xfId="396" applyFont="1" applyBorder="1" applyAlignment="1">
      <alignment horizontal="center" vertical="center"/>
    </xf>
    <xf numFmtId="0" fontId="142" fillId="0" borderId="95" xfId="396" applyFont="1" applyBorder="1" applyAlignment="1">
      <alignment horizontal="center" vertical="center"/>
    </xf>
    <xf numFmtId="0" fontId="142" fillId="0" borderId="21" xfId="396" applyFont="1" applyBorder="1" applyAlignment="1">
      <alignment horizontal="center" vertical="center" wrapText="1"/>
    </xf>
    <xf numFmtId="0" fontId="142" fillId="0" borderId="13" xfId="396" applyFont="1" applyBorder="1" applyAlignment="1">
      <alignment horizontal="center" vertical="center" wrapText="1"/>
    </xf>
    <xf numFmtId="0" fontId="142" fillId="0" borderId="92" xfId="396" applyFont="1" applyBorder="1" applyAlignment="1">
      <alignment horizontal="center" vertical="center" wrapText="1"/>
    </xf>
    <xf numFmtId="0" fontId="142" fillId="0" borderId="94" xfId="396" applyFont="1" applyBorder="1" applyAlignment="1">
      <alignment horizontal="center" vertical="center" wrapText="1"/>
    </xf>
    <xf numFmtId="0" fontId="142" fillId="0" borderId="99" xfId="396" applyFont="1" applyBorder="1" applyAlignment="1">
      <alignment horizontal="center" vertical="center" wrapText="1"/>
    </xf>
    <xf numFmtId="0" fontId="142" fillId="0" borderId="95" xfId="396" applyFont="1" applyBorder="1" applyAlignment="1">
      <alignment horizontal="center" vertical="center" wrapText="1"/>
    </xf>
    <xf numFmtId="0" fontId="142" fillId="0" borderId="21" xfId="396" applyFont="1" applyBorder="1" applyAlignment="1">
      <alignment horizontal="center" wrapText="1"/>
    </xf>
    <xf numFmtId="0" fontId="142" fillId="0" borderId="13" xfId="396" applyFont="1" applyBorder="1" applyAlignment="1">
      <alignment horizontal="center" wrapText="1"/>
    </xf>
    <xf numFmtId="0" fontId="142" fillId="0" borderId="92" xfId="396" applyFont="1" applyBorder="1" applyAlignment="1">
      <alignment horizontal="center" wrapText="1"/>
    </xf>
    <xf numFmtId="0" fontId="142" fillId="0" borderId="94" xfId="396" applyFont="1" applyBorder="1" applyAlignment="1">
      <alignment horizontal="center" wrapText="1"/>
    </xf>
    <xf numFmtId="0" fontId="142" fillId="0" borderId="99" xfId="396" applyFont="1" applyBorder="1" applyAlignment="1">
      <alignment horizontal="center" wrapText="1"/>
    </xf>
    <xf numFmtId="0" fontId="142" fillId="0" borderId="95" xfId="396" applyFont="1" applyBorder="1" applyAlignment="1">
      <alignment horizontal="center" wrapText="1"/>
    </xf>
    <xf numFmtId="0" fontId="142" fillId="0" borderId="20" xfId="396" applyFont="1" applyBorder="1" applyAlignment="1">
      <alignment horizontal="center" vertical="center" wrapText="1"/>
    </xf>
    <xf numFmtId="0" fontId="142" fillId="0" borderId="0" xfId="396" applyFont="1" applyAlignment="1">
      <alignment horizontal="center" vertical="center" wrapText="1"/>
    </xf>
    <xf numFmtId="0" fontId="142" fillId="0" borderId="87" xfId="396" applyFont="1" applyBorder="1" applyAlignment="1">
      <alignment horizontal="center" vertical="center" wrapText="1"/>
    </xf>
    <xf numFmtId="0" fontId="143" fillId="0" borderId="21" xfId="396" applyFont="1" applyBorder="1" applyAlignment="1">
      <alignment horizontal="center" vertical="center"/>
    </xf>
    <xf numFmtId="0" fontId="143" fillId="0" borderId="13" xfId="396" applyFont="1" applyBorder="1" applyAlignment="1">
      <alignment horizontal="center" vertical="center"/>
    </xf>
    <xf numFmtId="0" fontId="143" fillId="0" borderId="92" xfId="396" applyFont="1" applyBorder="1" applyAlignment="1">
      <alignment horizontal="center" vertical="center"/>
    </xf>
    <xf numFmtId="0" fontId="143" fillId="0" borderId="94" xfId="396" applyFont="1" applyBorder="1" applyAlignment="1">
      <alignment horizontal="center" vertical="center"/>
    </xf>
    <xf numFmtId="0" fontId="143" fillId="0" borderId="99" xfId="396" applyFont="1" applyBorder="1" applyAlignment="1">
      <alignment horizontal="center" vertical="center"/>
    </xf>
    <xf numFmtId="0" fontId="143" fillId="0" borderId="95" xfId="396" applyFont="1" applyBorder="1" applyAlignment="1">
      <alignment horizontal="center" vertical="center"/>
    </xf>
    <xf numFmtId="164" fontId="142" fillId="0" borderId="27" xfId="396" applyNumberFormat="1" applyFont="1" applyBorder="1" applyAlignment="1">
      <alignment horizontal="center"/>
    </xf>
    <xf numFmtId="164" fontId="142" fillId="0" borderId="0" xfId="397" applyFont="1" applyBorder="1" applyAlignment="1">
      <alignment horizontal="right"/>
    </xf>
    <xf numFmtId="164" fontId="143" fillId="0" borderId="27" xfId="397" applyFont="1" applyBorder="1" applyAlignment="1">
      <alignment horizontal="right" indent="1"/>
    </xf>
    <xf numFmtId="164" fontId="143" fillId="0" borderId="27" xfId="397" applyFont="1" applyBorder="1" applyAlignment="1">
      <alignment horizontal="right"/>
    </xf>
    <xf numFmtId="164" fontId="143" fillId="0" borderId="27" xfId="397" applyFont="1" applyBorder="1" applyAlignment="1">
      <alignment horizontal="center"/>
    </xf>
    <xf numFmtId="0" fontId="142" fillId="0" borderId="0" xfId="396" applyFont="1" applyAlignment="1">
      <alignment vertical="center"/>
    </xf>
    <xf numFmtId="164" fontId="142" fillId="0" borderId="0" xfId="397" applyFont="1" applyBorder="1" applyAlignment="1">
      <alignment horizontal="center"/>
    </xf>
    <xf numFmtId="164" fontId="142" fillId="0" borderId="99" xfId="397" applyFont="1" applyBorder="1" applyAlignment="1">
      <alignment horizontal="center"/>
    </xf>
    <xf numFmtId="0" fontId="143" fillId="0" borderId="27" xfId="396" applyFont="1" applyBorder="1" applyAlignment="1">
      <alignment vertical="center"/>
    </xf>
    <xf numFmtId="0" fontId="142" fillId="0" borderId="99" xfId="396" applyFont="1" applyBorder="1" applyAlignment="1">
      <alignment vertical="center"/>
    </xf>
    <xf numFmtId="164" fontId="142" fillId="0" borderId="99" xfId="397" applyFont="1" applyBorder="1" applyAlignment="1">
      <alignment horizontal="right" indent="1"/>
    </xf>
    <xf numFmtId="164" fontId="142" fillId="0" borderId="99" xfId="397" applyFont="1" applyBorder="1" applyAlignment="1">
      <alignment horizontal="right"/>
    </xf>
    <xf numFmtId="164" fontId="143" fillId="0" borderId="96" xfId="397" applyFont="1" applyBorder="1" applyAlignment="1">
      <alignment horizontal="right" indent="1"/>
    </xf>
    <xf numFmtId="164" fontId="143" fillId="0" borderId="96" xfId="397" applyFont="1" applyBorder="1" applyAlignment="1">
      <alignment horizontal="right"/>
    </xf>
    <xf numFmtId="164" fontId="143" fillId="0" borderId="96" xfId="397" applyFont="1" applyBorder="1" applyAlignment="1">
      <alignment horizontal="center"/>
    </xf>
    <xf numFmtId="0" fontId="143" fillId="0" borderId="21" xfId="396" applyFont="1" applyBorder="1" applyAlignment="1">
      <alignment horizontal="center" vertical="center" wrapText="1"/>
    </xf>
    <xf numFmtId="0" fontId="143" fillId="0" borderId="13" xfId="396" applyFont="1" applyBorder="1" applyAlignment="1">
      <alignment horizontal="center" vertical="center" wrapText="1"/>
    </xf>
    <xf numFmtId="0" fontId="143" fillId="0" borderId="92" xfId="396" applyFont="1" applyBorder="1" applyAlignment="1">
      <alignment horizontal="center" vertical="center" wrapText="1"/>
    </xf>
    <xf numFmtId="0" fontId="143" fillId="0" borderId="94" xfId="396" applyFont="1" applyBorder="1" applyAlignment="1">
      <alignment horizontal="center" vertical="center" wrapText="1"/>
    </xf>
    <xf numFmtId="0" fontId="143" fillId="0" borderId="99" xfId="396" applyFont="1" applyBorder="1" applyAlignment="1">
      <alignment horizontal="center" vertical="center" wrapText="1"/>
    </xf>
    <xf numFmtId="0" fontId="143" fillId="0" borderId="95" xfId="396" applyFont="1" applyBorder="1" applyAlignment="1">
      <alignment horizontal="center" vertical="center" wrapText="1"/>
    </xf>
    <xf numFmtId="164" fontId="142" fillId="0" borderId="99" xfId="396" applyNumberFormat="1" applyFont="1" applyBorder="1" applyAlignment="1">
      <alignment horizontal="center"/>
    </xf>
    <xf numFmtId="164" fontId="143" fillId="0" borderId="28" xfId="397" applyFont="1" applyBorder="1" applyAlignment="1">
      <alignment horizontal="right" indent="1"/>
    </xf>
    <xf numFmtId="164" fontId="143" fillId="0" borderId="28" xfId="397" applyFont="1" applyBorder="1" applyAlignment="1">
      <alignment horizontal="right"/>
    </xf>
    <xf numFmtId="164" fontId="143" fillId="0" borderId="28" xfId="396" applyNumberFormat="1" applyFont="1" applyBorder="1" applyAlignment="1">
      <alignment horizontal="center"/>
    </xf>
    <xf numFmtId="0" fontId="143" fillId="0" borderId="28" xfId="396" applyFont="1" applyBorder="1" applyAlignment="1">
      <alignment horizontal="center"/>
    </xf>
    <xf numFmtId="164" fontId="143" fillId="0" borderId="96" xfId="396" applyNumberFormat="1" applyFont="1" applyBorder="1" applyAlignment="1">
      <alignment horizontal="center"/>
    </xf>
    <xf numFmtId="164" fontId="142" fillId="0" borderId="0" xfId="41" applyFont="1" applyAlignment="1">
      <alignment horizontal="center"/>
    </xf>
    <xf numFmtId="0" fontId="149" fillId="0" borderId="102" xfId="0" applyFont="1" applyBorder="1" applyAlignment="1">
      <alignment horizontal="center" vertical="center"/>
    </xf>
    <xf numFmtId="0" fontId="149" fillId="0" borderId="103" xfId="0" applyFont="1" applyBorder="1" applyAlignment="1">
      <alignment horizontal="center" vertical="center"/>
    </xf>
    <xf numFmtId="0" fontId="149" fillId="0" borderId="115" xfId="0" applyFont="1" applyBorder="1" applyAlignment="1">
      <alignment horizontal="center" vertical="center" wrapText="1"/>
    </xf>
    <xf numFmtId="0" fontId="149" fillId="0" borderId="97" xfId="0" applyFont="1" applyBorder="1" applyAlignment="1">
      <alignment horizontal="center" vertical="center" wrapText="1"/>
    </xf>
    <xf numFmtId="0" fontId="149" fillId="0" borderId="116" xfId="0" applyFont="1" applyBorder="1" applyAlignment="1">
      <alignment horizontal="center" vertical="center" wrapText="1"/>
    </xf>
    <xf numFmtId="0" fontId="16" fillId="0" borderId="102" xfId="0" applyFont="1" applyBorder="1" applyAlignment="1">
      <alignment horizontal="center"/>
    </xf>
    <xf numFmtId="0" fontId="16" fillId="0" borderId="103" xfId="0" applyFont="1" applyBorder="1" applyAlignment="1">
      <alignment horizontal="center"/>
    </xf>
    <xf numFmtId="0" fontId="16" fillId="0" borderId="104" xfId="0" applyFon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97" xfId="0" applyBorder="1" applyAlignment="1">
      <alignment horizontal="center"/>
    </xf>
    <xf numFmtId="0" fontId="150" fillId="59" borderId="0" xfId="0" applyFont="1" applyFill="1" applyAlignment="1">
      <alignment horizontal="center" vertical="center"/>
    </xf>
    <xf numFmtId="0" fontId="0" fillId="59" borderId="0" xfId="0" applyFill="1" applyAlignment="1">
      <alignment horizontal="center"/>
    </xf>
    <xf numFmtId="0" fontId="0" fillId="0" borderId="10" xfId="0" applyBorder="1" applyAlignment="1">
      <alignment horizontal="center"/>
    </xf>
    <xf numFmtId="164" fontId="142" fillId="0" borderId="13" xfId="397" applyFont="1" applyBorder="1" applyAlignment="1">
      <alignment horizontal="center"/>
    </xf>
    <xf numFmtId="0" fontId="0" fillId="33" borderId="14" xfId="0" applyFill="1" applyBorder="1" applyAlignment="1">
      <alignment horizontal="center" vertical="center"/>
    </xf>
    <xf numFmtId="0" fontId="0" fillId="33" borderId="15" xfId="0" applyFill="1" applyBorder="1" applyAlignment="1">
      <alignment horizontal="center" vertical="center"/>
    </xf>
    <xf numFmtId="0" fontId="0" fillId="33" borderId="16" xfId="0" applyFill="1" applyBorder="1" applyAlignment="1">
      <alignment horizontal="center" vertical="center"/>
    </xf>
    <xf numFmtId="0" fontId="0" fillId="33" borderId="17" xfId="0" applyFill="1" applyBorder="1" applyAlignment="1">
      <alignment horizontal="center" vertical="center"/>
    </xf>
    <xf numFmtId="0" fontId="16" fillId="33" borderId="14" xfId="0" applyFont="1" applyFill="1" applyBorder="1" applyAlignment="1">
      <alignment horizontal="center"/>
    </xf>
    <xf numFmtId="0" fontId="16" fillId="33" borderId="15" xfId="0" applyFont="1" applyFill="1" applyBorder="1" applyAlignment="1">
      <alignment horizontal="center"/>
    </xf>
    <xf numFmtId="0" fontId="0" fillId="33" borderId="16" xfId="0" applyFill="1" applyBorder="1" applyAlignment="1">
      <alignment horizontal="center"/>
    </xf>
    <xf numFmtId="0" fontId="0" fillId="33" borderId="17" xfId="0" applyFill="1" applyBorder="1" applyAlignment="1">
      <alignment horizontal="center"/>
    </xf>
    <xf numFmtId="0" fontId="0" fillId="33" borderId="0" xfId="0" applyFill="1" applyAlignment="1">
      <alignment horizontal="center"/>
    </xf>
    <xf numFmtId="0" fontId="0" fillId="33" borderId="10" xfId="0" applyFill="1" applyBorder="1" applyAlignment="1">
      <alignment horizontal="center"/>
    </xf>
    <xf numFmtId="164" fontId="18" fillId="0" borderId="0" xfId="0" applyNumberFormat="1" applyFont="1" applyAlignment="1">
      <alignment horizontal="center"/>
    </xf>
    <xf numFmtId="0" fontId="0" fillId="0" borderId="13" xfId="0" applyBorder="1" applyAlignment="1">
      <alignment horizontal="left"/>
    </xf>
    <xf numFmtId="3" fontId="26" fillId="0" borderId="0" xfId="0" applyNumberFormat="1" applyFont="1" applyAlignment="1">
      <alignment horizontal="center"/>
    </xf>
    <xf numFmtId="164" fontId="26" fillId="0" borderId="0" xfId="41" applyFont="1" applyFill="1" applyAlignment="1">
      <alignment horizontal="center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21" fillId="0" borderId="10" xfId="0" applyFont="1" applyBorder="1" applyAlignment="1">
      <alignment horizontal="center" vertical="center"/>
    </xf>
    <xf numFmtId="49" fontId="26" fillId="0" borderId="11" xfId="0" applyNumberFormat="1" applyFont="1" applyBorder="1" applyAlignment="1">
      <alignment horizontal="left" vertical="center" wrapText="1"/>
    </xf>
    <xf numFmtId="49" fontId="26" fillId="0" borderId="12" xfId="0" applyNumberFormat="1" applyFont="1" applyBorder="1" applyAlignment="1">
      <alignment horizontal="left" vertical="center" wrapText="1"/>
    </xf>
    <xf numFmtId="49" fontId="26" fillId="0" borderId="11" xfId="0" applyNumberFormat="1" applyFont="1" applyBorder="1" applyAlignment="1">
      <alignment horizontal="left" vertical="center"/>
    </xf>
    <xf numFmtId="49" fontId="26" fillId="0" borderId="12" xfId="0" applyNumberFormat="1" applyFont="1" applyBorder="1" applyAlignment="1">
      <alignment horizontal="left" vertical="center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16" fillId="33" borderId="77" xfId="0" applyFont="1" applyFill="1" applyBorder="1" applyAlignment="1">
      <alignment horizontal="left" vertical="center" wrapText="1"/>
    </xf>
    <xf numFmtId="0" fontId="16" fillId="33" borderId="80" xfId="0" applyFont="1" applyFill="1" applyBorder="1" applyAlignment="1">
      <alignment horizontal="left" vertical="center" wrapText="1"/>
    </xf>
    <xf numFmtId="0" fontId="16" fillId="33" borderId="83" xfId="0" applyFont="1" applyFill="1" applyBorder="1" applyAlignment="1">
      <alignment horizontal="left" vertical="center" wrapText="1"/>
    </xf>
    <xf numFmtId="0" fontId="113" fillId="63" borderId="66" xfId="0" applyFont="1" applyFill="1" applyBorder="1" applyAlignment="1">
      <alignment horizontal="center" vertical="top" wrapText="1"/>
    </xf>
    <xf numFmtId="0" fontId="114" fillId="33" borderId="67" xfId="0" applyFont="1" applyFill="1" applyBorder="1" applyAlignment="1">
      <alignment horizontal="left" vertical="center" wrapText="1"/>
    </xf>
    <xf numFmtId="0" fontId="114" fillId="33" borderId="72" xfId="0" applyFont="1" applyFill="1" applyBorder="1" applyAlignment="1">
      <alignment horizontal="left" vertical="center" wrapText="1"/>
    </xf>
    <xf numFmtId="0" fontId="115" fillId="33" borderId="68" xfId="0" applyFont="1" applyFill="1" applyBorder="1" applyAlignment="1">
      <alignment vertical="center" wrapText="1"/>
    </xf>
    <xf numFmtId="0" fontId="115" fillId="33" borderId="73" xfId="0" applyFont="1" applyFill="1" applyBorder="1" applyAlignment="1">
      <alignment vertical="center" wrapText="1"/>
    </xf>
    <xf numFmtId="17" fontId="115" fillId="33" borderId="68" xfId="0" applyNumberFormat="1" applyFont="1" applyFill="1" applyBorder="1" applyAlignment="1">
      <alignment horizontal="center" vertical="top" wrapText="1"/>
    </xf>
    <xf numFmtId="17" fontId="115" fillId="33" borderId="73" xfId="0" applyNumberFormat="1" applyFont="1" applyFill="1" applyBorder="1" applyAlignment="1">
      <alignment horizontal="center" vertical="top" wrapText="1"/>
    </xf>
    <xf numFmtId="0" fontId="115" fillId="33" borderId="69" xfId="0" applyFont="1" applyFill="1" applyBorder="1" applyAlignment="1">
      <alignment horizontal="left" vertical="center" wrapText="1"/>
    </xf>
    <xf numFmtId="0" fontId="115" fillId="33" borderId="74" xfId="0" applyFont="1" applyFill="1" applyBorder="1" applyAlignment="1">
      <alignment horizontal="left" vertical="center" wrapText="1"/>
    </xf>
    <xf numFmtId="0" fontId="114" fillId="33" borderId="68" xfId="0" applyFont="1" applyFill="1" applyBorder="1" applyAlignment="1">
      <alignment horizontal="left" vertical="center" wrapText="1"/>
    </xf>
    <xf numFmtId="0" fontId="114" fillId="33" borderId="73" xfId="0" applyFont="1" applyFill="1" applyBorder="1" applyAlignment="1">
      <alignment horizontal="left" vertical="center" wrapText="1"/>
    </xf>
    <xf numFmtId="164" fontId="16" fillId="33" borderId="0" xfId="41" applyFont="1" applyFill="1" applyAlignment="1">
      <alignment horizontal="center"/>
    </xf>
    <xf numFmtId="0" fontId="16" fillId="33" borderId="0" xfId="0" applyFont="1" applyFill="1" applyAlignment="1">
      <alignment horizontal="center"/>
    </xf>
    <xf numFmtId="0" fontId="118" fillId="33" borderId="96" xfId="0" applyFont="1" applyFill="1" applyBorder="1" applyAlignment="1">
      <alignment horizontal="center"/>
    </xf>
    <xf numFmtId="0" fontId="90" fillId="33" borderId="11" xfId="385" applyFont="1" applyFill="1" applyBorder="1" applyAlignment="1">
      <alignment horizontal="center"/>
    </xf>
    <xf numFmtId="0" fontId="90" fillId="33" borderId="12" xfId="385" applyFont="1" applyFill="1" applyBorder="1" applyAlignment="1">
      <alignment horizontal="center"/>
    </xf>
    <xf numFmtId="0" fontId="177" fillId="68" borderId="0" xfId="0" applyFont="1" applyFill="1" applyAlignment="1">
      <alignment horizontal="center"/>
    </xf>
    <xf numFmtId="0" fontId="117" fillId="0" borderId="0" xfId="0" applyFont="1" applyAlignment="1">
      <alignment horizontal="center"/>
    </xf>
    <xf numFmtId="0" fontId="107" fillId="33" borderId="0" xfId="385" applyNumberFormat="1" applyFont="1" applyFill="1" applyAlignment="1">
      <alignment horizontal="left" vertical="top" wrapText="1"/>
    </xf>
    <xf numFmtId="0" fontId="118" fillId="33" borderId="96" xfId="0" applyFont="1" applyFill="1" applyBorder="1" applyAlignment="1">
      <alignment horizontal="left"/>
    </xf>
    <xf numFmtId="0" fontId="90" fillId="33" borderId="27" xfId="0" applyFont="1" applyFill="1" applyBorder="1" applyAlignment="1">
      <alignment horizontal="center"/>
    </xf>
    <xf numFmtId="9" fontId="90" fillId="33" borderId="27" xfId="0" applyNumberFormat="1" applyFont="1" applyFill="1" applyBorder="1" applyAlignment="1">
      <alignment horizontal="center"/>
    </xf>
    <xf numFmtId="0" fontId="90" fillId="33" borderId="27" xfId="0" applyFont="1" applyFill="1" applyBorder="1" applyAlignment="1">
      <alignment horizontal="left"/>
    </xf>
    <xf numFmtId="0" fontId="0" fillId="33" borderId="63" xfId="0" applyFill="1" applyBorder="1" applyAlignment="1">
      <alignment horizontal="center"/>
    </xf>
    <xf numFmtId="0" fontId="0" fillId="33" borderId="43" xfId="0" applyFill="1" applyBorder="1" applyAlignment="1">
      <alignment horizontal="center"/>
    </xf>
    <xf numFmtId="0" fontId="0" fillId="33" borderId="44" xfId="0" applyFill="1" applyBorder="1" applyAlignment="1">
      <alignment horizontal="center"/>
    </xf>
  </cellXfs>
  <cellStyles count="399">
    <cellStyle name="_EVALUATION RECOUVREMENT DES CREANCES" xfId="46" xr:uid="{00000000-0005-0000-0000-000000000000}"/>
    <cellStyle name="0%" xfId="47" xr:uid="{00000000-0005-0000-0000-000001000000}"/>
    <cellStyle name="0,0_x000a__x000a_NA_x000a__x000a_" xfId="48" xr:uid="{00000000-0005-0000-0000-000002000000}"/>
    <cellStyle name="0,0_x000d__x000a_NA_x000d__x000a_" xfId="49" xr:uid="{00000000-0005-0000-0000-000003000000}"/>
    <cellStyle name="0.0%" xfId="50" xr:uid="{00000000-0005-0000-0000-000004000000}"/>
    <cellStyle name="0.00%" xfId="51" xr:uid="{00000000-0005-0000-0000-000005000000}"/>
    <cellStyle name="20 % - Accent1" xfId="18" builtinId="30" customBuiltin="1"/>
    <cellStyle name="20 % - Accent2" xfId="22" builtinId="34" customBuiltin="1"/>
    <cellStyle name="20 % - Accent3" xfId="26" builtinId="38" customBuiltin="1"/>
    <cellStyle name="20 % - Accent4" xfId="30" builtinId="42" customBuiltin="1"/>
    <cellStyle name="20 % - Accent5" xfId="34" builtinId="46" customBuiltin="1"/>
    <cellStyle name="20 % - Accent6" xfId="38" builtinId="50" customBuiltin="1"/>
    <cellStyle name="20% - Accent1" xfId="52" xr:uid="{00000000-0005-0000-0000-00000C000000}"/>
    <cellStyle name="20% - Accent1 2" xfId="53" xr:uid="{00000000-0005-0000-0000-00000D000000}"/>
    <cellStyle name="20% - Accent2" xfId="54" xr:uid="{00000000-0005-0000-0000-00000E000000}"/>
    <cellStyle name="20% - Accent2 2" xfId="55" xr:uid="{00000000-0005-0000-0000-00000F000000}"/>
    <cellStyle name="20% - Accent3" xfId="56" xr:uid="{00000000-0005-0000-0000-000010000000}"/>
    <cellStyle name="20% - Accent3 2" xfId="57" xr:uid="{00000000-0005-0000-0000-000011000000}"/>
    <cellStyle name="20% - Accent4" xfId="58" xr:uid="{00000000-0005-0000-0000-000012000000}"/>
    <cellStyle name="20% - Accent4 2" xfId="59" xr:uid="{00000000-0005-0000-0000-000013000000}"/>
    <cellStyle name="20% - Accent5" xfId="60" xr:uid="{00000000-0005-0000-0000-000014000000}"/>
    <cellStyle name="20% - Accent5 2" xfId="61" xr:uid="{00000000-0005-0000-0000-000015000000}"/>
    <cellStyle name="20% - Accent6" xfId="62" xr:uid="{00000000-0005-0000-0000-000016000000}"/>
    <cellStyle name="20% - Accent6 2" xfId="63" xr:uid="{00000000-0005-0000-0000-000017000000}"/>
    <cellStyle name="40 % - Accent1" xfId="19" builtinId="31" customBuiltin="1"/>
    <cellStyle name="40 % - Accent2" xfId="23" builtinId="35" customBuiltin="1"/>
    <cellStyle name="40 % - Accent3" xfId="27" builtinId="39" customBuiltin="1"/>
    <cellStyle name="40 % - Accent4" xfId="31" builtinId="43" customBuiltin="1"/>
    <cellStyle name="40 % - Accent5" xfId="35" builtinId="47" customBuiltin="1"/>
    <cellStyle name="40 % - Accent6" xfId="39" builtinId="51" customBuiltin="1"/>
    <cellStyle name="40% - Accent1" xfId="64" xr:uid="{00000000-0005-0000-0000-00001E000000}"/>
    <cellStyle name="40% - Accent1 2" xfId="65" xr:uid="{00000000-0005-0000-0000-00001F000000}"/>
    <cellStyle name="40% - Accent2" xfId="66" xr:uid="{00000000-0005-0000-0000-000020000000}"/>
    <cellStyle name="40% - Accent2 2" xfId="67" xr:uid="{00000000-0005-0000-0000-000021000000}"/>
    <cellStyle name="40% - Accent3" xfId="68" xr:uid="{00000000-0005-0000-0000-000022000000}"/>
    <cellStyle name="40% - Accent3 2" xfId="69" xr:uid="{00000000-0005-0000-0000-000023000000}"/>
    <cellStyle name="40% - Accent4" xfId="70" xr:uid="{00000000-0005-0000-0000-000024000000}"/>
    <cellStyle name="40% - Accent4 2" xfId="71" xr:uid="{00000000-0005-0000-0000-000025000000}"/>
    <cellStyle name="40% - Accent5" xfId="72" xr:uid="{00000000-0005-0000-0000-000026000000}"/>
    <cellStyle name="40% - Accent5 2" xfId="73" xr:uid="{00000000-0005-0000-0000-000027000000}"/>
    <cellStyle name="40% - Accent6" xfId="74" xr:uid="{00000000-0005-0000-0000-000028000000}"/>
    <cellStyle name="40% - Accent6 2" xfId="75" xr:uid="{00000000-0005-0000-0000-000029000000}"/>
    <cellStyle name="60 % - Accent1" xfId="20" builtinId="32" customBuiltin="1"/>
    <cellStyle name="60 % - Accent2" xfId="24" builtinId="36" customBuiltin="1"/>
    <cellStyle name="60 % - Accent3" xfId="28" builtinId="40" customBuiltin="1"/>
    <cellStyle name="60 % - Accent4" xfId="32" builtinId="44" customBuiltin="1"/>
    <cellStyle name="60 % - Accent5" xfId="36" builtinId="48" customBuiltin="1"/>
    <cellStyle name="60 % - Accent6" xfId="40" builtinId="52" customBuiltin="1"/>
    <cellStyle name="60% - Accent1" xfId="76" xr:uid="{00000000-0005-0000-0000-000030000000}"/>
    <cellStyle name="60% - Accent1 2" xfId="77" xr:uid="{00000000-0005-0000-0000-000031000000}"/>
    <cellStyle name="60% - Accent2" xfId="78" xr:uid="{00000000-0005-0000-0000-000032000000}"/>
    <cellStyle name="60% - Accent2 2" xfId="79" xr:uid="{00000000-0005-0000-0000-000033000000}"/>
    <cellStyle name="60% - Accent3" xfId="80" xr:uid="{00000000-0005-0000-0000-000034000000}"/>
    <cellStyle name="60% - Accent3 2" xfId="81" xr:uid="{00000000-0005-0000-0000-000035000000}"/>
    <cellStyle name="60% - Accent4" xfId="82" xr:uid="{00000000-0005-0000-0000-000036000000}"/>
    <cellStyle name="60% - Accent4 2" xfId="83" xr:uid="{00000000-0005-0000-0000-000037000000}"/>
    <cellStyle name="60% - Accent5" xfId="84" xr:uid="{00000000-0005-0000-0000-000038000000}"/>
    <cellStyle name="60% - Accent5 2" xfId="85" xr:uid="{00000000-0005-0000-0000-000039000000}"/>
    <cellStyle name="60% - Accent6" xfId="86" xr:uid="{00000000-0005-0000-0000-00003A000000}"/>
    <cellStyle name="60% - Accent6 2" xfId="87" xr:uid="{00000000-0005-0000-0000-00003B000000}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amount" xfId="88" xr:uid="{00000000-0005-0000-0000-000042000000}"/>
    <cellStyle name="Avertissement" xfId="14" builtinId="11" customBuiltin="1"/>
    <cellStyle name="Bad" xfId="89" xr:uid="{00000000-0005-0000-0000-000044000000}"/>
    <cellStyle name="Bad 2" xfId="90" xr:uid="{00000000-0005-0000-0000-000045000000}"/>
    <cellStyle name="Calcul" xfId="11" builtinId="22" customBuiltin="1"/>
    <cellStyle name="Calculation" xfId="91" xr:uid="{00000000-0005-0000-0000-000047000000}"/>
    <cellStyle name="Calculation 2" xfId="92" xr:uid="{00000000-0005-0000-0000-000048000000}"/>
    <cellStyle name="cBMilliers" xfId="93" xr:uid="{00000000-0005-0000-0000-000049000000}"/>
    <cellStyle name="cBMilliers-" xfId="94" xr:uid="{00000000-0005-0000-0000-00004A000000}"/>
    <cellStyle name="Cellule liée" xfId="12" builtinId="24" customBuiltin="1"/>
    <cellStyle name="Check Cell" xfId="95" xr:uid="{00000000-0005-0000-0000-00004C000000}"/>
    <cellStyle name="Check Cell 2" xfId="96" xr:uid="{00000000-0005-0000-0000-00004D000000}"/>
    <cellStyle name="Col Heads" xfId="97" xr:uid="{00000000-0005-0000-0000-00004E000000}"/>
    <cellStyle name="Comma [0]" xfId="98" xr:uid="{00000000-0005-0000-0000-00004F000000}"/>
    <cellStyle name="Comma 2" xfId="99" xr:uid="{00000000-0005-0000-0000-000050000000}"/>
    <cellStyle name="Comma,0" xfId="100" xr:uid="{00000000-0005-0000-0000-000051000000}"/>
    <cellStyle name="Comma,1" xfId="101" xr:uid="{00000000-0005-0000-0000-000052000000}"/>
    <cellStyle name="Comma,2" xfId="102" xr:uid="{00000000-0005-0000-0000-000053000000}"/>
    <cellStyle name="Comma_b_b" xfId="103" xr:uid="{00000000-0005-0000-0000-000054000000}"/>
    <cellStyle name="Commentaire 2" xfId="104" xr:uid="{00000000-0005-0000-0000-000056000000}"/>
    <cellStyle name="Currency [0]" xfId="105" xr:uid="{00000000-0005-0000-0000-000057000000}"/>
    <cellStyle name="Currency,0" xfId="106" xr:uid="{00000000-0005-0000-0000-000058000000}"/>
    <cellStyle name="Currency,2" xfId="107" xr:uid="{00000000-0005-0000-0000-000059000000}"/>
    <cellStyle name="Currency_b_b" xfId="108" xr:uid="{00000000-0005-0000-0000-00005A000000}"/>
    <cellStyle name="Dia" xfId="109" xr:uid="{00000000-0005-0000-0000-00005B000000}"/>
    <cellStyle name="Encabez1" xfId="110" xr:uid="{00000000-0005-0000-0000-00005C000000}"/>
    <cellStyle name="Encabez2" xfId="111" xr:uid="{00000000-0005-0000-0000-00005D000000}"/>
    <cellStyle name="Entrée" xfId="9" builtinId="20" customBuiltin="1"/>
    <cellStyle name="Euro" xfId="112" xr:uid="{00000000-0005-0000-0000-00005F000000}"/>
    <cellStyle name="Euro 2" xfId="113" xr:uid="{00000000-0005-0000-0000-000060000000}"/>
    <cellStyle name="Euro 3" xfId="114" xr:uid="{00000000-0005-0000-0000-000061000000}"/>
    <cellStyle name="Explanatory Text" xfId="115" xr:uid="{00000000-0005-0000-0000-000062000000}"/>
    <cellStyle name="Explanatory Text 2" xfId="116" xr:uid="{00000000-0005-0000-0000-000063000000}"/>
    <cellStyle name="Fijo" xfId="117" xr:uid="{00000000-0005-0000-0000-000064000000}"/>
    <cellStyle name="finance" xfId="118" xr:uid="{00000000-0005-0000-0000-000065000000}"/>
    <cellStyle name="Financiero" xfId="119" xr:uid="{00000000-0005-0000-0000-000066000000}"/>
    <cellStyle name="Followed Hyperlink" xfId="120" xr:uid="{00000000-0005-0000-0000-000067000000}"/>
    <cellStyle name="Good" xfId="121" xr:uid="{00000000-0005-0000-0000-000068000000}"/>
    <cellStyle name="Good 2" xfId="122" xr:uid="{00000000-0005-0000-0000-000069000000}"/>
    <cellStyle name="Grey" xfId="123" xr:uid="{00000000-0005-0000-0000-00006A000000}"/>
    <cellStyle name="H" xfId="124" xr:uid="{00000000-0005-0000-0000-00006B000000}"/>
    <cellStyle name="header" xfId="125" xr:uid="{00000000-0005-0000-0000-00006C000000}"/>
    <cellStyle name="Header Total" xfId="126" xr:uid="{00000000-0005-0000-0000-00006D000000}"/>
    <cellStyle name="header_EVALUATION RECOUVREMENT DES CREANCES" xfId="127" xr:uid="{00000000-0005-0000-0000-00006E000000}"/>
    <cellStyle name="Header1" xfId="128" xr:uid="{00000000-0005-0000-0000-00006F000000}"/>
    <cellStyle name="Header2" xfId="129" xr:uid="{00000000-0005-0000-0000-000070000000}"/>
    <cellStyle name="Header3" xfId="130" xr:uid="{00000000-0005-0000-0000-000071000000}"/>
    <cellStyle name="Heading 1" xfId="131" xr:uid="{00000000-0005-0000-0000-000072000000}"/>
    <cellStyle name="Heading 1 2" xfId="132" xr:uid="{00000000-0005-0000-0000-000073000000}"/>
    <cellStyle name="Heading 2" xfId="133" xr:uid="{00000000-0005-0000-0000-000074000000}"/>
    <cellStyle name="Heading 2 2" xfId="134" xr:uid="{00000000-0005-0000-0000-000075000000}"/>
    <cellStyle name="Heading 3" xfId="135" xr:uid="{00000000-0005-0000-0000-000076000000}"/>
    <cellStyle name="Heading 3 2" xfId="136" xr:uid="{00000000-0005-0000-0000-000077000000}"/>
    <cellStyle name="Heading 4" xfId="137" xr:uid="{00000000-0005-0000-0000-000078000000}"/>
    <cellStyle name="Heading 4 2" xfId="138" xr:uid="{00000000-0005-0000-0000-000079000000}"/>
    <cellStyle name="Hyperlink" xfId="139" xr:uid="{00000000-0005-0000-0000-00007A000000}"/>
    <cellStyle name="Input" xfId="140" xr:uid="{00000000-0005-0000-0000-00007B000000}"/>
    <cellStyle name="Input [yellow]" xfId="141" xr:uid="{00000000-0005-0000-0000-00007C000000}"/>
    <cellStyle name="Input 2" xfId="142" xr:uid="{00000000-0005-0000-0000-00007D000000}"/>
    <cellStyle name="Insatisfaisant" xfId="7" builtinId="27" customBuiltin="1"/>
    <cellStyle name="l" xfId="143" xr:uid="{00000000-0005-0000-0000-00007F000000}"/>
    <cellStyle name="Lien hypertexte 2" xfId="144" xr:uid="{00000000-0005-0000-0000-000080000000}"/>
    <cellStyle name="Linked Cell" xfId="145" xr:uid="{00000000-0005-0000-0000-000081000000}"/>
    <cellStyle name="Linked Cell 2" xfId="146" xr:uid="{00000000-0005-0000-0000-000082000000}"/>
    <cellStyle name="Millares [0]_MERCADO" xfId="147" xr:uid="{00000000-0005-0000-0000-000083000000}"/>
    <cellStyle name="Millares_MERCADO" xfId="148" xr:uid="{00000000-0005-0000-0000-000084000000}"/>
    <cellStyle name="Milliers" xfId="41" builtinId="3"/>
    <cellStyle name="Milliers [0] 2" xfId="149" xr:uid="{00000000-0005-0000-0000-000086000000}"/>
    <cellStyle name="Milliers 10" xfId="150" xr:uid="{00000000-0005-0000-0000-000087000000}"/>
    <cellStyle name="Milliers 10 2" xfId="151" xr:uid="{00000000-0005-0000-0000-000088000000}"/>
    <cellStyle name="Milliers 10 3" xfId="152" xr:uid="{00000000-0005-0000-0000-000089000000}"/>
    <cellStyle name="Milliers 10 4" xfId="153" xr:uid="{00000000-0005-0000-0000-00008A000000}"/>
    <cellStyle name="Milliers 10 4 2" xfId="154" xr:uid="{00000000-0005-0000-0000-00008B000000}"/>
    <cellStyle name="Milliers 10 4 2 2" xfId="386" xr:uid="{00000000-0005-0000-0000-00008C000000}"/>
    <cellStyle name="Milliers 10_WP IMMO INC&amp;CORP EAM 2011Mino" xfId="155" xr:uid="{00000000-0005-0000-0000-00008D000000}"/>
    <cellStyle name="Milliers 11" xfId="156" xr:uid="{00000000-0005-0000-0000-00008E000000}"/>
    <cellStyle name="Milliers 11 2" xfId="157" xr:uid="{00000000-0005-0000-0000-00008F000000}"/>
    <cellStyle name="Milliers 12" xfId="158" xr:uid="{00000000-0005-0000-0000-000090000000}"/>
    <cellStyle name="Milliers 12 2" xfId="159" xr:uid="{00000000-0005-0000-0000-000091000000}"/>
    <cellStyle name="Milliers 13" xfId="160" xr:uid="{00000000-0005-0000-0000-000092000000}"/>
    <cellStyle name="Milliers 13 2" xfId="161" xr:uid="{00000000-0005-0000-0000-000093000000}"/>
    <cellStyle name="Milliers 14" xfId="162" xr:uid="{00000000-0005-0000-0000-000094000000}"/>
    <cellStyle name="Milliers 15" xfId="163" xr:uid="{00000000-0005-0000-0000-000095000000}"/>
    <cellStyle name="Milliers 16" xfId="164" xr:uid="{00000000-0005-0000-0000-000096000000}"/>
    <cellStyle name="Milliers 17" xfId="165" xr:uid="{00000000-0005-0000-0000-000097000000}"/>
    <cellStyle name="Milliers 18" xfId="166" xr:uid="{00000000-0005-0000-0000-000098000000}"/>
    <cellStyle name="Milliers 18 2" xfId="389" xr:uid="{00000000-0005-0000-0000-000099000000}"/>
    <cellStyle name="Milliers 19" xfId="167" xr:uid="{00000000-0005-0000-0000-00009A000000}"/>
    <cellStyle name="Milliers 19 2" xfId="168" xr:uid="{00000000-0005-0000-0000-00009B000000}"/>
    <cellStyle name="Milliers 19 3" xfId="169" xr:uid="{00000000-0005-0000-0000-00009C000000}"/>
    <cellStyle name="Milliers 19 4" xfId="391" xr:uid="{00000000-0005-0000-0000-00009D000000}"/>
    <cellStyle name="Milliers 2" xfId="42" xr:uid="{00000000-0005-0000-0000-00009E000000}"/>
    <cellStyle name="Milliers 2 16" xfId="170" xr:uid="{00000000-0005-0000-0000-00009F000000}"/>
    <cellStyle name="Milliers 2 19" xfId="171" xr:uid="{00000000-0005-0000-0000-0000A0000000}"/>
    <cellStyle name="Milliers 2 2" xfId="43" xr:uid="{00000000-0005-0000-0000-0000A1000000}"/>
    <cellStyle name="Milliers 2 2 2" xfId="172" xr:uid="{00000000-0005-0000-0000-0000A2000000}"/>
    <cellStyle name="Milliers 2 2 3" xfId="173" xr:uid="{00000000-0005-0000-0000-0000A3000000}"/>
    <cellStyle name="Milliers 2 2 4" xfId="174" xr:uid="{00000000-0005-0000-0000-0000A4000000}"/>
    <cellStyle name="Milliers 2 2 5" xfId="175" xr:uid="{00000000-0005-0000-0000-0000A5000000}"/>
    <cellStyle name="Milliers 2 2_WP IMMO INC&amp;CORP EAM 2011Mino" xfId="176" xr:uid="{00000000-0005-0000-0000-0000A6000000}"/>
    <cellStyle name="Milliers 2 3" xfId="177" xr:uid="{00000000-0005-0000-0000-0000A7000000}"/>
    <cellStyle name="Milliers 2 4" xfId="178" xr:uid="{00000000-0005-0000-0000-0000A8000000}"/>
    <cellStyle name="Milliers 2 5" xfId="179" xr:uid="{00000000-0005-0000-0000-0000A9000000}"/>
    <cellStyle name="Milliers 2 6" xfId="180" xr:uid="{00000000-0005-0000-0000-0000AA000000}"/>
    <cellStyle name="Milliers 2 7" xfId="181" xr:uid="{00000000-0005-0000-0000-0000AB000000}"/>
    <cellStyle name="Milliers 2 8" xfId="388" xr:uid="{00000000-0005-0000-0000-0000AC000000}"/>
    <cellStyle name="Milliers 2_Autres informations KINTANA 2009" xfId="182" xr:uid="{00000000-0005-0000-0000-0000AD000000}"/>
    <cellStyle name="Milliers 20" xfId="183" xr:uid="{00000000-0005-0000-0000-0000AE000000}"/>
    <cellStyle name="Milliers 20 2" xfId="184" xr:uid="{00000000-0005-0000-0000-0000AF000000}"/>
    <cellStyle name="Milliers 21" xfId="185" xr:uid="{00000000-0005-0000-0000-0000B0000000}"/>
    <cellStyle name="Milliers 22" xfId="186" xr:uid="{00000000-0005-0000-0000-0000B1000000}"/>
    <cellStyle name="Milliers 23" xfId="187" xr:uid="{00000000-0005-0000-0000-0000B2000000}"/>
    <cellStyle name="Milliers 24" xfId="188" xr:uid="{00000000-0005-0000-0000-0000B3000000}"/>
    <cellStyle name="Milliers 25" xfId="390" xr:uid="{00000000-0005-0000-0000-0000B4000000}"/>
    <cellStyle name="Milliers 28" xfId="397" xr:uid="{A7089AD9-BB9F-4B9D-ACF8-DE04548E2185}"/>
    <cellStyle name="Milliers 3" xfId="44" xr:uid="{00000000-0005-0000-0000-0000B5000000}"/>
    <cellStyle name="Milliers 3 2" xfId="189" xr:uid="{00000000-0005-0000-0000-0000B6000000}"/>
    <cellStyle name="Milliers 3 3" xfId="190" xr:uid="{00000000-0005-0000-0000-0000B7000000}"/>
    <cellStyle name="Milliers 3 3 2" xfId="392" xr:uid="{00000000-0005-0000-0000-0000B8000000}"/>
    <cellStyle name="Milliers 3_EFI EXCEL EAM RAPP 2010" xfId="191" xr:uid="{00000000-0005-0000-0000-0000B9000000}"/>
    <cellStyle name="Milliers 4" xfId="192" xr:uid="{00000000-0005-0000-0000-0000BA000000}"/>
    <cellStyle name="Milliers 4 2" xfId="193" xr:uid="{00000000-0005-0000-0000-0000BB000000}"/>
    <cellStyle name="Milliers 4 3" xfId="194" xr:uid="{00000000-0005-0000-0000-0000BC000000}"/>
    <cellStyle name="Milliers 4 4" xfId="195" xr:uid="{00000000-0005-0000-0000-0000BD000000}"/>
    <cellStyle name="Milliers 4 5" xfId="196" xr:uid="{00000000-0005-0000-0000-0000BE000000}"/>
    <cellStyle name="Milliers 4 6" xfId="197" xr:uid="{00000000-0005-0000-0000-0000BF000000}"/>
    <cellStyle name="Milliers 4_WP IMMO INC&amp;CORP EAM 2011Mino" xfId="198" xr:uid="{00000000-0005-0000-0000-0000C0000000}"/>
    <cellStyle name="Milliers 5" xfId="199" xr:uid="{00000000-0005-0000-0000-0000C1000000}"/>
    <cellStyle name="Milliers 6" xfId="200" xr:uid="{00000000-0005-0000-0000-0000C2000000}"/>
    <cellStyle name="Milliers 7" xfId="201" xr:uid="{00000000-0005-0000-0000-0000C3000000}"/>
    <cellStyle name="Milliers 8" xfId="202" xr:uid="{00000000-0005-0000-0000-0000C4000000}"/>
    <cellStyle name="Milliers 8 2" xfId="203" xr:uid="{00000000-0005-0000-0000-0000C5000000}"/>
    <cellStyle name="Milliers 8 3" xfId="204" xr:uid="{00000000-0005-0000-0000-0000C6000000}"/>
    <cellStyle name="Milliers 8 4" xfId="205" xr:uid="{00000000-0005-0000-0000-0000C7000000}"/>
    <cellStyle name="Milliers 8_WP IMMO INC&amp;CORP EAM 2011Mino" xfId="206" xr:uid="{00000000-0005-0000-0000-0000C8000000}"/>
    <cellStyle name="Milliers 9" xfId="207" xr:uid="{00000000-0005-0000-0000-0000C9000000}"/>
    <cellStyle name="Milliers 9 2" xfId="208" xr:uid="{00000000-0005-0000-0000-0000CA000000}"/>
    <cellStyle name="Milliers 9 3" xfId="209" xr:uid="{00000000-0005-0000-0000-0000CB000000}"/>
    <cellStyle name="Milliers 9_WP IMMO INC&amp;CORP EAM 2011Mino" xfId="210" xr:uid="{00000000-0005-0000-0000-0000CC000000}"/>
    <cellStyle name="Moneda [0]_MERCADO" xfId="211" xr:uid="{00000000-0005-0000-0000-0000CD000000}"/>
    <cellStyle name="Moneda_MERCADO" xfId="212" xr:uid="{00000000-0005-0000-0000-0000CE000000}"/>
    <cellStyle name="Monétaire 2" xfId="213" xr:uid="{00000000-0005-0000-0000-0000CF000000}"/>
    <cellStyle name="Monétaire 2 2" xfId="214" xr:uid="{00000000-0005-0000-0000-0000D0000000}"/>
    <cellStyle name="Monétaire 2 3" xfId="215" xr:uid="{00000000-0005-0000-0000-0000D1000000}"/>
    <cellStyle name="Monétaire 2 4" xfId="216" xr:uid="{00000000-0005-0000-0000-0000D2000000}"/>
    <cellStyle name="Monétaire 2_WP IMMO INC&amp;CORP EAM 2011Mino" xfId="217" xr:uid="{00000000-0005-0000-0000-0000D3000000}"/>
    <cellStyle name="Monétaire 3" xfId="218" xr:uid="{00000000-0005-0000-0000-0000D4000000}"/>
    <cellStyle name="Monétaire 4" xfId="219" xr:uid="{00000000-0005-0000-0000-0000D5000000}"/>
    <cellStyle name="Monétaire 5" xfId="220" xr:uid="{00000000-0005-0000-0000-0000D6000000}"/>
    <cellStyle name="Monétaire 5 2" xfId="221" xr:uid="{00000000-0005-0000-0000-0000D7000000}"/>
    <cellStyle name="Monetario" xfId="222" xr:uid="{00000000-0005-0000-0000-0000D8000000}"/>
    <cellStyle name="Neutral" xfId="223" xr:uid="{00000000-0005-0000-0000-0000D9000000}"/>
    <cellStyle name="Neutral 2" xfId="224" xr:uid="{00000000-0005-0000-0000-0000DA000000}"/>
    <cellStyle name="Neutre" xfId="8" builtinId="28" customBuiltin="1"/>
    <cellStyle name="no dec" xfId="225" xr:uid="{00000000-0005-0000-0000-0000DC000000}"/>
    <cellStyle name="Non défini" xfId="226" xr:uid="{00000000-0005-0000-0000-0000DD000000}"/>
    <cellStyle name="Normal" xfId="0" builtinId="0"/>
    <cellStyle name="Normal - Style1" xfId="227" xr:uid="{00000000-0005-0000-0000-0000DF000000}"/>
    <cellStyle name="Normal 10" xfId="228" xr:uid="{00000000-0005-0000-0000-0000E0000000}"/>
    <cellStyle name="Normal 10 2" xfId="229" xr:uid="{00000000-0005-0000-0000-0000E1000000}"/>
    <cellStyle name="Normal 10 2 2" xfId="230" xr:uid="{00000000-0005-0000-0000-0000E2000000}"/>
    <cellStyle name="Normal 10 3" xfId="231" xr:uid="{00000000-0005-0000-0000-0000E3000000}"/>
    <cellStyle name="Normal 10 4" xfId="232" xr:uid="{00000000-0005-0000-0000-0000E4000000}"/>
    <cellStyle name="Normal 11" xfId="233" xr:uid="{00000000-0005-0000-0000-0000E5000000}"/>
    <cellStyle name="Normal 11 2" xfId="234" xr:uid="{00000000-0005-0000-0000-0000E6000000}"/>
    <cellStyle name="Normal 11 3" xfId="235" xr:uid="{00000000-0005-0000-0000-0000E7000000}"/>
    <cellStyle name="Normal 11_WP IMMO INC&amp;CORP EAM 2011Mino" xfId="236" xr:uid="{00000000-0005-0000-0000-0000E8000000}"/>
    <cellStyle name="Normal 12" xfId="237" xr:uid="{00000000-0005-0000-0000-0000E9000000}"/>
    <cellStyle name="Normal 12 2" xfId="238" xr:uid="{00000000-0005-0000-0000-0000EA000000}"/>
    <cellStyle name="Normal 13" xfId="239" xr:uid="{00000000-0005-0000-0000-0000EB000000}"/>
    <cellStyle name="Normal 13 2" xfId="240" xr:uid="{00000000-0005-0000-0000-0000EC000000}"/>
    <cellStyle name="Normal 13 3" xfId="241" xr:uid="{00000000-0005-0000-0000-0000ED000000}"/>
    <cellStyle name="Normal 13_WP IMMO INC&amp;CORP EAM 2011Mino" xfId="242" xr:uid="{00000000-0005-0000-0000-0000EE000000}"/>
    <cellStyle name="Normal 14" xfId="243" xr:uid="{00000000-0005-0000-0000-0000EF000000}"/>
    <cellStyle name="Normal 14 2" xfId="244" xr:uid="{00000000-0005-0000-0000-0000F0000000}"/>
    <cellStyle name="Normal 14 3" xfId="245" xr:uid="{00000000-0005-0000-0000-0000F1000000}"/>
    <cellStyle name="Normal 15" xfId="246" xr:uid="{00000000-0005-0000-0000-0000F2000000}"/>
    <cellStyle name="Normal 16" xfId="247" xr:uid="{00000000-0005-0000-0000-0000F3000000}"/>
    <cellStyle name="Normal 17" xfId="248" xr:uid="{00000000-0005-0000-0000-0000F4000000}"/>
    <cellStyle name="Normal 18" xfId="249" xr:uid="{00000000-0005-0000-0000-0000F5000000}"/>
    <cellStyle name="Normal 18 2" xfId="250" xr:uid="{00000000-0005-0000-0000-0000F6000000}"/>
    <cellStyle name="Normal 19" xfId="251" xr:uid="{00000000-0005-0000-0000-0000F7000000}"/>
    <cellStyle name="Normal 2" xfId="45" xr:uid="{00000000-0005-0000-0000-0000F8000000}"/>
    <cellStyle name="Normal 2 10" xfId="252" xr:uid="{00000000-0005-0000-0000-0000F9000000}"/>
    <cellStyle name="Normal 2 11" xfId="387" xr:uid="{00000000-0005-0000-0000-0000FA000000}"/>
    <cellStyle name="Normal 2 2" xfId="253" xr:uid="{00000000-0005-0000-0000-0000FB000000}"/>
    <cellStyle name="Normal 2 2 15" xfId="254" xr:uid="{00000000-0005-0000-0000-0000FC000000}"/>
    <cellStyle name="Normal 2 2 16" xfId="255" xr:uid="{00000000-0005-0000-0000-0000FD000000}"/>
    <cellStyle name="Normal 2 2 17" xfId="256" xr:uid="{00000000-0005-0000-0000-0000FE000000}"/>
    <cellStyle name="Normal 2 2 2" xfId="257" xr:uid="{00000000-0005-0000-0000-0000FF000000}"/>
    <cellStyle name="Normal 2 2_DAFMAD NOVA 10" xfId="258" xr:uid="{00000000-0005-0000-0000-000000010000}"/>
    <cellStyle name="Normal 2 3" xfId="259" xr:uid="{00000000-0005-0000-0000-000001010000}"/>
    <cellStyle name="Normal 2 3 2" xfId="260" xr:uid="{00000000-0005-0000-0000-000002010000}"/>
    <cellStyle name="Normal 2 4" xfId="261" xr:uid="{00000000-0005-0000-0000-000003010000}"/>
    <cellStyle name="Normal 2 5" xfId="262" xr:uid="{00000000-0005-0000-0000-000004010000}"/>
    <cellStyle name="Normal 2 6" xfId="263" xr:uid="{00000000-0005-0000-0000-000005010000}"/>
    <cellStyle name="Normal 2 7" xfId="264" xr:uid="{00000000-0005-0000-0000-000006010000}"/>
    <cellStyle name="Normal 2 8" xfId="265" xr:uid="{00000000-0005-0000-0000-000007010000}"/>
    <cellStyle name="Normal 2 9" xfId="266" xr:uid="{00000000-0005-0000-0000-000008010000}"/>
    <cellStyle name="Normal 2_BAL 2012" xfId="267" xr:uid="{00000000-0005-0000-0000-000009010000}"/>
    <cellStyle name="Normal 20" xfId="268" xr:uid="{00000000-0005-0000-0000-00000A010000}"/>
    <cellStyle name="Normal 21" xfId="269" xr:uid="{00000000-0005-0000-0000-00000B010000}"/>
    <cellStyle name="Normal 22" xfId="270" xr:uid="{00000000-0005-0000-0000-00000C010000}"/>
    <cellStyle name="Normal 23" xfId="271" xr:uid="{00000000-0005-0000-0000-00000D010000}"/>
    <cellStyle name="Normal 24" xfId="272" xr:uid="{00000000-0005-0000-0000-00000E010000}"/>
    <cellStyle name="Normal 25" xfId="273" xr:uid="{00000000-0005-0000-0000-00000F010000}"/>
    <cellStyle name="Normal 26" xfId="274" xr:uid="{00000000-0005-0000-0000-000010010000}"/>
    <cellStyle name="Normal 27" xfId="275" xr:uid="{00000000-0005-0000-0000-000011010000}"/>
    <cellStyle name="Normal 28" xfId="276" xr:uid="{00000000-0005-0000-0000-000012010000}"/>
    <cellStyle name="Normal 29" xfId="277" xr:uid="{00000000-0005-0000-0000-000013010000}"/>
    <cellStyle name="Normal 3" xfId="278" xr:uid="{00000000-0005-0000-0000-000014010000}"/>
    <cellStyle name="Normal 3 2" xfId="279" xr:uid="{00000000-0005-0000-0000-000015010000}"/>
    <cellStyle name="Normal 3 3" xfId="280" xr:uid="{00000000-0005-0000-0000-000016010000}"/>
    <cellStyle name="Normal 3 3 2" xfId="281" xr:uid="{00000000-0005-0000-0000-000017010000}"/>
    <cellStyle name="Normal 3 3 3" xfId="282" xr:uid="{00000000-0005-0000-0000-000018010000}"/>
    <cellStyle name="Normal 3 4" xfId="283" xr:uid="{00000000-0005-0000-0000-000019010000}"/>
    <cellStyle name="Normal 3 5" xfId="284" xr:uid="{00000000-0005-0000-0000-00001A010000}"/>
    <cellStyle name="Normal 3_BILAN EAM 2010 FINAL" xfId="285" xr:uid="{00000000-0005-0000-0000-00001B010000}"/>
    <cellStyle name="Normal 30" xfId="286" xr:uid="{00000000-0005-0000-0000-00001C010000}"/>
    <cellStyle name="Normal 31" xfId="287" xr:uid="{00000000-0005-0000-0000-00001D010000}"/>
    <cellStyle name="Normal 31 2" xfId="393" xr:uid="{00000000-0005-0000-0000-00001E010000}"/>
    <cellStyle name="Normal 32" xfId="385" xr:uid="{00000000-0005-0000-0000-00001F010000}"/>
    <cellStyle name="Normal 33" xfId="394" xr:uid="{00000000-0005-0000-0000-000020010000}"/>
    <cellStyle name="Normal 4" xfId="288" xr:uid="{00000000-0005-0000-0000-000021010000}"/>
    <cellStyle name="Normal 4 2" xfId="289" xr:uid="{00000000-0005-0000-0000-000022010000}"/>
    <cellStyle name="Normal 4 2 2" xfId="290" xr:uid="{00000000-0005-0000-0000-000023010000}"/>
    <cellStyle name="Normal 4 3" xfId="291" xr:uid="{00000000-0005-0000-0000-000024010000}"/>
    <cellStyle name="Normal 4 4" xfId="292" xr:uid="{00000000-0005-0000-0000-000025010000}"/>
    <cellStyle name="Normal 4 5" xfId="293" xr:uid="{00000000-0005-0000-0000-000026010000}"/>
    <cellStyle name="Normal 4 6" xfId="294" xr:uid="{00000000-0005-0000-0000-000027010000}"/>
    <cellStyle name="Normal 4_Compta MASOANDRO 2010-2011 (version 2)" xfId="295" xr:uid="{00000000-0005-0000-0000-000028010000}"/>
    <cellStyle name="Normal 5" xfId="296" xr:uid="{00000000-0005-0000-0000-000029010000}"/>
    <cellStyle name="Normal 5 2" xfId="297" xr:uid="{00000000-0005-0000-0000-00002A010000}"/>
    <cellStyle name="Normal 5 3" xfId="298" xr:uid="{00000000-0005-0000-0000-00002B010000}"/>
    <cellStyle name="Normal 5_GL et JNL MADACAN MINO" xfId="299" xr:uid="{00000000-0005-0000-0000-00002C010000}"/>
    <cellStyle name="Normal 55" xfId="396" xr:uid="{38853B2A-1527-4661-A00E-AD61FCB2F15D}"/>
    <cellStyle name="Normal 6" xfId="300" xr:uid="{00000000-0005-0000-0000-00002D010000}"/>
    <cellStyle name="Normal 6 2" xfId="301" xr:uid="{00000000-0005-0000-0000-00002E010000}"/>
    <cellStyle name="Normal 6 4" xfId="302" xr:uid="{00000000-0005-0000-0000-00002F010000}"/>
    <cellStyle name="Normal 65" xfId="398" xr:uid="{63125ED1-D10B-4376-BDAB-09395A53F0D6}"/>
    <cellStyle name="Normal 7" xfId="303" xr:uid="{00000000-0005-0000-0000-000030010000}"/>
    <cellStyle name="Normal 7 2" xfId="304" xr:uid="{00000000-0005-0000-0000-000031010000}"/>
    <cellStyle name="Normal 7 3" xfId="305" xr:uid="{00000000-0005-0000-0000-000032010000}"/>
    <cellStyle name="Normal 7_GL et JNL MADACAN MINO" xfId="306" xr:uid="{00000000-0005-0000-0000-000033010000}"/>
    <cellStyle name="Normal 8" xfId="307" xr:uid="{00000000-0005-0000-0000-000034010000}"/>
    <cellStyle name="Normal 8 2" xfId="308" xr:uid="{00000000-0005-0000-0000-000035010000}"/>
    <cellStyle name="Normal 9" xfId="309" xr:uid="{00000000-0005-0000-0000-000036010000}"/>
    <cellStyle name="Normal 9 2" xfId="310" xr:uid="{00000000-0005-0000-0000-000037010000}"/>
    <cellStyle name="Normal 9 3" xfId="311" xr:uid="{00000000-0005-0000-0000-000038010000}"/>
    <cellStyle name="Normal 9_WP IMMO INC&amp;CORP EAM 2011Mino" xfId="312" xr:uid="{00000000-0005-0000-0000-000039010000}"/>
    <cellStyle name="Note" xfId="313" builtinId="10" customBuiltin="1"/>
    <cellStyle name="Note 2" xfId="314" xr:uid="{00000000-0005-0000-0000-00003A010000}"/>
    <cellStyle name="oft Excel]_x000a__x000a_Comment=open=/f ‚ðw’è‚·‚é‚ÆAƒ†[ƒU[’è‹`ŠÖ”‚ðŠÖ”“\‚è•t‚¯‚Ìˆê——‚É“o˜^‚·‚é‚±‚Æ‚ª‚Å‚«‚Ü‚·B_x000a__x000a_Maximized" xfId="315" xr:uid="{00000000-0005-0000-0000-00003B010000}"/>
    <cellStyle name="oft Excel]_x000d__x000a_Comment=open=/f ‚ðw’è‚·‚é‚ÆAƒ†[ƒU[’è‹`ŠÖ”‚ðŠÖ”“\‚è•t‚¯‚Ìˆê——‚É“o˜^‚·‚é‚±‚Æ‚ª‚Å‚«‚Ü‚·B_x000d__x000a_Maximized" xfId="316" xr:uid="{00000000-0005-0000-0000-00003C010000}"/>
    <cellStyle name="Output" xfId="317" xr:uid="{00000000-0005-0000-0000-00003D010000}"/>
    <cellStyle name="Output 2" xfId="318" xr:uid="{00000000-0005-0000-0000-00003E010000}"/>
    <cellStyle name="Output Amounts" xfId="319" xr:uid="{00000000-0005-0000-0000-00003F010000}"/>
    <cellStyle name="Output Column Headings" xfId="320" xr:uid="{00000000-0005-0000-0000-000040010000}"/>
    <cellStyle name="Output Line Items" xfId="321" xr:uid="{00000000-0005-0000-0000-000041010000}"/>
    <cellStyle name="Output Report Heading" xfId="322" xr:uid="{00000000-0005-0000-0000-000042010000}"/>
    <cellStyle name="Output Report Title" xfId="323" xr:uid="{00000000-0005-0000-0000-000043010000}"/>
    <cellStyle name="Percent [2]" xfId="324" xr:uid="{00000000-0005-0000-0000-000044010000}"/>
    <cellStyle name="Porcentaje" xfId="325" xr:uid="{00000000-0005-0000-0000-000045010000}"/>
    <cellStyle name="Pourcentage" xfId="384" builtinId="5"/>
    <cellStyle name="Pourcentage 2" xfId="326" xr:uid="{00000000-0005-0000-0000-000047010000}"/>
    <cellStyle name="Pourcentage 2 2" xfId="327" xr:uid="{00000000-0005-0000-0000-000048010000}"/>
    <cellStyle name="Pourcentage 2 3" xfId="328" xr:uid="{00000000-0005-0000-0000-000049010000}"/>
    <cellStyle name="Pourcentage 2 4" xfId="329" xr:uid="{00000000-0005-0000-0000-00004A010000}"/>
    <cellStyle name="Pourcentage 2 4 2" xfId="330" xr:uid="{00000000-0005-0000-0000-00004B010000}"/>
    <cellStyle name="Pourcentage 2 5" xfId="331" xr:uid="{00000000-0005-0000-0000-00004C010000}"/>
    <cellStyle name="Pourcentage 2 6" xfId="332" xr:uid="{00000000-0005-0000-0000-00004D010000}"/>
    <cellStyle name="Pourcentage 3" xfId="333" xr:uid="{00000000-0005-0000-0000-00004E010000}"/>
    <cellStyle name="Pourcentage 3 2" xfId="334" xr:uid="{00000000-0005-0000-0000-00004F010000}"/>
    <cellStyle name="Pourcentage 3 3" xfId="335" xr:uid="{00000000-0005-0000-0000-000050010000}"/>
    <cellStyle name="Pourcentage 4" xfId="336" xr:uid="{00000000-0005-0000-0000-000051010000}"/>
    <cellStyle name="Pourcentage 4 2" xfId="337" xr:uid="{00000000-0005-0000-0000-000052010000}"/>
    <cellStyle name="Pourcentage 5" xfId="338" xr:uid="{00000000-0005-0000-0000-000053010000}"/>
    <cellStyle name="Pourcentage 6" xfId="339" xr:uid="{00000000-0005-0000-0000-000054010000}"/>
    <cellStyle name="Pourcentage 7" xfId="340" xr:uid="{00000000-0005-0000-0000-000055010000}"/>
    <cellStyle name="Pourcentage 8" xfId="395" xr:uid="{00000000-0005-0000-0000-000056010000}"/>
    <cellStyle name="pricing" xfId="341" xr:uid="{00000000-0005-0000-0000-000057010000}"/>
    <cellStyle name="PSChar" xfId="342" xr:uid="{00000000-0005-0000-0000-000058010000}"/>
    <cellStyle name="PSHeading" xfId="343" xr:uid="{00000000-0005-0000-0000-000059010000}"/>
    <cellStyle name="Résultat" xfId="344" xr:uid="{00000000-0005-0000-0000-00005A010000}"/>
    <cellStyle name="Résultat 1" xfId="345" xr:uid="{00000000-0005-0000-0000-00005B010000}"/>
    <cellStyle name="Résultat 1 1" xfId="346" xr:uid="{00000000-0005-0000-0000-00005C010000}"/>
    <cellStyle name="Résultat 1 1 1" xfId="347" xr:uid="{00000000-0005-0000-0000-00005D010000}"/>
    <cellStyle name="Résultat 1 1_EF_IST_AUDITE 2006 160707" xfId="348" xr:uid="{00000000-0005-0000-0000-00005E010000}"/>
    <cellStyle name="Résultat 1_41160 ET 41170" xfId="349" xr:uid="{00000000-0005-0000-0000-00005F010000}"/>
    <cellStyle name="Résultat 2" xfId="350" xr:uid="{00000000-0005-0000-0000-000060010000}"/>
    <cellStyle name="Résultat 3" xfId="351" xr:uid="{00000000-0005-0000-0000-000061010000}"/>
    <cellStyle name="Résultat 4" xfId="352" xr:uid="{00000000-0005-0000-0000-000062010000}"/>
    <cellStyle name="Résultat_JUSTIF CLIENTS" xfId="353" xr:uid="{00000000-0005-0000-0000-000063010000}"/>
    <cellStyle name="rf5" xfId="354" xr:uid="{00000000-0005-0000-0000-000064010000}"/>
    <cellStyle name="rf5 2" xfId="355" xr:uid="{00000000-0005-0000-0000-000065010000}"/>
    <cellStyle name="rf5 2 2" xfId="356" xr:uid="{00000000-0005-0000-0000-000066010000}"/>
    <cellStyle name="rf5 3" xfId="357" xr:uid="{00000000-0005-0000-0000-000067010000}"/>
    <cellStyle name="rf6" xfId="358" xr:uid="{00000000-0005-0000-0000-000068010000}"/>
    <cellStyle name="rf6 2" xfId="359" xr:uid="{00000000-0005-0000-0000-000069010000}"/>
    <cellStyle name="rf6 2 2" xfId="360" xr:uid="{00000000-0005-0000-0000-00006A010000}"/>
    <cellStyle name="rf6 3" xfId="361" xr:uid="{00000000-0005-0000-0000-00006B010000}"/>
    <cellStyle name="rf8" xfId="362" xr:uid="{00000000-0005-0000-0000-00006C010000}"/>
    <cellStyle name="rf8 2" xfId="363" xr:uid="{00000000-0005-0000-0000-00006D010000}"/>
    <cellStyle name="rf8 3" xfId="364" xr:uid="{00000000-0005-0000-0000-00006E010000}"/>
    <cellStyle name="Satisfaisant" xfId="6" builtinId="26" customBuiltin="1"/>
    <cellStyle name="Sortie" xfId="10" builtinId="21" customBuiltin="1"/>
    <cellStyle name="Standard_fls01a" xfId="365" xr:uid="{00000000-0005-0000-0000-000071010000}"/>
    <cellStyle name="Style 1" xfId="366" xr:uid="{00000000-0005-0000-0000-000072010000}"/>
    <cellStyle name="T" xfId="367" xr:uid="{00000000-0005-0000-0000-000073010000}"/>
    <cellStyle name="Texte explicatif" xfId="15" builtinId="53" customBuiltin="1"/>
    <cellStyle name="þ_x001d_ðK_x000c_Fý_x001b__x000a_9ýU_x0001_Ð_x0008_¦)_x0007__x0001__x0001_" xfId="368" xr:uid="{00000000-0005-0000-0000-000075010000}"/>
    <cellStyle name="þ_x001d_ðK_x000c_Fý_x001b__x000d_9ýU_x0001_Ð_x0008_¦)_x0007__x0001__x0001_" xfId="369" xr:uid="{00000000-0005-0000-0000-000076010000}"/>
    <cellStyle name="Title" xfId="370" xr:uid="{00000000-0005-0000-0000-000077010000}"/>
    <cellStyle name="Title 2" xfId="371" xr:uid="{00000000-0005-0000-0000-000078010000}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6" builtinId="25" customBuiltin="1"/>
    <cellStyle name="Tusenskille [0]_DEC97" xfId="372" xr:uid="{00000000-0005-0000-0000-00007F010000}"/>
    <cellStyle name="Tusenskille_Balance (2)" xfId="373" xr:uid="{00000000-0005-0000-0000-000080010000}"/>
    <cellStyle name="Valuta [0]_DEC97" xfId="374" xr:uid="{00000000-0005-0000-0000-000081010000}"/>
    <cellStyle name="Valuta_BI1" xfId="375" xr:uid="{00000000-0005-0000-0000-000082010000}"/>
    <cellStyle name="Vérification" xfId="13" builtinId="23" customBuiltin="1"/>
    <cellStyle name="Warning Text" xfId="376" xr:uid="{00000000-0005-0000-0000-000084010000}"/>
    <cellStyle name="Warning Text 2" xfId="377" xr:uid="{00000000-0005-0000-0000-000085010000}"/>
    <cellStyle name="_Sheet2呃L" xfId="378" xr:uid="{00000000-0005-0000-0000-000086010000}"/>
    <cellStyle name="千位分隔[0]_Forecast 1999" xfId="379" xr:uid="{00000000-0005-0000-0000-000087010000}"/>
    <cellStyle name="千位分隔_Forecast 1999" xfId="380" xr:uid="{00000000-0005-0000-0000-000088010000}"/>
    <cellStyle name="常规_2000年丁字帐汇总表" xfId="381" xr:uid="{00000000-0005-0000-0000-000089010000}"/>
    <cellStyle name="货币[0]_2000年丁字帐汇总表" xfId="382" xr:uid="{00000000-0005-0000-0000-00008A010000}"/>
    <cellStyle name="货币_2000年丁字帐汇总表" xfId="383" xr:uid="{00000000-0005-0000-0000-00008B010000}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</dxf>
    <dxf>
      <border outline="0">
        <left style="thin">
          <color theme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208" formatCode="#,##0_ ;[Red]\-#,##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208" formatCode="#,##0_ ;[Red]\-#,##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208" formatCode="#,##0_ ;[Red]\-#,##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208" formatCode="#,##0_ ;[Red]\-#,##0\ "/>
    </dxf>
    <dxf>
      <font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208" formatCode="#,##0_ ;[Red]\-#,##0\ "/>
    </dxf>
    <dxf>
      <font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208" formatCode="#,##0_ ;[Red]\-#,##0\ "/>
    </dxf>
    <dxf>
      <font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208" formatCode="#,##0_ ;[Red]\-#,##0\ "/>
    </dxf>
    <dxf>
      <font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208" formatCode="#,##0_ ;[Red]\-#,##0\ "/>
    </dxf>
    <dxf>
      <font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3" formatCode="#,##0"/>
    </dxf>
    <dxf>
      <font>
        <b/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3" formatCode="#,##0"/>
    </dxf>
  </dxfs>
  <tableStyles count="0" defaultTableStyle="TableStyleMedium9" defaultPivotStyle="PivotStyleLight16"/>
  <colors>
    <mruColors>
      <color rgb="FFFB9C61"/>
      <color rgb="FF37FB4A"/>
      <color rgb="FFFDC9B9"/>
      <color rgb="FFFA8662"/>
      <color rgb="FFA5FD96"/>
      <color rgb="FF8BFD96"/>
      <color rgb="FF74FF61"/>
      <color rgb="FFB4FEBB"/>
      <color rgb="FFF8FFF7"/>
      <color rgb="FF9BFF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2.xml"/><Relationship Id="rId47" Type="http://schemas.openxmlformats.org/officeDocument/2006/relationships/pivotCacheDefinition" Target="pivotCache/pivotCacheDefinition7.xml"/><Relationship Id="rId50" Type="http://schemas.openxmlformats.org/officeDocument/2006/relationships/pivotCacheDefinition" Target="pivotCache/pivotCacheDefinition10.xml"/><Relationship Id="rId55" Type="http://schemas.microsoft.com/office/2007/relationships/slicerCache" Target="slicerCaches/slicerCache1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5.xml"/><Relationship Id="rId53" Type="http://schemas.openxmlformats.org/officeDocument/2006/relationships/pivotCacheDefinition" Target="pivotCache/pivotCacheDefinition1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powerPivotData" Target="model/item.data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3.xml"/><Relationship Id="rId48" Type="http://schemas.openxmlformats.org/officeDocument/2006/relationships/pivotCacheDefinition" Target="pivotCache/pivotCacheDefinition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pivotCacheDefinition" Target="pivotCache/pivotCacheDefinition1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1.xml"/><Relationship Id="rId54" Type="http://schemas.openxmlformats.org/officeDocument/2006/relationships/pivotCacheDefinition" Target="pivotCache/pivotCacheDefinition1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9.xml"/><Relationship Id="rId57" Type="http://schemas.openxmlformats.org/officeDocument/2006/relationships/connections" Target="connection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4.xml"/><Relationship Id="rId52" Type="http://schemas.openxmlformats.org/officeDocument/2006/relationships/pivotCacheDefinition" Target="pivotCache/pivotCacheDefinition12.xml"/><Relationship Id="rId6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Traitement!$E$20:$E$31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Traitement!$G$20:$G$31</c:f>
              <c:numCache>
                <c:formatCode>#,##0</c:formatCode>
                <c:ptCount val="12"/>
                <c:pt idx="0">
                  <c:v>874.65</c:v>
                </c:pt>
                <c:pt idx="1">
                  <c:v>877.2</c:v>
                </c:pt>
                <c:pt idx="2">
                  <c:v>874.65</c:v>
                </c:pt>
                <c:pt idx="3">
                  <c:v>877.2</c:v>
                </c:pt>
                <c:pt idx="4">
                  <c:v>874.65</c:v>
                </c:pt>
                <c:pt idx="5">
                  <c:v>877.2</c:v>
                </c:pt>
                <c:pt idx="6">
                  <c:v>874.65</c:v>
                </c:pt>
                <c:pt idx="7">
                  <c:v>877.2</c:v>
                </c:pt>
                <c:pt idx="8">
                  <c:v>807.27499999999998</c:v>
                </c:pt>
                <c:pt idx="9">
                  <c:v>810.95</c:v>
                </c:pt>
                <c:pt idx="10">
                  <c:v>807.27499999999998</c:v>
                </c:pt>
                <c:pt idx="11">
                  <c:v>810.95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DD-4E77-B360-E0B9B2C14C35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Traitement!$E$20:$E$31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Traitement!$H$20:$H$31</c:f>
              <c:numCache>
                <c:formatCode>#,##0</c:formatCode>
                <c:ptCount val="12"/>
                <c:pt idx="0">
                  <c:v>0</c:v>
                </c:pt>
                <c:pt idx="1">
                  <c:v>877.2</c:v>
                </c:pt>
                <c:pt idx="2">
                  <c:v>0</c:v>
                </c:pt>
                <c:pt idx="3">
                  <c:v>877.2</c:v>
                </c:pt>
                <c:pt idx="4">
                  <c:v>0</c:v>
                </c:pt>
                <c:pt idx="5">
                  <c:v>877.2</c:v>
                </c:pt>
                <c:pt idx="6">
                  <c:v>0</c:v>
                </c:pt>
                <c:pt idx="7">
                  <c:v>877.2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DD-4E77-B360-E0B9B2C14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6"/>
        <c:overlap val="100"/>
        <c:axId val="513018672"/>
        <c:axId val="724687840"/>
      </c:barChart>
      <c:catAx>
        <c:axId val="51301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4687840"/>
        <c:crosses val="autoZero"/>
        <c:auto val="1"/>
        <c:lblAlgn val="ctr"/>
        <c:lblOffset val="100"/>
        <c:noMultiLvlLbl val="0"/>
      </c:catAx>
      <c:valAx>
        <c:axId val="72468784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1301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CED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Traitement!$F$20:$F$31</c:f>
              <c:strCache>
                <c:ptCount val="12"/>
                <c:pt idx="0">
                  <c:v>Janv.</c:v>
                </c:pt>
                <c:pt idx="1">
                  <c:v>Fev.</c:v>
                </c:pt>
                <c:pt idx="2">
                  <c:v>Mar.</c:v>
                </c:pt>
                <c:pt idx="3">
                  <c:v>Avr.</c:v>
                </c:pt>
                <c:pt idx="4">
                  <c:v>Mai</c:v>
                </c:pt>
                <c:pt idx="5">
                  <c:v>Jui.</c:v>
                </c:pt>
                <c:pt idx="6">
                  <c:v>Jul.</c:v>
                </c:pt>
                <c:pt idx="7">
                  <c:v>Aou.</c:v>
                </c:pt>
                <c:pt idx="8">
                  <c:v>Sept</c:v>
                </c:pt>
                <c:pt idx="9">
                  <c:v>Oct.</c:v>
                </c:pt>
                <c:pt idx="10">
                  <c:v>Nov.</c:v>
                </c:pt>
                <c:pt idx="11">
                  <c:v>Déc.</c:v>
                </c:pt>
              </c:strCache>
            </c:strRef>
          </c:cat>
          <c:val>
            <c:numRef>
              <c:f>Traitement!$G$20:$G$31</c:f>
              <c:numCache>
                <c:formatCode>#,##0</c:formatCode>
                <c:ptCount val="12"/>
                <c:pt idx="0">
                  <c:v>874.65</c:v>
                </c:pt>
                <c:pt idx="1">
                  <c:v>877.2</c:v>
                </c:pt>
                <c:pt idx="2">
                  <c:v>874.65</c:v>
                </c:pt>
                <c:pt idx="3">
                  <c:v>877.2</c:v>
                </c:pt>
                <c:pt idx="4">
                  <c:v>874.65</c:v>
                </c:pt>
                <c:pt idx="5">
                  <c:v>877.2</c:v>
                </c:pt>
                <c:pt idx="6">
                  <c:v>874.65</c:v>
                </c:pt>
                <c:pt idx="7">
                  <c:v>877.2</c:v>
                </c:pt>
                <c:pt idx="8">
                  <c:v>807.27499999999998</c:v>
                </c:pt>
                <c:pt idx="9">
                  <c:v>810.95</c:v>
                </c:pt>
                <c:pt idx="10">
                  <c:v>807.27499999999998</c:v>
                </c:pt>
                <c:pt idx="11">
                  <c:v>810.95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3B-418D-B56C-09B0721B95C0}"/>
            </c:ext>
          </c:extLst>
        </c:ser>
        <c:ser>
          <c:idx val="1"/>
          <c:order val="1"/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Traitement!$F$20:$F$31</c:f>
              <c:strCache>
                <c:ptCount val="12"/>
                <c:pt idx="0">
                  <c:v>Janv.</c:v>
                </c:pt>
                <c:pt idx="1">
                  <c:v>Fev.</c:v>
                </c:pt>
                <c:pt idx="2">
                  <c:v>Mar.</c:v>
                </c:pt>
                <c:pt idx="3">
                  <c:v>Avr.</c:v>
                </c:pt>
                <c:pt idx="4">
                  <c:v>Mai</c:v>
                </c:pt>
                <c:pt idx="5">
                  <c:v>Jui.</c:v>
                </c:pt>
                <c:pt idx="6">
                  <c:v>Jul.</c:v>
                </c:pt>
                <c:pt idx="7">
                  <c:v>Aou.</c:v>
                </c:pt>
                <c:pt idx="8">
                  <c:v>Sept</c:v>
                </c:pt>
                <c:pt idx="9">
                  <c:v>Oct.</c:v>
                </c:pt>
                <c:pt idx="10">
                  <c:v>Nov.</c:v>
                </c:pt>
                <c:pt idx="11">
                  <c:v>Déc.</c:v>
                </c:pt>
              </c:strCache>
            </c:strRef>
          </c:cat>
          <c:val>
            <c:numRef>
              <c:f>Traitement!$H$20:$H$31</c:f>
              <c:numCache>
                <c:formatCode>#,##0</c:formatCode>
                <c:ptCount val="12"/>
                <c:pt idx="0">
                  <c:v>0</c:v>
                </c:pt>
                <c:pt idx="1">
                  <c:v>877.2</c:v>
                </c:pt>
                <c:pt idx="2">
                  <c:v>0</c:v>
                </c:pt>
                <c:pt idx="3">
                  <c:v>877.2</c:v>
                </c:pt>
                <c:pt idx="4">
                  <c:v>0</c:v>
                </c:pt>
                <c:pt idx="5">
                  <c:v>877.2</c:v>
                </c:pt>
                <c:pt idx="6">
                  <c:v>0</c:v>
                </c:pt>
                <c:pt idx="7">
                  <c:v>877.2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3B-418D-B56C-09B0721B95C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73771696"/>
        <c:axId val="1473772112"/>
      </c:barChart>
      <c:catAx>
        <c:axId val="1473771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fr-FR"/>
          </a:p>
        </c:txPr>
        <c:crossAx val="1473772112"/>
        <c:crosses val="autoZero"/>
        <c:auto val="1"/>
        <c:lblAlgn val="ctr"/>
        <c:lblOffset val="100"/>
        <c:noMultiLvlLbl val="0"/>
      </c:catAx>
      <c:valAx>
        <c:axId val="147377211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737716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925789361745802E-2"/>
          <c:y val="7.9968894640205748E-2"/>
          <c:w val="0.93888888888888888"/>
          <c:h val="0.7208876494604841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Traitement!$F$35:$F$46</c:f>
              <c:strCache>
                <c:ptCount val="12"/>
                <c:pt idx="0">
                  <c:v>Janv.</c:v>
                </c:pt>
                <c:pt idx="1">
                  <c:v>Fev.</c:v>
                </c:pt>
                <c:pt idx="2">
                  <c:v>Mar.</c:v>
                </c:pt>
                <c:pt idx="3">
                  <c:v>Avr.</c:v>
                </c:pt>
                <c:pt idx="4">
                  <c:v>Mai</c:v>
                </c:pt>
                <c:pt idx="5">
                  <c:v>Jui.</c:v>
                </c:pt>
                <c:pt idx="6">
                  <c:v>Jul.</c:v>
                </c:pt>
                <c:pt idx="7">
                  <c:v>Aou.</c:v>
                </c:pt>
                <c:pt idx="8">
                  <c:v>Sept</c:v>
                </c:pt>
                <c:pt idx="9">
                  <c:v>Oct.</c:v>
                </c:pt>
                <c:pt idx="10">
                  <c:v>Nov.</c:v>
                </c:pt>
                <c:pt idx="11">
                  <c:v>Déc.</c:v>
                </c:pt>
              </c:strCache>
            </c:strRef>
          </c:cat>
          <c:val>
            <c:numRef>
              <c:f>Traitement!$G$35:$G$46</c:f>
              <c:numCache>
                <c:formatCode>#\ ##0_ ;[Red]\-#\ ##0\ </c:formatCode>
                <c:ptCount val="12"/>
                <c:pt idx="0">
                  <c:v>686</c:v>
                </c:pt>
                <c:pt idx="1">
                  <c:v>688</c:v>
                </c:pt>
                <c:pt idx="2">
                  <c:v>686</c:v>
                </c:pt>
                <c:pt idx="3">
                  <c:v>688</c:v>
                </c:pt>
                <c:pt idx="4">
                  <c:v>686</c:v>
                </c:pt>
                <c:pt idx="5">
                  <c:v>688</c:v>
                </c:pt>
                <c:pt idx="6">
                  <c:v>686</c:v>
                </c:pt>
                <c:pt idx="7">
                  <c:v>688</c:v>
                </c:pt>
                <c:pt idx="8">
                  <c:v>659</c:v>
                </c:pt>
                <c:pt idx="9">
                  <c:v>662</c:v>
                </c:pt>
                <c:pt idx="10">
                  <c:v>659</c:v>
                </c:pt>
                <c:pt idx="11">
                  <c:v>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A9-47FD-8128-A975B906B05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Traitement!$F$35:$F$46</c:f>
              <c:strCache>
                <c:ptCount val="12"/>
                <c:pt idx="0">
                  <c:v>Janv.</c:v>
                </c:pt>
                <c:pt idx="1">
                  <c:v>Fev.</c:v>
                </c:pt>
                <c:pt idx="2">
                  <c:v>Mar.</c:v>
                </c:pt>
                <c:pt idx="3">
                  <c:v>Avr.</c:v>
                </c:pt>
                <c:pt idx="4">
                  <c:v>Mai</c:v>
                </c:pt>
                <c:pt idx="5">
                  <c:v>Jui.</c:v>
                </c:pt>
                <c:pt idx="6">
                  <c:v>Jul.</c:v>
                </c:pt>
                <c:pt idx="7">
                  <c:v>Aou.</c:v>
                </c:pt>
                <c:pt idx="8">
                  <c:v>Sept</c:v>
                </c:pt>
                <c:pt idx="9">
                  <c:v>Oct.</c:v>
                </c:pt>
                <c:pt idx="10">
                  <c:v>Nov.</c:v>
                </c:pt>
                <c:pt idx="11">
                  <c:v>Déc.</c:v>
                </c:pt>
              </c:strCache>
            </c:strRef>
          </c:cat>
          <c:val>
            <c:numRef>
              <c:f>Traitement!$H$35:$H$46</c:f>
              <c:numCache>
                <c:formatCode>General</c:formatCode>
                <c:ptCount val="12"/>
                <c:pt idx="0">
                  <c:v>0</c:v>
                </c:pt>
                <c:pt idx="1">
                  <c:v>688</c:v>
                </c:pt>
                <c:pt idx="2">
                  <c:v>0</c:v>
                </c:pt>
                <c:pt idx="3">
                  <c:v>688</c:v>
                </c:pt>
                <c:pt idx="4">
                  <c:v>0</c:v>
                </c:pt>
                <c:pt idx="5">
                  <c:v>688</c:v>
                </c:pt>
                <c:pt idx="6">
                  <c:v>0</c:v>
                </c:pt>
                <c:pt idx="7">
                  <c:v>688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A9-47FD-8128-A975B906B05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69251152"/>
        <c:axId val="1469242000"/>
      </c:barChart>
      <c:catAx>
        <c:axId val="1469251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fr-FR"/>
          </a:p>
        </c:txPr>
        <c:crossAx val="1469242000"/>
        <c:crosses val="autoZero"/>
        <c:auto val="1"/>
        <c:lblAlgn val="ctr"/>
        <c:lblOffset val="100"/>
        <c:noMultiLvlLbl val="0"/>
      </c:catAx>
      <c:valAx>
        <c:axId val="1469242000"/>
        <c:scaling>
          <c:orientation val="minMax"/>
        </c:scaling>
        <c:delete val="1"/>
        <c:axPos val="l"/>
        <c:numFmt formatCode="#\ ##0_ ;[Red]\-#\ ##0\ " sourceLinked="1"/>
        <c:majorTickMark val="out"/>
        <c:minorTickMark val="none"/>
        <c:tickLblPos val="nextTo"/>
        <c:crossAx val="146925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1"/>
          <c:order val="1"/>
          <c:spPr>
            <a:gradFill>
              <a:gsLst>
                <a:gs pos="0">
                  <a:schemeClr val="accent1">
                    <a:lumMod val="25000"/>
                    <a:lumOff val="75000"/>
                  </a:schemeClr>
                </a:gs>
                <a:gs pos="70000">
                  <a:schemeClr val="bg1">
                    <a:alpha val="50000"/>
                    <a:lumMod val="25000"/>
                    <a:lumOff val="75000"/>
                  </a:schemeClr>
                </a:gs>
              </a:gsLst>
              <a:lin ang="5400000" scaled="1"/>
            </a:gradFill>
            <a:ln cap="rnd">
              <a:noFill/>
            </a:ln>
            <a:effectLst>
              <a:outerShdw blurRad="50800" dist="50800" dir="5400000" algn="ctr" rotWithShape="0">
                <a:schemeClr val="tx2">
                  <a:lumMod val="20000"/>
                  <a:lumOff val="80000"/>
                </a:schemeClr>
              </a:outerShdw>
            </a:effectLst>
          </c:spPr>
          <c:cat>
            <c:strRef>
              <c:f>Traitement!$F$66:$F$77</c:f>
              <c:strCache>
                <c:ptCount val="12"/>
                <c:pt idx="0">
                  <c:v>Janv.</c:v>
                </c:pt>
                <c:pt idx="1">
                  <c:v>Fev.</c:v>
                </c:pt>
                <c:pt idx="2">
                  <c:v>Mar.</c:v>
                </c:pt>
                <c:pt idx="3">
                  <c:v>Avr.</c:v>
                </c:pt>
                <c:pt idx="4">
                  <c:v>Mai</c:v>
                </c:pt>
                <c:pt idx="5">
                  <c:v>Jui.</c:v>
                </c:pt>
                <c:pt idx="6">
                  <c:v>Jul.</c:v>
                </c:pt>
                <c:pt idx="7">
                  <c:v>Aou.</c:v>
                </c:pt>
                <c:pt idx="8">
                  <c:v>Sept</c:v>
                </c:pt>
                <c:pt idx="9">
                  <c:v>Oct.</c:v>
                </c:pt>
                <c:pt idx="10">
                  <c:v>Nov.</c:v>
                </c:pt>
                <c:pt idx="11">
                  <c:v>Déc.</c:v>
                </c:pt>
              </c:strCache>
            </c:strRef>
          </c:cat>
          <c:val>
            <c:numRef>
              <c:f>Traitement!$H$66:$H$77</c:f>
              <c:numCache>
                <c:formatCode>#\ ##0_ ;[Red]\-#\ ##0\ </c:formatCode>
                <c:ptCount val="12"/>
                <c:pt idx="0">
                  <c:v>378.28612500000003</c:v>
                </c:pt>
                <c:pt idx="1">
                  <c:v>379.38900000000001</c:v>
                </c:pt>
                <c:pt idx="2">
                  <c:v>378.28612500000003</c:v>
                </c:pt>
                <c:pt idx="3">
                  <c:v>379.38900000000001</c:v>
                </c:pt>
                <c:pt idx="4">
                  <c:v>378.28612500000003</c:v>
                </c:pt>
                <c:pt idx="5">
                  <c:v>379.38900000000001</c:v>
                </c:pt>
                <c:pt idx="6">
                  <c:v>378.28612500000003</c:v>
                </c:pt>
                <c:pt idx="7">
                  <c:v>379.38900000000001</c:v>
                </c:pt>
                <c:pt idx="8">
                  <c:v>349.14643749999999</c:v>
                </c:pt>
                <c:pt idx="9">
                  <c:v>350.73587500000002</c:v>
                </c:pt>
                <c:pt idx="10">
                  <c:v>349.14643749999999</c:v>
                </c:pt>
                <c:pt idx="11">
                  <c:v>350.73587500000002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C6-4C4F-B514-E63A4A123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8646720"/>
        <c:axId val="1328661280"/>
      </c:area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Traitement!$F$66:$F$77</c:f>
              <c:strCache>
                <c:ptCount val="12"/>
                <c:pt idx="0">
                  <c:v>Janv.</c:v>
                </c:pt>
                <c:pt idx="1">
                  <c:v>Fev.</c:v>
                </c:pt>
                <c:pt idx="2">
                  <c:v>Mar.</c:v>
                </c:pt>
                <c:pt idx="3">
                  <c:v>Avr.</c:v>
                </c:pt>
                <c:pt idx="4">
                  <c:v>Mai</c:v>
                </c:pt>
                <c:pt idx="5">
                  <c:v>Jui.</c:v>
                </c:pt>
                <c:pt idx="6">
                  <c:v>Jul.</c:v>
                </c:pt>
                <c:pt idx="7">
                  <c:v>Aou.</c:v>
                </c:pt>
                <c:pt idx="8">
                  <c:v>Sept</c:v>
                </c:pt>
                <c:pt idx="9">
                  <c:v>Oct.</c:v>
                </c:pt>
                <c:pt idx="10">
                  <c:v>Nov.</c:v>
                </c:pt>
                <c:pt idx="11">
                  <c:v>Déc.</c:v>
                </c:pt>
              </c:strCache>
            </c:strRef>
          </c:cat>
          <c:val>
            <c:numRef>
              <c:f>Traitement!$G$66:$G$77</c:f>
              <c:numCache>
                <c:formatCode>#\ ##0_ ;[Red]\-#\ ##0\ </c:formatCode>
                <c:ptCount val="12"/>
                <c:pt idx="0">
                  <c:v>378.28612500000003</c:v>
                </c:pt>
                <c:pt idx="1">
                  <c:v>379.38900000000001</c:v>
                </c:pt>
                <c:pt idx="2">
                  <c:v>378.28612500000003</c:v>
                </c:pt>
                <c:pt idx="3">
                  <c:v>379.38900000000001</c:v>
                </c:pt>
                <c:pt idx="4">
                  <c:v>378.28612500000003</c:v>
                </c:pt>
                <c:pt idx="5">
                  <c:v>379.38900000000001</c:v>
                </c:pt>
                <c:pt idx="6">
                  <c:v>378.28612500000003</c:v>
                </c:pt>
                <c:pt idx="7">
                  <c:v>379.38900000000001</c:v>
                </c:pt>
                <c:pt idx="8">
                  <c:v>349.14643749999999</c:v>
                </c:pt>
                <c:pt idx="9">
                  <c:v>350.73587500000002</c:v>
                </c:pt>
                <c:pt idx="10">
                  <c:v>349.14643749999999</c:v>
                </c:pt>
                <c:pt idx="11">
                  <c:v>350.73587500000002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7C6-4C4F-B514-E63A4A123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8646720"/>
        <c:axId val="1328661280"/>
      </c:lineChart>
      <c:catAx>
        <c:axId val="1328646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fr-FR"/>
          </a:p>
        </c:txPr>
        <c:crossAx val="1328661280"/>
        <c:crosses val="autoZero"/>
        <c:auto val="1"/>
        <c:lblAlgn val="ctr"/>
        <c:lblOffset val="100"/>
        <c:noMultiLvlLbl val="0"/>
      </c:catAx>
      <c:valAx>
        <c:axId val="1328661280"/>
        <c:scaling>
          <c:orientation val="minMax"/>
        </c:scaling>
        <c:delete val="1"/>
        <c:axPos val="l"/>
        <c:numFmt formatCode="#\ ##0_ ;[Red]\-#\ ##0\ " sourceLinked="1"/>
        <c:majorTickMark val="out"/>
        <c:minorTickMark val="none"/>
        <c:tickLblPos val="nextTo"/>
        <c:crossAx val="132864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spPr>
            <a:gradFill>
              <a:gsLst>
                <a:gs pos="0">
                  <a:srgbClr val="FF0000">
                    <a:lumMod val="25000"/>
                    <a:lumOff val="75000"/>
                  </a:srgbClr>
                </a:gs>
                <a:gs pos="70000">
                  <a:schemeClr val="bg1">
                    <a:alpha val="50000"/>
                    <a:lumMod val="25000"/>
                    <a:lumOff val="75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cat>
            <c:strRef>
              <c:f>Traitement!$F$81:$F$92</c:f>
              <c:strCache>
                <c:ptCount val="12"/>
                <c:pt idx="0">
                  <c:v>Janv.</c:v>
                </c:pt>
                <c:pt idx="1">
                  <c:v>Fev.</c:v>
                </c:pt>
                <c:pt idx="2">
                  <c:v>Mar.</c:v>
                </c:pt>
                <c:pt idx="3">
                  <c:v>Avr.</c:v>
                </c:pt>
                <c:pt idx="4">
                  <c:v>Mai</c:v>
                </c:pt>
                <c:pt idx="5">
                  <c:v>Jui.</c:v>
                </c:pt>
                <c:pt idx="6">
                  <c:v>Jul.</c:v>
                </c:pt>
                <c:pt idx="7">
                  <c:v>Aou.</c:v>
                </c:pt>
                <c:pt idx="8">
                  <c:v>Sept</c:v>
                </c:pt>
                <c:pt idx="9">
                  <c:v>Oct.</c:v>
                </c:pt>
                <c:pt idx="10">
                  <c:v>Nov.</c:v>
                </c:pt>
                <c:pt idx="11">
                  <c:v>Déc.</c:v>
                </c:pt>
              </c:strCache>
            </c:strRef>
          </c:cat>
          <c:val>
            <c:numRef>
              <c:f>Traitement!$G$81:$G$92</c:f>
              <c:numCache>
                <c:formatCode>#\ ##0_ ;[Red]\-#\ ##0\ 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7-42AB-BA23-1C05D7B6D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8691648"/>
        <c:axId val="1328702048"/>
      </c:area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Traitement!$F$81:$F$92</c:f>
              <c:strCache>
                <c:ptCount val="12"/>
                <c:pt idx="0">
                  <c:v>Janv.</c:v>
                </c:pt>
                <c:pt idx="1">
                  <c:v>Fev.</c:v>
                </c:pt>
                <c:pt idx="2">
                  <c:v>Mar.</c:v>
                </c:pt>
                <c:pt idx="3">
                  <c:v>Avr.</c:v>
                </c:pt>
                <c:pt idx="4">
                  <c:v>Mai</c:v>
                </c:pt>
                <c:pt idx="5">
                  <c:v>Jui.</c:v>
                </c:pt>
                <c:pt idx="6">
                  <c:v>Jul.</c:v>
                </c:pt>
                <c:pt idx="7">
                  <c:v>Aou.</c:v>
                </c:pt>
                <c:pt idx="8">
                  <c:v>Sept</c:v>
                </c:pt>
                <c:pt idx="9">
                  <c:v>Oct.</c:v>
                </c:pt>
                <c:pt idx="10">
                  <c:v>Nov.</c:v>
                </c:pt>
                <c:pt idx="11">
                  <c:v>Déc.</c:v>
                </c:pt>
              </c:strCache>
            </c:strRef>
          </c:cat>
          <c:val>
            <c:numRef>
              <c:f>Traitement!$H$81:$H$92</c:f>
              <c:numCache>
                <c:formatCode>#\ ##0_ ;[Red]\-#\ ##0\ 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8F7-42AB-BA23-1C05D7B6D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8691648"/>
        <c:axId val="1328702048"/>
      </c:lineChart>
      <c:catAx>
        <c:axId val="1328691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fr-FR"/>
          </a:p>
        </c:txPr>
        <c:crossAx val="1328702048"/>
        <c:crosses val="autoZero"/>
        <c:auto val="1"/>
        <c:lblAlgn val="ctr"/>
        <c:lblOffset val="100"/>
        <c:noMultiLvlLbl val="0"/>
      </c:catAx>
      <c:valAx>
        <c:axId val="1328702048"/>
        <c:scaling>
          <c:orientation val="minMax"/>
        </c:scaling>
        <c:delete val="1"/>
        <c:axPos val="l"/>
        <c:numFmt formatCode="#\ ##0_ ;[Red]\-#\ ##0\ " sourceLinked="1"/>
        <c:majorTickMark val="none"/>
        <c:minorTickMark val="none"/>
        <c:tickLblPos val="nextTo"/>
        <c:crossAx val="132869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spPr>
            <a:gradFill>
              <a:gsLst>
                <a:gs pos="0">
                  <a:srgbClr val="92D050"/>
                </a:gs>
                <a:gs pos="75000">
                  <a:schemeClr val="bg1">
                    <a:alpha val="95000"/>
                    <a:lumMod val="25000"/>
                    <a:lumOff val="75000"/>
                  </a:schemeClr>
                </a:gs>
              </a:gsLst>
              <a:lin ang="5400000" scaled="1"/>
            </a:gradFill>
            <a:ln>
              <a:gradFill>
                <a:gsLst>
                  <a:gs pos="0">
                    <a:schemeClr val="accent3">
                      <a:lumMod val="50000"/>
                    </a:schemeClr>
                  </a:gs>
                  <a:gs pos="53000">
                    <a:schemeClr val="bg1"/>
                  </a:gs>
                </a:gsLst>
                <a:lin ang="5400000" scaled="1"/>
              </a:gradFill>
            </a:ln>
            <a:effectLst/>
          </c:spPr>
          <c:cat>
            <c:strRef>
              <c:f>Traitement!$F$96:$F$107</c:f>
              <c:strCache>
                <c:ptCount val="12"/>
                <c:pt idx="0">
                  <c:v>Janv.</c:v>
                </c:pt>
                <c:pt idx="1">
                  <c:v>Fev.</c:v>
                </c:pt>
                <c:pt idx="2">
                  <c:v>Mar.</c:v>
                </c:pt>
                <c:pt idx="3">
                  <c:v>Avr.</c:v>
                </c:pt>
                <c:pt idx="4">
                  <c:v>Mai</c:v>
                </c:pt>
                <c:pt idx="5">
                  <c:v>Jui.</c:v>
                </c:pt>
                <c:pt idx="6">
                  <c:v>Jul.</c:v>
                </c:pt>
                <c:pt idx="7">
                  <c:v>Aou.</c:v>
                </c:pt>
                <c:pt idx="8">
                  <c:v>Sept</c:v>
                </c:pt>
                <c:pt idx="9">
                  <c:v>Oct.</c:v>
                </c:pt>
                <c:pt idx="10">
                  <c:v>Nov.</c:v>
                </c:pt>
                <c:pt idx="11">
                  <c:v>Déc.</c:v>
                </c:pt>
              </c:strCache>
            </c:strRef>
          </c:cat>
          <c:val>
            <c:numRef>
              <c:f>Traitement!$G$96:$G$107</c:f>
              <c:numCache>
                <c:formatCode>#\ ##0_ ;[Red]\-#\ ##0\ </c:formatCode>
                <c:ptCount val="12"/>
                <c:pt idx="0">
                  <c:v>1216.691</c:v>
                </c:pt>
                <c:pt idx="1">
                  <c:v>1220.4639999999999</c:v>
                </c:pt>
                <c:pt idx="2">
                  <c:v>1216.691</c:v>
                </c:pt>
                <c:pt idx="3">
                  <c:v>1220.4639999999999</c:v>
                </c:pt>
                <c:pt idx="4">
                  <c:v>1216.691</c:v>
                </c:pt>
                <c:pt idx="5">
                  <c:v>1220.4639999999999</c:v>
                </c:pt>
                <c:pt idx="6">
                  <c:v>1216.691</c:v>
                </c:pt>
                <c:pt idx="7">
                  <c:v>1220.4639999999999</c:v>
                </c:pt>
                <c:pt idx="8">
                  <c:v>1216.691</c:v>
                </c:pt>
                <c:pt idx="9">
                  <c:v>1220.4639999999999</c:v>
                </c:pt>
                <c:pt idx="10">
                  <c:v>1216.691</c:v>
                </c:pt>
                <c:pt idx="11">
                  <c:v>1220.4639999999999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B7-4C2C-9188-511EBBCE3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326544"/>
        <c:axId val="1380330704"/>
      </c:area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Traitement!$F$96:$F$107</c:f>
              <c:strCache>
                <c:ptCount val="12"/>
                <c:pt idx="0">
                  <c:v>Janv.</c:v>
                </c:pt>
                <c:pt idx="1">
                  <c:v>Fev.</c:v>
                </c:pt>
                <c:pt idx="2">
                  <c:v>Mar.</c:v>
                </c:pt>
                <c:pt idx="3">
                  <c:v>Avr.</c:v>
                </c:pt>
                <c:pt idx="4">
                  <c:v>Mai</c:v>
                </c:pt>
                <c:pt idx="5">
                  <c:v>Jui.</c:v>
                </c:pt>
                <c:pt idx="6">
                  <c:v>Jul.</c:v>
                </c:pt>
                <c:pt idx="7">
                  <c:v>Aou.</c:v>
                </c:pt>
                <c:pt idx="8">
                  <c:v>Sept</c:v>
                </c:pt>
                <c:pt idx="9">
                  <c:v>Oct.</c:v>
                </c:pt>
                <c:pt idx="10">
                  <c:v>Nov.</c:v>
                </c:pt>
                <c:pt idx="11">
                  <c:v>Déc.</c:v>
                </c:pt>
              </c:strCache>
            </c:strRef>
          </c:cat>
          <c:val>
            <c:numRef>
              <c:f>Traitement!$H$96:$H$107</c:f>
              <c:numCache>
                <c:formatCode>#\ ##0_ ;[Red]\-#\ ##0\ </c:formatCode>
                <c:ptCount val="12"/>
                <c:pt idx="0">
                  <c:v>1216.691</c:v>
                </c:pt>
                <c:pt idx="1">
                  <c:v>1220.4639999999999</c:v>
                </c:pt>
                <c:pt idx="2">
                  <c:v>1216.691</c:v>
                </c:pt>
                <c:pt idx="3">
                  <c:v>1220.4639999999999</c:v>
                </c:pt>
                <c:pt idx="4">
                  <c:v>1216.691</c:v>
                </c:pt>
                <c:pt idx="5">
                  <c:v>1220.4639999999999</c:v>
                </c:pt>
                <c:pt idx="6">
                  <c:v>1216.691</c:v>
                </c:pt>
                <c:pt idx="7">
                  <c:v>1220.4639999999999</c:v>
                </c:pt>
                <c:pt idx="8">
                  <c:v>1216.691</c:v>
                </c:pt>
                <c:pt idx="9">
                  <c:v>1220.4639999999999</c:v>
                </c:pt>
                <c:pt idx="10">
                  <c:v>1216.691</c:v>
                </c:pt>
                <c:pt idx="11">
                  <c:v>1220.4639999999999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3B7-4C2C-9188-511EBBCE3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0326544"/>
        <c:axId val="1380330704"/>
      </c:lineChart>
      <c:catAx>
        <c:axId val="138032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fr-FR"/>
          </a:p>
        </c:txPr>
        <c:crossAx val="1380330704"/>
        <c:crosses val="autoZero"/>
        <c:auto val="1"/>
        <c:lblAlgn val="ctr"/>
        <c:lblOffset val="100"/>
        <c:noMultiLvlLbl val="0"/>
      </c:catAx>
      <c:valAx>
        <c:axId val="1380330704"/>
        <c:scaling>
          <c:orientation val="minMax"/>
        </c:scaling>
        <c:delete val="1"/>
        <c:axPos val="l"/>
        <c:numFmt formatCode="#\ ##0_ ;[Red]\-#\ ##0\ " sourceLinked="1"/>
        <c:majorTickMark val="none"/>
        <c:minorTickMark val="none"/>
        <c:tickLblPos val="nextTo"/>
        <c:crossAx val="138032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Traitement!$A$121</c:f>
              <c:strCache>
                <c:ptCount val="1"/>
                <c:pt idx="0">
                  <c:v>Ampandrandava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Traitement!$B$120:$M$120</c:f>
              <c:strCache>
                <c:ptCount val="12"/>
                <c:pt idx="0">
                  <c:v>Janv.</c:v>
                </c:pt>
                <c:pt idx="1">
                  <c:v>Fev.</c:v>
                </c:pt>
                <c:pt idx="2">
                  <c:v>Mar.</c:v>
                </c:pt>
                <c:pt idx="3">
                  <c:v>Avr.</c:v>
                </c:pt>
                <c:pt idx="4">
                  <c:v>Mai</c:v>
                </c:pt>
                <c:pt idx="5">
                  <c:v>Jui.</c:v>
                </c:pt>
                <c:pt idx="6">
                  <c:v>Jul.</c:v>
                </c:pt>
                <c:pt idx="7">
                  <c:v>Aou.</c:v>
                </c:pt>
                <c:pt idx="8">
                  <c:v>Sept</c:v>
                </c:pt>
                <c:pt idx="9">
                  <c:v>Oct.</c:v>
                </c:pt>
                <c:pt idx="10">
                  <c:v>Nov.</c:v>
                </c:pt>
                <c:pt idx="11">
                  <c:v>Déc.</c:v>
                </c:pt>
              </c:strCache>
            </c:strRef>
          </c:cat>
          <c:val>
            <c:numRef>
              <c:f>Traitement!$B$121:$M$121</c:f>
              <c:numCache>
                <c:formatCode>General</c:formatCode>
                <c:ptCount val="12"/>
                <c:pt idx="0">
                  <c:v>306127.5</c:v>
                </c:pt>
                <c:pt idx="1">
                  <c:v>306127.5</c:v>
                </c:pt>
                <c:pt idx="2">
                  <c:v>307020</c:v>
                </c:pt>
                <c:pt idx="3">
                  <c:v>306127.5</c:v>
                </c:pt>
                <c:pt idx="4">
                  <c:v>307020</c:v>
                </c:pt>
                <c:pt idx="5">
                  <c:v>306127.5</c:v>
                </c:pt>
                <c:pt idx="6">
                  <c:v>307020</c:v>
                </c:pt>
                <c:pt idx="7">
                  <c:v>306127.5</c:v>
                </c:pt>
                <c:pt idx="8">
                  <c:v>307020</c:v>
                </c:pt>
                <c:pt idx="9">
                  <c:v>282546.25</c:v>
                </c:pt>
                <c:pt idx="10">
                  <c:v>283832.5</c:v>
                </c:pt>
                <c:pt idx="11">
                  <c:v>282546.25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CA-4BCE-9E9C-EB83141AD873}"/>
            </c:ext>
          </c:extLst>
        </c:ser>
        <c:ser>
          <c:idx val="1"/>
          <c:order val="1"/>
          <c:tx>
            <c:strRef>
              <c:f>Traitement!$A$122</c:f>
              <c:strCache>
                <c:ptCount val="1"/>
                <c:pt idx="0">
                  <c:v>Autres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Traitement!$B$120:$M$120</c:f>
              <c:strCache>
                <c:ptCount val="12"/>
                <c:pt idx="0">
                  <c:v>Janv.</c:v>
                </c:pt>
                <c:pt idx="1">
                  <c:v>Fev.</c:v>
                </c:pt>
                <c:pt idx="2">
                  <c:v>Mar.</c:v>
                </c:pt>
                <c:pt idx="3">
                  <c:v>Avr.</c:v>
                </c:pt>
                <c:pt idx="4">
                  <c:v>Mai</c:v>
                </c:pt>
                <c:pt idx="5">
                  <c:v>Jui.</c:v>
                </c:pt>
                <c:pt idx="6">
                  <c:v>Jul.</c:v>
                </c:pt>
                <c:pt idx="7">
                  <c:v>Aou.</c:v>
                </c:pt>
                <c:pt idx="8">
                  <c:v>Sept</c:v>
                </c:pt>
                <c:pt idx="9">
                  <c:v>Oct.</c:v>
                </c:pt>
                <c:pt idx="10">
                  <c:v>Nov.</c:v>
                </c:pt>
                <c:pt idx="11">
                  <c:v>Déc.</c:v>
                </c:pt>
              </c:strCache>
            </c:strRef>
          </c:cat>
          <c:val>
            <c:numRef>
              <c:f>Traitement!$B$122:$M$122</c:f>
              <c:numCache>
                <c:formatCode>General</c:formatCode>
                <c:ptCount val="12"/>
                <c:pt idx="0">
                  <c:v>174930</c:v>
                </c:pt>
                <c:pt idx="1">
                  <c:v>175440</c:v>
                </c:pt>
                <c:pt idx="2">
                  <c:v>174930</c:v>
                </c:pt>
                <c:pt idx="3">
                  <c:v>175440</c:v>
                </c:pt>
                <c:pt idx="4">
                  <c:v>174930</c:v>
                </c:pt>
                <c:pt idx="5">
                  <c:v>175440</c:v>
                </c:pt>
                <c:pt idx="6">
                  <c:v>174930</c:v>
                </c:pt>
                <c:pt idx="7">
                  <c:v>175440</c:v>
                </c:pt>
                <c:pt idx="8">
                  <c:v>161455</c:v>
                </c:pt>
                <c:pt idx="9">
                  <c:v>162190</c:v>
                </c:pt>
                <c:pt idx="10">
                  <c:v>161455</c:v>
                </c:pt>
                <c:pt idx="11">
                  <c:v>162190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CA-4BCE-9E9C-EB83141AD873}"/>
            </c:ext>
          </c:extLst>
        </c:ser>
        <c:ser>
          <c:idx val="2"/>
          <c:order val="2"/>
          <c:tx>
            <c:strRef>
              <c:f>Traitement!$A$123</c:f>
              <c:strCache>
                <c:ptCount val="1"/>
                <c:pt idx="0">
                  <c:v>Fort dauphin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Traitement!$B$120:$M$120</c:f>
              <c:strCache>
                <c:ptCount val="12"/>
                <c:pt idx="0">
                  <c:v>Janv.</c:v>
                </c:pt>
                <c:pt idx="1">
                  <c:v>Fev.</c:v>
                </c:pt>
                <c:pt idx="2">
                  <c:v>Mar.</c:v>
                </c:pt>
                <c:pt idx="3">
                  <c:v>Avr.</c:v>
                </c:pt>
                <c:pt idx="4">
                  <c:v>Mai</c:v>
                </c:pt>
                <c:pt idx="5">
                  <c:v>Jui.</c:v>
                </c:pt>
                <c:pt idx="6">
                  <c:v>Jul.</c:v>
                </c:pt>
                <c:pt idx="7">
                  <c:v>Aou.</c:v>
                </c:pt>
                <c:pt idx="8">
                  <c:v>Sept</c:v>
                </c:pt>
                <c:pt idx="9">
                  <c:v>Oct.</c:v>
                </c:pt>
                <c:pt idx="10">
                  <c:v>Nov.</c:v>
                </c:pt>
                <c:pt idx="11">
                  <c:v>Déc.</c:v>
                </c:pt>
              </c:strCache>
            </c:strRef>
          </c:cat>
          <c:val>
            <c:numRef>
              <c:f>Traitement!$B$123:$M$123</c:f>
              <c:numCache>
                <c:formatCode>General</c:formatCode>
                <c:ptCount val="12"/>
                <c:pt idx="0">
                  <c:v>174930</c:v>
                </c:pt>
                <c:pt idx="1">
                  <c:v>175440</c:v>
                </c:pt>
                <c:pt idx="2">
                  <c:v>174930</c:v>
                </c:pt>
                <c:pt idx="3">
                  <c:v>175440</c:v>
                </c:pt>
                <c:pt idx="4">
                  <c:v>174930</c:v>
                </c:pt>
                <c:pt idx="5">
                  <c:v>175440</c:v>
                </c:pt>
                <c:pt idx="6">
                  <c:v>174930</c:v>
                </c:pt>
                <c:pt idx="7">
                  <c:v>175440</c:v>
                </c:pt>
                <c:pt idx="8">
                  <c:v>161455</c:v>
                </c:pt>
                <c:pt idx="9">
                  <c:v>162190</c:v>
                </c:pt>
                <c:pt idx="10">
                  <c:v>161455</c:v>
                </c:pt>
                <c:pt idx="11">
                  <c:v>162190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CA-4BCE-9E9C-EB83141AD873}"/>
            </c:ext>
          </c:extLst>
        </c:ser>
        <c:ser>
          <c:idx val="3"/>
          <c:order val="3"/>
          <c:tx>
            <c:strRef>
              <c:f>Traitement!$A$124</c:f>
              <c:strCache>
                <c:ptCount val="1"/>
                <c:pt idx="0">
                  <c:v>Tranomaro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Traitement!$B$120:$M$120</c:f>
              <c:strCache>
                <c:ptCount val="12"/>
                <c:pt idx="0">
                  <c:v>Janv.</c:v>
                </c:pt>
                <c:pt idx="1">
                  <c:v>Fev.</c:v>
                </c:pt>
                <c:pt idx="2">
                  <c:v>Mar.</c:v>
                </c:pt>
                <c:pt idx="3">
                  <c:v>Avr.</c:v>
                </c:pt>
                <c:pt idx="4">
                  <c:v>Mai</c:v>
                </c:pt>
                <c:pt idx="5">
                  <c:v>Jui.</c:v>
                </c:pt>
                <c:pt idx="6">
                  <c:v>Jul.</c:v>
                </c:pt>
                <c:pt idx="7">
                  <c:v>Aou.</c:v>
                </c:pt>
                <c:pt idx="8">
                  <c:v>Sept</c:v>
                </c:pt>
                <c:pt idx="9">
                  <c:v>Oct.</c:v>
                </c:pt>
                <c:pt idx="10">
                  <c:v>Nov.</c:v>
                </c:pt>
                <c:pt idx="11">
                  <c:v>Déc.</c:v>
                </c:pt>
              </c:strCache>
            </c:strRef>
          </c:cat>
          <c:val>
            <c:numRef>
              <c:f>Traitement!$B$124:$M$124</c:f>
              <c:numCache>
                <c:formatCode>General</c:formatCode>
                <c:ptCount val="12"/>
                <c:pt idx="0">
                  <c:v>218662.5</c:v>
                </c:pt>
                <c:pt idx="1">
                  <c:v>219300</c:v>
                </c:pt>
                <c:pt idx="2">
                  <c:v>218662.5</c:v>
                </c:pt>
                <c:pt idx="3">
                  <c:v>219300</c:v>
                </c:pt>
                <c:pt idx="4">
                  <c:v>218662.5</c:v>
                </c:pt>
                <c:pt idx="5">
                  <c:v>219300</c:v>
                </c:pt>
                <c:pt idx="6">
                  <c:v>218662.5</c:v>
                </c:pt>
                <c:pt idx="7">
                  <c:v>219300</c:v>
                </c:pt>
                <c:pt idx="8">
                  <c:v>201818.75</c:v>
                </c:pt>
                <c:pt idx="9">
                  <c:v>202737.5</c:v>
                </c:pt>
                <c:pt idx="10">
                  <c:v>201818.75</c:v>
                </c:pt>
                <c:pt idx="11">
                  <c:v>202737.5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CA-4BCE-9E9C-EB83141AD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9661184"/>
        <c:axId val="429665760"/>
      </c:barChart>
      <c:catAx>
        <c:axId val="429661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9665760"/>
        <c:crosses val="autoZero"/>
        <c:auto val="1"/>
        <c:lblAlgn val="ctr"/>
        <c:lblOffset val="100"/>
        <c:noMultiLvlLbl val="0"/>
      </c:catAx>
      <c:valAx>
        <c:axId val="42966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966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[BP SIMULATION SOMIDA 2024.xlsm]Traitement!TCAchatsQ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623080808080809"/>
                  <c:h val="0.20866805555555556"/>
                </c:manualLayout>
              </c15:layout>
            </c:ext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515303030303031"/>
                  <c:h val="0.20866805555555556"/>
                </c:manualLayout>
              </c15:layout>
            </c:ext>
          </c:extLst>
        </c:dLbl>
      </c:pivotFmt>
      <c:pivotFmt>
        <c:idx val="3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547323232323231"/>
                  <c:h val="0.20866805555555556"/>
                </c:manualLayout>
              </c15:layout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623080808080809"/>
                  <c:h val="0.20866805555555556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515303030303031"/>
                  <c:h val="0.20866805555555556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547323232323231"/>
                  <c:h val="0.20866805555555556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623080808080809"/>
                  <c:h val="0.20866805555555556"/>
                </c:manualLayout>
              </c15:layout>
            </c:ext>
          </c:extLst>
        </c:dLbl>
      </c:pivotFmt>
      <c:pivotFmt>
        <c:idx val="10"/>
        <c:spPr>
          <a:solidFill>
            <a:srgbClr val="37FB4A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515303030303031"/>
                  <c:h val="0.20866805555555556"/>
                </c:manualLayout>
              </c15:layout>
            </c:ext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547323232323231"/>
                  <c:h val="0.20866805555555556"/>
                </c:manualLayout>
              </c15:layout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Traitement!$B$1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8F-4F85-BD33-BB8B5F5FF5B0}"/>
              </c:ext>
            </c:extLst>
          </c:dPt>
          <c:dPt>
            <c:idx val="1"/>
            <c:bubble3D val="0"/>
            <c:spPr>
              <a:solidFill>
                <a:srgbClr val="37FB4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8F-4F85-BD33-BB8B5F5FF5B0}"/>
              </c:ext>
            </c:extLst>
          </c:dPt>
          <c:dPt>
            <c:idx val="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8F-4F85-BD33-BB8B5F5FF5B0}"/>
              </c:ext>
            </c:extLst>
          </c:dPt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623080808080809"/>
                      <c:h val="0.208668055555555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A8F-4F85-BD33-BB8B5F5FF5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515303030303031"/>
                      <c:h val="0.208668055555555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A8F-4F85-BD33-BB8B5F5FF5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547323232323231"/>
                      <c:h val="0.208668055555555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5A8F-4F85-BD33-BB8B5F5FF5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Traitement!$A$2:$A$5</c:f>
              <c:strCache>
                <c:ptCount val="3"/>
                <c:pt idx="0">
                  <c:v>ABR GAZ</c:v>
                </c:pt>
                <c:pt idx="1">
                  <c:v>FP1 GAZ</c:v>
                </c:pt>
                <c:pt idx="2">
                  <c:v>TRA GAZ</c:v>
                </c:pt>
              </c:strCache>
            </c:strRef>
          </c:cat>
          <c:val>
            <c:numRef>
              <c:f>Traitement!$B$2:$B$5</c:f>
              <c:numCache>
                <c:formatCode>#,##0</c:formatCode>
                <c:ptCount val="3"/>
                <c:pt idx="0">
                  <c:v>425850</c:v>
                </c:pt>
                <c:pt idx="1">
                  <c:v>0</c:v>
                </c:pt>
                <c:pt idx="2">
                  <c:v>448800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A8F-4F85-BD33-BB8B5F5FF5B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[BP SIMULATION SOMIDA 2024.xlsm]Traitement!TCAchatV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Traitement!$F$1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69D-4377-968C-FF5AB069BA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69D-4377-968C-FF5AB069BA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69D-4377-968C-FF5AB069BA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Traitement!$E$2:$E$5</c:f>
              <c:strCache>
                <c:ptCount val="3"/>
                <c:pt idx="0">
                  <c:v>ABR GAZ</c:v>
                </c:pt>
                <c:pt idx="1">
                  <c:v>FP1 GAZ</c:v>
                </c:pt>
                <c:pt idx="2">
                  <c:v>TRA GAZ</c:v>
                </c:pt>
              </c:strCache>
            </c:strRef>
          </c:cat>
          <c:val>
            <c:numRef>
              <c:f>Traitement!$F$2:$F$5</c:f>
              <c:numCache>
                <c:formatCode>#\ ##0_ ;[Red]\-#\ ##0\ </c:formatCode>
                <c:ptCount val="3"/>
                <c:pt idx="0">
                  <c:v>184180125</c:v>
                </c:pt>
                <c:pt idx="1">
                  <c:v>0</c:v>
                </c:pt>
                <c:pt idx="2">
                  <c:v>194106000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69D-4377-968C-FF5AB069BAA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[BP SIMULATION SOMIDA 2024.xlsm]Traitement!TCProdQ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2.9395833333333565E-3"/>
              <c:y val="-0.141111111111111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321712962962959"/>
                  <c:h val="0.22022152777777779"/>
                </c:manualLayout>
              </c15:layout>
            </c:ext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3.5278051346801356E-2"/>
              <c:y val="-0.255763888888888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849494949494951"/>
                  <c:h val="0.22022152777777779"/>
                </c:manualLayout>
              </c15:layout>
            </c:ext>
          </c:extLst>
        </c:dLbl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4592824074074074"/>
                  <c:h val="0.22022152777777779"/>
                </c:manualLayout>
              </c15:layout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2.9395833333333565E-3"/>
              <c:y val="-0.141111111111111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321712962962959"/>
                  <c:h val="0.22022152777777779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4592824074074074"/>
                  <c:h val="0.22022152777777779"/>
                </c:manualLayout>
              </c15:layout>
            </c:ext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3.5278051346801356E-2"/>
              <c:y val="-0.255763888888888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849494949494951"/>
                  <c:h val="0.22022152777777779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2.9395833333333565E-3"/>
              <c:y val="-0.141111111111111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321712962962959"/>
                  <c:h val="0.22022152777777779"/>
                </c:manualLayout>
              </c15:layout>
            </c:ext>
          </c:extLst>
        </c:dLbl>
      </c:pivotFmt>
      <c:pivotFmt>
        <c:idx val="10"/>
        <c:spPr>
          <a:solidFill>
            <a:srgbClr val="37FB4A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4592824074074074"/>
                  <c:h val="0.22022152777777779"/>
                </c:manualLayout>
              </c15:layout>
            </c:ext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3.5278051346801356E-2"/>
              <c:y val="-0.255763888888888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849494949494951"/>
                  <c:h val="0.22022152777777779"/>
                </c:manualLayout>
              </c15:layout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Traitement!$B$7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9D9-4044-B888-6CF4AAEA3715}"/>
              </c:ext>
            </c:extLst>
          </c:dPt>
          <c:dPt>
            <c:idx val="1"/>
            <c:bubble3D val="0"/>
            <c:spPr>
              <a:solidFill>
                <a:srgbClr val="37FB4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9D9-4044-B888-6CF4AAEA3715}"/>
              </c:ext>
            </c:extLst>
          </c:dPt>
          <c:dPt>
            <c:idx val="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9D9-4044-B888-6CF4AAEA3715}"/>
              </c:ext>
            </c:extLst>
          </c:dPt>
          <c:dLbls>
            <c:dLbl>
              <c:idx val="0"/>
              <c:layout>
                <c:manualLayout>
                  <c:x val="-2.9395833333333565E-3"/>
                  <c:y val="-0.1411111111111111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321712962962959"/>
                      <c:h val="0.2202215277777777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9D9-4044-B888-6CF4AAEA371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4592824074074074"/>
                      <c:h val="0.2202215277777777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A9D9-4044-B888-6CF4AAEA3715}"/>
                </c:ext>
              </c:extLst>
            </c:dLbl>
            <c:dLbl>
              <c:idx val="2"/>
              <c:layout>
                <c:manualLayout>
                  <c:x val="3.5278051346801356E-2"/>
                  <c:y val="-0.255763888888888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849494949494951"/>
                      <c:h val="0.2202215277777777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A9D9-4044-B888-6CF4AAEA37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Traitement!$A$8:$A$11</c:f>
              <c:strCache>
                <c:ptCount val="3"/>
                <c:pt idx="0">
                  <c:v>ABR COUPE</c:v>
                </c:pt>
                <c:pt idx="1">
                  <c:v>FP1 COUPE</c:v>
                </c:pt>
                <c:pt idx="2">
                  <c:v>TRA COUPE</c:v>
                </c:pt>
              </c:strCache>
            </c:strRef>
          </c:cat>
          <c:val>
            <c:numRef>
              <c:f>Traitement!$B$8:$B$11</c:f>
              <c:numCache>
                <c:formatCode>#,##0</c:formatCode>
                <c:ptCount val="3"/>
                <c:pt idx="0">
                  <c:v>334000</c:v>
                </c:pt>
                <c:pt idx="1">
                  <c:v>0</c:v>
                </c:pt>
                <c:pt idx="2">
                  <c:v>352000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9D9-4044-B888-6CF4AAEA3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[BP SIMULATION SOMIDA 2024.xlsm]Traitement!TCProdV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[BP SIMULATION SOMIDA 2024.xlsm]Traitement!TCVenteQ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bg2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1.9495094902964385E-2"/>
              <c:y val="-0.1130698005698005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648805715504372"/>
                  <c:h val="0.21449341168091168"/>
                </c:manualLayout>
              </c15:layout>
            </c:ext>
          </c:extLst>
        </c:dLbl>
      </c:pivotFmt>
      <c:pivotFmt>
        <c:idx val="9"/>
        <c:spPr>
          <a:solidFill>
            <a:srgbClr val="37FB4A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239550010663253"/>
                  <c:h val="0.24841435185185179"/>
                </c:manualLayout>
              </c15:layout>
            </c:ext>
          </c:extLst>
        </c:dLbl>
      </c:pivotFmt>
      <c:pivotFmt>
        <c:idx val="10"/>
        <c:spPr>
          <a:solidFill>
            <a:schemeClr val="bg2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6927916400085299E-2"/>
              <c:y val="-0.1526442307692307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4388995521434"/>
                  <c:h val="0.22580039173789174"/>
                </c:manualLayout>
              </c15:layout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Traitement!$B$13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F8-4E7B-B87D-584945B6B491}"/>
              </c:ext>
            </c:extLst>
          </c:dPt>
          <c:dPt>
            <c:idx val="1"/>
            <c:bubble3D val="0"/>
            <c:spPr>
              <a:solidFill>
                <a:srgbClr val="37FB4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7F8-4E7B-B87D-584945B6B491}"/>
              </c:ext>
            </c:extLst>
          </c:dPt>
          <c:dPt>
            <c:idx val="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7F8-4E7B-B87D-584945B6B491}"/>
              </c:ext>
            </c:extLst>
          </c:dPt>
          <c:dLbls>
            <c:dLbl>
              <c:idx val="0"/>
              <c:layout>
                <c:manualLayout>
                  <c:x val="-1.9495094902964385E-2"/>
                  <c:y val="-0.1130698005698005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648805715504372"/>
                      <c:h val="0.2144934116809116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7F8-4E7B-B87D-584945B6B49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239550010663253"/>
                      <c:h val="0.2484143518518517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7F8-4E7B-B87D-584945B6B491}"/>
                </c:ext>
              </c:extLst>
            </c:dLbl>
            <c:dLbl>
              <c:idx val="2"/>
              <c:layout>
                <c:manualLayout>
                  <c:x val="1.6927916400085299E-2"/>
                  <c:y val="-0.1526442307692307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034388995521434"/>
                      <c:h val="0.2258003917378917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7F8-4E7B-B87D-584945B6B4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Traitement!$A$14:$A$17</c:f>
              <c:strCache>
                <c:ptCount val="3"/>
                <c:pt idx="0">
                  <c:v>ABR COUPE</c:v>
                </c:pt>
                <c:pt idx="1">
                  <c:v>FP1 COUPE</c:v>
                </c:pt>
                <c:pt idx="2">
                  <c:v>TRA COUPE</c:v>
                </c:pt>
              </c:strCache>
            </c:strRef>
          </c:cat>
          <c:val>
            <c:numRef>
              <c:f>Traitement!$B$14:$B$17</c:f>
              <c:numCache>
                <c:formatCode>#,##0</c:formatCode>
                <c:ptCount val="3"/>
                <c:pt idx="0">
                  <c:v>327600</c:v>
                </c:pt>
                <c:pt idx="1">
                  <c:v>0</c:v>
                </c:pt>
                <c:pt idx="2">
                  <c:v>345400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7F8-4E7B-B87D-584945B6B49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[BP SIMULATION SOMIDA 2024.xlsm]Traitement!TventeV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Traitement!$F$13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727-4BE5-AA03-98B57F5316E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727-4BE5-AA03-98B57F5316E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727-4BE5-AA03-98B57F5316E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Traitement!$E$14:$E$17</c:f>
              <c:strCache>
                <c:ptCount val="3"/>
                <c:pt idx="0">
                  <c:v>ABR COUPE</c:v>
                </c:pt>
                <c:pt idx="1">
                  <c:v>FP1 COUPE</c:v>
                </c:pt>
                <c:pt idx="2">
                  <c:v>TRA COUPE</c:v>
                </c:pt>
              </c:strCache>
            </c:strRef>
          </c:cat>
          <c:val>
            <c:numRef>
              <c:f>Traitement!$F$14:$F$17</c:f>
              <c:numCache>
                <c:formatCode>#\ ##0.00_ ;[Red]\-#\ ##0.00\ </c:formatCode>
                <c:ptCount val="3"/>
                <c:pt idx="0">
                  <c:v>593082000</c:v>
                </c:pt>
                <c:pt idx="1">
                  <c:v>0</c:v>
                </c:pt>
                <c:pt idx="2">
                  <c:v>623609000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27-4BE5-AA03-98B57F5316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7136752136752137E-2"/>
          <c:y val="1.6603861050737804E-2"/>
          <c:w val="0.94233440170940175"/>
          <c:h val="0.8818469541958965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EEEAF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9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Traitement!$F$20:$F$31</c:f>
              <c:strCache>
                <c:ptCount val="12"/>
                <c:pt idx="0">
                  <c:v>Janv.</c:v>
                </c:pt>
                <c:pt idx="1">
                  <c:v>Fev.</c:v>
                </c:pt>
                <c:pt idx="2">
                  <c:v>Mar.</c:v>
                </c:pt>
                <c:pt idx="3">
                  <c:v>Avr.</c:v>
                </c:pt>
                <c:pt idx="4">
                  <c:v>Mai</c:v>
                </c:pt>
                <c:pt idx="5">
                  <c:v>Jui.</c:v>
                </c:pt>
                <c:pt idx="6">
                  <c:v>Jul.</c:v>
                </c:pt>
                <c:pt idx="7">
                  <c:v>Aou.</c:v>
                </c:pt>
                <c:pt idx="8">
                  <c:v>Sept</c:v>
                </c:pt>
                <c:pt idx="9">
                  <c:v>Oct.</c:v>
                </c:pt>
                <c:pt idx="10">
                  <c:v>Nov.</c:v>
                </c:pt>
                <c:pt idx="11">
                  <c:v>Déc.</c:v>
                </c:pt>
              </c:strCache>
            </c:strRef>
          </c:cat>
          <c:val>
            <c:numRef>
              <c:f>Traitement!$G$20:$G$31</c:f>
              <c:numCache>
                <c:formatCode>#,##0</c:formatCode>
                <c:ptCount val="12"/>
                <c:pt idx="0">
                  <c:v>874.65</c:v>
                </c:pt>
                <c:pt idx="1">
                  <c:v>877.2</c:v>
                </c:pt>
                <c:pt idx="2">
                  <c:v>874.65</c:v>
                </c:pt>
                <c:pt idx="3">
                  <c:v>877.2</c:v>
                </c:pt>
                <c:pt idx="4">
                  <c:v>874.65</c:v>
                </c:pt>
                <c:pt idx="5">
                  <c:v>877.2</c:v>
                </c:pt>
                <c:pt idx="6">
                  <c:v>874.65</c:v>
                </c:pt>
                <c:pt idx="7">
                  <c:v>877.2</c:v>
                </c:pt>
                <c:pt idx="8">
                  <c:v>807.27499999999998</c:v>
                </c:pt>
                <c:pt idx="9">
                  <c:v>810.95</c:v>
                </c:pt>
                <c:pt idx="10">
                  <c:v>807.27499999999998</c:v>
                </c:pt>
                <c:pt idx="11">
                  <c:v>810.95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51-4412-BB29-FDA8F1DCB7A9}"/>
            </c:ext>
          </c:extLst>
        </c:ser>
        <c:ser>
          <c:idx val="1"/>
          <c:order val="1"/>
          <c:spPr>
            <a:solidFill>
              <a:srgbClr val="8EA7E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Traitement!$F$20:$F$31</c:f>
              <c:strCache>
                <c:ptCount val="12"/>
                <c:pt idx="0">
                  <c:v>Janv.</c:v>
                </c:pt>
                <c:pt idx="1">
                  <c:v>Fev.</c:v>
                </c:pt>
                <c:pt idx="2">
                  <c:v>Mar.</c:v>
                </c:pt>
                <c:pt idx="3">
                  <c:v>Avr.</c:v>
                </c:pt>
                <c:pt idx="4">
                  <c:v>Mai</c:v>
                </c:pt>
                <c:pt idx="5">
                  <c:v>Jui.</c:v>
                </c:pt>
                <c:pt idx="6">
                  <c:v>Jul.</c:v>
                </c:pt>
                <c:pt idx="7">
                  <c:v>Aou.</c:v>
                </c:pt>
                <c:pt idx="8">
                  <c:v>Sept</c:v>
                </c:pt>
                <c:pt idx="9">
                  <c:v>Oct.</c:v>
                </c:pt>
                <c:pt idx="10">
                  <c:v>Nov.</c:v>
                </c:pt>
                <c:pt idx="11">
                  <c:v>Déc.</c:v>
                </c:pt>
              </c:strCache>
            </c:strRef>
          </c:cat>
          <c:val>
            <c:numRef>
              <c:f>Traitement!$H$20:$H$31</c:f>
              <c:numCache>
                <c:formatCode>#,##0</c:formatCode>
                <c:ptCount val="12"/>
                <c:pt idx="0">
                  <c:v>0</c:v>
                </c:pt>
                <c:pt idx="1">
                  <c:v>877.2</c:v>
                </c:pt>
                <c:pt idx="2">
                  <c:v>0</c:v>
                </c:pt>
                <c:pt idx="3">
                  <c:v>877.2</c:v>
                </c:pt>
                <c:pt idx="4">
                  <c:v>0</c:v>
                </c:pt>
                <c:pt idx="5">
                  <c:v>877.2</c:v>
                </c:pt>
                <c:pt idx="6">
                  <c:v>0</c:v>
                </c:pt>
                <c:pt idx="7">
                  <c:v>877.2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51-4412-BB29-FDA8F1DCB7A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73771696"/>
        <c:axId val="1473772112"/>
      </c:barChart>
      <c:catAx>
        <c:axId val="1473771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fr-FR"/>
          </a:p>
        </c:txPr>
        <c:crossAx val="1473772112"/>
        <c:crosses val="autoZero"/>
        <c:auto val="1"/>
        <c:lblAlgn val="ctr"/>
        <c:lblOffset val="100"/>
        <c:noMultiLvlLbl val="0"/>
      </c:catAx>
      <c:valAx>
        <c:axId val="147377211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737716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925789361745802E-2"/>
          <c:y val="3.0147625636609349E-2"/>
          <c:w val="0.93888888888888888"/>
          <c:h val="0.8667729198949262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DC9B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900" b="1" i="0" u="none" strike="noStrike" kern="1200" baseline="0">
                    <a:solidFill>
                      <a:srgbClr val="FF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Traitement!$F$35:$F$46</c:f>
              <c:strCache>
                <c:ptCount val="12"/>
                <c:pt idx="0">
                  <c:v>Janv.</c:v>
                </c:pt>
                <c:pt idx="1">
                  <c:v>Fev.</c:v>
                </c:pt>
                <c:pt idx="2">
                  <c:v>Mar.</c:v>
                </c:pt>
                <c:pt idx="3">
                  <c:v>Avr.</c:v>
                </c:pt>
                <c:pt idx="4">
                  <c:v>Mai</c:v>
                </c:pt>
                <c:pt idx="5">
                  <c:v>Jui.</c:v>
                </c:pt>
                <c:pt idx="6">
                  <c:v>Jul.</c:v>
                </c:pt>
                <c:pt idx="7">
                  <c:v>Aou.</c:v>
                </c:pt>
                <c:pt idx="8">
                  <c:v>Sept</c:v>
                </c:pt>
                <c:pt idx="9">
                  <c:v>Oct.</c:v>
                </c:pt>
                <c:pt idx="10">
                  <c:v>Nov.</c:v>
                </c:pt>
                <c:pt idx="11">
                  <c:v>Déc.</c:v>
                </c:pt>
              </c:strCache>
            </c:strRef>
          </c:cat>
          <c:val>
            <c:numRef>
              <c:f>Traitement!$G$35:$G$46</c:f>
              <c:numCache>
                <c:formatCode>#\ ##0_ ;[Red]\-#\ ##0\ </c:formatCode>
                <c:ptCount val="12"/>
                <c:pt idx="0">
                  <c:v>686</c:v>
                </c:pt>
                <c:pt idx="1">
                  <c:v>688</c:v>
                </c:pt>
                <c:pt idx="2">
                  <c:v>686</c:v>
                </c:pt>
                <c:pt idx="3">
                  <c:v>688</c:v>
                </c:pt>
                <c:pt idx="4">
                  <c:v>686</c:v>
                </c:pt>
                <c:pt idx="5">
                  <c:v>688</c:v>
                </c:pt>
                <c:pt idx="6">
                  <c:v>686</c:v>
                </c:pt>
                <c:pt idx="7">
                  <c:v>688</c:v>
                </c:pt>
                <c:pt idx="8">
                  <c:v>659</c:v>
                </c:pt>
                <c:pt idx="9">
                  <c:v>662</c:v>
                </c:pt>
                <c:pt idx="10">
                  <c:v>659</c:v>
                </c:pt>
                <c:pt idx="11">
                  <c:v>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86-4C4C-82D2-EB42CF95A0EC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Traitement!$F$35:$F$46</c:f>
              <c:strCache>
                <c:ptCount val="12"/>
                <c:pt idx="0">
                  <c:v>Janv.</c:v>
                </c:pt>
                <c:pt idx="1">
                  <c:v>Fev.</c:v>
                </c:pt>
                <c:pt idx="2">
                  <c:v>Mar.</c:v>
                </c:pt>
                <c:pt idx="3">
                  <c:v>Avr.</c:v>
                </c:pt>
                <c:pt idx="4">
                  <c:v>Mai</c:v>
                </c:pt>
                <c:pt idx="5">
                  <c:v>Jui.</c:v>
                </c:pt>
                <c:pt idx="6">
                  <c:v>Jul.</c:v>
                </c:pt>
                <c:pt idx="7">
                  <c:v>Aou.</c:v>
                </c:pt>
                <c:pt idx="8">
                  <c:v>Sept</c:v>
                </c:pt>
                <c:pt idx="9">
                  <c:v>Oct.</c:v>
                </c:pt>
                <c:pt idx="10">
                  <c:v>Nov.</c:v>
                </c:pt>
                <c:pt idx="11">
                  <c:v>Déc.</c:v>
                </c:pt>
              </c:strCache>
            </c:strRef>
          </c:cat>
          <c:val>
            <c:numRef>
              <c:f>Traitement!$H$35:$H$46</c:f>
              <c:numCache>
                <c:formatCode>General</c:formatCode>
                <c:ptCount val="12"/>
                <c:pt idx="0">
                  <c:v>0</c:v>
                </c:pt>
                <c:pt idx="1">
                  <c:v>688</c:v>
                </c:pt>
                <c:pt idx="2">
                  <c:v>0</c:v>
                </c:pt>
                <c:pt idx="3">
                  <c:v>688</c:v>
                </c:pt>
                <c:pt idx="4">
                  <c:v>0</c:v>
                </c:pt>
                <c:pt idx="5">
                  <c:v>688</c:v>
                </c:pt>
                <c:pt idx="6">
                  <c:v>0</c:v>
                </c:pt>
                <c:pt idx="7">
                  <c:v>688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86-4C4C-82D2-EB42CF95A0E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69251152"/>
        <c:axId val="1469242000"/>
      </c:barChart>
      <c:catAx>
        <c:axId val="1469251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fr-FR"/>
          </a:p>
        </c:txPr>
        <c:crossAx val="1469242000"/>
        <c:crosses val="autoZero"/>
        <c:auto val="1"/>
        <c:lblAlgn val="ctr"/>
        <c:lblOffset val="100"/>
        <c:noMultiLvlLbl val="0"/>
      </c:catAx>
      <c:valAx>
        <c:axId val="1469242000"/>
        <c:scaling>
          <c:orientation val="minMax"/>
        </c:scaling>
        <c:delete val="1"/>
        <c:axPos val="l"/>
        <c:numFmt formatCode="#\ ##0_ ;[Red]\-#\ ##0\ " sourceLinked="1"/>
        <c:majorTickMark val="out"/>
        <c:minorTickMark val="none"/>
        <c:tickLblPos val="nextTo"/>
        <c:crossAx val="146925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1609522247514503E-2"/>
          <c:y val="4.6676890253258885E-2"/>
          <c:w val="0.98223719330208414"/>
          <c:h val="0.8518780557053768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A5FD9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900" b="1" i="0" u="none" strike="noStrike" kern="1200" baseline="0">
                    <a:solidFill>
                      <a:schemeClr val="accent3">
                        <a:lumMod val="50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Traitement!#REF!</c:f>
              <c:numCache>
                <c:formatCode>#\ ##0_ ;[Red]\-#\ ##0\ </c:formatCode>
                <c:ptCount val="12"/>
                <c:pt idx="0">
                  <c:v>120</c:v>
                </c:pt>
                <c:pt idx="1">
                  <c:v>241.6</c:v>
                </c:pt>
                <c:pt idx="2">
                  <c:v>280.39999999999998</c:v>
                </c:pt>
                <c:pt idx="3">
                  <c:v>364.4</c:v>
                </c:pt>
                <c:pt idx="4">
                  <c:v>588.4</c:v>
                </c:pt>
                <c:pt idx="5">
                  <c:v>588.4</c:v>
                </c:pt>
                <c:pt idx="6">
                  <c:v>504.4</c:v>
                </c:pt>
                <c:pt idx="7">
                  <c:v>504.4</c:v>
                </c:pt>
                <c:pt idx="8">
                  <c:v>504.4</c:v>
                </c:pt>
                <c:pt idx="9">
                  <c:v>504.4</c:v>
                </c:pt>
                <c:pt idx="10">
                  <c:v>504.4</c:v>
                </c:pt>
                <c:pt idx="11">
                  <c:v>504.4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Traitement!#REF!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23B-4168-9C7C-69E9A9890993}"/>
            </c:ext>
          </c:extLst>
        </c:ser>
        <c:ser>
          <c:idx val="1"/>
          <c:order val="1"/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Traitement!#REF!</c:f>
              <c:numCache>
                <c:formatCode>0</c:formatCode>
                <c:ptCount val="12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588.4</c:v>
                </c:pt>
                <c:pt idx="5">
                  <c:v>588.4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Traitement!#REF!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223B-4168-9C7C-69E9A989099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1983461808"/>
        <c:axId val="1983462224"/>
      </c:barChart>
      <c:catAx>
        <c:axId val="198346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fr-FR"/>
          </a:p>
        </c:txPr>
        <c:crossAx val="1983462224"/>
        <c:crosses val="autoZero"/>
        <c:auto val="1"/>
        <c:lblAlgn val="ctr"/>
        <c:lblOffset val="100"/>
        <c:noMultiLvlLbl val="0"/>
      </c:catAx>
      <c:valAx>
        <c:axId val="1983462224"/>
        <c:scaling>
          <c:orientation val="minMax"/>
        </c:scaling>
        <c:delete val="1"/>
        <c:axPos val="l"/>
        <c:numFmt formatCode="#\ ##0_ ;[Red]\-#\ ##0\ " sourceLinked="1"/>
        <c:majorTickMark val="none"/>
        <c:minorTickMark val="none"/>
        <c:tickLblPos val="nextTo"/>
        <c:crossAx val="1983461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637159087365906E-2"/>
          <c:y val="7.1411617567851303E-3"/>
          <c:w val="0.97932315032419304"/>
          <c:h val="0.87360851188139599"/>
        </c:manualLayout>
      </c:layout>
      <c:areaChart>
        <c:grouping val="standard"/>
        <c:varyColors val="0"/>
        <c:ser>
          <c:idx val="1"/>
          <c:order val="1"/>
          <c:spPr>
            <a:gradFill>
              <a:gsLst>
                <a:gs pos="0">
                  <a:schemeClr val="accent1">
                    <a:lumMod val="25000"/>
                    <a:lumOff val="75000"/>
                  </a:schemeClr>
                </a:gs>
                <a:gs pos="70000">
                  <a:schemeClr val="bg1">
                    <a:alpha val="50000"/>
                    <a:lumMod val="25000"/>
                    <a:lumOff val="75000"/>
                  </a:schemeClr>
                </a:gs>
              </a:gsLst>
              <a:lin ang="5400000" scaled="1"/>
            </a:gradFill>
            <a:ln cap="rnd">
              <a:noFill/>
            </a:ln>
            <a:effectLst>
              <a:outerShdw blurRad="50800" dist="50800" dir="5400000" algn="ctr" rotWithShape="0">
                <a:schemeClr val="tx2">
                  <a:lumMod val="20000"/>
                  <a:lumOff val="80000"/>
                </a:schemeClr>
              </a:outerShdw>
            </a:effectLst>
          </c:spPr>
          <c:cat>
            <c:strRef>
              <c:f>Traitement!$F$66:$F$77</c:f>
              <c:strCache>
                <c:ptCount val="12"/>
                <c:pt idx="0">
                  <c:v>Janv.</c:v>
                </c:pt>
                <c:pt idx="1">
                  <c:v>Fev.</c:v>
                </c:pt>
                <c:pt idx="2">
                  <c:v>Mar.</c:v>
                </c:pt>
                <c:pt idx="3">
                  <c:v>Avr.</c:v>
                </c:pt>
                <c:pt idx="4">
                  <c:v>Mai</c:v>
                </c:pt>
                <c:pt idx="5">
                  <c:v>Jui.</c:v>
                </c:pt>
                <c:pt idx="6">
                  <c:v>Jul.</c:v>
                </c:pt>
                <c:pt idx="7">
                  <c:v>Aou.</c:v>
                </c:pt>
                <c:pt idx="8">
                  <c:v>Sept</c:v>
                </c:pt>
                <c:pt idx="9">
                  <c:v>Oct.</c:v>
                </c:pt>
                <c:pt idx="10">
                  <c:v>Nov.</c:v>
                </c:pt>
                <c:pt idx="11">
                  <c:v>Déc.</c:v>
                </c:pt>
              </c:strCache>
            </c:strRef>
          </c:cat>
          <c:val>
            <c:numRef>
              <c:f>Traitement!$H$66:$H$77</c:f>
              <c:numCache>
                <c:formatCode>#\ ##0_ ;[Red]\-#\ ##0\ </c:formatCode>
                <c:ptCount val="12"/>
                <c:pt idx="0">
                  <c:v>378.28612500000003</c:v>
                </c:pt>
                <c:pt idx="1">
                  <c:v>379.38900000000001</c:v>
                </c:pt>
                <c:pt idx="2">
                  <c:v>378.28612500000003</c:v>
                </c:pt>
                <c:pt idx="3">
                  <c:v>379.38900000000001</c:v>
                </c:pt>
                <c:pt idx="4">
                  <c:v>378.28612500000003</c:v>
                </c:pt>
                <c:pt idx="5">
                  <c:v>379.38900000000001</c:v>
                </c:pt>
                <c:pt idx="6">
                  <c:v>378.28612500000003</c:v>
                </c:pt>
                <c:pt idx="7">
                  <c:v>379.38900000000001</c:v>
                </c:pt>
                <c:pt idx="8">
                  <c:v>349.14643749999999</c:v>
                </c:pt>
                <c:pt idx="9">
                  <c:v>350.73587500000002</c:v>
                </c:pt>
                <c:pt idx="10">
                  <c:v>349.14643749999999</c:v>
                </c:pt>
                <c:pt idx="11">
                  <c:v>350.73587500000002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BF-4B13-883A-2E0749CE5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8646720"/>
        <c:axId val="1328661280"/>
      </c:area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Traitement!$F$66:$F$77</c:f>
              <c:strCache>
                <c:ptCount val="12"/>
                <c:pt idx="0">
                  <c:v>Janv.</c:v>
                </c:pt>
                <c:pt idx="1">
                  <c:v>Fev.</c:v>
                </c:pt>
                <c:pt idx="2">
                  <c:v>Mar.</c:v>
                </c:pt>
                <c:pt idx="3">
                  <c:v>Avr.</c:v>
                </c:pt>
                <c:pt idx="4">
                  <c:v>Mai</c:v>
                </c:pt>
                <c:pt idx="5">
                  <c:v>Jui.</c:v>
                </c:pt>
                <c:pt idx="6">
                  <c:v>Jul.</c:v>
                </c:pt>
                <c:pt idx="7">
                  <c:v>Aou.</c:v>
                </c:pt>
                <c:pt idx="8">
                  <c:v>Sept</c:v>
                </c:pt>
                <c:pt idx="9">
                  <c:v>Oct.</c:v>
                </c:pt>
                <c:pt idx="10">
                  <c:v>Nov.</c:v>
                </c:pt>
                <c:pt idx="11">
                  <c:v>Déc.</c:v>
                </c:pt>
              </c:strCache>
            </c:strRef>
          </c:cat>
          <c:val>
            <c:numRef>
              <c:f>Traitement!$G$66:$G$77</c:f>
              <c:numCache>
                <c:formatCode>#\ ##0_ ;[Red]\-#\ ##0\ </c:formatCode>
                <c:ptCount val="12"/>
                <c:pt idx="0">
                  <c:v>378.28612500000003</c:v>
                </c:pt>
                <c:pt idx="1">
                  <c:v>379.38900000000001</c:v>
                </c:pt>
                <c:pt idx="2">
                  <c:v>378.28612500000003</c:v>
                </c:pt>
                <c:pt idx="3">
                  <c:v>379.38900000000001</c:v>
                </c:pt>
                <c:pt idx="4">
                  <c:v>378.28612500000003</c:v>
                </c:pt>
                <c:pt idx="5">
                  <c:v>379.38900000000001</c:v>
                </c:pt>
                <c:pt idx="6">
                  <c:v>378.28612500000003</c:v>
                </c:pt>
                <c:pt idx="7">
                  <c:v>379.38900000000001</c:v>
                </c:pt>
                <c:pt idx="8">
                  <c:v>349.14643749999999</c:v>
                </c:pt>
                <c:pt idx="9">
                  <c:v>350.73587500000002</c:v>
                </c:pt>
                <c:pt idx="10">
                  <c:v>349.14643749999999</c:v>
                </c:pt>
                <c:pt idx="11">
                  <c:v>350.73587500000002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FBF-4B13-883A-2E0749CE5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8646720"/>
        <c:axId val="1328661280"/>
      </c:lineChart>
      <c:catAx>
        <c:axId val="1328646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fr-FR"/>
          </a:p>
        </c:txPr>
        <c:crossAx val="1328661280"/>
        <c:crosses val="autoZero"/>
        <c:auto val="1"/>
        <c:lblAlgn val="ctr"/>
        <c:lblOffset val="100"/>
        <c:noMultiLvlLbl val="0"/>
      </c:catAx>
      <c:valAx>
        <c:axId val="1328661280"/>
        <c:scaling>
          <c:orientation val="minMax"/>
        </c:scaling>
        <c:delete val="1"/>
        <c:axPos val="l"/>
        <c:numFmt formatCode="#\ ##0_ ;[Red]\-#\ ##0\ " sourceLinked="1"/>
        <c:majorTickMark val="out"/>
        <c:minorTickMark val="none"/>
        <c:tickLblPos val="nextTo"/>
        <c:crossAx val="132864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477497846683893E-2"/>
          <c:y val="7.3612722915393362E-4"/>
          <c:w val="0.97486757105943156"/>
          <c:h val="0.86921152441969318"/>
        </c:manualLayout>
      </c:layout>
      <c:areaChart>
        <c:grouping val="standard"/>
        <c:varyColors val="0"/>
        <c:ser>
          <c:idx val="0"/>
          <c:order val="0"/>
          <c:spPr>
            <a:gradFill>
              <a:gsLst>
                <a:gs pos="0">
                  <a:srgbClr val="FF0000">
                    <a:lumMod val="25000"/>
                    <a:lumOff val="75000"/>
                  </a:srgbClr>
                </a:gs>
                <a:gs pos="70000">
                  <a:schemeClr val="bg1">
                    <a:alpha val="50000"/>
                    <a:lumMod val="25000"/>
                    <a:lumOff val="75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cat>
            <c:strRef>
              <c:f>Traitement!$F$81:$F$92</c:f>
              <c:strCache>
                <c:ptCount val="12"/>
                <c:pt idx="0">
                  <c:v>Janv.</c:v>
                </c:pt>
                <c:pt idx="1">
                  <c:v>Fev.</c:v>
                </c:pt>
                <c:pt idx="2">
                  <c:v>Mar.</c:v>
                </c:pt>
                <c:pt idx="3">
                  <c:v>Avr.</c:v>
                </c:pt>
                <c:pt idx="4">
                  <c:v>Mai</c:v>
                </c:pt>
                <c:pt idx="5">
                  <c:v>Jui.</c:v>
                </c:pt>
                <c:pt idx="6">
                  <c:v>Jul.</c:v>
                </c:pt>
                <c:pt idx="7">
                  <c:v>Aou.</c:v>
                </c:pt>
                <c:pt idx="8">
                  <c:v>Sept</c:v>
                </c:pt>
                <c:pt idx="9">
                  <c:v>Oct.</c:v>
                </c:pt>
                <c:pt idx="10">
                  <c:v>Nov.</c:v>
                </c:pt>
                <c:pt idx="11">
                  <c:v>Déc.</c:v>
                </c:pt>
              </c:strCache>
            </c:strRef>
          </c:cat>
          <c:val>
            <c:numRef>
              <c:f>Traitement!$G$81:$G$92</c:f>
              <c:numCache>
                <c:formatCode>#\ ##0_ ;[Red]\-#\ ##0\ 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6D-405E-A089-6067AE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8691648"/>
        <c:axId val="1328702048"/>
      </c:area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Traitement!$F$81:$F$92</c:f>
              <c:strCache>
                <c:ptCount val="12"/>
                <c:pt idx="0">
                  <c:v>Janv.</c:v>
                </c:pt>
                <c:pt idx="1">
                  <c:v>Fev.</c:v>
                </c:pt>
                <c:pt idx="2">
                  <c:v>Mar.</c:v>
                </c:pt>
                <c:pt idx="3">
                  <c:v>Avr.</c:v>
                </c:pt>
                <c:pt idx="4">
                  <c:v>Mai</c:v>
                </c:pt>
                <c:pt idx="5">
                  <c:v>Jui.</c:v>
                </c:pt>
                <c:pt idx="6">
                  <c:v>Jul.</c:v>
                </c:pt>
                <c:pt idx="7">
                  <c:v>Aou.</c:v>
                </c:pt>
                <c:pt idx="8">
                  <c:v>Sept</c:v>
                </c:pt>
                <c:pt idx="9">
                  <c:v>Oct.</c:v>
                </c:pt>
                <c:pt idx="10">
                  <c:v>Nov.</c:v>
                </c:pt>
                <c:pt idx="11">
                  <c:v>Déc.</c:v>
                </c:pt>
              </c:strCache>
            </c:strRef>
          </c:cat>
          <c:val>
            <c:numRef>
              <c:f>Traitement!$H$81:$H$92</c:f>
              <c:numCache>
                <c:formatCode>#\ ##0_ ;[Red]\-#\ ##0\ 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D6D-405E-A089-6067AE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8691648"/>
        <c:axId val="1328702048"/>
      </c:lineChart>
      <c:catAx>
        <c:axId val="1328691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fr-FR"/>
          </a:p>
        </c:txPr>
        <c:crossAx val="1328702048"/>
        <c:crosses val="autoZero"/>
        <c:auto val="1"/>
        <c:lblAlgn val="ctr"/>
        <c:lblOffset val="100"/>
        <c:noMultiLvlLbl val="0"/>
      </c:catAx>
      <c:valAx>
        <c:axId val="1328702048"/>
        <c:scaling>
          <c:orientation val="minMax"/>
        </c:scaling>
        <c:delete val="1"/>
        <c:axPos val="l"/>
        <c:numFmt formatCode="#\ ##0_ ;[Red]\-#\ ##0\ " sourceLinked="1"/>
        <c:majorTickMark val="none"/>
        <c:minorTickMark val="none"/>
        <c:tickLblPos val="nextTo"/>
        <c:crossAx val="132869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057013639024961E-2"/>
          <c:y val="2.3781315177961584E-2"/>
          <c:w val="0.96325416099938144"/>
          <c:h val="0.83359396888121429"/>
        </c:manualLayout>
      </c:layout>
      <c:areaChart>
        <c:grouping val="standard"/>
        <c:varyColors val="0"/>
        <c:ser>
          <c:idx val="0"/>
          <c:order val="0"/>
          <c:spPr>
            <a:gradFill>
              <a:gsLst>
                <a:gs pos="0">
                  <a:srgbClr val="92D050"/>
                </a:gs>
                <a:gs pos="75000">
                  <a:schemeClr val="bg1">
                    <a:alpha val="95000"/>
                    <a:lumMod val="25000"/>
                    <a:lumOff val="75000"/>
                  </a:schemeClr>
                </a:gs>
              </a:gsLst>
              <a:lin ang="5400000" scaled="1"/>
            </a:gradFill>
            <a:ln>
              <a:gradFill>
                <a:gsLst>
                  <a:gs pos="0">
                    <a:schemeClr val="accent3">
                      <a:lumMod val="50000"/>
                    </a:schemeClr>
                  </a:gs>
                  <a:gs pos="53000">
                    <a:schemeClr val="bg1"/>
                  </a:gs>
                </a:gsLst>
                <a:lin ang="5400000" scaled="1"/>
              </a:gradFill>
            </a:ln>
            <a:effectLst/>
          </c:spPr>
          <c:cat>
            <c:strRef>
              <c:f>Traitement!$F$96:$F$107</c:f>
              <c:strCache>
                <c:ptCount val="12"/>
                <c:pt idx="0">
                  <c:v>Janv.</c:v>
                </c:pt>
                <c:pt idx="1">
                  <c:v>Fev.</c:v>
                </c:pt>
                <c:pt idx="2">
                  <c:v>Mar.</c:v>
                </c:pt>
                <c:pt idx="3">
                  <c:v>Avr.</c:v>
                </c:pt>
                <c:pt idx="4">
                  <c:v>Mai</c:v>
                </c:pt>
                <c:pt idx="5">
                  <c:v>Jui.</c:v>
                </c:pt>
                <c:pt idx="6">
                  <c:v>Jul.</c:v>
                </c:pt>
                <c:pt idx="7">
                  <c:v>Aou.</c:v>
                </c:pt>
                <c:pt idx="8">
                  <c:v>Sept</c:v>
                </c:pt>
                <c:pt idx="9">
                  <c:v>Oct.</c:v>
                </c:pt>
                <c:pt idx="10">
                  <c:v>Nov.</c:v>
                </c:pt>
                <c:pt idx="11">
                  <c:v>Déc.</c:v>
                </c:pt>
              </c:strCache>
            </c:strRef>
          </c:cat>
          <c:val>
            <c:numRef>
              <c:f>Traitement!$G$96:$G$107</c:f>
              <c:numCache>
                <c:formatCode>#\ ##0_ ;[Red]\-#\ ##0\ </c:formatCode>
                <c:ptCount val="12"/>
                <c:pt idx="0">
                  <c:v>1216.691</c:v>
                </c:pt>
                <c:pt idx="1">
                  <c:v>1220.4639999999999</c:v>
                </c:pt>
                <c:pt idx="2">
                  <c:v>1216.691</c:v>
                </c:pt>
                <c:pt idx="3">
                  <c:v>1220.4639999999999</c:v>
                </c:pt>
                <c:pt idx="4">
                  <c:v>1216.691</c:v>
                </c:pt>
                <c:pt idx="5">
                  <c:v>1220.4639999999999</c:v>
                </c:pt>
                <c:pt idx="6">
                  <c:v>1216.691</c:v>
                </c:pt>
                <c:pt idx="7">
                  <c:v>1220.4639999999999</c:v>
                </c:pt>
                <c:pt idx="8">
                  <c:v>1216.691</c:v>
                </c:pt>
                <c:pt idx="9">
                  <c:v>1220.4639999999999</c:v>
                </c:pt>
                <c:pt idx="10">
                  <c:v>1216.691</c:v>
                </c:pt>
                <c:pt idx="11">
                  <c:v>1220.4639999999999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3B-4008-9797-E428AE20A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326544"/>
        <c:axId val="1380330704"/>
      </c:area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0.12156068343720197"/>
                  <c:y val="-6.48982514223559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D3B-4008-9797-E428AE20A2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>
                        <a:lumMod val="50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Traitement!$F$96:$F$107</c:f>
              <c:strCache>
                <c:ptCount val="12"/>
                <c:pt idx="0">
                  <c:v>Janv.</c:v>
                </c:pt>
                <c:pt idx="1">
                  <c:v>Fev.</c:v>
                </c:pt>
                <c:pt idx="2">
                  <c:v>Mar.</c:v>
                </c:pt>
                <c:pt idx="3">
                  <c:v>Avr.</c:v>
                </c:pt>
                <c:pt idx="4">
                  <c:v>Mai</c:v>
                </c:pt>
                <c:pt idx="5">
                  <c:v>Jui.</c:v>
                </c:pt>
                <c:pt idx="6">
                  <c:v>Jul.</c:v>
                </c:pt>
                <c:pt idx="7">
                  <c:v>Aou.</c:v>
                </c:pt>
                <c:pt idx="8">
                  <c:v>Sept</c:v>
                </c:pt>
                <c:pt idx="9">
                  <c:v>Oct.</c:v>
                </c:pt>
                <c:pt idx="10">
                  <c:v>Nov.</c:v>
                </c:pt>
                <c:pt idx="11">
                  <c:v>Déc.</c:v>
                </c:pt>
              </c:strCache>
            </c:strRef>
          </c:cat>
          <c:val>
            <c:numRef>
              <c:f>Traitement!$H$96:$H$107</c:f>
              <c:numCache>
                <c:formatCode>#\ ##0_ ;[Red]\-#\ ##0\ </c:formatCode>
                <c:ptCount val="12"/>
                <c:pt idx="0">
                  <c:v>1216.691</c:v>
                </c:pt>
                <c:pt idx="1">
                  <c:v>1220.4639999999999</c:v>
                </c:pt>
                <c:pt idx="2">
                  <c:v>1216.691</c:v>
                </c:pt>
                <c:pt idx="3">
                  <c:v>1220.4639999999999</c:v>
                </c:pt>
                <c:pt idx="4">
                  <c:v>1216.691</c:v>
                </c:pt>
                <c:pt idx="5">
                  <c:v>1220.4639999999999</c:v>
                </c:pt>
                <c:pt idx="6">
                  <c:v>1216.691</c:v>
                </c:pt>
                <c:pt idx="7">
                  <c:v>1220.4639999999999</c:v>
                </c:pt>
                <c:pt idx="8">
                  <c:v>1216.691</c:v>
                </c:pt>
                <c:pt idx="9">
                  <c:v>1220.4639999999999</c:v>
                </c:pt>
                <c:pt idx="10">
                  <c:v>1216.691</c:v>
                </c:pt>
                <c:pt idx="11">
                  <c:v>1220.4639999999999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D3B-4008-9797-E428AE20A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0326544"/>
        <c:axId val="1380330704"/>
      </c:lineChart>
      <c:catAx>
        <c:axId val="138032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fr-FR"/>
          </a:p>
        </c:txPr>
        <c:crossAx val="1380330704"/>
        <c:crosses val="autoZero"/>
        <c:auto val="1"/>
        <c:lblAlgn val="ctr"/>
        <c:lblOffset val="100"/>
        <c:noMultiLvlLbl val="0"/>
      </c:catAx>
      <c:valAx>
        <c:axId val="1380330704"/>
        <c:scaling>
          <c:orientation val="minMax"/>
        </c:scaling>
        <c:delete val="1"/>
        <c:axPos val="l"/>
        <c:numFmt formatCode="#\ ##0_ ;[Red]\-#\ ##0\ " sourceLinked="1"/>
        <c:majorTickMark val="none"/>
        <c:minorTickMark val="none"/>
        <c:tickLblPos val="nextTo"/>
        <c:crossAx val="138032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18" Type="http://schemas.openxmlformats.org/officeDocument/2006/relationships/chart" Target="../charts/chart19.xml"/><Relationship Id="rId3" Type="http://schemas.openxmlformats.org/officeDocument/2006/relationships/image" Target="../media/image3.png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17" Type="http://schemas.openxmlformats.org/officeDocument/2006/relationships/chart" Target="../charts/chart18.xml"/><Relationship Id="rId2" Type="http://schemas.openxmlformats.org/officeDocument/2006/relationships/image" Target="../media/image2.png"/><Relationship Id="rId16" Type="http://schemas.openxmlformats.org/officeDocument/2006/relationships/chart" Target="../charts/chart17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12.xml"/><Relationship Id="rId5" Type="http://schemas.openxmlformats.org/officeDocument/2006/relationships/image" Target="../media/image5.png"/><Relationship Id="rId15" Type="http://schemas.openxmlformats.org/officeDocument/2006/relationships/chart" Target="../charts/chart16.xml"/><Relationship Id="rId10" Type="http://schemas.openxmlformats.org/officeDocument/2006/relationships/chart" Target="../charts/chart11.xml"/><Relationship Id="rId4" Type="http://schemas.openxmlformats.org/officeDocument/2006/relationships/image" Target="../media/image4.png"/><Relationship Id="rId9" Type="http://schemas.openxmlformats.org/officeDocument/2006/relationships/chart" Target="../charts/chart10.xml"/><Relationship Id="rId14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2507</xdr:colOff>
      <xdr:row>1</xdr:row>
      <xdr:rowOff>56649</xdr:rowOff>
    </xdr:from>
    <xdr:to>
      <xdr:col>10</xdr:col>
      <xdr:colOff>779861</xdr:colOff>
      <xdr:row>12</xdr:row>
      <xdr:rowOff>1851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ate">
              <a:extLst>
                <a:ext uri="{FF2B5EF4-FFF2-40B4-BE49-F238E27FC236}">
                  <a16:creationId xmlns:a16="http://schemas.microsoft.com/office/drawing/2014/main" id="{15F3175F-9F71-43A2-8283-BE04E1B00AD6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21686" y="241462"/>
              <a:ext cx="2341159" cy="1978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11</xdr:col>
      <xdr:colOff>468511</xdr:colOff>
      <xdr:row>1</xdr:row>
      <xdr:rowOff>68908</xdr:rowOff>
    </xdr:from>
    <xdr:to>
      <xdr:col>16</xdr:col>
      <xdr:colOff>378977</xdr:colOff>
      <xdr:row>13</xdr:row>
      <xdr:rowOff>181747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E3AD1222-37C3-4384-83CE-812C8DCD87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453717</xdr:colOff>
      <xdr:row>12</xdr:row>
      <xdr:rowOff>128842</xdr:rowOff>
    </xdr:from>
    <xdr:to>
      <xdr:col>13</xdr:col>
      <xdr:colOff>408201</xdr:colOff>
      <xdr:row>23</xdr:row>
      <xdr:rowOff>184277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B6323984-9DC2-46DA-91A7-501F60493A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8348</xdr:colOff>
      <xdr:row>23</xdr:row>
      <xdr:rowOff>169304</xdr:rowOff>
    </xdr:from>
    <xdr:to>
      <xdr:col>14</xdr:col>
      <xdr:colOff>1823</xdr:colOff>
      <xdr:row>38</xdr:row>
      <xdr:rowOff>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2FD0513-7E8F-4E44-8CC1-395F9F12D8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422226</xdr:colOff>
      <xdr:row>53</xdr:row>
      <xdr:rowOff>14216</xdr:rowOff>
    </xdr:from>
    <xdr:to>
      <xdr:col>15</xdr:col>
      <xdr:colOff>298994</xdr:colOff>
      <xdr:row>64</xdr:row>
      <xdr:rowOff>126868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E86EBC4A-1E3B-4494-83F9-CEABD32FC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1332078</xdr:colOff>
      <xdr:row>73</xdr:row>
      <xdr:rowOff>170881</xdr:rowOff>
    </xdr:from>
    <xdr:to>
      <xdr:col>14</xdr:col>
      <xdr:colOff>700869</xdr:colOff>
      <xdr:row>88</xdr:row>
      <xdr:rowOff>141880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2B080A2-127C-46B1-914A-17484941F6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1644838</xdr:colOff>
      <xdr:row>84</xdr:row>
      <xdr:rowOff>99799</xdr:rowOff>
    </xdr:from>
    <xdr:to>
      <xdr:col>8</xdr:col>
      <xdr:colOff>1084711</xdr:colOff>
      <xdr:row>99</xdr:row>
      <xdr:rowOff>70797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35A7E37C-2207-4700-B1E0-A63DA6E096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436443</xdr:colOff>
      <xdr:row>100</xdr:row>
      <xdr:rowOff>71366</xdr:rowOff>
    </xdr:from>
    <xdr:to>
      <xdr:col>11</xdr:col>
      <xdr:colOff>359674</xdr:colOff>
      <xdr:row>115</xdr:row>
      <xdr:rowOff>42364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D92AD536-563E-4ED3-8E0B-774A3CD8FF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144571</xdr:colOff>
      <xdr:row>20</xdr:row>
      <xdr:rowOff>170731</xdr:rowOff>
    </xdr:from>
    <xdr:to>
      <xdr:col>48</xdr:col>
      <xdr:colOff>16562</xdr:colOff>
      <xdr:row>33</xdr:row>
      <xdr:rowOff>26100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D120D927-81AE-4220-AA1F-04398CF3C7BE}"/>
            </a:ext>
          </a:extLst>
        </xdr:cNvPr>
        <xdr:cNvSpPr/>
      </xdr:nvSpPr>
      <xdr:spPr>
        <a:xfrm>
          <a:off x="10978223" y="3732253"/>
          <a:ext cx="3963600" cy="2331869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22</xdr:col>
      <xdr:colOff>233797</xdr:colOff>
      <xdr:row>20</xdr:row>
      <xdr:rowOff>170731</xdr:rowOff>
    </xdr:from>
    <xdr:to>
      <xdr:col>35</xdr:col>
      <xdr:colOff>104206</xdr:colOff>
      <xdr:row>33</xdr:row>
      <xdr:rowOff>26100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CA730518-FE6A-4E77-BCEF-71E5C82F65FF}"/>
            </a:ext>
          </a:extLst>
        </xdr:cNvPr>
        <xdr:cNvSpPr/>
      </xdr:nvSpPr>
      <xdr:spPr>
        <a:xfrm>
          <a:off x="6975840" y="3732253"/>
          <a:ext cx="3962018" cy="2331869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34499</xdr:colOff>
      <xdr:row>20</xdr:row>
      <xdr:rowOff>170731</xdr:rowOff>
    </xdr:from>
    <xdr:to>
      <xdr:col>22</xdr:col>
      <xdr:colOff>191642</xdr:colOff>
      <xdr:row>33</xdr:row>
      <xdr:rowOff>26100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FC3341BC-7807-4C2F-845F-6A7F97E5656B}"/>
            </a:ext>
          </a:extLst>
        </xdr:cNvPr>
        <xdr:cNvSpPr/>
      </xdr:nvSpPr>
      <xdr:spPr>
        <a:xfrm>
          <a:off x="3024291" y="3945453"/>
          <a:ext cx="3967143" cy="2377730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80720</xdr:colOff>
      <xdr:row>5</xdr:row>
      <xdr:rowOff>48433</xdr:rowOff>
    </xdr:from>
    <xdr:to>
      <xdr:col>10</xdr:col>
      <xdr:colOff>0</xdr:colOff>
      <xdr:row>27</xdr:row>
      <xdr:rowOff>55452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4" name="Date 1">
              <a:extLst>
                <a:ext uri="{FF2B5EF4-FFF2-40B4-BE49-F238E27FC236}">
                  <a16:creationId xmlns:a16="http://schemas.microsoft.com/office/drawing/2014/main" id="{45BAD684-AB2E-4449-8758-47B98EB4DE3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720" y="1000933"/>
              <a:ext cx="2884454" cy="39495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35</xdr:col>
      <xdr:colOff>144571</xdr:colOff>
      <xdr:row>7</xdr:row>
      <xdr:rowOff>38553</xdr:rowOff>
    </xdr:from>
    <xdr:to>
      <xdr:col>48</xdr:col>
      <xdr:colOff>15185</xdr:colOff>
      <xdr:row>20</xdr:row>
      <xdr:rowOff>138336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E978EE1-03E5-461C-8658-9F419ECB8A9D}"/>
            </a:ext>
          </a:extLst>
        </xdr:cNvPr>
        <xdr:cNvSpPr/>
      </xdr:nvSpPr>
      <xdr:spPr>
        <a:xfrm>
          <a:off x="10978223" y="1372053"/>
          <a:ext cx="3962223" cy="2327805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22</xdr:col>
      <xdr:colOff>267477</xdr:colOff>
      <xdr:row>7</xdr:row>
      <xdr:rowOff>38553</xdr:rowOff>
    </xdr:from>
    <xdr:to>
      <xdr:col>35</xdr:col>
      <xdr:colOff>138916</xdr:colOff>
      <xdr:row>20</xdr:row>
      <xdr:rowOff>138037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D49A758-439A-4923-B82C-1FB2B3DFB6AB}"/>
            </a:ext>
          </a:extLst>
        </xdr:cNvPr>
        <xdr:cNvSpPr/>
      </xdr:nvSpPr>
      <xdr:spPr>
        <a:xfrm>
          <a:off x="7009520" y="1372053"/>
          <a:ext cx="3963048" cy="2327506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36698</xdr:colOff>
      <xdr:row>7</xdr:row>
      <xdr:rowOff>181428</xdr:rowOff>
    </xdr:from>
    <xdr:to>
      <xdr:col>22</xdr:col>
      <xdr:colOff>194908</xdr:colOff>
      <xdr:row>20</xdr:row>
      <xdr:rowOff>138037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A4DCA01B-FA51-4A2F-82E2-2E8D4B550198}"/>
            </a:ext>
          </a:extLst>
        </xdr:cNvPr>
        <xdr:cNvSpPr/>
      </xdr:nvSpPr>
      <xdr:spPr>
        <a:xfrm>
          <a:off x="2523224" y="1514928"/>
          <a:ext cx="3888000" cy="2322820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35</xdr:col>
      <xdr:colOff>144571</xdr:colOff>
      <xdr:row>33</xdr:row>
      <xdr:rowOff>46350</xdr:rowOff>
    </xdr:from>
    <xdr:to>
      <xdr:col>48</xdr:col>
      <xdr:colOff>8500</xdr:colOff>
      <xdr:row>45</xdr:row>
      <xdr:rowOff>91675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90DF206C-0617-4299-90CC-88C934719213}"/>
            </a:ext>
          </a:extLst>
        </xdr:cNvPr>
        <xdr:cNvSpPr/>
      </xdr:nvSpPr>
      <xdr:spPr>
        <a:xfrm>
          <a:off x="10978223" y="6084372"/>
          <a:ext cx="3955538" cy="2331325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193718</xdr:colOff>
      <xdr:row>8</xdr:row>
      <xdr:rowOff>63089</xdr:rowOff>
    </xdr:from>
    <xdr:to>
      <xdr:col>16</xdr:col>
      <xdr:colOff>25553</xdr:colOff>
      <xdr:row>13</xdr:row>
      <xdr:rowOff>42410</xdr:rowOff>
    </xdr:to>
    <xdr:sp macro="" textlink="Traitement!C1">
      <xdr:nvSpPr>
        <xdr:cNvPr id="2" name="Rectangle 1">
          <a:extLst>
            <a:ext uri="{FF2B5EF4-FFF2-40B4-BE49-F238E27FC236}">
              <a16:creationId xmlns:a16="http://schemas.microsoft.com/office/drawing/2014/main" id="{ED75844D-5715-494F-B9A2-C168C141EA8D}"/>
            </a:ext>
          </a:extLst>
        </xdr:cNvPr>
        <xdr:cNvSpPr/>
      </xdr:nvSpPr>
      <xdr:spPr>
        <a:xfrm>
          <a:off x="2697432" y="1396589"/>
          <a:ext cx="1709621" cy="822964"/>
        </a:xfrm>
        <a:prstGeom prst="rect">
          <a:avLst/>
        </a:prstGeom>
        <a:noFill/>
        <a:ln w="12700">
          <a:solidFill>
            <a:schemeClr val="accent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fld id="{A400EFE9-CCB1-425D-A23C-F709F4C5889E}" type="TxLink">
            <a:rPr lang="en-US" sz="1100" b="1" i="0" u="none" strike="noStrike">
              <a:solidFill>
                <a:srgbClr val="000000"/>
              </a:solidFill>
              <a:latin typeface="Gilroy-Bold" panose="00000800000000000000" pitchFamily="2" charset="0"/>
              <a:ea typeface="Calibri"/>
              <a:cs typeface="Calibri"/>
            </a:rPr>
            <a:pPr marL="0" indent="0" algn="l"/>
            <a:t>874 650</a:t>
          </a:fld>
          <a:endParaRPr lang="fr-FR" sz="1100" b="1" i="0" u="none" strike="noStrike">
            <a:solidFill>
              <a:srgbClr val="000000"/>
            </a:solidFill>
            <a:latin typeface="Gilroy-Bold" panose="00000800000000000000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103486</xdr:colOff>
      <xdr:row>8</xdr:row>
      <xdr:rowOff>16161</xdr:rowOff>
    </xdr:from>
    <xdr:to>
      <xdr:col>16</xdr:col>
      <xdr:colOff>107536</xdr:colOff>
      <xdr:row>10</xdr:row>
      <xdr:rowOff>102771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692926FE-BC1C-4E52-97F7-6CE3BF08E060}"/>
            </a:ext>
          </a:extLst>
        </xdr:cNvPr>
        <xdr:cNvSpPr txBox="1"/>
      </xdr:nvSpPr>
      <xdr:spPr>
        <a:xfrm>
          <a:off x="2590012" y="1540161"/>
          <a:ext cx="1868945" cy="467610"/>
        </a:xfrm>
        <a:prstGeom prst="rect">
          <a:avLst/>
        </a:prstGeom>
        <a:solidFill>
          <a:schemeClr val="accent6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>
              <a:solidFill>
                <a:schemeClr val="bg1"/>
              </a:solidFill>
              <a:latin typeface="Product Sans" panose="020B0403030502040203" pitchFamily="34" charset="0"/>
            </a:rPr>
            <a:t>Quantité</a:t>
          </a:r>
          <a:r>
            <a:rPr lang="fr-FR" sz="1100" b="1" baseline="0">
              <a:solidFill>
                <a:schemeClr val="bg1"/>
              </a:solidFill>
              <a:latin typeface="Product Sans" panose="020B0403030502040203" pitchFamily="34" charset="0"/>
            </a:rPr>
            <a:t> micas </a:t>
          </a:r>
          <a:r>
            <a:rPr lang="fr-FR" sz="1100" b="1" baseline="0">
              <a:solidFill>
                <a:schemeClr val="bg1"/>
              </a:solidFill>
              <a:latin typeface="Gilroy-Bold" panose="00000800000000000000" pitchFamily="2" charset="0"/>
            </a:rPr>
            <a:t>bruts</a:t>
          </a:r>
          <a:r>
            <a:rPr lang="fr-FR" sz="1100" b="1" baseline="0">
              <a:solidFill>
                <a:schemeClr val="bg1"/>
              </a:solidFill>
              <a:latin typeface="Product Sans" panose="020B0403030502040203" pitchFamily="34" charset="0"/>
            </a:rPr>
            <a:t> </a:t>
          </a:r>
          <a:r>
            <a:rPr lang="fr-FR" sz="1100" b="1" baseline="0">
              <a:solidFill>
                <a:schemeClr val="bg1"/>
              </a:solidFill>
              <a:latin typeface="Gilroy-Bold" panose="00000800000000000000" pitchFamily="2" charset="0"/>
            </a:rPr>
            <a:t>achetées</a:t>
          </a:r>
          <a:endParaRPr lang="fr-FR" sz="1100" b="1">
            <a:solidFill>
              <a:schemeClr val="bg1"/>
            </a:solidFill>
            <a:latin typeface="Gilroy-Bold" panose="00000800000000000000" pitchFamily="2" charset="0"/>
          </a:endParaRPr>
        </a:p>
      </xdr:txBody>
    </xdr:sp>
    <xdr:clientData/>
  </xdr:twoCellAnchor>
  <xdr:twoCellAnchor>
    <xdr:from>
      <xdr:col>23</xdr:col>
      <xdr:colOff>15139</xdr:colOff>
      <xdr:row>39</xdr:row>
      <xdr:rowOff>122638</xdr:rowOff>
    </xdr:from>
    <xdr:to>
      <xdr:col>28</xdr:col>
      <xdr:colOff>162531</xdr:colOff>
      <xdr:row>44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2DEE9CC-116E-4E6F-AA90-53B68D7C3417}"/>
            </a:ext>
          </a:extLst>
        </xdr:cNvPr>
        <xdr:cNvSpPr/>
      </xdr:nvSpPr>
      <xdr:spPr>
        <a:xfrm>
          <a:off x="6546568" y="7567689"/>
          <a:ext cx="1702494" cy="849301"/>
        </a:xfrm>
        <a:prstGeom prst="rect">
          <a:avLst/>
        </a:prstGeom>
        <a:noFill/>
        <a:ln w="12700">
          <a:solidFill>
            <a:schemeClr val="accent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==</a:t>
          </a:r>
        </a:p>
      </xdr:txBody>
    </xdr:sp>
    <xdr:clientData/>
  </xdr:twoCellAnchor>
  <xdr:twoCellAnchor>
    <xdr:from>
      <xdr:col>16</xdr:col>
      <xdr:colOff>154190</xdr:colOff>
      <xdr:row>8</xdr:row>
      <xdr:rowOff>16161</xdr:rowOff>
    </xdr:from>
    <xdr:to>
      <xdr:col>22</xdr:col>
      <xdr:colOff>157190</xdr:colOff>
      <xdr:row>10</xdr:row>
      <xdr:rowOff>102771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63E847E8-EAF0-43B8-B745-1BE5F2D4F884}"/>
            </a:ext>
          </a:extLst>
        </xdr:cNvPr>
        <xdr:cNvSpPr txBox="1"/>
      </xdr:nvSpPr>
      <xdr:spPr>
        <a:xfrm>
          <a:off x="4505611" y="1540161"/>
          <a:ext cx="1867895" cy="467610"/>
        </a:xfrm>
        <a:prstGeom prst="rect">
          <a:avLst/>
        </a:prstGeom>
        <a:solidFill>
          <a:schemeClr val="accent6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>
              <a:solidFill>
                <a:schemeClr val="bg1"/>
              </a:solidFill>
              <a:latin typeface="Product Sans" panose="020B0403030502040203" pitchFamily="34" charset="0"/>
            </a:rPr>
            <a:t>Valeur micas bruts achetées</a:t>
          </a:r>
        </a:p>
      </xdr:txBody>
    </xdr:sp>
    <xdr:clientData/>
  </xdr:twoCellAnchor>
  <xdr:twoCellAnchor>
    <xdr:from>
      <xdr:col>29</xdr:col>
      <xdr:colOff>136524</xdr:colOff>
      <xdr:row>8</xdr:row>
      <xdr:rowOff>70472</xdr:rowOff>
    </xdr:from>
    <xdr:to>
      <xdr:col>34</xdr:col>
      <xdr:colOff>294180</xdr:colOff>
      <xdr:row>13</xdr:row>
      <xdr:rowOff>56019</xdr:rowOff>
    </xdr:to>
    <xdr:sp macro="" textlink="Traitement!G7">
      <xdr:nvSpPr>
        <xdr:cNvPr id="6" name="Rectangle 5">
          <a:extLst>
            <a:ext uri="{FF2B5EF4-FFF2-40B4-BE49-F238E27FC236}">
              <a16:creationId xmlns:a16="http://schemas.microsoft.com/office/drawing/2014/main" id="{737AB9F6-F4AB-42AE-8F02-33007C49F23D}"/>
            </a:ext>
          </a:extLst>
        </xdr:cNvPr>
        <xdr:cNvSpPr/>
      </xdr:nvSpPr>
      <xdr:spPr>
        <a:xfrm>
          <a:off x="8528550" y="1594472"/>
          <a:ext cx="1711735" cy="827758"/>
        </a:xfrm>
        <a:prstGeom prst="rect">
          <a:avLst/>
        </a:prstGeom>
        <a:noFill/>
        <a:ln w="12700">
          <a:solidFill>
            <a:schemeClr val="accent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fld id="{4C969439-0AE3-4783-9DEF-BAC876FCC764}" type="TxLink">
            <a:rPr lang="en-US" sz="1100" b="1" i="0" u="none" strike="noStrike">
              <a:solidFill>
                <a:srgbClr val="000000"/>
              </a:solidFill>
              <a:latin typeface="Gilroy-Bold" panose="00000800000000000000" pitchFamily="2" charset="0"/>
              <a:ea typeface="Calibri"/>
              <a:cs typeface="Calibri"/>
            </a:rPr>
            <a:pPr marL="0" indent="0" algn="l"/>
            <a:t>0 MGA</a:t>
          </a:fld>
          <a:endParaRPr lang="fr-FR" sz="1100" b="1" i="0" u="none" strike="noStrike">
            <a:solidFill>
              <a:srgbClr val="000000"/>
            </a:solidFill>
            <a:latin typeface="Gilroy-Bold" panose="00000800000000000000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22</xdr:col>
      <xdr:colOff>262146</xdr:colOff>
      <xdr:row>8</xdr:row>
      <xdr:rowOff>16161</xdr:rowOff>
    </xdr:from>
    <xdr:to>
      <xdr:col>28</xdr:col>
      <xdr:colOff>265146</xdr:colOff>
      <xdr:row>10</xdr:row>
      <xdr:rowOff>71130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7A32E985-71F4-49B1-BD37-82B6BCB56208}"/>
            </a:ext>
          </a:extLst>
        </xdr:cNvPr>
        <xdr:cNvSpPr txBox="1"/>
      </xdr:nvSpPr>
      <xdr:spPr>
        <a:xfrm>
          <a:off x="6478462" y="1540161"/>
          <a:ext cx="1867895" cy="435969"/>
        </a:xfrm>
        <a:prstGeom prst="rect">
          <a:avLst/>
        </a:prstGeom>
        <a:solidFill>
          <a:schemeClr val="accent6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>
              <a:solidFill>
                <a:schemeClr val="bg1"/>
              </a:solidFill>
              <a:latin typeface="Product Sans" panose="020B0403030502040203" pitchFamily="34" charset="0"/>
            </a:rPr>
            <a:t>Qté</a:t>
          </a:r>
          <a:r>
            <a:rPr lang="fr-FR" sz="1100" b="1" baseline="0">
              <a:solidFill>
                <a:schemeClr val="bg1"/>
              </a:solidFill>
              <a:latin typeface="Product Sans" panose="020B0403030502040203" pitchFamily="34" charset="0"/>
            </a:rPr>
            <a:t> des micas coupes produits </a:t>
          </a:r>
          <a:endParaRPr lang="fr-FR" sz="1100" b="1">
            <a:solidFill>
              <a:schemeClr val="bg1"/>
            </a:solidFill>
            <a:latin typeface="Product Sans" panose="020B0403030502040203" pitchFamily="34" charset="0"/>
          </a:endParaRPr>
        </a:p>
      </xdr:txBody>
    </xdr:sp>
    <xdr:clientData/>
  </xdr:twoCellAnchor>
  <xdr:twoCellAnchor>
    <xdr:from>
      <xdr:col>35</xdr:col>
      <xdr:colOff>262260</xdr:colOff>
      <xdr:row>8</xdr:row>
      <xdr:rowOff>64246</xdr:rowOff>
    </xdr:from>
    <xdr:to>
      <xdr:col>41</xdr:col>
      <xdr:colOff>102416</xdr:colOff>
      <xdr:row>13</xdr:row>
      <xdr:rowOff>49793</xdr:rowOff>
    </xdr:to>
    <xdr:sp macro="" textlink="Traitement!C13">
      <xdr:nvSpPr>
        <xdr:cNvPr id="17" name="Rectangle 16">
          <a:extLst>
            <a:ext uri="{FF2B5EF4-FFF2-40B4-BE49-F238E27FC236}">
              <a16:creationId xmlns:a16="http://schemas.microsoft.com/office/drawing/2014/main" id="{F63AC9ED-4E46-4C82-93F0-3321A5C8071F}"/>
            </a:ext>
          </a:extLst>
        </xdr:cNvPr>
        <xdr:cNvSpPr/>
      </xdr:nvSpPr>
      <xdr:spPr>
        <a:xfrm>
          <a:off x="10519181" y="1588246"/>
          <a:ext cx="1705051" cy="827758"/>
        </a:xfrm>
        <a:prstGeom prst="rect">
          <a:avLst/>
        </a:prstGeom>
        <a:noFill/>
        <a:ln w="12700">
          <a:solidFill>
            <a:schemeClr val="accent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fld id="{66E162AB-FBC3-43C8-B473-7393935296D3}" type="TxLink">
            <a:rPr lang="en-US" sz="1100" b="1" i="0" u="none" strike="noStrike">
              <a:solidFill>
                <a:srgbClr val="000000"/>
              </a:solidFill>
              <a:latin typeface="Gilroy-Bold" panose="00000800000000000000" pitchFamily="2" charset="0"/>
              <a:ea typeface="Calibri"/>
              <a:cs typeface="Calibri"/>
            </a:rPr>
            <a:pPr marL="0" indent="0" algn="l"/>
            <a:t>673 000</a:t>
          </a:fld>
          <a:endParaRPr lang="fr-FR" sz="1100" b="1" i="0" u="none" strike="noStrike">
            <a:solidFill>
              <a:srgbClr val="000000"/>
            </a:solidFill>
            <a:latin typeface="Gilroy-Bold" panose="00000800000000000000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23</xdr:col>
      <xdr:colOff>30840</xdr:colOff>
      <xdr:row>8</xdr:row>
      <xdr:rowOff>58020</xdr:rowOff>
    </xdr:from>
    <xdr:to>
      <xdr:col>28</xdr:col>
      <xdr:colOff>188496</xdr:colOff>
      <xdr:row>13</xdr:row>
      <xdr:rowOff>43567</xdr:rowOff>
    </xdr:to>
    <xdr:sp macro="" textlink="Traitement!C7">
      <xdr:nvSpPr>
        <xdr:cNvPr id="19" name="Rectangle 18">
          <a:extLst>
            <a:ext uri="{FF2B5EF4-FFF2-40B4-BE49-F238E27FC236}">
              <a16:creationId xmlns:a16="http://schemas.microsoft.com/office/drawing/2014/main" id="{866D1DBD-139C-4B6F-8CAD-F9E87A72058A}"/>
            </a:ext>
          </a:extLst>
        </xdr:cNvPr>
        <xdr:cNvSpPr/>
      </xdr:nvSpPr>
      <xdr:spPr>
        <a:xfrm>
          <a:off x="4158340" y="623567"/>
          <a:ext cx="1745156" cy="828906"/>
        </a:xfrm>
        <a:prstGeom prst="rect">
          <a:avLst/>
        </a:prstGeom>
        <a:noFill/>
        <a:ln w="12700">
          <a:solidFill>
            <a:schemeClr val="accent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fld id="{1DCEDDDF-7026-4CDF-B333-2850610B51D9}" type="TxLink">
            <a:rPr lang="en-US" sz="1100" b="1" i="0" u="none" strike="noStrike">
              <a:solidFill>
                <a:srgbClr val="000000"/>
              </a:solidFill>
              <a:latin typeface="Gilroy-Bold" panose="00000800000000000000" pitchFamily="2" charset="0"/>
              <a:ea typeface="Calibri"/>
              <a:cs typeface="Calibri"/>
            </a:rPr>
            <a:pPr marL="0" indent="0" algn="l"/>
            <a:t>686 000</a:t>
          </a:fld>
          <a:endParaRPr lang="fr-FR" sz="1100" b="1" i="0" u="none" strike="noStrike">
            <a:solidFill>
              <a:srgbClr val="000000"/>
            </a:solidFill>
            <a:latin typeface="Gilroy-Bold" panose="00000800000000000000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29</xdr:col>
      <xdr:colOff>32550</xdr:colOff>
      <xdr:row>8</xdr:row>
      <xdr:rowOff>16161</xdr:rowOff>
    </xdr:from>
    <xdr:to>
      <xdr:col>35</xdr:col>
      <xdr:colOff>35550</xdr:colOff>
      <xdr:row>10</xdr:row>
      <xdr:rowOff>71130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4499D08A-49F4-4DC8-9826-CA3ADEAECD9C}"/>
            </a:ext>
          </a:extLst>
        </xdr:cNvPr>
        <xdr:cNvSpPr txBox="1"/>
      </xdr:nvSpPr>
      <xdr:spPr>
        <a:xfrm>
          <a:off x="8424576" y="1540161"/>
          <a:ext cx="1867895" cy="435969"/>
        </a:xfrm>
        <a:prstGeom prst="rect">
          <a:avLst/>
        </a:prstGeom>
        <a:solidFill>
          <a:schemeClr val="accent6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solidFill>
                <a:schemeClr val="bg1"/>
              </a:solidFill>
              <a:latin typeface="Product Sans" panose="020B0403030502040203" pitchFamily="34" charset="0"/>
            </a:rPr>
            <a:t>Valeur des micas coupés produits</a:t>
          </a:r>
        </a:p>
      </xdr:txBody>
    </xdr:sp>
    <xdr:clientData/>
  </xdr:twoCellAnchor>
  <xdr:twoCellAnchor>
    <xdr:from>
      <xdr:col>35</xdr:col>
      <xdr:colOff>190636</xdr:colOff>
      <xdr:row>8</xdr:row>
      <xdr:rowOff>16161</xdr:rowOff>
    </xdr:from>
    <xdr:to>
      <xdr:col>41</xdr:col>
      <xdr:colOff>193636</xdr:colOff>
      <xdr:row>10</xdr:row>
      <xdr:rowOff>71130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F69DEE9A-6357-4EA2-B48C-D0D86E0CB92C}"/>
            </a:ext>
          </a:extLst>
        </xdr:cNvPr>
        <xdr:cNvSpPr txBox="1"/>
      </xdr:nvSpPr>
      <xdr:spPr>
        <a:xfrm>
          <a:off x="10447557" y="1540161"/>
          <a:ext cx="1867895" cy="435969"/>
        </a:xfrm>
        <a:prstGeom prst="rect">
          <a:avLst/>
        </a:prstGeom>
        <a:solidFill>
          <a:schemeClr val="accent6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solidFill>
                <a:schemeClr val="bg1"/>
              </a:solidFill>
              <a:latin typeface="Product Sans" panose="020B0403030502040203" pitchFamily="34" charset="0"/>
            </a:rPr>
            <a:t>Qté des micas coupés vendus</a:t>
          </a:r>
        </a:p>
      </xdr:txBody>
    </xdr:sp>
    <xdr:clientData/>
  </xdr:twoCellAnchor>
  <xdr:twoCellAnchor>
    <xdr:from>
      <xdr:col>41</xdr:col>
      <xdr:colOff>278542</xdr:colOff>
      <xdr:row>8</xdr:row>
      <xdr:rowOff>16161</xdr:rowOff>
    </xdr:from>
    <xdr:to>
      <xdr:col>47</xdr:col>
      <xdr:colOff>281542</xdr:colOff>
      <xdr:row>10</xdr:row>
      <xdr:rowOff>71130</xdr:rowOff>
    </xdr:to>
    <xdr:sp macro="" textlink="">
      <xdr:nvSpPr>
        <xdr:cNvPr id="23" name="ZoneTexte 22">
          <a:extLst>
            <a:ext uri="{FF2B5EF4-FFF2-40B4-BE49-F238E27FC236}">
              <a16:creationId xmlns:a16="http://schemas.microsoft.com/office/drawing/2014/main" id="{6689A002-5AD2-4B78-A28A-477AA927C839}"/>
            </a:ext>
          </a:extLst>
        </xdr:cNvPr>
        <xdr:cNvSpPr txBox="1"/>
      </xdr:nvSpPr>
      <xdr:spPr>
        <a:xfrm>
          <a:off x="12400358" y="1540161"/>
          <a:ext cx="1867895" cy="435969"/>
        </a:xfrm>
        <a:prstGeom prst="rect">
          <a:avLst/>
        </a:prstGeom>
        <a:solidFill>
          <a:schemeClr val="accent6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solidFill>
                <a:schemeClr val="bg1"/>
              </a:solidFill>
              <a:latin typeface="Product Sans" panose="020B0403030502040203" pitchFamily="34" charset="0"/>
            </a:rPr>
            <a:t>Valeur des micas coupés vendus</a:t>
          </a:r>
        </a:p>
      </xdr:txBody>
    </xdr:sp>
    <xdr:clientData/>
  </xdr:twoCellAnchor>
  <xdr:twoCellAnchor>
    <xdr:from>
      <xdr:col>16</xdr:col>
      <xdr:colOff>271029</xdr:colOff>
      <xdr:row>8</xdr:row>
      <xdr:rowOff>59530</xdr:rowOff>
    </xdr:from>
    <xdr:to>
      <xdr:col>22</xdr:col>
      <xdr:colOff>102864</xdr:colOff>
      <xdr:row>13</xdr:row>
      <xdr:rowOff>38096</xdr:rowOff>
    </xdr:to>
    <xdr:sp macro="" textlink="Traitement!G1">
      <xdr:nvSpPr>
        <xdr:cNvPr id="25" name="Rectangle 24">
          <a:extLst>
            <a:ext uri="{FF2B5EF4-FFF2-40B4-BE49-F238E27FC236}">
              <a16:creationId xmlns:a16="http://schemas.microsoft.com/office/drawing/2014/main" id="{94FF5239-CDD5-4699-A906-66F00728EF4E}"/>
            </a:ext>
          </a:extLst>
        </xdr:cNvPr>
        <xdr:cNvSpPr/>
      </xdr:nvSpPr>
      <xdr:spPr>
        <a:xfrm>
          <a:off x="2176029" y="625077"/>
          <a:ext cx="1736835" cy="821925"/>
        </a:xfrm>
        <a:prstGeom prst="rect">
          <a:avLst/>
        </a:prstGeom>
        <a:noFill/>
        <a:ln w="12700">
          <a:solidFill>
            <a:schemeClr val="accent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fld id="{439C0C11-3F76-461F-BB4A-992848AD017C}" type="TxLink">
            <a:rPr lang="en-US" sz="1100" b="1" i="0" u="none" strike="noStrike">
              <a:solidFill>
                <a:srgbClr val="000000"/>
              </a:solidFill>
              <a:latin typeface="Gilroy-Bold" panose="00000800000000000000" pitchFamily="2" charset="0"/>
              <a:ea typeface="Calibri"/>
              <a:cs typeface="Calibri"/>
            </a:rPr>
            <a:pPr marL="0" indent="0" algn="l"/>
            <a:t>378 286 125 MGA</a:t>
          </a:fld>
          <a:endParaRPr lang="fr-FR" sz="1100" b="1" i="0" u="none" strike="noStrike">
            <a:solidFill>
              <a:srgbClr val="000000"/>
            </a:solidFill>
            <a:latin typeface="Gilroy-Bold" panose="00000800000000000000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42</xdr:col>
      <xdr:colOff>37074</xdr:colOff>
      <xdr:row>8</xdr:row>
      <xdr:rowOff>58775</xdr:rowOff>
    </xdr:from>
    <xdr:to>
      <xdr:col>47</xdr:col>
      <xdr:colOff>179725</xdr:colOff>
      <xdr:row>13</xdr:row>
      <xdr:rowOff>37341</xdr:rowOff>
    </xdr:to>
    <xdr:sp macro="" textlink="Traitement!G13">
      <xdr:nvSpPr>
        <xdr:cNvPr id="26" name="Rectangle 25">
          <a:extLst>
            <a:ext uri="{FF2B5EF4-FFF2-40B4-BE49-F238E27FC236}">
              <a16:creationId xmlns:a16="http://schemas.microsoft.com/office/drawing/2014/main" id="{A5CBC254-EE96-4340-95A8-AEE09B8981EE}"/>
            </a:ext>
          </a:extLst>
        </xdr:cNvPr>
        <xdr:cNvSpPr/>
      </xdr:nvSpPr>
      <xdr:spPr>
        <a:xfrm>
          <a:off x="12469706" y="1582775"/>
          <a:ext cx="1696730" cy="820777"/>
        </a:xfrm>
        <a:prstGeom prst="rect">
          <a:avLst/>
        </a:prstGeom>
        <a:noFill/>
        <a:ln w="12700">
          <a:solidFill>
            <a:schemeClr val="accent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fld id="{40FBDB2C-AE7E-4B77-A33F-094A7E10118C}" type="TxLink">
            <a:rPr lang="en-US" sz="1100" b="1" i="0" u="none" strike="noStrike">
              <a:solidFill>
                <a:srgbClr val="000000"/>
              </a:solidFill>
              <a:latin typeface="Gilroy-Bold" panose="00000800000000000000" pitchFamily="2" charset="0"/>
              <a:ea typeface="Calibri"/>
              <a:cs typeface="Calibri"/>
            </a:rPr>
            <a:pPr marL="0" indent="0" algn="l"/>
            <a:t>1 216 691 000 MGA</a:t>
          </a:fld>
          <a:endParaRPr lang="fr-FR" sz="1100" b="1" i="0" u="none" strike="noStrike">
            <a:solidFill>
              <a:srgbClr val="000000"/>
            </a:solidFill>
            <a:latin typeface="Gilroy-Bold" panose="00000800000000000000" pitchFamily="2" charset="0"/>
            <a:ea typeface="Calibri"/>
            <a:cs typeface="Calibri"/>
          </a:endParaRPr>
        </a:p>
      </xdr:txBody>
    </xdr:sp>
    <xdr:clientData/>
  </xdr:twoCellAnchor>
  <xdr:twoCellAnchor editAs="oneCell">
    <xdr:from>
      <xdr:col>33</xdr:col>
      <xdr:colOff>307578</xdr:colOff>
      <xdr:row>11</xdr:row>
      <xdr:rowOff>2345</xdr:rowOff>
    </xdr:from>
    <xdr:to>
      <xdr:col>34</xdr:col>
      <xdr:colOff>278078</xdr:colOff>
      <xdr:row>13</xdr:row>
      <xdr:rowOff>2610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BF1FFB8F-D673-42BB-8673-39F1832114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1653" y="1897820"/>
          <a:ext cx="284825" cy="286015"/>
        </a:xfrm>
        <a:prstGeom prst="rect">
          <a:avLst/>
        </a:prstGeom>
      </xdr:spPr>
    </xdr:pic>
    <xdr:clientData/>
  </xdr:twoCellAnchor>
  <xdr:twoCellAnchor editAs="oneCell">
    <xdr:from>
      <xdr:col>21</xdr:col>
      <xdr:colOff>60703</xdr:colOff>
      <xdr:row>10</xdr:row>
      <xdr:rowOff>176572</xdr:rowOff>
    </xdr:from>
    <xdr:to>
      <xdr:col>22</xdr:col>
      <xdr:colOff>31203</xdr:colOff>
      <xdr:row>13</xdr:row>
      <xdr:rowOff>2609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10F635CD-4DF5-461F-8CFC-A4A76B672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2878" y="1891072"/>
          <a:ext cx="284825" cy="292763"/>
        </a:xfrm>
        <a:prstGeom prst="rect">
          <a:avLst/>
        </a:prstGeom>
      </xdr:spPr>
    </xdr:pic>
    <xdr:clientData/>
  </xdr:twoCellAnchor>
  <xdr:twoCellAnchor editAs="oneCell">
    <xdr:from>
      <xdr:col>40</xdr:col>
      <xdr:colOff>12265</xdr:colOff>
      <xdr:row>11</xdr:row>
      <xdr:rowOff>2345</xdr:rowOff>
    </xdr:from>
    <xdr:to>
      <xdr:col>40</xdr:col>
      <xdr:colOff>300265</xdr:colOff>
      <xdr:row>13</xdr:row>
      <xdr:rowOff>2610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BA39DFA4-1DBD-4C93-901F-A981EE981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6615" y="1897820"/>
          <a:ext cx="288000" cy="286015"/>
        </a:xfrm>
        <a:prstGeom prst="rect">
          <a:avLst/>
        </a:prstGeom>
      </xdr:spPr>
    </xdr:pic>
    <xdr:clientData/>
  </xdr:twoCellAnchor>
  <xdr:twoCellAnchor editAs="oneCell">
    <xdr:from>
      <xdr:col>27</xdr:col>
      <xdr:colOff>192031</xdr:colOff>
      <xdr:row>10</xdr:row>
      <xdr:rowOff>176572</xdr:rowOff>
    </xdr:from>
    <xdr:to>
      <xdr:col>28</xdr:col>
      <xdr:colOff>162531</xdr:colOff>
      <xdr:row>13</xdr:row>
      <xdr:rowOff>2609</xdr:rowOff>
    </xdr:to>
    <xdr:pic>
      <xdr:nvPicPr>
        <xdr:cNvPr id="35" name="Image 34">
          <a:extLst>
            <a:ext uri="{FF2B5EF4-FFF2-40B4-BE49-F238E27FC236}">
              <a16:creationId xmlns:a16="http://schemas.microsoft.com/office/drawing/2014/main" id="{9713F4AF-0E34-4F09-9FB9-418C1FC6A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0156" y="1891072"/>
          <a:ext cx="284825" cy="292763"/>
        </a:xfrm>
        <a:prstGeom prst="rect">
          <a:avLst/>
        </a:prstGeom>
      </xdr:spPr>
    </xdr:pic>
    <xdr:clientData/>
  </xdr:twoCellAnchor>
  <xdr:twoCellAnchor editAs="oneCell">
    <xdr:from>
      <xdr:col>15</xdr:col>
      <xdr:colOff>24531</xdr:colOff>
      <xdr:row>10</xdr:row>
      <xdr:rowOff>176572</xdr:rowOff>
    </xdr:from>
    <xdr:to>
      <xdr:col>16</xdr:col>
      <xdr:colOff>1715</xdr:colOff>
      <xdr:row>13</xdr:row>
      <xdr:rowOff>2609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F1FCE33D-4D08-4DE0-A836-C74C3472A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0756" y="1891072"/>
          <a:ext cx="288000" cy="292763"/>
        </a:xfrm>
        <a:prstGeom prst="rect">
          <a:avLst/>
        </a:prstGeom>
      </xdr:spPr>
    </xdr:pic>
    <xdr:clientData/>
  </xdr:twoCellAnchor>
  <xdr:twoCellAnchor editAs="oneCell">
    <xdr:from>
      <xdr:col>46</xdr:col>
      <xdr:colOff>138906</xdr:colOff>
      <xdr:row>10</xdr:row>
      <xdr:rowOff>176572</xdr:rowOff>
    </xdr:from>
    <xdr:to>
      <xdr:col>47</xdr:col>
      <xdr:colOff>109406</xdr:colOff>
      <xdr:row>13</xdr:row>
      <xdr:rowOff>2609</xdr:rowOff>
    </xdr:to>
    <xdr:pic>
      <xdr:nvPicPr>
        <xdr:cNvPr id="39" name="Image 38">
          <a:extLst>
            <a:ext uri="{FF2B5EF4-FFF2-40B4-BE49-F238E27FC236}">
              <a16:creationId xmlns:a16="http://schemas.microsoft.com/office/drawing/2014/main" id="{2701DDBF-9428-485D-BB7A-DBA5FD5EB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69206" y="1891072"/>
          <a:ext cx="284825" cy="292763"/>
        </a:xfrm>
        <a:prstGeom prst="rect">
          <a:avLst/>
        </a:prstGeom>
      </xdr:spPr>
    </xdr:pic>
    <xdr:clientData/>
  </xdr:twoCellAnchor>
  <xdr:twoCellAnchor>
    <xdr:from>
      <xdr:col>10</xdr:col>
      <xdr:colOff>53711</xdr:colOff>
      <xdr:row>13</xdr:row>
      <xdr:rowOff>70184</xdr:rowOff>
    </xdr:from>
    <xdr:to>
      <xdr:col>16</xdr:col>
      <xdr:colOff>155925</xdr:colOff>
      <xdr:row>20</xdr:row>
      <xdr:rowOff>120315</xdr:rowOff>
    </xdr:to>
    <xdr:graphicFrame macro="">
      <xdr:nvGraphicFramePr>
        <xdr:cNvPr id="34" name="CGrAchatQ">
          <a:extLst>
            <a:ext uri="{FF2B5EF4-FFF2-40B4-BE49-F238E27FC236}">
              <a16:creationId xmlns:a16="http://schemas.microsoft.com/office/drawing/2014/main" id="{9ED10ADF-D2C1-4204-AEA9-D0A9BE73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89521</xdr:colOff>
      <xdr:row>13</xdr:row>
      <xdr:rowOff>60158</xdr:rowOff>
    </xdr:from>
    <xdr:to>
      <xdr:col>22</xdr:col>
      <xdr:colOff>191735</xdr:colOff>
      <xdr:row>20</xdr:row>
      <xdr:rowOff>117244</xdr:rowOff>
    </xdr:to>
    <xdr:graphicFrame macro="">
      <xdr:nvGraphicFramePr>
        <xdr:cNvPr id="36" name="CGrAchatV">
          <a:extLst>
            <a:ext uri="{FF2B5EF4-FFF2-40B4-BE49-F238E27FC236}">
              <a16:creationId xmlns:a16="http://schemas.microsoft.com/office/drawing/2014/main" id="{BC4EB8A2-C7F3-49FB-B250-2671CEE254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185208</xdr:colOff>
      <xdr:row>13</xdr:row>
      <xdr:rowOff>145522</xdr:rowOff>
    </xdr:from>
    <xdr:to>
      <xdr:col>28</xdr:col>
      <xdr:colOff>185209</xdr:colOff>
      <xdr:row>19</xdr:row>
      <xdr:rowOff>158752</xdr:rowOff>
    </xdr:to>
    <xdr:graphicFrame macro="">
      <xdr:nvGraphicFramePr>
        <xdr:cNvPr id="40" name="Graphique 39">
          <a:extLst>
            <a:ext uri="{FF2B5EF4-FFF2-40B4-BE49-F238E27FC236}">
              <a16:creationId xmlns:a16="http://schemas.microsoft.com/office/drawing/2014/main" id="{E83EEC52-DE39-496F-AAAE-22F2667FFC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66146</xdr:colOff>
      <xdr:row>13</xdr:row>
      <xdr:rowOff>154002</xdr:rowOff>
    </xdr:from>
    <xdr:to>
      <xdr:col>35</xdr:col>
      <xdr:colOff>69146</xdr:colOff>
      <xdr:row>19</xdr:row>
      <xdr:rowOff>158752</xdr:rowOff>
    </xdr:to>
    <xdr:graphicFrame macro="">
      <xdr:nvGraphicFramePr>
        <xdr:cNvPr id="41" name="Graphique 40">
          <a:extLst>
            <a:ext uri="{FF2B5EF4-FFF2-40B4-BE49-F238E27FC236}">
              <a16:creationId xmlns:a16="http://schemas.microsoft.com/office/drawing/2014/main" id="{565A2358-D9B3-4E06-9851-670B51FAF1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171977</xdr:colOff>
      <xdr:row>13</xdr:row>
      <xdr:rowOff>154002</xdr:rowOff>
    </xdr:from>
    <xdr:to>
      <xdr:col>41</xdr:col>
      <xdr:colOff>142577</xdr:colOff>
      <xdr:row>19</xdr:row>
      <xdr:rowOff>165952</xdr:rowOff>
    </xdr:to>
    <xdr:graphicFrame macro="">
      <xdr:nvGraphicFramePr>
        <xdr:cNvPr id="42" name="Graphique 41">
          <a:extLst>
            <a:ext uri="{FF2B5EF4-FFF2-40B4-BE49-F238E27FC236}">
              <a16:creationId xmlns:a16="http://schemas.microsoft.com/office/drawing/2014/main" id="{EF6FE934-E657-4A24-800C-CC0E732B54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41</xdr:col>
      <xdr:colOff>204108</xdr:colOff>
      <xdr:row>13</xdr:row>
      <xdr:rowOff>149679</xdr:rowOff>
    </xdr:from>
    <xdr:to>
      <xdr:col>47</xdr:col>
      <xdr:colOff>173122</xdr:colOff>
      <xdr:row>19</xdr:row>
      <xdr:rowOff>162279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7B1B8C8E-EA07-40A5-961F-FD7837AF9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145974</xdr:colOff>
      <xdr:row>21</xdr:row>
      <xdr:rowOff>83555</xdr:rowOff>
    </xdr:from>
    <xdr:to>
      <xdr:col>22</xdr:col>
      <xdr:colOff>134402</xdr:colOff>
      <xdr:row>32</xdr:row>
      <xdr:rowOff>182258</xdr:rowOff>
    </xdr:to>
    <xdr:graphicFrame macro="">
      <xdr:nvGraphicFramePr>
        <xdr:cNvPr id="44" name="Graphique 43">
          <a:extLst>
            <a:ext uri="{FF2B5EF4-FFF2-40B4-BE49-F238E27FC236}">
              <a16:creationId xmlns:a16="http://schemas.microsoft.com/office/drawing/2014/main" id="{93D87869-D206-48BD-94D7-04BB3BCE54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23</xdr:col>
      <xdr:colOff>0</xdr:colOff>
      <xdr:row>21</xdr:row>
      <xdr:rowOff>83555</xdr:rowOff>
    </xdr:from>
    <xdr:to>
      <xdr:col>35</xdr:col>
      <xdr:colOff>53690</xdr:colOff>
      <xdr:row>32</xdr:row>
      <xdr:rowOff>178111</xdr:rowOff>
    </xdr:to>
    <xdr:graphicFrame macro="">
      <xdr:nvGraphicFramePr>
        <xdr:cNvPr id="48" name="Graphique 47">
          <a:extLst>
            <a:ext uri="{FF2B5EF4-FFF2-40B4-BE49-F238E27FC236}">
              <a16:creationId xmlns:a16="http://schemas.microsoft.com/office/drawing/2014/main" id="{9495CE9C-3709-40FD-8023-6F6D559517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35</xdr:col>
      <xdr:colOff>173989</xdr:colOff>
      <xdr:row>21</xdr:row>
      <xdr:rowOff>83555</xdr:rowOff>
    </xdr:from>
    <xdr:to>
      <xdr:col>47</xdr:col>
      <xdr:colOff>281541</xdr:colOff>
      <xdr:row>32</xdr:row>
      <xdr:rowOff>184490</xdr:rowOff>
    </xdr:to>
    <xdr:graphicFrame macro="">
      <xdr:nvGraphicFramePr>
        <xdr:cNvPr id="38" name="Graphique 37">
          <a:extLst>
            <a:ext uri="{FF2B5EF4-FFF2-40B4-BE49-F238E27FC236}">
              <a16:creationId xmlns:a16="http://schemas.microsoft.com/office/drawing/2014/main" id="{BD298457-8DCC-4FA0-A44D-1C073B72B4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63856</xdr:colOff>
      <xdr:row>20</xdr:row>
      <xdr:rowOff>183262</xdr:rowOff>
    </xdr:from>
    <xdr:to>
      <xdr:col>18</xdr:col>
      <xdr:colOff>0</xdr:colOff>
      <xdr:row>22</xdr:row>
      <xdr:rowOff>107829</xdr:rowOff>
    </xdr:to>
    <xdr:sp macro="" textlink="">
      <xdr:nvSpPr>
        <xdr:cNvPr id="58" name="ZoneTexte 57">
          <a:extLst>
            <a:ext uri="{FF2B5EF4-FFF2-40B4-BE49-F238E27FC236}">
              <a16:creationId xmlns:a16="http://schemas.microsoft.com/office/drawing/2014/main" id="{E0618431-4541-4266-9E4B-61DDFAEAB277}"/>
            </a:ext>
          </a:extLst>
        </xdr:cNvPr>
        <xdr:cNvSpPr txBox="1"/>
      </xdr:nvSpPr>
      <xdr:spPr>
        <a:xfrm>
          <a:off x="3029186" y="3858474"/>
          <a:ext cx="2452182" cy="301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r>
            <a:rPr lang="fr-FR" sz="1000" b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rPr>
            <a:t>Quantité de micas bruts achetés par mois</a:t>
          </a:r>
        </a:p>
      </xdr:txBody>
    </xdr:sp>
    <xdr:clientData/>
  </xdr:twoCellAnchor>
  <xdr:twoCellAnchor>
    <xdr:from>
      <xdr:col>22</xdr:col>
      <xdr:colOff>248478</xdr:colOff>
      <xdr:row>20</xdr:row>
      <xdr:rowOff>182255</xdr:rowOff>
    </xdr:from>
    <xdr:to>
      <xdr:col>33</xdr:col>
      <xdr:colOff>205328</xdr:colOff>
      <xdr:row>22</xdr:row>
      <xdr:rowOff>106822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C62B8154-7B99-4045-956B-F75E3C5028EC}"/>
            </a:ext>
          </a:extLst>
        </xdr:cNvPr>
        <xdr:cNvSpPr txBox="1"/>
      </xdr:nvSpPr>
      <xdr:spPr>
        <a:xfrm>
          <a:off x="6987865" y="3857467"/>
          <a:ext cx="3416402" cy="301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r>
            <a:rPr lang="fr-FR" sz="1000" b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rPr>
            <a:t>Quantité de micas coupés produits par mois</a:t>
          </a:r>
        </a:p>
      </xdr:txBody>
    </xdr:sp>
    <xdr:clientData/>
  </xdr:twoCellAnchor>
  <xdr:twoCellAnchor>
    <xdr:from>
      <xdr:col>35</xdr:col>
      <xdr:colOff>144948</xdr:colOff>
      <xdr:row>20</xdr:row>
      <xdr:rowOff>182255</xdr:rowOff>
    </xdr:from>
    <xdr:to>
      <xdr:col>46</xdr:col>
      <xdr:colOff>101798</xdr:colOff>
      <xdr:row>22</xdr:row>
      <xdr:rowOff>106822</xdr:rowOff>
    </xdr:to>
    <xdr:sp macro="" textlink="">
      <xdr:nvSpPr>
        <xdr:cNvPr id="60" name="ZoneTexte 59">
          <a:extLst>
            <a:ext uri="{FF2B5EF4-FFF2-40B4-BE49-F238E27FC236}">
              <a16:creationId xmlns:a16="http://schemas.microsoft.com/office/drawing/2014/main" id="{66FECC46-5C88-467D-BE7F-EF045D5E6331}"/>
            </a:ext>
          </a:extLst>
        </xdr:cNvPr>
        <xdr:cNvSpPr txBox="1"/>
      </xdr:nvSpPr>
      <xdr:spPr>
        <a:xfrm>
          <a:off x="10972896" y="3857467"/>
          <a:ext cx="3416402" cy="301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r>
            <a:rPr lang="fr-FR" sz="1000" b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rPr>
            <a:t>Quantité de micas coupés vendus par mois</a:t>
          </a:r>
        </a:p>
      </xdr:txBody>
    </xdr:sp>
    <xdr:clientData/>
  </xdr:twoCellAnchor>
  <xdr:twoCellAnchor>
    <xdr:from>
      <xdr:col>10</xdr:col>
      <xdr:colOff>34499</xdr:colOff>
      <xdr:row>33</xdr:row>
      <xdr:rowOff>46350</xdr:rowOff>
    </xdr:from>
    <xdr:to>
      <xdr:col>22</xdr:col>
      <xdr:colOff>191699</xdr:colOff>
      <xdr:row>45</xdr:row>
      <xdr:rowOff>98090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459DAF5A-D98E-48A9-A456-EDB69DC6F028}"/>
            </a:ext>
          </a:extLst>
        </xdr:cNvPr>
        <xdr:cNvSpPr/>
      </xdr:nvSpPr>
      <xdr:spPr>
        <a:xfrm>
          <a:off x="2999673" y="6084372"/>
          <a:ext cx="3934069" cy="2337740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40967</xdr:colOff>
      <xdr:row>33</xdr:row>
      <xdr:rowOff>66873</xdr:rowOff>
    </xdr:from>
    <xdr:to>
      <xdr:col>22</xdr:col>
      <xdr:colOff>233796</xdr:colOff>
      <xdr:row>34</xdr:row>
      <xdr:rowOff>177228</xdr:rowOff>
    </xdr:to>
    <xdr:sp macro="" textlink="">
      <xdr:nvSpPr>
        <xdr:cNvPr id="61" name="ZoneTexte 60">
          <a:extLst>
            <a:ext uri="{FF2B5EF4-FFF2-40B4-BE49-F238E27FC236}">
              <a16:creationId xmlns:a16="http://schemas.microsoft.com/office/drawing/2014/main" id="{48765BD2-0E49-4A85-9DF1-BCBF22061FEB}"/>
            </a:ext>
          </a:extLst>
        </xdr:cNvPr>
        <xdr:cNvSpPr txBox="1"/>
      </xdr:nvSpPr>
      <xdr:spPr>
        <a:xfrm>
          <a:off x="3030759" y="6363956"/>
          <a:ext cx="4002829" cy="3043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000" b="0">
              <a:solidFill>
                <a:sysClr val="windowText" lastClr="000000"/>
              </a:solidFill>
              <a:latin typeface="Arial Narrow" panose="020B0606020202030204" pitchFamily="34" charset="0"/>
            </a:rPr>
            <a:t>Valeur des micas bruts</a:t>
          </a:r>
          <a:r>
            <a:rPr lang="fr-FR" sz="1000" b="0" baseline="0">
              <a:solidFill>
                <a:sysClr val="windowText" lastClr="000000"/>
              </a:solidFill>
              <a:latin typeface="Arial Narrow" panose="020B0606020202030204" pitchFamily="34" charset="0"/>
            </a:rPr>
            <a:t> achetés par mois (en millions MGA)</a:t>
          </a:r>
          <a:endParaRPr lang="fr-FR" sz="1000" b="0">
            <a:solidFill>
              <a:sysClr val="windowText" lastClr="00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10</xdr:col>
      <xdr:colOff>115452</xdr:colOff>
      <xdr:row>34</xdr:row>
      <xdr:rowOff>58142</xdr:rowOff>
    </xdr:from>
    <xdr:to>
      <xdr:col>22</xdr:col>
      <xdr:colOff>157189</xdr:colOff>
      <xdr:row>45</xdr:row>
      <xdr:rowOff>114656</xdr:rowOff>
    </xdr:to>
    <xdr:graphicFrame macro="">
      <xdr:nvGraphicFramePr>
        <xdr:cNvPr id="62" name="Graphique 61">
          <a:extLst>
            <a:ext uri="{FF2B5EF4-FFF2-40B4-BE49-F238E27FC236}">
              <a16:creationId xmlns:a16="http://schemas.microsoft.com/office/drawing/2014/main" id="{37EE6856-A18B-4DF2-91D5-7F2A44D62F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22</xdr:col>
      <xdr:colOff>233797</xdr:colOff>
      <xdr:row>33</xdr:row>
      <xdr:rowOff>46350</xdr:rowOff>
    </xdr:from>
    <xdr:to>
      <xdr:col>35</xdr:col>
      <xdr:colOff>103498</xdr:colOff>
      <xdr:row>45</xdr:row>
      <xdr:rowOff>98090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31288EBE-661D-4E38-9AB8-7DE476F0D755}"/>
            </a:ext>
          </a:extLst>
        </xdr:cNvPr>
        <xdr:cNvSpPr/>
      </xdr:nvSpPr>
      <xdr:spPr>
        <a:xfrm>
          <a:off x="6975840" y="6084372"/>
          <a:ext cx="3961310" cy="2337740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23</xdr:col>
      <xdr:colOff>8656</xdr:colOff>
      <xdr:row>34</xdr:row>
      <xdr:rowOff>58142</xdr:rowOff>
    </xdr:from>
    <xdr:to>
      <xdr:col>35</xdr:col>
      <xdr:colOff>69145</xdr:colOff>
      <xdr:row>45</xdr:row>
      <xdr:rowOff>108241</xdr:rowOff>
    </xdr:to>
    <xdr:graphicFrame macro="">
      <xdr:nvGraphicFramePr>
        <xdr:cNvPr id="64" name="Graphique 63">
          <a:extLst>
            <a:ext uri="{FF2B5EF4-FFF2-40B4-BE49-F238E27FC236}">
              <a16:creationId xmlns:a16="http://schemas.microsoft.com/office/drawing/2014/main" id="{F9A31690-98C7-4172-9C84-51D4B4465E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22</xdr:col>
      <xdr:colOff>268433</xdr:colOff>
      <xdr:row>33</xdr:row>
      <xdr:rowOff>45278</xdr:rowOff>
    </xdr:from>
    <xdr:to>
      <xdr:col>33</xdr:col>
      <xdr:colOff>0</xdr:colOff>
      <xdr:row>34</xdr:row>
      <xdr:rowOff>155633</xdr:rowOff>
    </xdr:to>
    <xdr:sp macro="" textlink="">
      <xdr:nvSpPr>
        <xdr:cNvPr id="65" name="ZoneTexte 64">
          <a:extLst>
            <a:ext uri="{FF2B5EF4-FFF2-40B4-BE49-F238E27FC236}">
              <a16:creationId xmlns:a16="http://schemas.microsoft.com/office/drawing/2014/main" id="{BE38E9F5-8044-4793-A604-04C2D426FF41}"/>
            </a:ext>
          </a:extLst>
        </xdr:cNvPr>
        <xdr:cNvSpPr txBox="1"/>
      </xdr:nvSpPr>
      <xdr:spPr>
        <a:xfrm>
          <a:off x="7068225" y="6342361"/>
          <a:ext cx="3224067" cy="3043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000" b="0">
              <a:solidFill>
                <a:sysClr val="windowText" lastClr="000000"/>
              </a:solidFill>
              <a:latin typeface="Arial Narrow" panose="020B0606020202030204" pitchFamily="34" charset="0"/>
            </a:rPr>
            <a:t>Valeur des micas coupés</a:t>
          </a:r>
          <a:r>
            <a:rPr lang="fr-FR" sz="1000" b="0" baseline="0">
              <a:solidFill>
                <a:sysClr val="windowText" lastClr="000000"/>
              </a:solidFill>
              <a:latin typeface="Arial Narrow" panose="020B0606020202030204" pitchFamily="34" charset="0"/>
            </a:rPr>
            <a:t> produits par mois (en millions MGA)</a:t>
          </a:r>
          <a:endParaRPr lang="fr-FR" sz="1000" b="0">
            <a:solidFill>
              <a:sysClr val="windowText" lastClr="00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35</xdr:col>
      <xdr:colOff>173989</xdr:colOff>
      <xdr:row>34</xdr:row>
      <xdr:rowOff>58143</xdr:rowOff>
    </xdr:from>
    <xdr:to>
      <xdr:col>47</xdr:col>
      <xdr:colOff>298093</xdr:colOff>
      <xdr:row>45</xdr:row>
      <xdr:rowOff>108241</xdr:rowOff>
    </xdr:to>
    <xdr:graphicFrame macro="">
      <xdr:nvGraphicFramePr>
        <xdr:cNvPr id="66" name="Graphique 65">
          <a:extLst>
            <a:ext uri="{FF2B5EF4-FFF2-40B4-BE49-F238E27FC236}">
              <a16:creationId xmlns:a16="http://schemas.microsoft.com/office/drawing/2014/main" id="{D1ECCF14-3324-427A-B2BC-95FD109C06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35</xdr:col>
      <xdr:colOff>274204</xdr:colOff>
      <xdr:row>33</xdr:row>
      <xdr:rowOff>45278</xdr:rowOff>
    </xdr:from>
    <xdr:to>
      <xdr:col>48</xdr:col>
      <xdr:colOff>155305</xdr:colOff>
      <xdr:row>34</xdr:row>
      <xdr:rowOff>149218</xdr:rowOff>
    </xdr:to>
    <xdr:sp macro="" textlink="">
      <xdr:nvSpPr>
        <xdr:cNvPr id="73" name="ZoneTexte 72">
          <a:extLst>
            <a:ext uri="{FF2B5EF4-FFF2-40B4-BE49-F238E27FC236}">
              <a16:creationId xmlns:a16="http://schemas.microsoft.com/office/drawing/2014/main" id="{5A5D176C-2FDA-4F27-84B6-F990757D108A}"/>
            </a:ext>
          </a:extLst>
        </xdr:cNvPr>
        <xdr:cNvSpPr txBox="1"/>
      </xdr:nvSpPr>
      <xdr:spPr>
        <a:xfrm>
          <a:off x="11201496" y="6342361"/>
          <a:ext cx="4008601" cy="297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000" b="0">
              <a:solidFill>
                <a:sysClr val="windowText" lastClr="000000"/>
              </a:solidFill>
              <a:latin typeface="Arial Narrow" panose="020B0606020202030204" pitchFamily="34" charset="0"/>
            </a:rPr>
            <a:t>Valeur des micas coupés</a:t>
          </a:r>
          <a:r>
            <a:rPr lang="fr-FR" sz="1000" b="0" baseline="0">
              <a:solidFill>
                <a:sysClr val="windowText" lastClr="000000"/>
              </a:solidFill>
              <a:latin typeface="Arial Narrow" panose="020B0606020202030204" pitchFamily="34" charset="0"/>
            </a:rPr>
            <a:t> vendus par mois (en millions MGA)</a:t>
          </a:r>
          <a:endParaRPr lang="fr-FR" sz="1000" b="0">
            <a:solidFill>
              <a:sysClr val="windowText" lastClr="000000"/>
            </a:solidFill>
            <a:latin typeface="Arial Narrow" panose="020B060602020203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871627</xdr:colOff>
      <xdr:row>67</xdr:row>
      <xdr:rowOff>53915</xdr:rowOff>
    </xdr:from>
    <xdr:to>
      <xdr:col>1</xdr:col>
      <xdr:colOff>2884457</xdr:colOff>
      <xdr:row>69</xdr:row>
      <xdr:rowOff>89859</xdr:rowOff>
    </xdr:to>
    <xdr:sp macro="[0]!Macro3" textlink="">
      <xdr:nvSpPr>
        <xdr:cNvPr id="2" name="Rectangle 1">
          <a:extLst>
            <a:ext uri="{FF2B5EF4-FFF2-40B4-BE49-F238E27FC236}">
              <a16:creationId xmlns:a16="http://schemas.microsoft.com/office/drawing/2014/main" id="{45EF2CC2-F7CA-4A5B-A895-056E4DC1840C}"/>
            </a:ext>
          </a:extLst>
        </xdr:cNvPr>
        <xdr:cNvSpPr/>
      </xdr:nvSpPr>
      <xdr:spPr>
        <a:xfrm>
          <a:off x="1015401" y="11609717"/>
          <a:ext cx="2012830" cy="37740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Mise à jour seuil de rentabilité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5411.646868055555" backgroundQuery="1" createdVersion="7" refreshedVersion="7" minRefreshableVersion="3" recordCount="0" supportSubquery="1" supportAdvancedDrill="1" xr:uid="{B38EB459-36CB-447A-8F7E-A6EA5D4FA4FB}">
  <cacheSource type="external" connectionId="1"/>
  <cacheFields count="3">
    <cacheField name="[TProd].[Type].[Type]" caption="Type" numFmtId="0" hierarchy="16" level="1">
      <sharedItems count="3">
        <s v="ABR COUPE"/>
        <s v="FP1 COUPE"/>
        <s v="TRA COUPE"/>
      </sharedItems>
    </cacheField>
    <cacheField name="[Measures].[Somme de Quantité]" caption="Somme de Quantité" numFmtId="0" hierarchy="44" level="32767"/>
    <cacheField name="[TDate].[Date].[Date]" caption="Date" numFmtId="0" hierarchy="12" level="1">
      <sharedItems containsSemiMixedTypes="0" containsNonDate="0" containsString="0"/>
    </cacheField>
  </cacheFields>
  <cacheHierarchies count="47">
    <cacheHierarchy uniqueName="[Tableau10].[Réf]" caption="Réf" attribute="1" defaultMemberUniqueName="[Tableau10].[Réf].[All]" allUniqueName="[Tableau10].[Réf].[All]" dimensionUniqueName="[Tableau10]" displayFolder="" count="0" memberValueDatatype="130" unbalanced="0"/>
    <cacheHierarchy uniqueName="[TAchats].[Date]" caption="Date" attribute="1" defaultMemberUniqueName="[TAchats].[Date].[All]" allUniqueName="[TAchats].[Date].[All]" dimensionUniqueName="[TAchats]" displayFolder="" count="0" memberValueDatatype="130" unbalanced="0"/>
    <cacheHierarchy uniqueName="[TAchats].[Réf]" caption="Réf" attribute="1" defaultMemberUniqueName="[TAchats].[Réf].[All]" allUniqueName="[TAchats].[Réf].[All]" dimensionUniqueName="[TAchats]" displayFolder="" count="0" memberValueDatatype="130" unbalanced="0"/>
    <cacheHierarchy uniqueName="[TAchats].[Type]" caption="Type" attribute="1" defaultMemberUniqueName="[TAchats].[Type].[All]" allUniqueName="[TAchats].[Type].[All]" dimensionUniqueName="[TAchats]" displayFolder="" count="0" memberValueDatatype="130" unbalanced="0"/>
    <cacheHierarchy uniqueName="[TAchats].[Lieux]" caption="Lieux" attribute="1" defaultMemberUniqueName="[TAchats].[Lieux].[All]" allUniqueName="[TAchats].[Lieux].[All]" dimensionUniqueName="[TAchats]" displayFolder="" count="0" memberValueDatatype="130" unbalanced="0"/>
    <cacheHierarchy uniqueName="[TAchats].[Qté]" caption="Qté" attribute="1" defaultMemberUniqueName="[TAchats].[Qté].[All]" allUniqueName="[TAchats].[Qté].[All]" dimensionUniqueName="[TAchats]" displayFolder="" count="0" memberValueDatatype="5" unbalanced="0"/>
    <cacheHierarchy uniqueName="[TAchats].[PU]" caption="PU" attribute="1" defaultMemberUniqueName="[TAchats].[PU].[All]" allUniqueName="[TAchats].[PU].[All]" dimensionUniqueName="[TAchats]" displayFolder="" count="0" memberValueDatatype="20" unbalanced="0"/>
    <cacheHierarchy uniqueName="[TAchats].[Valeur]" caption="Valeur" attribute="1" defaultMemberUniqueName="[TAchats].[Valeur].[All]" allUniqueName="[TAchats].[Valeur].[All]" dimensionUniqueName="[TAchats]" displayFolder="" count="0" memberValueDatatype="5" unbalanced="0"/>
    <cacheHierarchy uniqueName="[TAchats].[Transp U]" caption="Transp U" attribute="1" defaultMemberUniqueName="[TAchats].[Transp U].[All]" allUniqueName="[TAchats].[Transp U].[All]" dimensionUniqueName="[TAchats]" displayFolder="" count="0" memberValueDatatype="20" unbalanced="0"/>
    <cacheHierarchy uniqueName="[TAchats].[Transport]" caption="Transport" attribute="1" defaultMemberUniqueName="[TAchats].[Transport].[All]" allUniqueName="[TAchats].[Transport].[All]" dimensionUniqueName="[TAchats]" displayFolder="" count="0" memberValueDatatype="20" unbalanced="0"/>
    <cacheHierarchy uniqueName="[TAchats].[Cout d'achat]" caption="Cout d'achat" attribute="1" defaultMemberUniqueName="[TAchats].[Cout d'achat].[All]" allUniqueName="[TAchats].[Cout d'achat].[All]" dimensionUniqueName="[TAchats]" displayFolder="" count="0" memberValueDatatype="5" unbalanced="0"/>
    <cacheHierarchy uniqueName="[TAchats].[CA U]" caption="CA U" attribute="1" defaultMemberUniqueName="[TAchats].[CA U].[All]" allUniqueName="[TAchats].[CA U].[All]" dimensionUniqueName="[TAchats]" displayFolder="" count="0" memberValueDatatype="130" unbalanced="0"/>
    <cacheHierarchy uniqueName="[TDate].[Date]" caption="Date" attribute="1" defaultMemberUniqueName="[TDate].[Date].[All]" allUniqueName="[TDate].[Date].[All]" dimensionUniqueName="[TDate]" displayFolder="" count="2" memberValueDatatype="130" unbalanced="0">
      <fieldsUsage count="2">
        <fieldUsage x="-1"/>
        <fieldUsage x="2"/>
      </fieldsUsage>
    </cacheHierarchy>
    <cacheHierarchy uniqueName="[TLieuxAppro].[Lieux]" caption="Lieux" attribute="1" defaultMemberUniqueName="[TLieuxAppro].[Lieux].[All]" allUniqueName="[TLieuxAppro].[Lieux].[All]" dimensionUniqueName="[TLieuxAppro]" displayFolder="" count="0" memberValueDatatype="130" unbalanced="0"/>
    <cacheHierarchy uniqueName="[TProd].[Date]" caption="Date" attribute="1" defaultMemberUniqueName="[TProd].[Date].[All]" allUniqueName="[TProd].[Date].[All]" dimensionUniqueName="[TProd]" displayFolder="" count="0" memberValueDatatype="130" unbalanced="0"/>
    <cacheHierarchy uniqueName="[TProd].[Réf]" caption="Réf" attribute="1" defaultMemberUniqueName="[TProd].[Réf].[All]" allUniqueName="[TProd].[Réf].[All]" dimensionUniqueName="[TProd]" displayFolder="" count="0" memberValueDatatype="130" unbalanced="0"/>
    <cacheHierarchy uniqueName="[TProd].[Type]" caption="Type" attribute="1" defaultMemberUniqueName="[TProd].[Type].[All]" allUniqueName="[TProd].[Type].[All]" dimensionUniqueName="[TProd]" displayFolder="" count="2" memberValueDatatype="130" unbalanced="0">
      <fieldsUsage count="2">
        <fieldUsage x="-1"/>
        <fieldUsage x="0"/>
      </fieldsUsage>
    </cacheHierarchy>
    <cacheHierarchy uniqueName="[TProd].[Quantité]" caption="Quantité" attribute="1" defaultMemberUniqueName="[TProd].[Quantité].[All]" allUniqueName="[TProd].[Quantité].[All]" dimensionUniqueName="[TProd]" displayFolder="" count="0" memberValueDatatype="20" unbalanced="0"/>
    <cacheHierarchy uniqueName="[TProd].[PU]" caption="PU" attribute="1" defaultMemberUniqueName="[TProd].[PU].[All]" allUniqueName="[TProd].[PU].[All]" dimensionUniqueName="[TProd]" displayFolder="" count="0" memberValueDatatype="5" unbalanced="0"/>
    <cacheHierarchy uniqueName="[TProd].[Productions]" caption="Productions" attribute="1" defaultMemberUniqueName="[TProd].[Productions].[All]" allUniqueName="[TProd].[Productions].[All]" dimensionUniqueName="[TProd]" displayFolder="" count="0" memberValueDatatype="5" unbalanced="0"/>
    <cacheHierarchy uniqueName="[TTypes].[Types]" caption="Types" attribute="1" defaultMemberUniqueName="[TTypes].[Types].[All]" allUniqueName="[TTypes].[Types].[All]" dimensionUniqueName="[TTypes]" displayFolder="" count="0" memberValueDatatype="130" unbalanced="0"/>
    <cacheHierarchy uniqueName="[TVentes].[Réf]" caption="Réf" attribute="1" defaultMemberUniqueName="[TVentes].[Réf].[All]" allUniqueName="[TVentes].[Réf].[All]" dimensionUniqueName="[TVentes]" displayFolder="" count="0" memberValueDatatype="130" unbalanced="0"/>
    <cacheHierarchy uniqueName="[TVentes].[Types]" caption="Types" attribute="1" defaultMemberUniqueName="[TVentes].[Types].[All]" allUniqueName="[TVentes].[Types].[All]" dimensionUniqueName="[TVentes]" displayFolder="" count="0" memberValueDatatype="130" unbalanced="0"/>
    <cacheHierarchy uniqueName="[TVentes].[Date]" caption="Date" attribute="1" defaultMemberUniqueName="[TVentes].[Date].[All]" allUniqueName="[TVentes].[Date].[All]" dimensionUniqueName="[TVentes]" displayFolder="" count="0" memberValueDatatype="130" unbalanced="0"/>
    <cacheHierarchy uniqueName="[TVentes].[Client]" caption="Client" attribute="1" defaultMemberUniqueName="[TVentes].[Client].[All]" allUniqueName="[TVentes].[Client].[All]" dimensionUniqueName="[TVentes]" displayFolder="" count="0" memberValueDatatype="130" unbalanced="0"/>
    <cacheHierarchy uniqueName="[TVentes].[Pays]" caption="Pays" attribute="1" defaultMemberUniqueName="[TVentes].[Pays].[All]" allUniqueName="[TVentes].[Pays].[All]" dimensionUniqueName="[TVentes]" displayFolder="" count="0" memberValueDatatype="130" unbalanced="0"/>
    <cacheHierarchy uniqueName="[TVentes].[Qté]" caption="Qté" attribute="1" defaultMemberUniqueName="[TVentes].[Qté].[All]" allUniqueName="[TVentes].[Qté].[All]" dimensionUniqueName="[TVentes]" displayFolder="" count="0" memberValueDatatype="20" unbalanced="0"/>
    <cacheHierarchy uniqueName="[TVentes].[PU]" caption="PU" attribute="1" defaultMemberUniqueName="[TVentes].[PU].[All]" allUniqueName="[TVentes].[PU].[All]" dimensionUniqueName="[TVentes]" displayFolder="" count="0" memberValueDatatype="20" unbalanced="0"/>
    <cacheHierarchy uniqueName="[TVentes].[MGA]" caption="MGA" attribute="1" defaultMemberUniqueName="[TVentes].[MGA].[All]" allUniqueName="[TVentes].[MGA].[All]" dimensionUniqueName="[TVentes]" displayFolder="" count="0" memberValueDatatype="5" unbalanced="0"/>
    <cacheHierarchy uniqueName="[TVentes].[USD]" caption="USD" attribute="1" defaultMemberUniqueName="[TVentes].[USD].[All]" allUniqueName="[TVentes].[USD].[All]" dimensionUniqueName="[TVentes]" displayFolder="" count="0" memberValueDatatype="5" unbalanced="0"/>
    <cacheHierarchy uniqueName="[TVentes].[EUR]" caption="EUR" attribute="1" defaultMemberUniqueName="[TVentes].[EUR].[All]" allUniqueName="[TVentes].[EUR].[All]" dimensionUniqueName="[TVentes]" displayFolder="" count="0" memberValueDatatype="5" unbalanced="0"/>
    <cacheHierarchy uniqueName="[Measures].[__XL_Count TAchats]" caption="__XL_Count TAchats" measure="1" displayFolder="" measureGroup="TAchats" count="0" hidden="1"/>
    <cacheHierarchy uniqueName="[Measures].[__XL_Count TLieuxAppro]" caption="__XL_Count TLieuxAppro" measure="1" displayFolder="" measureGroup="TLieuxAppro" count="0" hidden="1"/>
    <cacheHierarchy uniqueName="[Measures].[__XL_Count TProd]" caption="__XL_Count TProd" measure="1" displayFolder="" measureGroup="TProd" count="0" hidden="1"/>
    <cacheHierarchy uniqueName="[Measures].[__XL_Count TTypes]" caption="__XL_Count TTypes" measure="1" displayFolder="" measureGroup="TTypes" count="0" hidden="1"/>
    <cacheHierarchy uniqueName="[Measures].[__XL_Count TDate]" caption="__XL_Count TDate" measure="1" displayFolder="" measureGroup="TDate" count="0" hidden="1"/>
    <cacheHierarchy uniqueName="[Measures].[__XL_Count TVentes]" caption="__XL_Count TVentes" measure="1" displayFolder="" measureGroup="TVentes" count="0" hidden="1"/>
    <cacheHierarchy uniqueName="[Measures].[__XL_Count Tableau10]" caption="__XL_Count Tableau10" measure="1" displayFolder="" measureGroup="Tableau10" count="0" hidden="1"/>
    <cacheHierarchy uniqueName="[Measures].[__No measures defined]" caption="__No measures defined" measure="1" displayFolder="" count="0" hidden="1"/>
    <cacheHierarchy uniqueName="[Measures].[Somme de Valeur]" caption="Somme de Valeur" measure="1" displayFolder="" measureGroup="TAchat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Qté]" caption="Somme de Qté" measure="1" displayFolder="" measureGroup="TAchat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omme de Cout d'achat]" caption="Somme de Cout d'achat" measure="1" displayFolder="" measureGroup="T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té 2]" caption="Somme de Qté 2" measure="1" displayFolder="" measureGroup="TVent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omme de MGA]" caption="Somme de MGA" measure="1" displayFolder="" measureGroup="TVent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me de Quantité]" caption="Somme de Quantité" measure="1" displayFolder="" measureGroup="TPro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Nombre de Type]" caption="Nombre de Type" measure="1" displayFolder="" measureGroup="TAchat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Nombre de Qté]" caption="Nombre de Qté" measure="1" displayFolder="" measureGroup="TAchat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8">
    <dimension measure="1" name="Measures" uniqueName="[Measures]" caption="Measures"/>
    <dimension name="Tableau10" uniqueName="[Tableau10]" caption="Tableau10"/>
    <dimension name="TAchats" uniqueName="[TAchats]" caption="TAchats"/>
    <dimension name="TDate" uniqueName="[TDate]" caption="TDate"/>
    <dimension name="TLieuxAppro" uniqueName="[TLieuxAppro]" caption="TLieuxAppro"/>
    <dimension name="TProd" uniqueName="[TProd]" caption="TProd"/>
    <dimension name="TTypes" uniqueName="[TTypes]" caption="TTypes"/>
    <dimension name="TVentes" uniqueName="[TVentes]" caption="TVentes"/>
  </dimensions>
  <measureGroups count="7">
    <measureGroup name="Tableau10" caption="Tableau10"/>
    <measureGroup name="TAchats" caption="TAchats"/>
    <measureGroup name="TDate" caption="TDate"/>
    <measureGroup name="TLieuxAppro" caption="TLieuxAppro"/>
    <measureGroup name="TProd" caption="TProd"/>
    <measureGroup name="TTypes" caption="TTypes"/>
    <measureGroup name="TVentes" caption="TVentes"/>
  </measureGroups>
  <maps count="10">
    <map measureGroup="0" dimension="1"/>
    <map measureGroup="1" dimension="2"/>
    <map measureGroup="1" dimension="3"/>
    <map measureGroup="2" dimension="3"/>
    <map measureGroup="3" dimension="4"/>
    <map measureGroup="4" dimension="3"/>
    <map measureGroup="4" dimension="5"/>
    <map measureGroup="5" dimension="6"/>
    <map measureGroup="6" dimension="3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5411.646869097225" backgroundQuery="1" createdVersion="7" refreshedVersion="7" minRefreshableVersion="3" recordCount="0" supportSubquery="1" supportAdvancedDrill="1" xr:uid="{50E295EB-504E-43C1-8B6E-551D65ABD7BE}">
  <cacheSource type="external" connectionId="1"/>
  <cacheFields count="3">
    <cacheField name="[TVentes].[Types].[Types]" caption="Types" numFmtId="0" hierarchy="22" level="1">
      <sharedItems count="3">
        <s v="ABR COUPE"/>
        <s v="FP1 COUPE"/>
        <s v="TRA COUPE"/>
      </sharedItems>
    </cacheField>
    <cacheField name="[Measures].[Somme de Qté 2]" caption="Somme de Qté 2" numFmtId="0" hierarchy="42" level="32767"/>
    <cacheField name="[TDate].[Date].[Date]" caption="Date" numFmtId="0" hierarchy="12" level="1">
      <sharedItems containsSemiMixedTypes="0" containsNonDate="0" containsString="0"/>
    </cacheField>
  </cacheFields>
  <cacheHierarchies count="47">
    <cacheHierarchy uniqueName="[Tableau10].[Réf]" caption="Réf" attribute="1" defaultMemberUniqueName="[Tableau10].[Réf].[All]" allUniqueName="[Tableau10].[Réf].[All]" dimensionUniqueName="[Tableau10]" displayFolder="" count="0" memberValueDatatype="130" unbalanced="0"/>
    <cacheHierarchy uniqueName="[TAchats].[Date]" caption="Date" attribute="1" defaultMemberUniqueName="[TAchats].[Date].[All]" allUniqueName="[TAchats].[Date].[All]" dimensionUniqueName="[TAchats]" displayFolder="" count="0" memberValueDatatype="130" unbalanced="0"/>
    <cacheHierarchy uniqueName="[TAchats].[Réf]" caption="Réf" attribute="1" defaultMemberUniqueName="[TAchats].[Réf].[All]" allUniqueName="[TAchats].[Réf].[All]" dimensionUniqueName="[TAchats]" displayFolder="" count="0" memberValueDatatype="130" unbalanced="0"/>
    <cacheHierarchy uniqueName="[TAchats].[Type]" caption="Type" attribute="1" defaultMemberUniqueName="[TAchats].[Type].[All]" allUniqueName="[TAchats].[Type].[All]" dimensionUniqueName="[TAchats]" displayFolder="" count="0" memberValueDatatype="130" unbalanced="0"/>
    <cacheHierarchy uniqueName="[TAchats].[Lieux]" caption="Lieux" attribute="1" defaultMemberUniqueName="[TAchats].[Lieux].[All]" allUniqueName="[TAchats].[Lieux].[All]" dimensionUniqueName="[TAchats]" displayFolder="" count="0" memberValueDatatype="130" unbalanced="0"/>
    <cacheHierarchy uniqueName="[TAchats].[Qté]" caption="Qté" attribute="1" defaultMemberUniqueName="[TAchats].[Qté].[All]" allUniqueName="[TAchats].[Qté].[All]" dimensionUniqueName="[TAchats]" displayFolder="" count="0" memberValueDatatype="5" unbalanced="0"/>
    <cacheHierarchy uniqueName="[TAchats].[PU]" caption="PU" attribute="1" defaultMemberUniqueName="[TAchats].[PU].[All]" allUniqueName="[TAchats].[PU].[All]" dimensionUniqueName="[TAchats]" displayFolder="" count="0" memberValueDatatype="20" unbalanced="0"/>
    <cacheHierarchy uniqueName="[TAchats].[Valeur]" caption="Valeur" attribute="1" defaultMemberUniqueName="[TAchats].[Valeur].[All]" allUniqueName="[TAchats].[Valeur].[All]" dimensionUniqueName="[TAchats]" displayFolder="" count="0" memberValueDatatype="5" unbalanced="0"/>
    <cacheHierarchy uniqueName="[TAchats].[Transp U]" caption="Transp U" attribute="1" defaultMemberUniqueName="[TAchats].[Transp U].[All]" allUniqueName="[TAchats].[Transp U].[All]" dimensionUniqueName="[TAchats]" displayFolder="" count="0" memberValueDatatype="20" unbalanced="0"/>
    <cacheHierarchy uniqueName="[TAchats].[Transport]" caption="Transport" attribute="1" defaultMemberUniqueName="[TAchats].[Transport].[All]" allUniqueName="[TAchats].[Transport].[All]" dimensionUniqueName="[TAchats]" displayFolder="" count="0" memberValueDatatype="20" unbalanced="0"/>
    <cacheHierarchy uniqueName="[TAchats].[Cout d'achat]" caption="Cout d'achat" attribute="1" defaultMemberUniqueName="[TAchats].[Cout d'achat].[All]" allUniqueName="[TAchats].[Cout d'achat].[All]" dimensionUniqueName="[TAchats]" displayFolder="" count="0" memberValueDatatype="5" unbalanced="0"/>
    <cacheHierarchy uniqueName="[TAchats].[CA U]" caption="CA U" attribute="1" defaultMemberUniqueName="[TAchats].[CA U].[All]" allUniqueName="[TAchats].[CA U].[All]" dimensionUniqueName="[TAchats]" displayFolder="" count="0" memberValueDatatype="130" unbalanced="0"/>
    <cacheHierarchy uniqueName="[TDate].[Date]" caption="Date" attribute="1" defaultMemberUniqueName="[TDate].[Date].[All]" allUniqueName="[TDate].[Date].[All]" dimensionUniqueName="[TDate]" displayFolder="" count="2" memberValueDatatype="130" unbalanced="0">
      <fieldsUsage count="2">
        <fieldUsage x="-1"/>
        <fieldUsage x="2"/>
      </fieldsUsage>
    </cacheHierarchy>
    <cacheHierarchy uniqueName="[TLieuxAppro].[Lieux]" caption="Lieux" attribute="1" defaultMemberUniqueName="[TLieuxAppro].[Lieux].[All]" allUniqueName="[TLieuxAppro].[Lieux].[All]" dimensionUniqueName="[TLieuxAppro]" displayFolder="" count="0" memberValueDatatype="130" unbalanced="0"/>
    <cacheHierarchy uniqueName="[TProd].[Date]" caption="Date" attribute="1" defaultMemberUniqueName="[TProd].[Date].[All]" allUniqueName="[TProd].[Date].[All]" dimensionUniqueName="[TProd]" displayFolder="" count="0" memberValueDatatype="130" unbalanced="0"/>
    <cacheHierarchy uniqueName="[TProd].[Réf]" caption="Réf" attribute="1" defaultMemberUniqueName="[TProd].[Réf].[All]" allUniqueName="[TProd].[Réf].[All]" dimensionUniqueName="[TProd]" displayFolder="" count="0" memberValueDatatype="130" unbalanced="0"/>
    <cacheHierarchy uniqueName="[TProd].[Type]" caption="Type" attribute="1" defaultMemberUniqueName="[TProd].[Type].[All]" allUniqueName="[TProd].[Type].[All]" dimensionUniqueName="[TProd]" displayFolder="" count="0" memberValueDatatype="130" unbalanced="0"/>
    <cacheHierarchy uniqueName="[TProd].[Quantité]" caption="Quantité" attribute="1" defaultMemberUniqueName="[TProd].[Quantité].[All]" allUniqueName="[TProd].[Quantité].[All]" dimensionUniqueName="[TProd]" displayFolder="" count="0" memberValueDatatype="20" unbalanced="0"/>
    <cacheHierarchy uniqueName="[TProd].[PU]" caption="PU" attribute="1" defaultMemberUniqueName="[TProd].[PU].[All]" allUniqueName="[TProd].[PU].[All]" dimensionUniqueName="[TProd]" displayFolder="" count="0" memberValueDatatype="5" unbalanced="0"/>
    <cacheHierarchy uniqueName="[TProd].[Productions]" caption="Productions" attribute="1" defaultMemberUniqueName="[TProd].[Productions].[All]" allUniqueName="[TProd].[Productions].[All]" dimensionUniqueName="[TProd]" displayFolder="" count="0" memberValueDatatype="5" unbalanced="0"/>
    <cacheHierarchy uniqueName="[TTypes].[Types]" caption="Types" attribute="1" defaultMemberUniqueName="[TTypes].[Types].[All]" allUniqueName="[TTypes].[Types].[All]" dimensionUniqueName="[TTypes]" displayFolder="" count="0" memberValueDatatype="130" unbalanced="0"/>
    <cacheHierarchy uniqueName="[TVentes].[Réf]" caption="Réf" attribute="1" defaultMemberUniqueName="[TVentes].[Réf].[All]" allUniqueName="[TVentes].[Réf].[All]" dimensionUniqueName="[TVentes]" displayFolder="" count="0" memberValueDatatype="130" unbalanced="0"/>
    <cacheHierarchy uniqueName="[TVentes].[Types]" caption="Types" attribute="1" defaultMemberUniqueName="[TVentes].[Types].[All]" allUniqueName="[TVentes].[Types].[All]" dimensionUniqueName="[TVentes]" displayFolder="" count="2" memberValueDatatype="130" unbalanced="0">
      <fieldsUsage count="2">
        <fieldUsage x="-1"/>
        <fieldUsage x="0"/>
      </fieldsUsage>
    </cacheHierarchy>
    <cacheHierarchy uniqueName="[TVentes].[Date]" caption="Date" attribute="1" defaultMemberUniqueName="[TVentes].[Date].[All]" allUniqueName="[TVentes].[Date].[All]" dimensionUniqueName="[TVentes]" displayFolder="" count="0" memberValueDatatype="130" unbalanced="0"/>
    <cacheHierarchy uniqueName="[TVentes].[Client]" caption="Client" attribute="1" defaultMemberUniqueName="[TVentes].[Client].[All]" allUniqueName="[TVentes].[Client].[All]" dimensionUniqueName="[TVentes]" displayFolder="" count="0" memberValueDatatype="130" unbalanced="0"/>
    <cacheHierarchy uniqueName="[TVentes].[Pays]" caption="Pays" attribute="1" defaultMemberUniqueName="[TVentes].[Pays].[All]" allUniqueName="[TVentes].[Pays].[All]" dimensionUniqueName="[TVentes]" displayFolder="" count="0" memberValueDatatype="130" unbalanced="0"/>
    <cacheHierarchy uniqueName="[TVentes].[Qté]" caption="Qté" attribute="1" defaultMemberUniqueName="[TVentes].[Qté].[All]" allUniqueName="[TVentes].[Qté].[All]" dimensionUniqueName="[TVentes]" displayFolder="" count="0" memberValueDatatype="20" unbalanced="0"/>
    <cacheHierarchy uniqueName="[TVentes].[PU]" caption="PU" attribute="1" defaultMemberUniqueName="[TVentes].[PU].[All]" allUniqueName="[TVentes].[PU].[All]" dimensionUniqueName="[TVentes]" displayFolder="" count="0" memberValueDatatype="20" unbalanced="0"/>
    <cacheHierarchy uniqueName="[TVentes].[MGA]" caption="MGA" attribute="1" defaultMemberUniqueName="[TVentes].[MGA].[All]" allUniqueName="[TVentes].[MGA].[All]" dimensionUniqueName="[TVentes]" displayFolder="" count="0" memberValueDatatype="5" unbalanced="0"/>
    <cacheHierarchy uniqueName="[TVentes].[USD]" caption="USD" attribute="1" defaultMemberUniqueName="[TVentes].[USD].[All]" allUniqueName="[TVentes].[USD].[All]" dimensionUniqueName="[TVentes]" displayFolder="" count="0" memberValueDatatype="5" unbalanced="0"/>
    <cacheHierarchy uniqueName="[TVentes].[EUR]" caption="EUR" attribute="1" defaultMemberUniqueName="[TVentes].[EUR].[All]" allUniqueName="[TVentes].[EUR].[All]" dimensionUniqueName="[TVentes]" displayFolder="" count="0" memberValueDatatype="5" unbalanced="0"/>
    <cacheHierarchy uniqueName="[Measures].[__XL_Count TAchats]" caption="__XL_Count TAchats" measure="1" displayFolder="" measureGroup="TAchats" count="0" hidden="1"/>
    <cacheHierarchy uniqueName="[Measures].[__XL_Count TLieuxAppro]" caption="__XL_Count TLieuxAppro" measure="1" displayFolder="" measureGroup="TLieuxAppro" count="0" hidden="1"/>
    <cacheHierarchy uniqueName="[Measures].[__XL_Count TProd]" caption="__XL_Count TProd" measure="1" displayFolder="" measureGroup="TProd" count="0" hidden="1"/>
    <cacheHierarchy uniqueName="[Measures].[__XL_Count TTypes]" caption="__XL_Count TTypes" measure="1" displayFolder="" measureGroup="TTypes" count="0" hidden="1"/>
    <cacheHierarchy uniqueName="[Measures].[__XL_Count TDate]" caption="__XL_Count TDate" measure="1" displayFolder="" measureGroup="TDate" count="0" hidden="1"/>
    <cacheHierarchy uniqueName="[Measures].[__XL_Count TVentes]" caption="__XL_Count TVentes" measure="1" displayFolder="" measureGroup="TVentes" count="0" hidden="1"/>
    <cacheHierarchy uniqueName="[Measures].[__XL_Count Tableau10]" caption="__XL_Count Tableau10" measure="1" displayFolder="" measureGroup="Tableau10" count="0" hidden="1"/>
    <cacheHierarchy uniqueName="[Measures].[__No measures defined]" caption="__No measures defined" measure="1" displayFolder="" count="0" hidden="1"/>
    <cacheHierarchy uniqueName="[Measures].[Somme de Valeur]" caption="Somme de Valeur" measure="1" displayFolder="" measureGroup="TAchat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Qté]" caption="Somme de Qté" measure="1" displayFolder="" measureGroup="TAchat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omme de Cout d'achat]" caption="Somme de Cout d'achat" measure="1" displayFolder="" measureGroup="T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té 2]" caption="Somme de Qté 2" measure="1" displayFolder="" measureGroup="TVen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omme de MGA]" caption="Somme de MGA" measure="1" displayFolder="" measureGroup="TVent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me de Quantité]" caption="Somme de Quantité" measure="1" displayFolder="" measureGroup="TProd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Nombre de Type]" caption="Nombre de Type" measure="1" displayFolder="" measureGroup="TAchat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Nombre de Qté]" caption="Nombre de Qté" measure="1" displayFolder="" measureGroup="TAchat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8">
    <dimension measure="1" name="Measures" uniqueName="[Measures]" caption="Measures"/>
    <dimension name="Tableau10" uniqueName="[Tableau10]" caption="Tableau10"/>
    <dimension name="TAchats" uniqueName="[TAchats]" caption="TAchats"/>
    <dimension name="TDate" uniqueName="[TDate]" caption="TDate"/>
    <dimension name="TLieuxAppro" uniqueName="[TLieuxAppro]" caption="TLieuxAppro"/>
    <dimension name="TProd" uniqueName="[TProd]" caption="TProd"/>
    <dimension name="TTypes" uniqueName="[TTypes]" caption="TTypes"/>
    <dimension name="TVentes" uniqueName="[TVentes]" caption="TVentes"/>
  </dimensions>
  <measureGroups count="7">
    <measureGroup name="Tableau10" caption="Tableau10"/>
    <measureGroup name="TAchats" caption="TAchats"/>
    <measureGroup name="TDate" caption="TDate"/>
    <measureGroup name="TLieuxAppro" caption="TLieuxAppro"/>
    <measureGroup name="TProd" caption="TProd"/>
    <measureGroup name="TTypes" caption="TTypes"/>
    <measureGroup name="TVentes" caption="TVentes"/>
  </measureGroups>
  <maps count="10">
    <map measureGroup="0" dimension="1"/>
    <map measureGroup="1" dimension="2"/>
    <map measureGroup="1" dimension="3"/>
    <map measureGroup="2" dimension="3"/>
    <map measureGroup="3" dimension="4"/>
    <map measureGroup="4" dimension="3"/>
    <map measureGroup="4" dimension="5"/>
    <map measureGroup="5" dimension="6"/>
    <map measureGroup="6" dimension="3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5411.646870023149" backgroundQuery="1" createdVersion="7" refreshedVersion="7" minRefreshableVersion="3" recordCount="0" supportSubquery="1" supportAdvancedDrill="1" xr:uid="{7E05D9B5-D42B-4AB1-915A-346AB95044FE}">
  <cacheSource type="external" connectionId="1"/>
  <cacheFields count="3">
    <cacheField name="[TAchats].[Type].[Type]" caption="Type" numFmtId="0" hierarchy="3" level="1">
      <sharedItems count="3">
        <s v="ABR GAZ"/>
        <s v="FP1 GAZ"/>
        <s v="TRA GAZ"/>
      </sharedItems>
    </cacheField>
    <cacheField name="[Measures].[Somme de Cout d'achat]" caption="Somme de Cout d'achat" numFmtId="0" hierarchy="41" level="32767"/>
    <cacheField name="[TDate].[Date].[Date]" caption="Date" numFmtId="0" hierarchy="12" level="1">
      <sharedItems containsSemiMixedTypes="0" containsNonDate="0" containsString="0"/>
    </cacheField>
  </cacheFields>
  <cacheHierarchies count="47">
    <cacheHierarchy uniqueName="[Tableau10].[Réf]" caption="Réf" attribute="1" defaultMemberUniqueName="[Tableau10].[Réf].[All]" allUniqueName="[Tableau10].[Réf].[All]" dimensionUniqueName="[Tableau10]" displayFolder="" count="0" memberValueDatatype="130" unbalanced="0"/>
    <cacheHierarchy uniqueName="[TAchats].[Date]" caption="Date" attribute="1" defaultMemberUniqueName="[TAchats].[Date].[All]" allUniqueName="[TAchats].[Date].[All]" dimensionUniqueName="[TAchats]" displayFolder="" count="0" memberValueDatatype="130" unbalanced="0"/>
    <cacheHierarchy uniqueName="[TAchats].[Réf]" caption="Réf" attribute="1" defaultMemberUniqueName="[TAchats].[Réf].[All]" allUniqueName="[TAchats].[Réf].[All]" dimensionUniqueName="[TAchats]" displayFolder="" count="0" memberValueDatatype="130" unbalanced="0"/>
    <cacheHierarchy uniqueName="[TAchats].[Type]" caption="Type" attribute="1" defaultMemberUniqueName="[TAchats].[Type].[All]" allUniqueName="[TAchats].[Type].[All]" dimensionUniqueName="[TAchats]" displayFolder="" count="2" memberValueDatatype="130" unbalanced="0">
      <fieldsUsage count="2">
        <fieldUsage x="-1"/>
        <fieldUsage x="0"/>
      </fieldsUsage>
    </cacheHierarchy>
    <cacheHierarchy uniqueName="[TAchats].[Lieux]" caption="Lieux" attribute="1" defaultMemberUniqueName="[TAchats].[Lieux].[All]" allUniqueName="[TAchats].[Lieux].[All]" dimensionUniqueName="[TAchats]" displayFolder="" count="0" memberValueDatatype="130" unbalanced="0"/>
    <cacheHierarchy uniqueName="[TAchats].[Qté]" caption="Qté" attribute="1" defaultMemberUniqueName="[TAchats].[Qté].[All]" allUniqueName="[TAchats].[Qté].[All]" dimensionUniqueName="[TAchats]" displayFolder="" count="0" memberValueDatatype="5" unbalanced="0"/>
    <cacheHierarchy uniqueName="[TAchats].[PU]" caption="PU" attribute="1" defaultMemberUniqueName="[TAchats].[PU].[All]" allUniqueName="[TAchats].[PU].[All]" dimensionUniqueName="[TAchats]" displayFolder="" count="0" memberValueDatatype="20" unbalanced="0"/>
    <cacheHierarchy uniqueName="[TAchats].[Valeur]" caption="Valeur" attribute="1" defaultMemberUniqueName="[TAchats].[Valeur].[All]" allUniqueName="[TAchats].[Valeur].[All]" dimensionUniqueName="[TAchats]" displayFolder="" count="0" memberValueDatatype="5" unbalanced="0"/>
    <cacheHierarchy uniqueName="[TAchats].[Transp U]" caption="Transp U" attribute="1" defaultMemberUniqueName="[TAchats].[Transp U].[All]" allUniqueName="[TAchats].[Transp U].[All]" dimensionUniqueName="[TAchats]" displayFolder="" count="0" memberValueDatatype="20" unbalanced="0"/>
    <cacheHierarchy uniqueName="[TAchats].[Transport]" caption="Transport" attribute="1" defaultMemberUniqueName="[TAchats].[Transport].[All]" allUniqueName="[TAchats].[Transport].[All]" dimensionUniqueName="[TAchats]" displayFolder="" count="0" memberValueDatatype="20" unbalanced="0"/>
    <cacheHierarchy uniqueName="[TAchats].[Cout d'achat]" caption="Cout d'achat" attribute="1" defaultMemberUniqueName="[TAchats].[Cout d'achat].[All]" allUniqueName="[TAchats].[Cout d'achat].[All]" dimensionUniqueName="[TAchats]" displayFolder="" count="0" memberValueDatatype="5" unbalanced="0"/>
    <cacheHierarchy uniqueName="[TAchats].[CA U]" caption="CA U" attribute="1" defaultMemberUniqueName="[TAchats].[CA U].[All]" allUniqueName="[TAchats].[CA U].[All]" dimensionUniqueName="[TAchats]" displayFolder="" count="0" memberValueDatatype="130" unbalanced="0"/>
    <cacheHierarchy uniqueName="[TDate].[Date]" caption="Date" attribute="1" defaultMemberUniqueName="[TDate].[Date].[All]" allUniqueName="[TDate].[Date].[All]" dimensionUniqueName="[TDate]" displayFolder="" count="2" memberValueDatatype="130" unbalanced="0">
      <fieldsUsage count="2">
        <fieldUsage x="-1"/>
        <fieldUsage x="2"/>
      </fieldsUsage>
    </cacheHierarchy>
    <cacheHierarchy uniqueName="[TLieuxAppro].[Lieux]" caption="Lieux" attribute="1" defaultMemberUniqueName="[TLieuxAppro].[Lieux].[All]" allUniqueName="[TLieuxAppro].[Lieux].[All]" dimensionUniqueName="[TLieuxAppro]" displayFolder="" count="0" memberValueDatatype="130" unbalanced="0"/>
    <cacheHierarchy uniqueName="[TProd].[Date]" caption="Date" attribute="1" defaultMemberUniqueName="[TProd].[Date].[All]" allUniqueName="[TProd].[Date].[All]" dimensionUniqueName="[TProd]" displayFolder="" count="0" memberValueDatatype="130" unbalanced="0"/>
    <cacheHierarchy uniqueName="[TProd].[Réf]" caption="Réf" attribute="1" defaultMemberUniqueName="[TProd].[Réf].[All]" allUniqueName="[TProd].[Réf].[All]" dimensionUniqueName="[TProd]" displayFolder="" count="0" memberValueDatatype="130" unbalanced="0"/>
    <cacheHierarchy uniqueName="[TProd].[Type]" caption="Type" attribute="1" defaultMemberUniqueName="[TProd].[Type].[All]" allUniqueName="[TProd].[Type].[All]" dimensionUniqueName="[TProd]" displayFolder="" count="0" memberValueDatatype="130" unbalanced="0"/>
    <cacheHierarchy uniqueName="[TProd].[Quantité]" caption="Quantité" attribute="1" defaultMemberUniqueName="[TProd].[Quantité].[All]" allUniqueName="[TProd].[Quantité].[All]" dimensionUniqueName="[TProd]" displayFolder="" count="0" memberValueDatatype="20" unbalanced="0"/>
    <cacheHierarchy uniqueName="[TProd].[PU]" caption="PU" attribute="1" defaultMemberUniqueName="[TProd].[PU].[All]" allUniqueName="[TProd].[PU].[All]" dimensionUniqueName="[TProd]" displayFolder="" count="0" memberValueDatatype="5" unbalanced="0"/>
    <cacheHierarchy uniqueName="[TProd].[Productions]" caption="Productions" attribute="1" defaultMemberUniqueName="[TProd].[Productions].[All]" allUniqueName="[TProd].[Productions].[All]" dimensionUniqueName="[TProd]" displayFolder="" count="0" memberValueDatatype="5" unbalanced="0"/>
    <cacheHierarchy uniqueName="[TTypes].[Types]" caption="Types" attribute="1" defaultMemberUniqueName="[TTypes].[Types].[All]" allUniqueName="[TTypes].[Types].[All]" dimensionUniqueName="[TTypes]" displayFolder="" count="0" memberValueDatatype="130" unbalanced="0"/>
    <cacheHierarchy uniqueName="[TVentes].[Réf]" caption="Réf" attribute="1" defaultMemberUniqueName="[TVentes].[Réf].[All]" allUniqueName="[TVentes].[Réf].[All]" dimensionUniqueName="[TVentes]" displayFolder="" count="0" memberValueDatatype="130" unbalanced="0"/>
    <cacheHierarchy uniqueName="[TVentes].[Types]" caption="Types" attribute="1" defaultMemberUniqueName="[TVentes].[Types].[All]" allUniqueName="[TVentes].[Types].[All]" dimensionUniqueName="[TVentes]" displayFolder="" count="0" memberValueDatatype="130" unbalanced="0"/>
    <cacheHierarchy uniqueName="[TVentes].[Date]" caption="Date" attribute="1" defaultMemberUniqueName="[TVentes].[Date].[All]" allUniqueName="[TVentes].[Date].[All]" dimensionUniqueName="[TVentes]" displayFolder="" count="0" memberValueDatatype="130" unbalanced="0"/>
    <cacheHierarchy uniqueName="[TVentes].[Client]" caption="Client" attribute="1" defaultMemberUniqueName="[TVentes].[Client].[All]" allUniqueName="[TVentes].[Client].[All]" dimensionUniqueName="[TVentes]" displayFolder="" count="0" memberValueDatatype="130" unbalanced="0"/>
    <cacheHierarchy uniqueName="[TVentes].[Pays]" caption="Pays" attribute="1" defaultMemberUniqueName="[TVentes].[Pays].[All]" allUniqueName="[TVentes].[Pays].[All]" dimensionUniqueName="[TVentes]" displayFolder="" count="0" memberValueDatatype="130" unbalanced="0"/>
    <cacheHierarchy uniqueName="[TVentes].[Qté]" caption="Qté" attribute="1" defaultMemberUniqueName="[TVentes].[Qté].[All]" allUniqueName="[TVentes].[Qté].[All]" dimensionUniqueName="[TVentes]" displayFolder="" count="0" memberValueDatatype="20" unbalanced="0"/>
    <cacheHierarchy uniqueName="[TVentes].[PU]" caption="PU" attribute="1" defaultMemberUniqueName="[TVentes].[PU].[All]" allUniqueName="[TVentes].[PU].[All]" dimensionUniqueName="[TVentes]" displayFolder="" count="0" memberValueDatatype="20" unbalanced="0"/>
    <cacheHierarchy uniqueName="[TVentes].[MGA]" caption="MGA" attribute="1" defaultMemberUniqueName="[TVentes].[MGA].[All]" allUniqueName="[TVentes].[MGA].[All]" dimensionUniqueName="[TVentes]" displayFolder="" count="0" memberValueDatatype="5" unbalanced="0"/>
    <cacheHierarchy uniqueName="[TVentes].[USD]" caption="USD" attribute="1" defaultMemberUniqueName="[TVentes].[USD].[All]" allUniqueName="[TVentes].[USD].[All]" dimensionUniqueName="[TVentes]" displayFolder="" count="0" memberValueDatatype="5" unbalanced="0"/>
    <cacheHierarchy uniqueName="[TVentes].[EUR]" caption="EUR" attribute="1" defaultMemberUniqueName="[TVentes].[EUR].[All]" allUniqueName="[TVentes].[EUR].[All]" dimensionUniqueName="[TVentes]" displayFolder="" count="0" memberValueDatatype="5" unbalanced="0"/>
    <cacheHierarchy uniqueName="[Measures].[__XL_Count TAchats]" caption="__XL_Count TAchats" measure="1" displayFolder="" measureGroup="TAchats" count="0" hidden="1"/>
    <cacheHierarchy uniqueName="[Measures].[__XL_Count TLieuxAppro]" caption="__XL_Count TLieuxAppro" measure="1" displayFolder="" measureGroup="TLieuxAppro" count="0" hidden="1"/>
    <cacheHierarchy uniqueName="[Measures].[__XL_Count TProd]" caption="__XL_Count TProd" measure="1" displayFolder="" measureGroup="TProd" count="0" hidden="1"/>
    <cacheHierarchy uniqueName="[Measures].[__XL_Count TTypes]" caption="__XL_Count TTypes" measure="1" displayFolder="" measureGroup="TTypes" count="0" hidden="1"/>
    <cacheHierarchy uniqueName="[Measures].[__XL_Count TDate]" caption="__XL_Count TDate" measure="1" displayFolder="" measureGroup="TDate" count="0" hidden="1"/>
    <cacheHierarchy uniqueName="[Measures].[__XL_Count TVentes]" caption="__XL_Count TVentes" measure="1" displayFolder="" measureGroup="TVentes" count="0" hidden="1"/>
    <cacheHierarchy uniqueName="[Measures].[__XL_Count Tableau10]" caption="__XL_Count Tableau10" measure="1" displayFolder="" measureGroup="Tableau10" count="0" hidden="1"/>
    <cacheHierarchy uniqueName="[Measures].[__No measures defined]" caption="__No measures defined" measure="1" displayFolder="" count="0" hidden="1"/>
    <cacheHierarchy uniqueName="[Measures].[Somme de Valeur]" caption="Somme de Valeur" measure="1" displayFolder="" measureGroup="TAchat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Qté]" caption="Somme de Qté" measure="1" displayFolder="" measureGroup="TAchat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omme de Cout d'achat]" caption="Somme de Cout d'achat" measure="1" displayFolder="" measureGroup="TAcha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té 2]" caption="Somme de Qté 2" measure="1" displayFolder="" measureGroup="TVent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omme de MGA]" caption="Somme de MGA" measure="1" displayFolder="" measureGroup="TVent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me de Quantité]" caption="Somme de Quantité" measure="1" displayFolder="" measureGroup="TProd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Nombre de Type]" caption="Nombre de Type" measure="1" displayFolder="" measureGroup="TAchat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Nombre de Qté]" caption="Nombre de Qté" measure="1" displayFolder="" measureGroup="TAchat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8">
    <dimension measure="1" name="Measures" uniqueName="[Measures]" caption="Measures"/>
    <dimension name="Tableau10" uniqueName="[Tableau10]" caption="Tableau10"/>
    <dimension name="TAchats" uniqueName="[TAchats]" caption="TAchats"/>
    <dimension name="TDate" uniqueName="[TDate]" caption="TDate"/>
    <dimension name="TLieuxAppro" uniqueName="[TLieuxAppro]" caption="TLieuxAppro"/>
    <dimension name="TProd" uniqueName="[TProd]" caption="TProd"/>
    <dimension name="TTypes" uniqueName="[TTypes]" caption="TTypes"/>
    <dimension name="TVentes" uniqueName="[TVentes]" caption="TVentes"/>
  </dimensions>
  <measureGroups count="7">
    <measureGroup name="Tableau10" caption="Tableau10"/>
    <measureGroup name="TAchats" caption="TAchats"/>
    <measureGroup name="TDate" caption="TDate"/>
    <measureGroup name="TLieuxAppro" caption="TLieuxAppro"/>
    <measureGroup name="TProd" caption="TProd"/>
    <measureGroup name="TTypes" caption="TTypes"/>
    <measureGroup name="TVentes" caption="TVentes"/>
  </measureGroups>
  <maps count="10">
    <map measureGroup="0" dimension="1"/>
    <map measureGroup="1" dimension="2"/>
    <map measureGroup="1" dimension="3"/>
    <map measureGroup="2" dimension="3"/>
    <map measureGroup="3" dimension="4"/>
    <map measureGroup="4" dimension="3"/>
    <map measureGroup="4" dimension="5"/>
    <map measureGroup="5" dimension="6"/>
    <map measureGroup="6" dimension="3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5411.646870949073" backgroundQuery="1" createdVersion="7" refreshedVersion="7" minRefreshableVersion="3" recordCount="0" supportSubquery="1" supportAdvancedDrill="1" xr:uid="{DD9A83F9-5B6A-4899-8A64-353B36FC10D4}">
  <cacheSource type="external" connectionId="1"/>
  <cacheFields count="2">
    <cacheField name="[TProd].[Type].[Type]" caption="Type" numFmtId="0" hierarchy="16" level="1">
      <sharedItems count="3">
        <s v="ABR COUPE"/>
        <s v="FP1 COUPE"/>
        <s v="TRA COUPE"/>
      </sharedItems>
    </cacheField>
    <cacheField name="[TDate].[Date].[Date]" caption="Date" numFmtId="0" hierarchy="12" level="1">
      <sharedItems containsSemiMixedTypes="0" containsNonDate="0" containsString="0"/>
    </cacheField>
  </cacheFields>
  <cacheHierarchies count="47">
    <cacheHierarchy uniqueName="[Tableau10].[Réf]" caption="Réf" attribute="1" defaultMemberUniqueName="[Tableau10].[Réf].[All]" allUniqueName="[Tableau10].[Réf].[All]" dimensionUniqueName="[Tableau10]" displayFolder="" count="0" memberValueDatatype="130" unbalanced="0"/>
    <cacheHierarchy uniqueName="[TAchats].[Date]" caption="Date" attribute="1" defaultMemberUniqueName="[TAchats].[Date].[All]" allUniqueName="[TAchats].[Date].[All]" dimensionUniqueName="[TAchats]" displayFolder="" count="0" memberValueDatatype="130" unbalanced="0"/>
    <cacheHierarchy uniqueName="[TAchats].[Réf]" caption="Réf" attribute="1" defaultMemberUniqueName="[TAchats].[Réf].[All]" allUniqueName="[TAchats].[Réf].[All]" dimensionUniqueName="[TAchats]" displayFolder="" count="0" memberValueDatatype="130" unbalanced="0"/>
    <cacheHierarchy uniqueName="[TAchats].[Type]" caption="Type" attribute="1" defaultMemberUniqueName="[TAchats].[Type].[All]" allUniqueName="[TAchats].[Type].[All]" dimensionUniqueName="[TAchats]" displayFolder="" count="0" memberValueDatatype="130" unbalanced="0"/>
    <cacheHierarchy uniqueName="[TAchats].[Lieux]" caption="Lieux" attribute="1" defaultMemberUniqueName="[TAchats].[Lieux].[All]" allUniqueName="[TAchats].[Lieux].[All]" dimensionUniqueName="[TAchats]" displayFolder="" count="0" memberValueDatatype="130" unbalanced="0"/>
    <cacheHierarchy uniqueName="[TAchats].[Qté]" caption="Qté" attribute="1" defaultMemberUniqueName="[TAchats].[Qté].[All]" allUniqueName="[TAchats].[Qté].[All]" dimensionUniqueName="[TAchats]" displayFolder="" count="0" memberValueDatatype="5" unbalanced="0"/>
    <cacheHierarchy uniqueName="[TAchats].[PU]" caption="PU" attribute="1" defaultMemberUniqueName="[TAchats].[PU].[All]" allUniqueName="[TAchats].[PU].[All]" dimensionUniqueName="[TAchats]" displayFolder="" count="0" memberValueDatatype="20" unbalanced="0"/>
    <cacheHierarchy uniqueName="[TAchats].[Valeur]" caption="Valeur" attribute="1" defaultMemberUniqueName="[TAchats].[Valeur].[All]" allUniqueName="[TAchats].[Valeur].[All]" dimensionUniqueName="[TAchats]" displayFolder="" count="0" memberValueDatatype="5" unbalanced="0"/>
    <cacheHierarchy uniqueName="[TAchats].[Transp U]" caption="Transp U" attribute="1" defaultMemberUniqueName="[TAchats].[Transp U].[All]" allUniqueName="[TAchats].[Transp U].[All]" dimensionUniqueName="[TAchats]" displayFolder="" count="0" memberValueDatatype="20" unbalanced="0"/>
    <cacheHierarchy uniqueName="[TAchats].[Transport]" caption="Transport" attribute="1" defaultMemberUniqueName="[TAchats].[Transport].[All]" allUniqueName="[TAchats].[Transport].[All]" dimensionUniqueName="[TAchats]" displayFolder="" count="0" memberValueDatatype="20" unbalanced="0"/>
    <cacheHierarchy uniqueName="[TAchats].[Cout d'achat]" caption="Cout d'achat" attribute="1" defaultMemberUniqueName="[TAchats].[Cout d'achat].[All]" allUniqueName="[TAchats].[Cout d'achat].[All]" dimensionUniqueName="[TAchats]" displayFolder="" count="0" memberValueDatatype="5" unbalanced="0"/>
    <cacheHierarchy uniqueName="[TAchats].[CA U]" caption="CA U" attribute="1" defaultMemberUniqueName="[TAchats].[CA U].[All]" allUniqueName="[TAchats].[CA U].[All]" dimensionUniqueName="[TAchats]" displayFolder="" count="0" memberValueDatatype="130" unbalanced="0"/>
    <cacheHierarchy uniqueName="[TDate].[Date]" caption="Date" attribute="1" defaultMemberUniqueName="[TDate].[Date].[All]" allUniqueName="[TDate].[Date].[All]" dimensionUniqueName="[TDate]" displayFolder="" count="2" memberValueDatatype="130" unbalanced="0">
      <fieldsUsage count="2">
        <fieldUsage x="-1"/>
        <fieldUsage x="1"/>
      </fieldsUsage>
    </cacheHierarchy>
    <cacheHierarchy uniqueName="[TLieuxAppro].[Lieux]" caption="Lieux" attribute="1" defaultMemberUniqueName="[TLieuxAppro].[Lieux].[All]" allUniqueName="[TLieuxAppro].[Lieux].[All]" dimensionUniqueName="[TLieuxAppro]" displayFolder="" count="0" memberValueDatatype="130" unbalanced="0"/>
    <cacheHierarchy uniqueName="[TProd].[Date]" caption="Date" attribute="1" defaultMemberUniqueName="[TProd].[Date].[All]" allUniqueName="[TProd].[Date].[All]" dimensionUniqueName="[TProd]" displayFolder="" count="0" memberValueDatatype="130" unbalanced="0"/>
    <cacheHierarchy uniqueName="[TProd].[Réf]" caption="Réf" attribute="1" defaultMemberUniqueName="[TProd].[Réf].[All]" allUniqueName="[TProd].[Réf].[All]" dimensionUniqueName="[TProd]" displayFolder="" count="0" memberValueDatatype="130" unbalanced="0"/>
    <cacheHierarchy uniqueName="[TProd].[Type]" caption="Type" attribute="1" defaultMemberUniqueName="[TProd].[Type].[All]" allUniqueName="[TProd].[Type].[All]" dimensionUniqueName="[TProd]" displayFolder="" count="2" memberValueDatatype="130" unbalanced="0">
      <fieldsUsage count="2">
        <fieldUsage x="-1"/>
        <fieldUsage x="0"/>
      </fieldsUsage>
    </cacheHierarchy>
    <cacheHierarchy uniqueName="[TProd].[Quantité]" caption="Quantité" attribute="1" defaultMemberUniqueName="[TProd].[Quantité].[All]" allUniqueName="[TProd].[Quantité].[All]" dimensionUniqueName="[TProd]" displayFolder="" count="0" memberValueDatatype="20" unbalanced="0"/>
    <cacheHierarchy uniqueName="[TProd].[PU]" caption="PU" attribute="1" defaultMemberUniqueName="[TProd].[PU].[All]" allUniqueName="[TProd].[PU].[All]" dimensionUniqueName="[TProd]" displayFolder="" count="0" memberValueDatatype="5" unbalanced="0"/>
    <cacheHierarchy uniqueName="[TProd].[Productions]" caption="Productions" attribute="1" defaultMemberUniqueName="[TProd].[Productions].[All]" allUniqueName="[TProd].[Productions].[All]" dimensionUniqueName="[TProd]" displayFolder="" count="0" memberValueDatatype="5" unbalanced="0"/>
    <cacheHierarchy uniqueName="[TTypes].[Types]" caption="Types" attribute="1" defaultMemberUniqueName="[TTypes].[Types].[All]" allUniqueName="[TTypes].[Types].[All]" dimensionUniqueName="[TTypes]" displayFolder="" count="0" memberValueDatatype="130" unbalanced="0"/>
    <cacheHierarchy uniqueName="[TVentes].[Réf]" caption="Réf" attribute="1" defaultMemberUniqueName="[TVentes].[Réf].[All]" allUniqueName="[TVentes].[Réf].[All]" dimensionUniqueName="[TVentes]" displayFolder="" count="0" memberValueDatatype="130" unbalanced="0"/>
    <cacheHierarchy uniqueName="[TVentes].[Types]" caption="Types" attribute="1" defaultMemberUniqueName="[TVentes].[Types].[All]" allUniqueName="[TVentes].[Types].[All]" dimensionUniqueName="[TVentes]" displayFolder="" count="0" memberValueDatatype="130" unbalanced="0"/>
    <cacheHierarchy uniqueName="[TVentes].[Date]" caption="Date" attribute="1" defaultMemberUniqueName="[TVentes].[Date].[All]" allUniqueName="[TVentes].[Date].[All]" dimensionUniqueName="[TVentes]" displayFolder="" count="0" memberValueDatatype="130" unbalanced="0"/>
    <cacheHierarchy uniqueName="[TVentes].[Client]" caption="Client" attribute="1" defaultMemberUniqueName="[TVentes].[Client].[All]" allUniqueName="[TVentes].[Client].[All]" dimensionUniqueName="[TVentes]" displayFolder="" count="0" memberValueDatatype="130" unbalanced="0"/>
    <cacheHierarchy uniqueName="[TVentes].[Pays]" caption="Pays" attribute="1" defaultMemberUniqueName="[TVentes].[Pays].[All]" allUniqueName="[TVentes].[Pays].[All]" dimensionUniqueName="[TVentes]" displayFolder="" count="0" memberValueDatatype="130" unbalanced="0"/>
    <cacheHierarchy uniqueName="[TVentes].[Qté]" caption="Qté" attribute="1" defaultMemberUniqueName="[TVentes].[Qté].[All]" allUniqueName="[TVentes].[Qté].[All]" dimensionUniqueName="[TVentes]" displayFolder="" count="0" memberValueDatatype="20" unbalanced="0"/>
    <cacheHierarchy uniqueName="[TVentes].[PU]" caption="PU" attribute="1" defaultMemberUniqueName="[TVentes].[PU].[All]" allUniqueName="[TVentes].[PU].[All]" dimensionUniqueName="[TVentes]" displayFolder="" count="0" memberValueDatatype="20" unbalanced="0"/>
    <cacheHierarchy uniqueName="[TVentes].[MGA]" caption="MGA" attribute="1" defaultMemberUniqueName="[TVentes].[MGA].[All]" allUniqueName="[TVentes].[MGA].[All]" dimensionUniqueName="[TVentes]" displayFolder="" count="0" memberValueDatatype="5" unbalanced="0"/>
    <cacheHierarchy uniqueName="[TVentes].[USD]" caption="USD" attribute="1" defaultMemberUniqueName="[TVentes].[USD].[All]" allUniqueName="[TVentes].[USD].[All]" dimensionUniqueName="[TVentes]" displayFolder="" count="0" memberValueDatatype="5" unbalanced="0"/>
    <cacheHierarchy uniqueName="[TVentes].[EUR]" caption="EUR" attribute="1" defaultMemberUniqueName="[TVentes].[EUR].[All]" allUniqueName="[TVentes].[EUR].[All]" dimensionUniqueName="[TVentes]" displayFolder="" count="0" memberValueDatatype="5" unbalanced="0"/>
    <cacheHierarchy uniqueName="[Measures].[__XL_Count TAchats]" caption="__XL_Count TAchats" measure="1" displayFolder="" measureGroup="TAchats" count="0" hidden="1"/>
    <cacheHierarchy uniqueName="[Measures].[__XL_Count TLieuxAppro]" caption="__XL_Count TLieuxAppro" measure="1" displayFolder="" measureGroup="TLieuxAppro" count="0" hidden="1"/>
    <cacheHierarchy uniqueName="[Measures].[__XL_Count TProd]" caption="__XL_Count TProd" measure="1" displayFolder="" measureGroup="TProd" count="0" hidden="1"/>
    <cacheHierarchy uniqueName="[Measures].[__XL_Count TTypes]" caption="__XL_Count TTypes" measure="1" displayFolder="" measureGroup="TTypes" count="0" hidden="1"/>
    <cacheHierarchy uniqueName="[Measures].[__XL_Count TDate]" caption="__XL_Count TDate" measure="1" displayFolder="" measureGroup="TDate" count="0" hidden="1"/>
    <cacheHierarchy uniqueName="[Measures].[__XL_Count TVentes]" caption="__XL_Count TVentes" measure="1" displayFolder="" measureGroup="TVentes" count="0" hidden="1"/>
    <cacheHierarchy uniqueName="[Measures].[__XL_Count Tableau10]" caption="__XL_Count Tableau10" measure="1" displayFolder="" measureGroup="Tableau10" count="0" hidden="1"/>
    <cacheHierarchy uniqueName="[Measures].[__No measures defined]" caption="__No measures defined" measure="1" displayFolder="" count="0" hidden="1"/>
    <cacheHierarchy uniqueName="[Measures].[Somme de Valeur]" caption="Somme de Valeur" measure="1" displayFolder="" measureGroup="TAchat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Qté]" caption="Somme de Qté" measure="1" displayFolder="" measureGroup="TAchat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omme de Cout d'achat]" caption="Somme de Cout d'achat" measure="1" displayFolder="" measureGroup="T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té 2]" caption="Somme de Qté 2" measure="1" displayFolder="" measureGroup="TVent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omme de MGA]" caption="Somme de MGA" measure="1" displayFolder="" measureGroup="TVent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me de Quantité]" caption="Somme de Quantité" measure="1" displayFolder="" measureGroup="TProd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Nombre de Type]" caption="Nombre de Type" measure="1" displayFolder="" measureGroup="TAchat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Nombre de Qté]" caption="Nombre de Qté" measure="1" displayFolder="" measureGroup="TAchat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8">
    <dimension measure="1" name="Measures" uniqueName="[Measures]" caption="Measures"/>
    <dimension name="Tableau10" uniqueName="[Tableau10]" caption="Tableau10"/>
    <dimension name="TAchats" uniqueName="[TAchats]" caption="TAchats"/>
    <dimension name="TDate" uniqueName="[TDate]" caption="TDate"/>
    <dimension name="TLieuxAppro" uniqueName="[TLieuxAppro]" caption="TLieuxAppro"/>
    <dimension name="TProd" uniqueName="[TProd]" caption="TProd"/>
    <dimension name="TTypes" uniqueName="[TTypes]" caption="TTypes"/>
    <dimension name="TVentes" uniqueName="[TVentes]" caption="TVentes"/>
  </dimensions>
  <measureGroups count="7">
    <measureGroup name="Tableau10" caption="Tableau10"/>
    <measureGroup name="TAchats" caption="TAchats"/>
    <measureGroup name="TDate" caption="TDate"/>
    <measureGroup name="TLieuxAppro" caption="TLieuxAppro"/>
    <measureGroup name="TProd" caption="TProd"/>
    <measureGroup name="TTypes" caption="TTypes"/>
    <measureGroup name="TVentes" caption="TVentes"/>
  </measureGroups>
  <maps count="10">
    <map measureGroup="0" dimension="1"/>
    <map measureGroup="1" dimension="2"/>
    <map measureGroup="1" dimension="3"/>
    <map measureGroup="2" dimension="3"/>
    <map measureGroup="3" dimension="4"/>
    <map measureGroup="4" dimension="3"/>
    <map measureGroup="4" dimension="5"/>
    <map measureGroup="5" dimension="6"/>
    <map measureGroup="6" dimension="3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5411.646871874997" backgroundQuery="1" createdVersion="7" refreshedVersion="7" minRefreshableVersion="3" recordCount="0" supportSubquery="1" supportAdvancedDrill="1" xr:uid="{D3057638-6BBC-440F-A850-43DDEFCE0D69}">
  <cacheSource type="external" connectionId="1"/>
  <cacheFields count="3">
    <cacheField name="[TVentes].[Types].[Types]" caption="Types" numFmtId="0" hierarchy="22" level="1">
      <sharedItems count="3">
        <s v="ABR COUPE"/>
        <s v="FP1 COUPE"/>
        <s v="TRA COUPE"/>
      </sharedItems>
    </cacheField>
    <cacheField name="[Measures].[Somme de MGA]" caption="Somme de MGA" numFmtId="0" hierarchy="43" level="32767"/>
    <cacheField name="[TDate].[Date].[Date]" caption="Date" numFmtId="0" hierarchy="12" level="1">
      <sharedItems containsSemiMixedTypes="0" containsNonDate="0" containsString="0"/>
    </cacheField>
  </cacheFields>
  <cacheHierarchies count="47">
    <cacheHierarchy uniqueName="[Tableau10].[Réf]" caption="Réf" attribute="1" defaultMemberUniqueName="[Tableau10].[Réf].[All]" allUniqueName="[Tableau10].[Réf].[All]" dimensionUniqueName="[Tableau10]" displayFolder="" count="0" memberValueDatatype="130" unbalanced="0"/>
    <cacheHierarchy uniqueName="[TAchats].[Date]" caption="Date" attribute="1" defaultMemberUniqueName="[TAchats].[Date].[All]" allUniqueName="[TAchats].[Date].[All]" dimensionUniqueName="[TAchats]" displayFolder="" count="0" memberValueDatatype="130" unbalanced="0"/>
    <cacheHierarchy uniqueName="[TAchats].[Réf]" caption="Réf" attribute="1" defaultMemberUniqueName="[TAchats].[Réf].[All]" allUniqueName="[TAchats].[Réf].[All]" dimensionUniqueName="[TAchats]" displayFolder="" count="0" memberValueDatatype="130" unbalanced="0"/>
    <cacheHierarchy uniqueName="[TAchats].[Type]" caption="Type" attribute="1" defaultMemberUniqueName="[TAchats].[Type].[All]" allUniqueName="[TAchats].[Type].[All]" dimensionUniqueName="[TAchats]" displayFolder="" count="0" memberValueDatatype="130" unbalanced="0"/>
    <cacheHierarchy uniqueName="[TAchats].[Lieux]" caption="Lieux" attribute="1" defaultMemberUniqueName="[TAchats].[Lieux].[All]" allUniqueName="[TAchats].[Lieux].[All]" dimensionUniqueName="[TAchats]" displayFolder="" count="0" memberValueDatatype="130" unbalanced="0"/>
    <cacheHierarchy uniqueName="[TAchats].[Qté]" caption="Qté" attribute="1" defaultMemberUniqueName="[TAchats].[Qté].[All]" allUniqueName="[TAchats].[Qté].[All]" dimensionUniqueName="[TAchats]" displayFolder="" count="0" memberValueDatatype="5" unbalanced="0"/>
    <cacheHierarchy uniqueName="[TAchats].[PU]" caption="PU" attribute="1" defaultMemberUniqueName="[TAchats].[PU].[All]" allUniqueName="[TAchats].[PU].[All]" dimensionUniqueName="[TAchats]" displayFolder="" count="0" memberValueDatatype="20" unbalanced="0"/>
    <cacheHierarchy uniqueName="[TAchats].[Valeur]" caption="Valeur" attribute="1" defaultMemberUniqueName="[TAchats].[Valeur].[All]" allUniqueName="[TAchats].[Valeur].[All]" dimensionUniqueName="[TAchats]" displayFolder="" count="0" memberValueDatatype="5" unbalanced="0"/>
    <cacheHierarchy uniqueName="[TAchats].[Transp U]" caption="Transp U" attribute="1" defaultMemberUniqueName="[TAchats].[Transp U].[All]" allUniqueName="[TAchats].[Transp U].[All]" dimensionUniqueName="[TAchats]" displayFolder="" count="0" memberValueDatatype="20" unbalanced="0"/>
    <cacheHierarchy uniqueName="[TAchats].[Transport]" caption="Transport" attribute="1" defaultMemberUniqueName="[TAchats].[Transport].[All]" allUniqueName="[TAchats].[Transport].[All]" dimensionUniqueName="[TAchats]" displayFolder="" count="0" memberValueDatatype="20" unbalanced="0"/>
    <cacheHierarchy uniqueName="[TAchats].[Cout d'achat]" caption="Cout d'achat" attribute="1" defaultMemberUniqueName="[TAchats].[Cout d'achat].[All]" allUniqueName="[TAchats].[Cout d'achat].[All]" dimensionUniqueName="[TAchats]" displayFolder="" count="0" memberValueDatatype="5" unbalanced="0"/>
    <cacheHierarchy uniqueName="[TAchats].[CA U]" caption="CA U" attribute="1" defaultMemberUniqueName="[TAchats].[CA U].[All]" allUniqueName="[TAchats].[CA U].[All]" dimensionUniqueName="[TAchats]" displayFolder="" count="0" memberValueDatatype="130" unbalanced="0"/>
    <cacheHierarchy uniqueName="[TDate].[Date]" caption="Date" attribute="1" defaultMemberUniqueName="[TDate].[Date].[All]" allUniqueName="[TDate].[Date].[All]" dimensionUniqueName="[TDate]" displayFolder="" count="2" memberValueDatatype="130" unbalanced="0">
      <fieldsUsage count="2">
        <fieldUsage x="-1"/>
        <fieldUsage x="2"/>
      </fieldsUsage>
    </cacheHierarchy>
    <cacheHierarchy uniqueName="[TLieuxAppro].[Lieux]" caption="Lieux" attribute="1" defaultMemberUniqueName="[TLieuxAppro].[Lieux].[All]" allUniqueName="[TLieuxAppro].[Lieux].[All]" dimensionUniqueName="[TLieuxAppro]" displayFolder="" count="0" memberValueDatatype="130" unbalanced="0"/>
    <cacheHierarchy uniqueName="[TProd].[Date]" caption="Date" attribute="1" defaultMemberUniqueName="[TProd].[Date].[All]" allUniqueName="[TProd].[Date].[All]" dimensionUniqueName="[TProd]" displayFolder="" count="0" memberValueDatatype="130" unbalanced="0"/>
    <cacheHierarchy uniqueName="[TProd].[Réf]" caption="Réf" attribute="1" defaultMemberUniqueName="[TProd].[Réf].[All]" allUniqueName="[TProd].[Réf].[All]" dimensionUniqueName="[TProd]" displayFolder="" count="0" memberValueDatatype="130" unbalanced="0"/>
    <cacheHierarchy uniqueName="[TProd].[Type]" caption="Type" attribute="1" defaultMemberUniqueName="[TProd].[Type].[All]" allUniqueName="[TProd].[Type].[All]" dimensionUniqueName="[TProd]" displayFolder="" count="0" memberValueDatatype="130" unbalanced="0"/>
    <cacheHierarchy uniqueName="[TProd].[Quantité]" caption="Quantité" attribute="1" defaultMemberUniqueName="[TProd].[Quantité].[All]" allUniqueName="[TProd].[Quantité].[All]" dimensionUniqueName="[TProd]" displayFolder="" count="0" memberValueDatatype="20" unbalanced="0"/>
    <cacheHierarchy uniqueName="[TProd].[PU]" caption="PU" attribute="1" defaultMemberUniqueName="[TProd].[PU].[All]" allUniqueName="[TProd].[PU].[All]" dimensionUniqueName="[TProd]" displayFolder="" count="0" memberValueDatatype="5" unbalanced="0"/>
    <cacheHierarchy uniqueName="[TProd].[Productions]" caption="Productions" attribute="1" defaultMemberUniqueName="[TProd].[Productions].[All]" allUniqueName="[TProd].[Productions].[All]" dimensionUniqueName="[TProd]" displayFolder="" count="0" memberValueDatatype="5" unbalanced="0"/>
    <cacheHierarchy uniqueName="[TTypes].[Types]" caption="Types" attribute="1" defaultMemberUniqueName="[TTypes].[Types].[All]" allUniqueName="[TTypes].[Types].[All]" dimensionUniqueName="[TTypes]" displayFolder="" count="0" memberValueDatatype="130" unbalanced="0"/>
    <cacheHierarchy uniqueName="[TVentes].[Réf]" caption="Réf" attribute="1" defaultMemberUniqueName="[TVentes].[Réf].[All]" allUniqueName="[TVentes].[Réf].[All]" dimensionUniqueName="[TVentes]" displayFolder="" count="0" memberValueDatatype="130" unbalanced="0"/>
    <cacheHierarchy uniqueName="[TVentes].[Types]" caption="Types" attribute="1" defaultMemberUniqueName="[TVentes].[Types].[All]" allUniqueName="[TVentes].[Types].[All]" dimensionUniqueName="[TVentes]" displayFolder="" count="2" memberValueDatatype="130" unbalanced="0">
      <fieldsUsage count="2">
        <fieldUsage x="-1"/>
        <fieldUsage x="0"/>
      </fieldsUsage>
    </cacheHierarchy>
    <cacheHierarchy uniqueName="[TVentes].[Date]" caption="Date" attribute="1" defaultMemberUniqueName="[TVentes].[Date].[All]" allUniqueName="[TVentes].[Date].[All]" dimensionUniqueName="[TVentes]" displayFolder="" count="0" memberValueDatatype="130" unbalanced="0"/>
    <cacheHierarchy uniqueName="[TVentes].[Client]" caption="Client" attribute="1" defaultMemberUniqueName="[TVentes].[Client].[All]" allUniqueName="[TVentes].[Client].[All]" dimensionUniqueName="[TVentes]" displayFolder="" count="0" memberValueDatatype="130" unbalanced="0"/>
    <cacheHierarchy uniqueName="[TVentes].[Pays]" caption="Pays" attribute="1" defaultMemberUniqueName="[TVentes].[Pays].[All]" allUniqueName="[TVentes].[Pays].[All]" dimensionUniqueName="[TVentes]" displayFolder="" count="0" memberValueDatatype="130" unbalanced="0"/>
    <cacheHierarchy uniqueName="[TVentes].[Qté]" caption="Qté" attribute="1" defaultMemberUniqueName="[TVentes].[Qté].[All]" allUniqueName="[TVentes].[Qté].[All]" dimensionUniqueName="[TVentes]" displayFolder="" count="0" memberValueDatatype="20" unbalanced="0"/>
    <cacheHierarchy uniqueName="[TVentes].[PU]" caption="PU" attribute="1" defaultMemberUniqueName="[TVentes].[PU].[All]" allUniqueName="[TVentes].[PU].[All]" dimensionUniqueName="[TVentes]" displayFolder="" count="0" memberValueDatatype="20" unbalanced="0"/>
    <cacheHierarchy uniqueName="[TVentes].[MGA]" caption="MGA" attribute="1" defaultMemberUniqueName="[TVentes].[MGA].[All]" allUniqueName="[TVentes].[MGA].[All]" dimensionUniqueName="[TVentes]" displayFolder="" count="0" memberValueDatatype="5" unbalanced="0"/>
    <cacheHierarchy uniqueName="[TVentes].[USD]" caption="USD" attribute="1" defaultMemberUniqueName="[TVentes].[USD].[All]" allUniqueName="[TVentes].[USD].[All]" dimensionUniqueName="[TVentes]" displayFolder="" count="0" memberValueDatatype="5" unbalanced="0"/>
    <cacheHierarchy uniqueName="[TVentes].[EUR]" caption="EUR" attribute="1" defaultMemberUniqueName="[TVentes].[EUR].[All]" allUniqueName="[TVentes].[EUR].[All]" dimensionUniqueName="[TVentes]" displayFolder="" count="0" memberValueDatatype="5" unbalanced="0"/>
    <cacheHierarchy uniqueName="[Measures].[__XL_Count TAchats]" caption="__XL_Count TAchats" measure="1" displayFolder="" measureGroup="TAchats" count="0" hidden="1"/>
    <cacheHierarchy uniqueName="[Measures].[__XL_Count TLieuxAppro]" caption="__XL_Count TLieuxAppro" measure="1" displayFolder="" measureGroup="TLieuxAppro" count="0" hidden="1"/>
    <cacheHierarchy uniqueName="[Measures].[__XL_Count TProd]" caption="__XL_Count TProd" measure="1" displayFolder="" measureGroup="TProd" count="0" hidden="1"/>
    <cacheHierarchy uniqueName="[Measures].[__XL_Count TTypes]" caption="__XL_Count TTypes" measure="1" displayFolder="" measureGroup="TTypes" count="0" hidden="1"/>
    <cacheHierarchy uniqueName="[Measures].[__XL_Count TDate]" caption="__XL_Count TDate" measure="1" displayFolder="" measureGroup="TDate" count="0" hidden="1"/>
    <cacheHierarchy uniqueName="[Measures].[__XL_Count TVentes]" caption="__XL_Count TVentes" measure="1" displayFolder="" measureGroup="TVentes" count="0" hidden="1"/>
    <cacheHierarchy uniqueName="[Measures].[__XL_Count Tableau10]" caption="__XL_Count Tableau10" measure="1" displayFolder="" measureGroup="Tableau10" count="0" hidden="1"/>
    <cacheHierarchy uniqueName="[Measures].[__No measures defined]" caption="__No measures defined" measure="1" displayFolder="" count="0" hidden="1"/>
    <cacheHierarchy uniqueName="[Measures].[Somme de Valeur]" caption="Somme de Valeur" measure="1" displayFolder="" measureGroup="TAchat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Qté]" caption="Somme de Qté" measure="1" displayFolder="" measureGroup="TAchat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omme de Cout d'achat]" caption="Somme de Cout d'achat" measure="1" displayFolder="" measureGroup="T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té 2]" caption="Somme de Qté 2" measure="1" displayFolder="" measureGroup="TVent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omme de MGA]" caption="Somme de MGA" measure="1" displayFolder="" measureGroup="TVen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me de Quantité]" caption="Somme de Quantité" measure="1" displayFolder="" measureGroup="TProd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Nombre de Type]" caption="Nombre de Type" measure="1" displayFolder="" measureGroup="TAchat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Nombre de Qté]" caption="Nombre de Qté" measure="1" displayFolder="" measureGroup="TAchat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8">
    <dimension measure="1" name="Measures" uniqueName="[Measures]" caption="Measures"/>
    <dimension name="Tableau10" uniqueName="[Tableau10]" caption="Tableau10"/>
    <dimension name="TAchats" uniqueName="[TAchats]" caption="TAchats"/>
    <dimension name="TDate" uniqueName="[TDate]" caption="TDate"/>
    <dimension name="TLieuxAppro" uniqueName="[TLieuxAppro]" caption="TLieuxAppro"/>
    <dimension name="TProd" uniqueName="[TProd]" caption="TProd"/>
    <dimension name="TTypes" uniqueName="[TTypes]" caption="TTypes"/>
    <dimension name="TVentes" uniqueName="[TVentes]" caption="TVentes"/>
  </dimensions>
  <measureGroups count="7">
    <measureGroup name="Tableau10" caption="Tableau10"/>
    <measureGroup name="TAchats" caption="TAchats"/>
    <measureGroup name="TDate" caption="TDate"/>
    <measureGroup name="TLieuxAppro" caption="TLieuxAppro"/>
    <measureGroup name="TProd" caption="TProd"/>
    <measureGroup name="TTypes" caption="TTypes"/>
    <measureGroup name="TVentes" caption="TVentes"/>
  </measureGroups>
  <maps count="10">
    <map measureGroup="0" dimension="1"/>
    <map measureGroup="1" dimension="2"/>
    <map measureGroup="1" dimension="3"/>
    <map measureGroup="2" dimension="3"/>
    <map measureGroup="3" dimension="4"/>
    <map measureGroup="4" dimension="3"/>
    <map measureGroup="4" dimension="5"/>
    <map measureGroup="5" dimension="6"/>
    <map measureGroup="6" dimension="3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5411.646872800928" backgroundQuery="1" createdVersion="7" refreshedVersion="7" minRefreshableVersion="3" recordCount="0" supportSubquery="1" supportAdvancedDrill="1" xr:uid="{82DD8F3F-91B9-4B9F-93DF-792206088830}">
  <cacheSource type="external" connectionId="1"/>
  <cacheFields count="3">
    <cacheField name="[TAchats].[Type].[Type]" caption="Type" numFmtId="0" hierarchy="3" level="1">
      <sharedItems count="3">
        <s v="ABR GAZ"/>
        <s v="FP1 GAZ"/>
        <s v="TRA GAZ"/>
      </sharedItems>
    </cacheField>
    <cacheField name="[Measures].[Somme de Qté]" caption="Somme de Qté" numFmtId="0" hierarchy="40" level="32767"/>
    <cacheField name="[TDate].[Date].[Date]" caption="Date" numFmtId="0" hierarchy="12" level="1">
      <sharedItems containsSemiMixedTypes="0" containsNonDate="0" containsString="0"/>
    </cacheField>
  </cacheFields>
  <cacheHierarchies count="47">
    <cacheHierarchy uniqueName="[Tableau10].[Réf]" caption="Réf" attribute="1" defaultMemberUniqueName="[Tableau10].[Réf].[All]" allUniqueName="[Tableau10].[Réf].[All]" dimensionUniqueName="[Tableau10]" displayFolder="" count="0" memberValueDatatype="130" unbalanced="0"/>
    <cacheHierarchy uniqueName="[TAchats].[Date]" caption="Date" attribute="1" defaultMemberUniqueName="[TAchats].[Date].[All]" allUniqueName="[TAchats].[Date].[All]" dimensionUniqueName="[TAchats]" displayFolder="" count="0" memberValueDatatype="130" unbalanced="0"/>
    <cacheHierarchy uniqueName="[TAchats].[Réf]" caption="Réf" attribute="1" defaultMemberUniqueName="[TAchats].[Réf].[All]" allUniqueName="[TAchats].[Réf].[All]" dimensionUniqueName="[TAchats]" displayFolder="" count="0" memberValueDatatype="130" unbalanced="0"/>
    <cacheHierarchy uniqueName="[TAchats].[Type]" caption="Type" attribute="1" defaultMemberUniqueName="[TAchats].[Type].[All]" allUniqueName="[TAchats].[Type].[All]" dimensionUniqueName="[TAchats]" displayFolder="" count="2" memberValueDatatype="130" unbalanced="0">
      <fieldsUsage count="2">
        <fieldUsage x="-1"/>
        <fieldUsage x="0"/>
      </fieldsUsage>
    </cacheHierarchy>
    <cacheHierarchy uniqueName="[TAchats].[Lieux]" caption="Lieux" attribute="1" defaultMemberUniqueName="[TAchats].[Lieux].[All]" allUniqueName="[TAchats].[Lieux].[All]" dimensionUniqueName="[TAchats]" displayFolder="" count="0" memberValueDatatype="130" unbalanced="0"/>
    <cacheHierarchy uniqueName="[TAchats].[Qté]" caption="Qté" attribute="1" defaultMemberUniqueName="[TAchats].[Qté].[All]" allUniqueName="[TAchats].[Qté].[All]" dimensionUniqueName="[TAchats]" displayFolder="" count="0" memberValueDatatype="5" unbalanced="0"/>
    <cacheHierarchy uniqueName="[TAchats].[PU]" caption="PU" attribute="1" defaultMemberUniqueName="[TAchats].[PU].[All]" allUniqueName="[TAchats].[PU].[All]" dimensionUniqueName="[TAchats]" displayFolder="" count="0" memberValueDatatype="20" unbalanced="0"/>
    <cacheHierarchy uniqueName="[TAchats].[Valeur]" caption="Valeur" attribute="1" defaultMemberUniqueName="[TAchats].[Valeur].[All]" allUniqueName="[TAchats].[Valeur].[All]" dimensionUniqueName="[TAchats]" displayFolder="" count="0" memberValueDatatype="5" unbalanced="0"/>
    <cacheHierarchy uniqueName="[TAchats].[Transp U]" caption="Transp U" attribute="1" defaultMemberUniqueName="[TAchats].[Transp U].[All]" allUniqueName="[TAchats].[Transp U].[All]" dimensionUniqueName="[TAchats]" displayFolder="" count="0" memberValueDatatype="20" unbalanced="0"/>
    <cacheHierarchy uniqueName="[TAchats].[Transport]" caption="Transport" attribute="1" defaultMemberUniqueName="[TAchats].[Transport].[All]" allUniqueName="[TAchats].[Transport].[All]" dimensionUniqueName="[TAchats]" displayFolder="" count="0" memberValueDatatype="20" unbalanced="0"/>
    <cacheHierarchy uniqueName="[TAchats].[Cout d'achat]" caption="Cout d'achat" attribute="1" defaultMemberUniqueName="[TAchats].[Cout d'achat].[All]" allUniqueName="[TAchats].[Cout d'achat].[All]" dimensionUniqueName="[TAchats]" displayFolder="" count="0" memberValueDatatype="5" unbalanced="0"/>
    <cacheHierarchy uniqueName="[TAchats].[CA U]" caption="CA U" attribute="1" defaultMemberUniqueName="[TAchats].[CA U].[All]" allUniqueName="[TAchats].[CA U].[All]" dimensionUniqueName="[TAchats]" displayFolder="" count="0" memberValueDatatype="130" unbalanced="0"/>
    <cacheHierarchy uniqueName="[TDate].[Date]" caption="Date" attribute="1" defaultMemberUniqueName="[TDate].[Date].[All]" allUniqueName="[TDate].[Date].[All]" dimensionUniqueName="[TDate]" displayFolder="" count="2" memberValueDatatype="130" unbalanced="0">
      <fieldsUsage count="2">
        <fieldUsage x="-1"/>
        <fieldUsage x="2"/>
      </fieldsUsage>
    </cacheHierarchy>
    <cacheHierarchy uniqueName="[TLieuxAppro].[Lieux]" caption="Lieux" attribute="1" defaultMemberUniqueName="[TLieuxAppro].[Lieux].[All]" allUniqueName="[TLieuxAppro].[Lieux].[All]" dimensionUniqueName="[TLieuxAppro]" displayFolder="" count="0" memberValueDatatype="130" unbalanced="0"/>
    <cacheHierarchy uniqueName="[TProd].[Date]" caption="Date" attribute="1" defaultMemberUniqueName="[TProd].[Date].[All]" allUniqueName="[TProd].[Date].[All]" dimensionUniqueName="[TProd]" displayFolder="" count="0" memberValueDatatype="130" unbalanced="0"/>
    <cacheHierarchy uniqueName="[TProd].[Réf]" caption="Réf" attribute="1" defaultMemberUniqueName="[TProd].[Réf].[All]" allUniqueName="[TProd].[Réf].[All]" dimensionUniqueName="[TProd]" displayFolder="" count="0" memberValueDatatype="130" unbalanced="0"/>
    <cacheHierarchy uniqueName="[TProd].[Type]" caption="Type" attribute="1" defaultMemberUniqueName="[TProd].[Type].[All]" allUniqueName="[TProd].[Type].[All]" dimensionUniqueName="[TProd]" displayFolder="" count="0" memberValueDatatype="130" unbalanced="0"/>
    <cacheHierarchy uniqueName="[TProd].[Quantité]" caption="Quantité" attribute="1" defaultMemberUniqueName="[TProd].[Quantité].[All]" allUniqueName="[TProd].[Quantité].[All]" dimensionUniqueName="[TProd]" displayFolder="" count="0" memberValueDatatype="20" unbalanced="0"/>
    <cacheHierarchy uniqueName="[TProd].[PU]" caption="PU" attribute="1" defaultMemberUniqueName="[TProd].[PU].[All]" allUniqueName="[TProd].[PU].[All]" dimensionUniqueName="[TProd]" displayFolder="" count="0" memberValueDatatype="5" unbalanced="0"/>
    <cacheHierarchy uniqueName="[TProd].[Productions]" caption="Productions" attribute="1" defaultMemberUniqueName="[TProd].[Productions].[All]" allUniqueName="[TProd].[Productions].[All]" dimensionUniqueName="[TProd]" displayFolder="" count="0" memberValueDatatype="5" unbalanced="0"/>
    <cacheHierarchy uniqueName="[TTypes].[Types]" caption="Types" attribute="1" defaultMemberUniqueName="[TTypes].[Types].[All]" allUniqueName="[TTypes].[Types].[All]" dimensionUniqueName="[TTypes]" displayFolder="" count="0" memberValueDatatype="130" unbalanced="0"/>
    <cacheHierarchy uniqueName="[TVentes].[Réf]" caption="Réf" attribute="1" defaultMemberUniqueName="[TVentes].[Réf].[All]" allUniqueName="[TVentes].[Réf].[All]" dimensionUniqueName="[TVentes]" displayFolder="" count="0" memberValueDatatype="130" unbalanced="0"/>
    <cacheHierarchy uniqueName="[TVentes].[Types]" caption="Types" attribute="1" defaultMemberUniqueName="[TVentes].[Types].[All]" allUniqueName="[TVentes].[Types].[All]" dimensionUniqueName="[TVentes]" displayFolder="" count="0" memberValueDatatype="130" unbalanced="0"/>
    <cacheHierarchy uniqueName="[TVentes].[Date]" caption="Date" attribute="1" defaultMemberUniqueName="[TVentes].[Date].[All]" allUniqueName="[TVentes].[Date].[All]" dimensionUniqueName="[TVentes]" displayFolder="" count="0" memberValueDatatype="130" unbalanced="0"/>
    <cacheHierarchy uniqueName="[TVentes].[Client]" caption="Client" attribute="1" defaultMemberUniqueName="[TVentes].[Client].[All]" allUniqueName="[TVentes].[Client].[All]" dimensionUniqueName="[TVentes]" displayFolder="" count="0" memberValueDatatype="130" unbalanced="0"/>
    <cacheHierarchy uniqueName="[TVentes].[Pays]" caption="Pays" attribute="1" defaultMemberUniqueName="[TVentes].[Pays].[All]" allUniqueName="[TVentes].[Pays].[All]" dimensionUniqueName="[TVentes]" displayFolder="" count="0" memberValueDatatype="130" unbalanced="0"/>
    <cacheHierarchy uniqueName="[TVentes].[Qté]" caption="Qté" attribute="1" defaultMemberUniqueName="[TVentes].[Qté].[All]" allUniqueName="[TVentes].[Qté].[All]" dimensionUniqueName="[TVentes]" displayFolder="" count="0" memberValueDatatype="20" unbalanced="0"/>
    <cacheHierarchy uniqueName="[TVentes].[PU]" caption="PU" attribute="1" defaultMemberUniqueName="[TVentes].[PU].[All]" allUniqueName="[TVentes].[PU].[All]" dimensionUniqueName="[TVentes]" displayFolder="" count="0" memberValueDatatype="20" unbalanced="0"/>
    <cacheHierarchy uniqueName="[TVentes].[MGA]" caption="MGA" attribute="1" defaultMemberUniqueName="[TVentes].[MGA].[All]" allUniqueName="[TVentes].[MGA].[All]" dimensionUniqueName="[TVentes]" displayFolder="" count="0" memberValueDatatype="5" unbalanced="0"/>
    <cacheHierarchy uniqueName="[TVentes].[USD]" caption="USD" attribute="1" defaultMemberUniqueName="[TVentes].[USD].[All]" allUniqueName="[TVentes].[USD].[All]" dimensionUniqueName="[TVentes]" displayFolder="" count="0" memberValueDatatype="5" unbalanced="0"/>
    <cacheHierarchy uniqueName="[TVentes].[EUR]" caption="EUR" attribute="1" defaultMemberUniqueName="[TVentes].[EUR].[All]" allUniqueName="[TVentes].[EUR].[All]" dimensionUniqueName="[TVentes]" displayFolder="" count="0" memberValueDatatype="5" unbalanced="0"/>
    <cacheHierarchy uniqueName="[Measures].[__XL_Count TAchats]" caption="__XL_Count TAchats" measure="1" displayFolder="" measureGroup="TAchats" count="0" hidden="1"/>
    <cacheHierarchy uniqueName="[Measures].[__XL_Count TLieuxAppro]" caption="__XL_Count TLieuxAppro" measure="1" displayFolder="" measureGroup="TLieuxAppro" count="0" hidden="1"/>
    <cacheHierarchy uniqueName="[Measures].[__XL_Count TProd]" caption="__XL_Count TProd" measure="1" displayFolder="" measureGroup="TProd" count="0" hidden="1"/>
    <cacheHierarchy uniqueName="[Measures].[__XL_Count TTypes]" caption="__XL_Count TTypes" measure="1" displayFolder="" measureGroup="TTypes" count="0" hidden="1"/>
    <cacheHierarchy uniqueName="[Measures].[__XL_Count TDate]" caption="__XL_Count TDate" measure="1" displayFolder="" measureGroup="TDate" count="0" hidden="1"/>
    <cacheHierarchy uniqueName="[Measures].[__XL_Count TVentes]" caption="__XL_Count TVentes" measure="1" displayFolder="" measureGroup="TVentes" count="0" hidden="1"/>
    <cacheHierarchy uniqueName="[Measures].[__XL_Count Tableau10]" caption="__XL_Count Tableau10" measure="1" displayFolder="" measureGroup="Tableau10" count="0" hidden="1"/>
    <cacheHierarchy uniqueName="[Measures].[__No measures defined]" caption="__No measures defined" measure="1" displayFolder="" count="0" hidden="1"/>
    <cacheHierarchy uniqueName="[Measures].[Somme de Valeur]" caption="Somme de Valeur" measure="1" displayFolder="" measureGroup="TAchat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Qté]" caption="Somme de Qté" measure="1" displayFolder="" measureGroup="TAcha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omme de Cout d'achat]" caption="Somme de Cout d'achat" measure="1" displayFolder="" measureGroup="T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té 2]" caption="Somme de Qté 2" measure="1" displayFolder="" measureGroup="TVent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omme de MGA]" caption="Somme de MGA" measure="1" displayFolder="" measureGroup="TVent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me de Quantité]" caption="Somme de Quantité" measure="1" displayFolder="" measureGroup="TProd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Nombre de Type]" caption="Nombre de Type" measure="1" displayFolder="" measureGroup="TAchat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Nombre de Qté]" caption="Nombre de Qté" measure="1" displayFolder="" measureGroup="TAchat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8">
    <dimension measure="1" name="Measures" uniqueName="[Measures]" caption="Measures"/>
    <dimension name="Tableau10" uniqueName="[Tableau10]" caption="Tableau10"/>
    <dimension name="TAchats" uniqueName="[TAchats]" caption="TAchats"/>
    <dimension name="TDate" uniqueName="[TDate]" caption="TDate"/>
    <dimension name="TLieuxAppro" uniqueName="[TLieuxAppro]" caption="TLieuxAppro"/>
    <dimension name="TProd" uniqueName="[TProd]" caption="TProd"/>
    <dimension name="TTypes" uniqueName="[TTypes]" caption="TTypes"/>
    <dimension name="TVentes" uniqueName="[TVentes]" caption="TVentes"/>
  </dimensions>
  <measureGroups count="7">
    <measureGroup name="Tableau10" caption="Tableau10"/>
    <measureGroup name="TAchats" caption="TAchats"/>
    <measureGroup name="TDate" caption="TDate"/>
    <measureGroup name="TLieuxAppro" caption="TLieuxAppro"/>
    <measureGroup name="TProd" caption="TProd"/>
    <measureGroup name="TTypes" caption="TTypes"/>
    <measureGroup name="TVentes" caption="TVentes"/>
  </measureGroups>
  <maps count="10">
    <map measureGroup="0" dimension="1"/>
    <map measureGroup="1" dimension="2"/>
    <map measureGroup="1" dimension="3"/>
    <map measureGroup="2" dimension="3"/>
    <map measureGroup="3" dimension="4"/>
    <map measureGroup="4" dimension="3"/>
    <map measureGroup="4" dimension="5"/>
    <map measureGroup="5" dimension="6"/>
    <map measureGroup="6" dimension="3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5411.646874652775" backgroundQuery="1" createdVersion="7" refreshedVersion="7" minRefreshableVersion="3" recordCount="0" supportSubquery="1" supportAdvancedDrill="1" xr:uid="{7F4F386E-5025-4A8F-B3EC-F9A3A09E88B7}">
  <cacheSource type="external" connectionId="1"/>
  <cacheFields count="3">
    <cacheField name="[TAchats].[Date].[Date]" caption="Date" numFmtId="0" hierarchy="1" level="1">
      <sharedItems count="12">
        <s v="Août"/>
        <s v="Avril"/>
        <s v="Décembre"/>
        <s v="Février"/>
        <s v="Janvier"/>
        <s v="Juillet"/>
        <s v="Juin"/>
        <s v="Mai"/>
        <s v="Mars"/>
        <s v="Novembre"/>
        <s v="Octobre"/>
        <s v="Septembre"/>
      </sharedItems>
    </cacheField>
    <cacheField name="[TAchats].[Lieux].[Lieux]" caption="Lieux" numFmtId="0" hierarchy="4" level="1">
      <sharedItems count="4">
        <s v="Ampandrandava"/>
        <s v="Autres"/>
        <s v="Fort dauphin"/>
        <s v="Tranomaro"/>
      </sharedItems>
    </cacheField>
    <cacheField name="[Measures].[Somme de Qté]" caption="Somme de Qté" numFmtId="0" hierarchy="40" level="32767"/>
  </cacheFields>
  <cacheHierarchies count="47">
    <cacheHierarchy uniqueName="[Tableau10].[Réf]" caption="Réf" attribute="1" defaultMemberUniqueName="[Tableau10].[Réf].[All]" allUniqueName="[Tableau10].[Réf].[All]" dimensionUniqueName="[Tableau10]" displayFolder="" count="0" memberValueDatatype="130" unbalanced="0"/>
    <cacheHierarchy uniqueName="[TAchats].[Date]" caption="Date" attribute="1" defaultMemberUniqueName="[TAchats].[Date].[All]" allUniqueName="[TAchats].[Date].[All]" dimensionUniqueName="[TAchats]" displayFolder="" count="2" memberValueDatatype="130" unbalanced="0">
      <fieldsUsage count="2">
        <fieldUsage x="-1"/>
        <fieldUsage x="0"/>
      </fieldsUsage>
    </cacheHierarchy>
    <cacheHierarchy uniqueName="[TAchats].[Réf]" caption="Réf" attribute="1" defaultMemberUniqueName="[TAchats].[Réf].[All]" allUniqueName="[TAchats].[Réf].[All]" dimensionUniqueName="[TAchats]" displayFolder="" count="0" memberValueDatatype="130" unbalanced="0"/>
    <cacheHierarchy uniqueName="[TAchats].[Type]" caption="Type" attribute="1" defaultMemberUniqueName="[TAchats].[Type].[All]" allUniqueName="[TAchats].[Type].[All]" dimensionUniqueName="[TAchats]" displayFolder="" count="0" memberValueDatatype="130" unbalanced="0"/>
    <cacheHierarchy uniqueName="[TAchats].[Lieux]" caption="Lieux" attribute="1" defaultMemberUniqueName="[TAchats].[Lieux].[All]" allUniqueName="[TAchats].[Lieux].[All]" dimensionUniqueName="[TAchats]" displayFolder="" count="2" memberValueDatatype="130" unbalanced="0">
      <fieldsUsage count="2">
        <fieldUsage x="-1"/>
        <fieldUsage x="1"/>
      </fieldsUsage>
    </cacheHierarchy>
    <cacheHierarchy uniqueName="[TAchats].[Qté]" caption="Qté" attribute="1" defaultMemberUniqueName="[TAchats].[Qté].[All]" allUniqueName="[TAchats].[Qté].[All]" dimensionUniqueName="[TAchats]" displayFolder="" count="0" memberValueDatatype="5" unbalanced="0"/>
    <cacheHierarchy uniqueName="[TAchats].[PU]" caption="PU" attribute="1" defaultMemberUniqueName="[TAchats].[PU].[All]" allUniqueName="[TAchats].[PU].[All]" dimensionUniqueName="[TAchats]" displayFolder="" count="0" memberValueDatatype="20" unbalanced="0"/>
    <cacheHierarchy uniqueName="[TAchats].[Valeur]" caption="Valeur" attribute="1" defaultMemberUniqueName="[TAchats].[Valeur].[All]" allUniqueName="[TAchats].[Valeur].[All]" dimensionUniqueName="[TAchats]" displayFolder="" count="0" memberValueDatatype="5" unbalanced="0"/>
    <cacheHierarchy uniqueName="[TAchats].[Transp U]" caption="Transp U" attribute="1" defaultMemberUniqueName="[TAchats].[Transp U].[All]" allUniqueName="[TAchats].[Transp U].[All]" dimensionUniqueName="[TAchats]" displayFolder="" count="0" memberValueDatatype="20" unbalanced="0"/>
    <cacheHierarchy uniqueName="[TAchats].[Transport]" caption="Transport" attribute="1" defaultMemberUniqueName="[TAchats].[Transport].[All]" allUniqueName="[TAchats].[Transport].[All]" dimensionUniqueName="[TAchats]" displayFolder="" count="0" memberValueDatatype="20" unbalanced="0"/>
    <cacheHierarchy uniqueName="[TAchats].[Cout d'achat]" caption="Cout d'achat" attribute="1" defaultMemberUniqueName="[TAchats].[Cout d'achat].[All]" allUniqueName="[TAchats].[Cout d'achat].[All]" dimensionUniqueName="[TAchats]" displayFolder="" count="0" memberValueDatatype="5" unbalanced="0"/>
    <cacheHierarchy uniqueName="[TAchats].[CA U]" caption="CA U" attribute="1" defaultMemberUniqueName="[TAchats].[CA U].[All]" allUniqueName="[TAchats].[CA U].[All]" dimensionUniqueName="[TAchats]" displayFolder="" count="0" memberValueDatatype="130" unbalanced="0"/>
    <cacheHierarchy uniqueName="[TDate].[Date]" caption="Date" attribute="1" defaultMemberUniqueName="[TDate].[Date].[All]" allUniqueName="[TDate].[Date].[All]" dimensionUniqueName="[TDate]" displayFolder="" count="0" memberValueDatatype="130" unbalanced="0"/>
    <cacheHierarchy uniqueName="[TLieuxAppro].[Lieux]" caption="Lieux" attribute="1" defaultMemberUniqueName="[TLieuxAppro].[Lieux].[All]" allUniqueName="[TLieuxAppro].[Lieux].[All]" dimensionUniqueName="[TLieuxAppro]" displayFolder="" count="0" memberValueDatatype="130" unbalanced="0"/>
    <cacheHierarchy uniqueName="[TProd].[Date]" caption="Date" attribute="1" defaultMemberUniqueName="[TProd].[Date].[All]" allUniqueName="[TProd].[Date].[All]" dimensionUniqueName="[TProd]" displayFolder="" count="0" memberValueDatatype="130" unbalanced="0"/>
    <cacheHierarchy uniqueName="[TProd].[Réf]" caption="Réf" attribute="1" defaultMemberUniqueName="[TProd].[Réf].[All]" allUniqueName="[TProd].[Réf].[All]" dimensionUniqueName="[TProd]" displayFolder="" count="0" memberValueDatatype="130" unbalanced="0"/>
    <cacheHierarchy uniqueName="[TProd].[Type]" caption="Type" attribute="1" defaultMemberUniqueName="[TProd].[Type].[All]" allUniqueName="[TProd].[Type].[All]" dimensionUniqueName="[TProd]" displayFolder="" count="0" memberValueDatatype="130" unbalanced="0"/>
    <cacheHierarchy uniqueName="[TProd].[Quantité]" caption="Quantité" attribute="1" defaultMemberUniqueName="[TProd].[Quantité].[All]" allUniqueName="[TProd].[Quantité].[All]" dimensionUniqueName="[TProd]" displayFolder="" count="0" memberValueDatatype="20" unbalanced="0"/>
    <cacheHierarchy uniqueName="[TProd].[PU]" caption="PU" attribute="1" defaultMemberUniqueName="[TProd].[PU].[All]" allUniqueName="[TProd].[PU].[All]" dimensionUniqueName="[TProd]" displayFolder="" count="0" memberValueDatatype="5" unbalanced="0"/>
    <cacheHierarchy uniqueName="[TProd].[Productions]" caption="Productions" attribute="1" defaultMemberUniqueName="[TProd].[Productions].[All]" allUniqueName="[TProd].[Productions].[All]" dimensionUniqueName="[TProd]" displayFolder="" count="0" memberValueDatatype="5" unbalanced="0"/>
    <cacheHierarchy uniqueName="[TTypes].[Types]" caption="Types" attribute="1" defaultMemberUniqueName="[TTypes].[Types].[All]" allUniqueName="[TTypes].[Types].[All]" dimensionUniqueName="[TTypes]" displayFolder="" count="0" memberValueDatatype="130" unbalanced="0"/>
    <cacheHierarchy uniqueName="[TVentes].[Réf]" caption="Réf" attribute="1" defaultMemberUniqueName="[TVentes].[Réf].[All]" allUniqueName="[TVentes].[Réf].[All]" dimensionUniqueName="[TVentes]" displayFolder="" count="0" memberValueDatatype="130" unbalanced="0"/>
    <cacheHierarchy uniqueName="[TVentes].[Types]" caption="Types" attribute="1" defaultMemberUniqueName="[TVentes].[Types].[All]" allUniqueName="[TVentes].[Types].[All]" dimensionUniqueName="[TVentes]" displayFolder="" count="0" memberValueDatatype="130" unbalanced="0"/>
    <cacheHierarchy uniqueName="[TVentes].[Date]" caption="Date" attribute="1" defaultMemberUniqueName="[TVentes].[Date].[All]" allUniqueName="[TVentes].[Date].[All]" dimensionUniqueName="[TVentes]" displayFolder="" count="0" memberValueDatatype="130" unbalanced="0"/>
    <cacheHierarchy uniqueName="[TVentes].[Client]" caption="Client" attribute="1" defaultMemberUniqueName="[TVentes].[Client].[All]" allUniqueName="[TVentes].[Client].[All]" dimensionUniqueName="[TVentes]" displayFolder="" count="0" memberValueDatatype="130" unbalanced="0"/>
    <cacheHierarchy uniqueName="[TVentes].[Pays]" caption="Pays" attribute="1" defaultMemberUniqueName="[TVentes].[Pays].[All]" allUniqueName="[TVentes].[Pays].[All]" dimensionUniqueName="[TVentes]" displayFolder="" count="0" memberValueDatatype="130" unbalanced="0"/>
    <cacheHierarchy uniqueName="[TVentes].[Qté]" caption="Qté" attribute="1" defaultMemberUniqueName="[TVentes].[Qté].[All]" allUniqueName="[TVentes].[Qté].[All]" dimensionUniqueName="[TVentes]" displayFolder="" count="0" memberValueDatatype="20" unbalanced="0"/>
    <cacheHierarchy uniqueName="[TVentes].[PU]" caption="PU" attribute="1" defaultMemberUniqueName="[TVentes].[PU].[All]" allUniqueName="[TVentes].[PU].[All]" dimensionUniqueName="[TVentes]" displayFolder="" count="0" memberValueDatatype="20" unbalanced="0"/>
    <cacheHierarchy uniqueName="[TVentes].[MGA]" caption="MGA" attribute="1" defaultMemberUniqueName="[TVentes].[MGA].[All]" allUniqueName="[TVentes].[MGA].[All]" dimensionUniqueName="[TVentes]" displayFolder="" count="0" memberValueDatatype="5" unbalanced="0"/>
    <cacheHierarchy uniqueName="[TVentes].[USD]" caption="USD" attribute="1" defaultMemberUniqueName="[TVentes].[USD].[All]" allUniqueName="[TVentes].[USD].[All]" dimensionUniqueName="[TVentes]" displayFolder="" count="0" memberValueDatatype="5" unbalanced="0"/>
    <cacheHierarchy uniqueName="[TVentes].[EUR]" caption="EUR" attribute="1" defaultMemberUniqueName="[TVentes].[EUR].[All]" allUniqueName="[TVentes].[EUR].[All]" dimensionUniqueName="[TVentes]" displayFolder="" count="0" memberValueDatatype="5" unbalanced="0"/>
    <cacheHierarchy uniqueName="[Measures].[__XL_Count TAchats]" caption="__XL_Count TAchats" measure="1" displayFolder="" measureGroup="TAchats" count="0" hidden="1"/>
    <cacheHierarchy uniqueName="[Measures].[__XL_Count TLieuxAppro]" caption="__XL_Count TLieuxAppro" measure="1" displayFolder="" measureGroup="TLieuxAppro" count="0" hidden="1"/>
    <cacheHierarchy uniqueName="[Measures].[__XL_Count TProd]" caption="__XL_Count TProd" measure="1" displayFolder="" measureGroup="TProd" count="0" hidden="1"/>
    <cacheHierarchy uniqueName="[Measures].[__XL_Count TTypes]" caption="__XL_Count TTypes" measure="1" displayFolder="" measureGroup="TTypes" count="0" hidden="1"/>
    <cacheHierarchy uniqueName="[Measures].[__XL_Count TDate]" caption="__XL_Count TDate" measure="1" displayFolder="" measureGroup="TDate" count="0" hidden="1"/>
    <cacheHierarchy uniqueName="[Measures].[__XL_Count TVentes]" caption="__XL_Count TVentes" measure="1" displayFolder="" measureGroup="TVentes" count="0" hidden="1"/>
    <cacheHierarchy uniqueName="[Measures].[__XL_Count Tableau10]" caption="__XL_Count Tableau10" measure="1" displayFolder="" measureGroup="Tableau10" count="0" hidden="1"/>
    <cacheHierarchy uniqueName="[Measures].[__No measures defined]" caption="__No measures defined" measure="1" displayFolder="" count="0" hidden="1"/>
    <cacheHierarchy uniqueName="[Measures].[Somme de Valeur]" caption="Somme de Valeur" measure="1" displayFolder="" measureGroup="TAchat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Qté]" caption="Somme de Qté" measure="1" displayFolder="" measureGroup="TAchat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omme de Cout d'achat]" caption="Somme de Cout d'achat" measure="1" displayFolder="" measureGroup="T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té 2]" caption="Somme de Qté 2" measure="1" displayFolder="" measureGroup="TVent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omme de MGA]" caption="Somme de MGA" measure="1" displayFolder="" measureGroup="TVent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me de Quantité]" caption="Somme de Quantité" measure="1" displayFolder="" measureGroup="TProd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Nombre de Type]" caption="Nombre de Type" measure="1" displayFolder="" measureGroup="TAchat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Nombre de Qté]" caption="Nombre de Qté" measure="1" displayFolder="" measureGroup="TAchat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8">
    <dimension measure="1" name="Measures" uniqueName="[Measures]" caption="Measures"/>
    <dimension name="Tableau10" uniqueName="[Tableau10]" caption="Tableau10"/>
    <dimension name="TAchats" uniqueName="[TAchats]" caption="TAchats"/>
    <dimension name="TDate" uniqueName="[TDate]" caption="TDate"/>
    <dimension name="TLieuxAppro" uniqueName="[TLieuxAppro]" caption="TLieuxAppro"/>
    <dimension name="TProd" uniqueName="[TProd]" caption="TProd"/>
    <dimension name="TTypes" uniqueName="[TTypes]" caption="TTypes"/>
    <dimension name="TVentes" uniqueName="[TVentes]" caption="TVentes"/>
  </dimensions>
  <measureGroups count="7">
    <measureGroup name="Tableau10" caption="Tableau10"/>
    <measureGroup name="TAchats" caption="TAchats"/>
    <measureGroup name="TDate" caption="TDate"/>
    <measureGroup name="TLieuxAppro" caption="TLieuxAppro"/>
    <measureGroup name="TProd" caption="TProd"/>
    <measureGroup name="TTypes" caption="TTypes"/>
    <measureGroup name="TVentes" caption="TVentes"/>
  </measureGroups>
  <maps count="10">
    <map measureGroup="0" dimension="1"/>
    <map measureGroup="1" dimension="2"/>
    <map measureGroup="1" dimension="3"/>
    <map measureGroup="2" dimension="3"/>
    <map measureGroup="3" dimension="4"/>
    <map measureGroup="4" dimension="3"/>
    <map measureGroup="4" dimension="5"/>
    <map measureGroup="5" dimension="6"/>
    <map measureGroup="6" dimension="3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5411.646875694445" backgroundQuery="1" createdVersion="7" refreshedVersion="7" minRefreshableVersion="3" recordCount="0" supportSubquery="1" supportAdvancedDrill="1" xr:uid="{84CE4E02-3E05-4D7F-B3C2-00AB2DA64230}">
  <cacheSource type="external" connectionId="1"/>
  <cacheFields count="3">
    <cacheField name="[TVentes].[Date].[Date]" caption="Date" numFmtId="0" hierarchy="23" level="1">
      <sharedItems count="12">
        <s v="Août"/>
        <s v="Avril"/>
        <s v="Décembre"/>
        <s v="Février"/>
        <s v="Janvier"/>
        <s v="Juillet"/>
        <s v="Juin"/>
        <s v="Mai"/>
        <s v="Mars"/>
        <s v="Novembre"/>
        <s v="Octobre"/>
        <s v="Septembre"/>
      </sharedItems>
    </cacheField>
    <cacheField name="[Measures].[Somme de MGA]" caption="Somme de MGA" numFmtId="0" hierarchy="43" level="32767"/>
    <cacheField name="Unsupported0" numFmtId="0" hierarchy="47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48">
    <cacheHierarchy uniqueName="[Tableau10].[Réf]" caption="Réf" attribute="1" defaultMemberUniqueName="[Tableau10].[Réf].[All]" allUniqueName="[Tableau10].[Réf].[All]" dimensionUniqueName="[Tableau10]" displayFolder="" count="0" memberValueDatatype="130" unbalanced="0"/>
    <cacheHierarchy uniqueName="[TAchats].[Date]" caption="Date" attribute="1" defaultMemberUniqueName="[TAchats].[Date].[All]" allUniqueName="[TAchats].[Date].[All]" dimensionUniqueName="[TAchats]" displayFolder="" count="0" memberValueDatatype="130" unbalanced="0"/>
    <cacheHierarchy uniqueName="[TAchats].[Réf]" caption="Réf" attribute="1" defaultMemberUniqueName="[TAchats].[Réf].[All]" allUniqueName="[TAchats].[Réf].[All]" dimensionUniqueName="[TAchats]" displayFolder="" count="0" memberValueDatatype="130" unbalanced="0"/>
    <cacheHierarchy uniqueName="[TAchats].[Type]" caption="Type" attribute="1" defaultMemberUniqueName="[TAchats].[Type].[All]" allUniqueName="[TAchats].[Type].[All]" dimensionUniqueName="[TAchats]" displayFolder="" count="0" memberValueDatatype="130" unbalanced="0"/>
    <cacheHierarchy uniqueName="[TAchats].[Lieux]" caption="Lieux" attribute="1" defaultMemberUniqueName="[TAchats].[Lieux].[All]" allUniqueName="[TAchats].[Lieux].[All]" dimensionUniqueName="[TAchats]" displayFolder="" count="0" memberValueDatatype="130" unbalanced="0"/>
    <cacheHierarchy uniqueName="[TAchats].[Qté]" caption="Qté" attribute="1" defaultMemberUniqueName="[TAchats].[Qté].[All]" allUniqueName="[TAchats].[Qté].[All]" dimensionUniqueName="[TAchats]" displayFolder="" count="0" memberValueDatatype="5" unbalanced="0"/>
    <cacheHierarchy uniqueName="[TAchats].[PU]" caption="PU" attribute="1" defaultMemberUniqueName="[TAchats].[PU].[All]" allUniqueName="[TAchats].[PU].[All]" dimensionUniqueName="[TAchats]" displayFolder="" count="0" memberValueDatatype="20" unbalanced="0"/>
    <cacheHierarchy uniqueName="[TAchats].[Valeur]" caption="Valeur" attribute="1" defaultMemberUniqueName="[TAchats].[Valeur].[All]" allUniqueName="[TAchats].[Valeur].[All]" dimensionUniqueName="[TAchats]" displayFolder="" count="0" memberValueDatatype="5" unbalanced="0"/>
    <cacheHierarchy uniqueName="[TAchats].[Transp U]" caption="Transp U" attribute="1" defaultMemberUniqueName="[TAchats].[Transp U].[All]" allUniqueName="[TAchats].[Transp U].[All]" dimensionUniqueName="[TAchats]" displayFolder="" count="0" memberValueDatatype="20" unbalanced="0"/>
    <cacheHierarchy uniqueName="[TAchats].[Transport]" caption="Transport" attribute="1" defaultMemberUniqueName="[TAchats].[Transport].[All]" allUniqueName="[TAchats].[Transport].[All]" dimensionUniqueName="[TAchats]" displayFolder="" count="0" memberValueDatatype="20" unbalanced="0"/>
    <cacheHierarchy uniqueName="[TAchats].[Cout d'achat]" caption="Cout d'achat" attribute="1" defaultMemberUniqueName="[TAchats].[Cout d'achat].[All]" allUniqueName="[TAchats].[Cout d'achat].[All]" dimensionUniqueName="[TAchats]" displayFolder="" count="0" memberValueDatatype="5" unbalanced="0"/>
    <cacheHierarchy uniqueName="[TAchats].[CA U]" caption="CA U" attribute="1" defaultMemberUniqueName="[TAchats].[CA U].[All]" allUniqueName="[TAchats].[CA U].[All]" dimensionUniqueName="[TAchats]" displayFolder="" count="0" memberValueDatatype="130" unbalanced="0"/>
    <cacheHierarchy uniqueName="[TDate].[Date]" caption="Date" attribute="1" defaultMemberUniqueName="[TDate].[Date].[All]" allUniqueName="[TDate].[Date].[All]" dimensionUniqueName="[TDate]" displayFolder="" count="0" memberValueDatatype="130" unbalanced="0"/>
    <cacheHierarchy uniqueName="[TLieuxAppro].[Lieux]" caption="Lieux" attribute="1" defaultMemberUniqueName="[TLieuxAppro].[Lieux].[All]" allUniqueName="[TLieuxAppro].[Lieux].[All]" dimensionUniqueName="[TLieuxAppro]" displayFolder="" count="0" memberValueDatatype="130" unbalanced="0"/>
    <cacheHierarchy uniqueName="[TProd].[Date]" caption="Date" attribute="1" defaultMemberUniqueName="[TProd].[Date].[All]" allUniqueName="[TProd].[Date].[All]" dimensionUniqueName="[TProd]" displayFolder="" count="0" memberValueDatatype="130" unbalanced="0"/>
    <cacheHierarchy uniqueName="[TProd].[Réf]" caption="Réf" attribute="1" defaultMemberUniqueName="[TProd].[Réf].[All]" allUniqueName="[TProd].[Réf].[All]" dimensionUniqueName="[TProd]" displayFolder="" count="0" memberValueDatatype="130" unbalanced="0"/>
    <cacheHierarchy uniqueName="[TProd].[Type]" caption="Type" attribute="1" defaultMemberUniqueName="[TProd].[Type].[All]" allUniqueName="[TProd].[Type].[All]" dimensionUniqueName="[TProd]" displayFolder="" count="0" memberValueDatatype="130" unbalanced="0"/>
    <cacheHierarchy uniqueName="[TProd].[Quantité]" caption="Quantité" attribute="1" defaultMemberUniqueName="[TProd].[Quantité].[All]" allUniqueName="[TProd].[Quantité].[All]" dimensionUniqueName="[TProd]" displayFolder="" count="0" memberValueDatatype="20" unbalanced="0"/>
    <cacheHierarchy uniqueName="[TProd].[PU]" caption="PU" attribute="1" defaultMemberUniqueName="[TProd].[PU].[All]" allUniqueName="[TProd].[PU].[All]" dimensionUniqueName="[TProd]" displayFolder="" count="0" memberValueDatatype="5" unbalanced="0"/>
    <cacheHierarchy uniqueName="[TProd].[Productions]" caption="Productions" attribute="1" defaultMemberUniqueName="[TProd].[Productions].[All]" allUniqueName="[TProd].[Productions].[All]" dimensionUniqueName="[TProd]" displayFolder="" count="0" memberValueDatatype="5" unbalanced="0"/>
    <cacheHierarchy uniqueName="[TTypes].[Types]" caption="Types" attribute="1" defaultMemberUniqueName="[TTypes].[Types].[All]" allUniqueName="[TTypes].[Types].[All]" dimensionUniqueName="[TTypes]" displayFolder="" count="0" memberValueDatatype="130" unbalanced="0"/>
    <cacheHierarchy uniqueName="[TVentes].[Réf]" caption="Réf" attribute="1" defaultMemberUniqueName="[TVentes].[Réf].[All]" allUniqueName="[TVentes].[Réf].[All]" dimensionUniqueName="[TVentes]" displayFolder="" count="0" memberValueDatatype="130" unbalanced="0"/>
    <cacheHierarchy uniqueName="[TVentes].[Types]" caption="Types" attribute="1" defaultMemberUniqueName="[TVentes].[Types].[All]" allUniqueName="[TVentes].[Types].[All]" dimensionUniqueName="[TVentes]" displayFolder="" count="0" memberValueDatatype="130" unbalanced="0"/>
    <cacheHierarchy uniqueName="[TVentes].[Date]" caption="Date" attribute="1" defaultMemberUniqueName="[TVentes].[Date].[All]" allUniqueName="[TVentes].[Date].[All]" dimensionUniqueName="[TVentes]" displayFolder="" count="2" memberValueDatatype="130" unbalanced="0">
      <fieldsUsage count="2">
        <fieldUsage x="-1"/>
        <fieldUsage x="0"/>
      </fieldsUsage>
    </cacheHierarchy>
    <cacheHierarchy uniqueName="[TVentes].[Client]" caption="Client" attribute="1" defaultMemberUniqueName="[TVentes].[Client].[All]" allUniqueName="[TVentes].[Client].[All]" dimensionUniqueName="[TVentes]" displayFolder="" count="0" memberValueDatatype="130" unbalanced="0"/>
    <cacheHierarchy uniqueName="[TVentes].[Pays]" caption="Pays" attribute="1" defaultMemberUniqueName="[TVentes].[Pays].[All]" allUniqueName="[TVentes].[Pays].[All]" dimensionUniqueName="[TVentes]" displayFolder="" count="0" memberValueDatatype="130" unbalanced="0"/>
    <cacheHierarchy uniqueName="[TVentes].[Qté]" caption="Qté" attribute="1" defaultMemberUniqueName="[TVentes].[Qté].[All]" allUniqueName="[TVentes].[Qté].[All]" dimensionUniqueName="[TVentes]" displayFolder="" count="0" memberValueDatatype="20" unbalanced="0"/>
    <cacheHierarchy uniqueName="[TVentes].[PU]" caption="PU" attribute="1" defaultMemberUniqueName="[TVentes].[PU].[All]" allUniqueName="[TVentes].[PU].[All]" dimensionUniqueName="[TVentes]" displayFolder="" count="0" memberValueDatatype="20" unbalanced="0"/>
    <cacheHierarchy uniqueName="[TVentes].[MGA]" caption="MGA" attribute="1" defaultMemberUniqueName="[TVentes].[MGA].[All]" allUniqueName="[TVentes].[MGA].[All]" dimensionUniqueName="[TVentes]" displayFolder="" count="0" memberValueDatatype="5" unbalanced="0"/>
    <cacheHierarchy uniqueName="[TVentes].[USD]" caption="USD" attribute="1" defaultMemberUniqueName="[TVentes].[USD].[All]" allUniqueName="[TVentes].[USD].[All]" dimensionUniqueName="[TVentes]" displayFolder="" count="0" memberValueDatatype="5" unbalanced="0"/>
    <cacheHierarchy uniqueName="[TVentes].[EUR]" caption="EUR" attribute="1" defaultMemberUniqueName="[TVentes].[EUR].[All]" allUniqueName="[TVentes].[EUR].[All]" dimensionUniqueName="[TVentes]" displayFolder="" count="0" memberValueDatatype="5" unbalanced="0"/>
    <cacheHierarchy uniqueName="[Measures].[__XL_Count TAchats]" caption="__XL_Count TAchats" measure="1" displayFolder="" measureGroup="TAchats" count="0" hidden="1"/>
    <cacheHierarchy uniqueName="[Measures].[__XL_Count TLieuxAppro]" caption="__XL_Count TLieuxAppro" measure="1" displayFolder="" measureGroup="TLieuxAppro" count="0" hidden="1"/>
    <cacheHierarchy uniqueName="[Measures].[__XL_Count TProd]" caption="__XL_Count TProd" measure="1" displayFolder="" measureGroup="TProd" count="0" hidden="1"/>
    <cacheHierarchy uniqueName="[Measures].[__XL_Count TTypes]" caption="__XL_Count TTypes" measure="1" displayFolder="" measureGroup="TTypes" count="0" hidden="1"/>
    <cacheHierarchy uniqueName="[Measures].[__XL_Count TDate]" caption="__XL_Count TDate" measure="1" displayFolder="" measureGroup="TDate" count="0" hidden="1"/>
    <cacheHierarchy uniqueName="[Measures].[__XL_Count TVentes]" caption="__XL_Count TVentes" measure="1" displayFolder="" measureGroup="TVentes" count="0" hidden="1"/>
    <cacheHierarchy uniqueName="[Measures].[__XL_Count Tableau10]" caption="__XL_Count Tableau10" measure="1" displayFolder="" measureGroup="Tableau10" count="0" hidden="1"/>
    <cacheHierarchy uniqueName="[Measures].[__No measures defined]" caption="__No measures defined" measure="1" displayFolder="" count="0" hidden="1"/>
    <cacheHierarchy uniqueName="[Measures].[Somme de Valeur]" caption="Somme de Valeur" measure="1" displayFolder="" measureGroup="TAchat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Qté]" caption="Somme de Qté" measure="1" displayFolder="" measureGroup="TAchat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omme de Cout d'achat]" caption="Somme de Cout d'achat" measure="1" displayFolder="" measureGroup="T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té 2]" caption="Somme de Qté 2" measure="1" displayFolder="" measureGroup="TVent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omme de MGA]" caption="Somme de MGA" measure="1" displayFolder="" measureGroup="TVen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me de Quantité]" caption="Somme de Quantité" measure="1" displayFolder="" measureGroup="TProd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Nombre de Type]" caption="Nombre de Type" measure="1" displayFolder="" measureGroup="TAchat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Nombre de Qté]" caption="Nombre de Qté" measure="1" displayFolder="" measureGroup="TAchat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Unsupported0" caption="Réf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8">
    <dimension measure="1" name="Measures" uniqueName="[Measures]" caption="Measures"/>
    <dimension name="Tableau10" uniqueName="[Tableau10]" caption="Tableau10"/>
    <dimension name="TAchats" uniqueName="[TAchats]" caption="TAchats"/>
    <dimension name="TDate" uniqueName="[TDate]" caption="TDate"/>
    <dimension name="TLieuxAppro" uniqueName="[TLieuxAppro]" caption="TLieuxAppro"/>
    <dimension name="TProd" uniqueName="[TProd]" caption="TProd"/>
    <dimension name="TTypes" uniqueName="[TTypes]" caption="TTypes"/>
    <dimension name="TVentes" uniqueName="[TVentes]" caption="TVentes"/>
  </dimensions>
  <measureGroups count="7">
    <measureGroup name="Tableau10" caption="Tableau10"/>
    <measureGroup name="TAchats" caption="TAchats"/>
    <measureGroup name="TDate" caption="TDate"/>
    <measureGroup name="TLieuxAppro" caption="TLieuxAppro"/>
    <measureGroup name="TProd" caption="TProd"/>
    <measureGroup name="TTypes" caption="TTypes"/>
    <measureGroup name="TVentes" caption="TVentes"/>
  </measureGroups>
  <maps count="10">
    <map measureGroup="0" dimension="1"/>
    <map measureGroup="1" dimension="2"/>
    <map measureGroup="1" dimension="3"/>
    <map measureGroup="2" dimension="3"/>
    <map measureGroup="3" dimension="4"/>
    <map measureGroup="4" dimension="3"/>
    <map measureGroup="4" dimension="5"/>
    <map measureGroup="5" dimension="6"/>
    <map measureGroup="6" dimension="3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5411.646876851853" backgroundQuery="1" createdVersion="7" refreshedVersion="7" minRefreshableVersion="3" recordCount="0" supportSubquery="1" supportAdvancedDrill="1" xr:uid="{9CA6EFA9-6C69-44F3-B3D6-C8B7F06E8D9A}">
  <cacheSource type="external" connectionId="1"/>
  <cacheFields count="2">
    <cacheField name="[TVentes].[Date].[Date]" caption="Date" numFmtId="0" hierarchy="23" level="1">
      <sharedItems count="12">
        <s v="Août"/>
        <s v="Avril"/>
        <s v="Décembre"/>
        <s v="Février"/>
        <s v="Janvier"/>
        <s v="Juillet"/>
        <s v="Juin"/>
        <s v="Mai"/>
        <s v="Mars"/>
        <s v="Novembre"/>
        <s v="Octobre"/>
        <s v="Septembre"/>
      </sharedItems>
    </cacheField>
    <cacheField name="[Measures].[Somme de Qté 2]" caption="Somme de Qté 2" numFmtId="0" hierarchy="42" level="32767"/>
  </cacheFields>
  <cacheHierarchies count="47">
    <cacheHierarchy uniqueName="[Tableau10].[Réf]" caption="Réf" attribute="1" defaultMemberUniqueName="[Tableau10].[Réf].[All]" allUniqueName="[Tableau10].[Réf].[All]" dimensionUniqueName="[Tableau10]" displayFolder="" count="0" memberValueDatatype="130" unbalanced="0"/>
    <cacheHierarchy uniqueName="[TAchats].[Date]" caption="Date" attribute="1" defaultMemberUniqueName="[TAchats].[Date].[All]" allUniqueName="[TAchats].[Date].[All]" dimensionUniqueName="[TAchats]" displayFolder="" count="0" memberValueDatatype="130" unbalanced="0"/>
    <cacheHierarchy uniqueName="[TAchats].[Réf]" caption="Réf" attribute="1" defaultMemberUniqueName="[TAchats].[Réf].[All]" allUniqueName="[TAchats].[Réf].[All]" dimensionUniqueName="[TAchats]" displayFolder="" count="0" memberValueDatatype="130" unbalanced="0"/>
    <cacheHierarchy uniqueName="[TAchats].[Type]" caption="Type" attribute="1" defaultMemberUniqueName="[TAchats].[Type].[All]" allUniqueName="[TAchats].[Type].[All]" dimensionUniqueName="[TAchats]" displayFolder="" count="0" memberValueDatatype="130" unbalanced="0"/>
    <cacheHierarchy uniqueName="[TAchats].[Lieux]" caption="Lieux" attribute="1" defaultMemberUniqueName="[TAchats].[Lieux].[All]" allUniqueName="[TAchats].[Lieux].[All]" dimensionUniqueName="[TAchats]" displayFolder="" count="0" memberValueDatatype="130" unbalanced="0"/>
    <cacheHierarchy uniqueName="[TAchats].[Qté]" caption="Qté" attribute="1" defaultMemberUniqueName="[TAchats].[Qté].[All]" allUniqueName="[TAchats].[Qté].[All]" dimensionUniqueName="[TAchats]" displayFolder="" count="0" memberValueDatatype="5" unbalanced="0"/>
    <cacheHierarchy uniqueName="[TAchats].[PU]" caption="PU" attribute="1" defaultMemberUniqueName="[TAchats].[PU].[All]" allUniqueName="[TAchats].[PU].[All]" dimensionUniqueName="[TAchats]" displayFolder="" count="0" memberValueDatatype="20" unbalanced="0"/>
    <cacheHierarchy uniqueName="[TAchats].[Valeur]" caption="Valeur" attribute="1" defaultMemberUniqueName="[TAchats].[Valeur].[All]" allUniqueName="[TAchats].[Valeur].[All]" dimensionUniqueName="[TAchats]" displayFolder="" count="0" memberValueDatatype="5" unbalanced="0"/>
    <cacheHierarchy uniqueName="[TAchats].[Transp U]" caption="Transp U" attribute="1" defaultMemberUniqueName="[TAchats].[Transp U].[All]" allUniqueName="[TAchats].[Transp U].[All]" dimensionUniqueName="[TAchats]" displayFolder="" count="0" memberValueDatatype="20" unbalanced="0"/>
    <cacheHierarchy uniqueName="[TAchats].[Transport]" caption="Transport" attribute="1" defaultMemberUniqueName="[TAchats].[Transport].[All]" allUniqueName="[TAchats].[Transport].[All]" dimensionUniqueName="[TAchats]" displayFolder="" count="0" memberValueDatatype="20" unbalanced="0"/>
    <cacheHierarchy uniqueName="[TAchats].[Cout d'achat]" caption="Cout d'achat" attribute="1" defaultMemberUniqueName="[TAchats].[Cout d'achat].[All]" allUniqueName="[TAchats].[Cout d'achat].[All]" dimensionUniqueName="[TAchats]" displayFolder="" count="0" memberValueDatatype="5" unbalanced="0"/>
    <cacheHierarchy uniqueName="[TAchats].[CA U]" caption="CA U" attribute="1" defaultMemberUniqueName="[TAchats].[CA U].[All]" allUniqueName="[TAchats].[CA U].[All]" dimensionUniqueName="[TAchats]" displayFolder="" count="0" memberValueDatatype="130" unbalanced="0"/>
    <cacheHierarchy uniqueName="[TDate].[Date]" caption="Date" attribute="1" defaultMemberUniqueName="[TDate].[Date].[All]" allUniqueName="[TDate].[Date].[All]" dimensionUniqueName="[TDate]" displayFolder="" count="0" memberValueDatatype="130" unbalanced="0"/>
    <cacheHierarchy uniqueName="[TLieuxAppro].[Lieux]" caption="Lieux" attribute="1" defaultMemberUniqueName="[TLieuxAppro].[Lieux].[All]" allUniqueName="[TLieuxAppro].[Lieux].[All]" dimensionUniqueName="[TLieuxAppro]" displayFolder="" count="0" memberValueDatatype="130" unbalanced="0"/>
    <cacheHierarchy uniqueName="[TProd].[Date]" caption="Date" attribute="1" defaultMemberUniqueName="[TProd].[Date].[All]" allUniqueName="[TProd].[Date].[All]" dimensionUniqueName="[TProd]" displayFolder="" count="0" memberValueDatatype="130" unbalanced="0"/>
    <cacheHierarchy uniqueName="[TProd].[Réf]" caption="Réf" attribute="1" defaultMemberUniqueName="[TProd].[Réf].[All]" allUniqueName="[TProd].[Réf].[All]" dimensionUniqueName="[TProd]" displayFolder="" count="0" memberValueDatatype="130" unbalanced="0"/>
    <cacheHierarchy uniqueName="[TProd].[Type]" caption="Type" attribute="1" defaultMemberUniqueName="[TProd].[Type].[All]" allUniqueName="[TProd].[Type].[All]" dimensionUniqueName="[TProd]" displayFolder="" count="0" memberValueDatatype="130" unbalanced="0"/>
    <cacheHierarchy uniqueName="[TProd].[Quantité]" caption="Quantité" attribute="1" defaultMemberUniqueName="[TProd].[Quantité].[All]" allUniqueName="[TProd].[Quantité].[All]" dimensionUniqueName="[TProd]" displayFolder="" count="0" memberValueDatatype="20" unbalanced="0"/>
    <cacheHierarchy uniqueName="[TProd].[PU]" caption="PU" attribute="1" defaultMemberUniqueName="[TProd].[PU].[All]" allUniqueName="[TProd].[PU].[All]" dimensionUniqueName="[TProd]" displayFolder="" count="0" memberValueDatatype="5" unbalanced="0"/>
    <cacheHierarchy uniqueName="[TProd].[Productions]" caption="Productions" attribute="1" defaultMemberUniqueName="[TProd].[Productions].[All]" allUniqueName="[TProd].[Productions].[All]" dimensionUniqueName="[TProd]" displayFolder="" count="0" memberValueDatatype="5" unbalanced="0"/>
    <cacheHierarchy uniqueName="[TTypes].[Types]" caption="Types" attribute="1" defaultMemberUniqueName="[TTypes].[Types].[All]" allUniqueName="[TTypes].[Types].[All]" dimensionUniqueName="[TTypes]" displayFolder="" count="0" memberValueDatatype="130" unbalanced="0"/>
    <cacheHierarchy uniqueName="[TVentes].[Réf]" caption="Réf" attribute="1" defaultMemberUniqueName="[TVentes].[Réf].[All]" allUniqueName="[TVentes].[Réf].[All]" dimensionUniqueName="[TVentes]" displayFolder="" count="0" memberValueDatatype="130" unbalanced="0"/>
    <cacheHierarchy uniqueName="[TVentes].[Types]" caption="Types" attribute="1" defaultMemberUniqueName="[TVentes].[Types].[All]" allUniqueName="[TVentes].[Types].[All]" dimensionUniqueName="[TVentes]" displayFolder="" count="0" memberValueDatatype="130" unbalanced="0"/>
    <cacheHierarchy uniqueName="[TVentes].[Date]" caption="Date" attribute="1" defaultMemberUniqueName="[TVentes].[Date].[All]" allUniqueName="[TVentes].[Date].[All]" dimensionUniqueName="[TVentes]" displayFolder="" count="2" memberValueDatatype="130" unbalanced="0">
      <fieldsUsage count="2">
        <fieldUsage x="-1"/>
        <fieldUsage x="0"/>
      </fieldsUsage>
    </cacheHierarchy>
    <cacheHierarchy uniqueName="[TVentes].[Client]" caption="Client" attribute="1" defaultMemberUniqueName="[TVentes].[Client].[All]" allUniqueName="[TVentes].[Client].[All]" dimensionUniqueName="[TVentes]" displayFolder="" count="0" memberValueDatatype="130" unbalanced="0"/>
    <cacheHierarchy uniqueName="[TVentes].[Pays]" caption="Pays" attribute="1" defaultMemberUniqueName="[TVentes].[Pays].[All]" allUniqueName="[TVentes].[Pays].[All]" dimensionUniqueName="[TVentes]" displayFolder="" count="0" memberValueDatatype="130" unbalanced="0"/>
    <cacheHierarchy uniqueName="[TVentes].[Qté]" caption="Qté" attribute="1" defaultMemberUniqueName="[TVentes].[Qté].[All]" allUniqueName="[TVentes].[Qté].[All]" dimensionUniqueName="[TVentes]" displayFolder="" count="0" memberValueDatatype="20" unbalanced="0"/>
    <cacheHierarchy uniqueName="[TVentes].[PU]" caption="PU" attribute="1" defaultMemberUniqueName="[TVentes].[PU].[All]" allUniqueName="[TVentes].[PU].[All]" dimensionUniqueName="[TVentes]" displayFolder="" count="0" memberValueDatatype="20" unbalanced="0"/>
    <cacheHierarchy uniqueName="[TVentes].[MGA]" caption="MGA" attribute="1" defaultMemberUniqueName="[TVentes].[MGA].[All]" allUniqueName="[TVentes].[MGA].[All]" dimensionUniqueName="[TVentes]" displayFolder="" count="0" memberValueDatatype="5" unbalanced="0"/>
    <cacheHierarchy uniqueName="[TVentes].[USD]" caption="USD" attribute="1" defaultMemberUniqueName="[TVentes].[USD].[All]" allUniqueName="[TVentes].[USD].[All]" dimensionUniqueName="[TVentes]" displayFolder="" count="0" memberValueDatatype="5" unbalanced="0"/>
    <cacheHierarchy uniqueName="[TVentes].[EUR]" caption="EUR" attribute="1" defaultMemberUniqueName="[TVentes].[EUR].[All]" allUniqueName="[TVentes].[EUR].[All]" dimensionUniqueName="[TVentes]" displayFolder="" count="0" memberValueDatatype="5" unbalanced="0"/>
    <cacheHierarchy uniqueName="[Measures].[__XL_Count TAchats]" caption="__XL_Count TAchats" measure="1" displayFolder="" measureGroup="TAchats" count="0" hidden="1"/>
    <cacheHierarchy uniqueName="[Measures].[__XL_Count TLieuxAppro]" caption="__XL_Count TLieuxAppro" measure="1" displayFolder="" measureGroup="TLieuxAppro" count="0" hidden="1"/>
    <cacheHierarchy uniqueName="[Measures].[__XL_Count TProd]" caption="__XL_Count TProd" measure="1" displayFolder="" measureGroup="TProd" count="0" hidden="1"/>
    <cacheHierarchy uniqueName="[Measures].[__XL_Count TTypes]" caption="__XL_Count TTypes" measure="1" displayFolder="" measureGroup="TTypes" count="0" hidden="1"/>
    <cacheHierarchy uniqueName="[Measures].[__XL_Count TDate]" caption="__XL_Count TDate" measure="1" displayFolder="" measureGroup="TDate" count="0" hidden="1"/>
    <cacheHierarchy uniqueName="[Measures].[__XL_Count TVentes]" caption="__XL_Count TVentes" measure="1" displayFolder="" measureGroup="TVentes" count="0" hidden="1"/>
    <cacheHierarchy uniqueName="[Measures].[__XL_Count Tableau10]" caption="__XL_Count Tableau10" measure="1" displayFolder="" measureGroup="Tableau10" count="0" hidden="1"/>
    <cacheHierarchy uniqueName="[Measures].[__No measures defined]" caption="__No measures defined" measure="1" displayFolder="" count="0" hidden="1"/>
    <cacheHierarchy uniqueName="[Measures].[Somme de Valeur]" caption="Somme de Valeur" measure="1" displayFolder="" measureGroup="TAchat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Qté]" caption="Somme de Qté" measure="1" displayFolder="" measureGroup="TAchat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omme de Cout d'achat]" caption="Somme de Cout d'achat" measure="1" displayFolder="" measureGroup="T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té 2]" caption="Somme de Qté 2" measure="1" displayFolder="" measureGroup="TVen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omme de MGA]" caption="Somme de MGA" measure="1" displayFolder="" measureGroup="TVent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me de Quantité]" caption="Somme de Quantité" measure="1" displayFolder="" measureGroup="TProd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Nombre de Type]" caption="Nombre de Type" measure="1" displayFolder="" measureGroup="TAchat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Nombre de Qté]" caption="Nombre de Qté" measure="1" displayFolder="" measureGroup="TAchat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8">
    <dimension measure="1" name="Measures" uniqueName="[Measures]" caption="Measures"/>
    <dimension name="Tableau10" uniqueName="[Tableau10]" caption="Tableau10"/>
    <dimension name="TAchats" uniqueName="[TAchats]" caption="TAchats"/>
    <dimension name="TDate" uniqueName="[TDate]" caption="TDate"/>
    <dimension name="TLieuxAppro" uniqueName="[TLieuxAppro]" caption="TLieuxAppro"/>
    <dimension name="TProd" uniqueName="[TProd]" caption="TProd"/>
    <dimension name="TTypes" uniqueName="[TTypes]" caption="TTypes"/>
    <dimension name="TVentes" uniqueName="[TVentes]" caption="TVentes"/>
  </dimensions>
  <measureGroups count="7">
    <measureGroup name="Tableau10" caption="Tableau10"/>
    <measureGroup name="TAchats" caption="TAchats"/>
    <measureGroup name="TDate" caption="TDate"/>
    <measureGroup name="TLieuxAppro" caption="TLieuxAppro"/>
    <measureGroup name="TProd" caption="TProd"/>
    <measureGroup name="TTypes" caption="TTypes"/>
    <measureGroup name="TVentes" caption="TVentes"/>
  </measureGroups>
  <maps count="10">
    <map measureGroup="0" dimension="1"/>
    <map measureGroup="1" dimension="2"/>
    <map measureGroup="1" dimension="3"/>
    <map measureGroup="2" dimension="3"/>
    <map measureGroup="3" dimension="4"/>
    <map measureGroup="4" dimension="3"/>
    <map measureGroup="4" dimension="5"/>
    <map measureGroup="5" dimension="6"/>
    <map measureGroup="6" dimension="3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5411.646878009262" backgroundQuery="1" createdVersion="7" refreshedVersion="7" minRefreshableVersion="3" recordCount="0" supportSubquery="1" supportAdvancedDrill="1" xr:uid="{DA010670-4F1D-4620-A2E4-857CF441DE17}">
  <cacheSource type="external" connectionId="1"/>
  <cacheFields count="2">
    <cacheField name="[TAchats].[Date].[Date]" caption="Date" numFmtId="0" hierarchy="1" level="1">
      <sharedItems count="12">
        <s v="Août"/>
        <s v="Avril"/>
        <s v="Décembre"/>
        <s v="Février"/>
        <s v="Janvier"/>
        <s v="Juillet"/>
        <s v="Juin"/>
        <s v="Mai"/>
        <s v="Mars"/>
        <s v="Novembre"/>
        <s v="Octobre"/>
        <s v="Septembre"/>
      </sharedItems>
    </cacheField>
    <cacheField name="[Measures].[Somme de Qté]" caption="Somme de Qté" numFmtId="0" hierarchy="40" level="32767"/>
  </cacheFields>
  <cacheHierarchies count="47">
    <cacheHierarchy uniqueName="[Tableau10].[Réf]" caption="Réf" attribute="1" defaultMemberUniqueName="[Tableau10].[Réf].[All]" allUniqueName="[Tableau10].[Réf].[All]" dimensionUniqueName="[Tableau10]" displayFolder="" count="0" memberValueDatatype="130" unbalanced="0"/>
    <cacheHierarchy uniqueName="[TAchats].[Date]" caption="Date" attribute="1" defaultMemberUniqueName="[TAchats].[Date].[All]" allUniqueName="[TAchats].[Date].[All]" dimensionUniqueName="[TAchats]" displayFolder="" count="2" memberValueDatatype="130" unbalanced="0">
      <fieldsUsage count="2">
        <fieldUsage x="-1"/>
        <fieldUsage x="0"/>
      </fieldsUsage>
    </cacheHierarchy>
    <cacheHierarchy uniqueName="[TAchats].[Réf]" caption="Réf" attribute="1" defaultMemberUniqueName="[TAchats].[Réf].[All]" allUniqueName="[TAchats].[Réf].[All]" dimensionUniqueName="[TAchats]" displayFolder="" count="0" memberValueDatatype="130" unbalanced="0"/>
    <cacheHierarchy uniqueName="[TAchats].[Type]" caption="Type" attribute="1" defaultMemberUniqueName="[TAchats].[Type].[All]" allUniqueName="[TAchats].[Type].[All]" dimensionUniqueName="[TAchats]" displayFolder="" count="0" memberValueDatatype="130" unbalanced="0"/>
    <cacheHierarchy uniqueName="[TAchats].[Lieux]" caption="Lieux" attribute="1" defaultMemberUniqueName="[TAchats].[Lieux].[All]" allUniqueName="[TAchats].[Lieux].[All]" dimensionUniqueName="[TAchats]" displayFolder="" count="0" memberValueDatatype="130" unbalanced="0"/>
    <cacheHierarchy uniqueName="[TAchats].[Qté]" caption="Qté" attribute="1" defaultMemberUniqueName="[TAchats].[Qté].[All]" allUniqueName="[TAchats].[Qté].[All]" dimensionUniqueName="[TAchats]" displayFolder="" count="0" memberValueDatatype="5" unbalanced="0"/>
    <cacheHierarchy uniqueName="[TAchats].[PU]" caption="PU" attribute="1" defaultMemberUniqueName="[TAchats].[PU].[All]" allUniqueName="[TAchats].[PU].[All]" dimensionUniqueName="[TAchats]" displayFolder="" count="0" memberValueDatatype="20" unbalanced="0"/>
    <cacheHierarchy uniqueName="[TAchats].[Valeur]" caption="Valeur" attribute="1" defaultMemberUniqueName="[TAchats].[Valeur].[All]" allUniqueName="[TAchats].[Valeur].[All]" dimensionUniqueName="[TAchats]" displayFolder="" count="0" memberValueDatatype="5" unbalanced="0"/>
    <cacheHierarchy uniqueName="[TAchats].[Transp U]" caption="Transp U" attribute="1" defaultMemberUniqueName="[TAchats].[Transp U].[All]" allUniqueName="[TAchats].[Transp U].[All]" dimensionUniqueName="[TAchats]" displayFolder="" count="0" memberValueDatatype="20" unbalanced="0"/>
    <cacheHierarchy uniqueName="[TAchats].[Transport]" caption="Transport" attribute="1" defaultMemberUniqueName="[TAchats].[Transport].[All]" allUniqueName="[TAchats].[Transport].[All]" dimensionUniqueName="[TAchats]" displayFolder="" count="0" memberValueDatatype="20" unbalanced="0"/>
    <cacheHierarchy uniqueName="[TAchats].[Cout d'achat]" caption="Cout d'achat" attribute="1" defaultMemberUniqueName="[TAchats].[Cout d'achat].[All]" allUniqueName="[TAchats].[Cout d'achat].[All]" dimensionUniqueName="[TAchats]" displayFolder="" count="0" memberValueDatatype="5" unbalanced="0"/>
    <cacheHierarchy uniqueName="[TAchats].[CA U]" caption="CA U" attribute="1" defaultMemberUniqueName="[TAchats].[CA U].[All]" allUniqueName="[TAchats].[CA U].[All]" dimensionUniqueName="[TAchats]" displayFolder="" count="0" memberValueDatatype="130" unbalanced="0"/>
    <cacheHierarchy uniqueName="[TDate].[Date]" caption="Date" attribute="1" defaultMemberUniqueName="[TDate].[Date].[All]" allUniqueName="[TDate].[Date].[All]" dimensionUniqueName="[TDate]" displayFolder="" count="0" memberValueDatatype="130" unbalanced="0"/>
    <cacheHierarchy uniqueName="[TLieuxAppro].[Lieux]" caption="Lieux" attribute="1" defaultMemberUniqueName="[TLieuxAppro].[Lieux].[All]" allUniqueName="[TLieuxAppro].[Lieux].[All]" dimensionUniqueName="[TLieuxAppro]" displayFolder="" count="0" memberValueDatatype="130" unbalanced="0"/>
    <cacheHierarchy uniqueName="[TProd].[Date]" caption="Date" attribute="1" defaultMemberUniqueName="[TProd].[Date].[All]" allUniqueName="[TProd].[Date].[All]" dimensionUniqueName="[TProd]" displayFolder="" count="0" memberValueDatatype="130" unbalanced="0"/>
    <cacheHierarchy uniqueName="[TProd].[Réf]" caption="Réf" attribute="1" defaultMemberUniqueName="[TProd].[Réf].[All]" allUniqueName="[TProd].[Réf].[All]" dimensionUniqueName="[TProd]" displayFolder="" count="0" memberValueDatatype="130" unbalanced="0"/>
    <cacheHierarchy uniqueName="[TProd].[Type]" caption="Type" attribute="1" defaultMemberUniqueName="[TProd].[Type].[All]" allUniqueName="[TProd].[Type].[All]" dimensionUniqueName="[TProd]" displayFolder="" count="0" memberValueDatatype="130" unbalanced="0"/>
    <cacheHierarchy uniqueName="[TProd].[Quantité]" caption="Quantité" attribute="1" defaultMemberUniqueName="[TProd].[Quantité].[All]" allUniqueName="[TProd].[Quantité].[All]" dimensionUniqueName="[TProd]" displayFolder="" count="0" memberValueDatatype="20" unbalanced="0"/>
    <cacheHierarchy uniqueName="[TProd].[PU]" caption="PU" attribute="1" defaultMemberUniqueName="[TProd].[PU].[All]" allUniqueName="[TProd].[PU].[All]" dimensionUniqueName="[TProd]" displayFolder="" count="0" memberValueDatatype="5" unbalanced="0"/>
    <cacheHierarchy uniqueName="[TProd].[Productions]" caption="Productions" attribute="1" defaultMemberUniqueName="[TProd].[Productions].[All]" allUniqueName="[TProd].[Productions].[All]" dimensionUniqueName="[TProd]" displayFolder="" count="0" memberValueDatatype="5" unbalanced="0"/>
    <cacheHierarchy uniqueName="[TTypes].[Types]" caption="Types" attribute="1" defaultMemberUniqueName="[TTypes].[Types].[All]" allUniqueName="[TTypes].[Types].[All]" dimensionUniqueName="[TTypes]" displayFolder="" count="0" memberValueDatatype="130" unbalanced="0"/>
    <cacheHierarchy uniqueName="[TVentes].[Réf]" caption="Réf" attribute="1" defaultMemberUniqueName="[TVentes].[Réf].[All]" allUniqueName="[TVentes].[Réf].[All]" dimensionUniqueName="[TVentes]" displayFolder="" count="0" memberValueDatatype="130" unbalanced="0"/>
    <cacheHierarchy uniqueName="[TVentes].[Types]" caption="Types" attribute="1" defaultMemberUniqueName="[TVentes].[Types].[All]" allUniqueName="[TVentes].[Types].[All]" dimensionUniqueName="[TVentes]" displayFolder="" count="0" memberValueDatatype="130" unbalanced="0"/>
    <cacheHierarchy uniqueName="[TVentes].[Date]" caption="Date" attribute="1" defaultMemberUniqueName="[TVentes].[Date].[All]" allUniqueName="[TVentes].[Date].[All]" dimensionUniqueName="[TVentes]" displayFolder="" count="0" memberValueDatatype="130" unbalanced="0"/>
    <cacheHierarchy uniqueName="[TVentes].[Client]" caption="Client" attribute="1" defaultMemberUniqueName="[TVentes].[Client].[All]" allUniqueName="[TVentes].[Client].[All]" dimensionUniqueName="[TVentes]" displayFolder="" count="0" memberValueDatatype="130" unbalanced="0"/>
    <cacheHierarchy uniqueName="[TVentes].[Pays]" caption="Pays" attribute="1" defaultMemberUniqueName="[TVentes].[Pays].[All]" allUniqueName="[TVentes].[Pays].[All]" dimensionUniqueName="[TVentes]" displayFolder="" count="0" memberValueDatatype="130" unbalanced="0"/>
    <cacheHierarchy uniqueName="[TVentes].[Qté]" caption="Qté" attribute="1" defaultMemberUniqueName="[TVentes].[Qté].[All]" allUniqueName="[TVentes].[Qté].[All]" dimensionUniqueName="[TVentes]" displayFolder="" count="0" memberValueDatatype="20" unbalanced="0"/>
    <cacheHierarchy uniqueName="[TVentes].[PU]" caption="PU" attribute="1" defaultMemberUniqueName="[TVentes].[PU].[All]" allUniqueName="[TVentes].[PU].[All]" dimensionUniqueName="[TVentes]" displayFolder="" count="0" memberValueDatatype="20" unbalanced="0"/>
    <cacheHierarchy uniqueName="[TVentes].[MGA]" caption="MGA" attribute="1" defaultMemberUniqueName="[TVentes].[MGA].[All]" allUniqueName="[TVentes].[MGA].[All]" dimensionUniqueName="[TVentes]" displayFolder="" count="0" memberValueDatatype="5" unbalanced="0"/>
    <cacheHierarchy uniqueName="[TVentes].[USD]" caption="USD" attribute="1" defaultMemberUniqueName="[TVentes].[USD].[All]" allUniqueName="[TVentes].[USD].[All]" dimensionUniqueName="[TVentes]" displayFolder="" count="0" memberValueDatatype="5" unbalanced="0"/>
    <cacheHierarchy uniqueName="[TVentes].[EUR]" caption="EUR" attribute="1" defaultMemberUniqueName="[TVentes].[EUR].[All]" allUniqueName="[TVentes].[EUR].[All]" dimensionUniqueName="[TVentes]" displayFolder="" count="0" memberValueDatatype="5" unbalanced="0"/>
    <cacheHierarchy uniqueName="[Measures].[__XL_Count TAchats]" caption="__XL_Count TAchats" measure="1" displayFolder="" measureGroup="TAchats" count="0" hidden="1"/>
    <cacheHierarchy uniqueName="[Measures].[__XL_Count TLieuxAppro]" caption="__XL_Count TLieuxAppro" measure="1" displayFolder="" measureGroup="TLieuxAppro" count="0" hidden="1"/>
    <cacheHierarchy uniqueName="[Measures].[__XL_Count TProd]" caption="__XL_Count TProd" measure="1" displayFolder="" measureGroup="TProd" count="0" hidden="1"/>
    <cacheHierarchy uniqueName="[Measures].[__XL_Count TTypes]" caption="__XL_Count TTypes" measure="1" displayFolder="" measureGroup="TTypes" count="0" hidden="1"/>
    <cacheHierarchy uniqueName="[Measures].[__XL_Count TDate]" caption="__XL_Count TDate" measure="1" displayFolder="" measureGroup="TDate" count="0" hidden="1"/>
    <cacheHierarchy uniqueName="[Measures].[__XL_Count TVentes]" caption="__XL_Count TVentes" measure="1" displayFolder="" measureGroup="TVentes" count="0" hidden="1"/>
    <cacheHierarchy uniqueName="[Measures].[__XL_Count Tableau10]" caption="__XL_Count Tableau10" measure="1" displayFolder="" measureGroup="Tableau10" count="0" hidden="1"/>
    <cacheHierarchy uniqueName="[Measures].[__No measures defined]" caption="__No measures defined" measure="1" displayFolder="" count="0" hidden="1"/>
    <cacheHierarchy uniqueName="[Measures].[Somme de Valeur]" caption="Somme de Valeur" measure="1" displayFolder="" measureGroup="TAchat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Qté]" caption="Somme de Qté" measure="1" displayFolder="" measureGroup="TAcha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omme de Cout d'achat]" caption="Somme de Cout d'achat" measure="1" displayFolder="" measureGroup="T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té 2]" caption="Somme de Qté 2" measure="1" displayFolder="" measureGroup="TVent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omme de MGA]" caption="Somme de MGA" measure="1" displayFolder="" measureGroup="TVent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me de Quantité]" caption="Somme de Quantité" measure="1" displayFolder="" measureGroup="TProd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Nombre de Type]" caption="Nombre de Type" measure="1" displayFolder="" measureGroup="TAchat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Nombre de Qté]" caption="Nombre de Qté" measure="1" displayFolder="" measureGroup="TAchat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8">
    <dimension measure="1" name="Measures" uniqueName="[Measures]" caption="Measures"/>
    <dimension name="Tableau10" uniqueName="[Tableau10]" caption="Tableau10"/>
    <dimension name="TAchats" uniqueName="[TAchats]" caption="TAchats"/>
    <dimension name="TDate" uniqueName="[TDate]" caption="TDate"/>
    <dimension name="TLieuxAppro" uniqueName="[TLieuxAppro]" caption="TLieuxAppro"/>
    <dimension name="TProd" uniqueName="[TProd]" caption="TProd"/>
    <dimension name="TTypes" uniqueName="[TTypes]" caption="TTypes"/>
    <dimension name="TVentes" uniqueName="[TVentes]" caption="TVentes"/>
  </dimensions>
  <measureGroups count="7">
    <measureGroup name="Tableau10" caption="Tableau10"/>
    <measureGroup name="TAchats" caption="TAchats"/>
    <measureGroup name="TDate" caption="TDate"/>
    <measureGroup name="TLieuxAppro" caption="TLieuxAppro"/>
    <measureGroup name="TProd" caption="TProd"/>
    <measureGroup name="TTypes" caption="TTypes"/>
    <measureGroup name="TVentes" caption="TVentes"/>
  </measureGroups>
  <maps count="10">
    <map measureGroup="0" dimension="1"/>
    <map measureGroup="1" dimension="2"/>
    <map measureGroup="1" dimension="3"/>
    <map measureGroup="2" dimension="3"/>
    <map measureGroup="3" dimension="4"/>
    <map measureGroup="4" dimension="3"/>
    <map measureGroup="4" dimension="5"/>
    <map measureGroup="5" dimension="6"/>
    <map measureGroup="6" dimension="3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5411.646879050924" backgroundQuery="1" createdVersion="7" refreshedVersion="7" minRefreshableVersion="3" recordCount="0" supportSubquery="1" supportAdvancedDrill="1" xr:uid="{21897F8A-5286-4A43-A472-8851717BE9DD}">
  <cacheSource type="external" connectionId="1"/>
  <cacheFields count="3">
    <cacheField name="[TAchats].[Date].[Date]" caption="Date" numFmtId="0" hierarchy="1" level="1">
      <sharedItems count="12">
        <s v="Août"/>
        <s v="Avril"/>
        <s v="Décembre"/>
        <s v="Février"/>
        <s v="Janvier"/>
        <s v="Juillet"/>
        <s v="Juin"/>
        <s v="Mai"/>
        <s v="Mars"/>
        <s v="Novembre"/>
        <s v="Octobre"/>
        <s v="Septembre"/>
      </sharedItems>
    </cacheField>
    <cacheField name="[Measures].[Somme de Cout d'achat]" caption="Somme de Cout d'achat" numFmtId="0" hierarchy="41" level="32767"/>
    <cacheField name="Unsupported0" numFmtId="0" hierarchy="47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48">
    <cacheHierarchy uniqueName="[Tableau10].[Réf]" caption="Réf" attribute="1" defaultMemberUniqueName="[Tableau10].[Réf].[All]" allUniqueName="[Tableau10].[Réf].[All]" dimensionUniqueName="[Tableau10]" displayFolder="" count="0" memberValueDatatype="130" unbalanced="0"/>
    <cacheHierarchy uniqueName="[TAchats].[Date]" caption="Date" attribute="1" defaultMemberUniqueName="[TAchats].[Date].[All]" allUniqueName="[TAchats].[Date].[All]" dimensionUniqueName="[TAchats]" displayFolder="" count="2" memberValueDatatype="130" unbalanced="0">
      <fieldsUsage count="2">
        <fieldUsage x="-1"/>
        <fieldUsage x="0"/>
      </fieldsUsage>
    </cacheHierarchy>
    <cacheHierarchy uniqueName="[TAchats].[Réf]" caption="Réf" attribute="1" defaultMemberUniqueName="[TAchats].[Réf].[All]" allUniqueName="[TAchats].[Réf].[All]" dimensionUniqueName="[TAchats]" displayFolder="" count="0" memberValueDatatype="130" unbalanced="0"/>
    <cacheHierarchy uniqueName="[TAchats].[Type]" caption="Type" attribute="1" defaultMemberUniqueName="[TAchats].[Type].[All]" allUniqueName="[TAchats].[Type].[All]" dimensionUniqueName="[TAchats]" displayFolder="" count="0" memberValueDatatype="130" unbalanced="0"/>
    <cacheHierarchy uniqueName="[TAchats].[Lieux]" caption="Lieux" attribute="1" defaultMemberUniqueName="[TAchats].[Lieux].[All]" allUniqueName="[TAchats].[Lieux].[All]" dimensionUniqueName="[TAchats]" displayFolder="" count="0" memberValueDatatype="130" unbalanced="0"/>
    <cacheHierarchy uniqueName="[TAchats].[Qté]" caption="Qté" attribute="1" defaultMemberUniqueName="[TAchats].[Qté].[All]" allUniqueName="[TAchats].[Qté].[All]" dimensionUniqueName="[TAchats]" displayFolder="" count="0" memberValueDatatype="5" unbalanced="0"/>
    <cacheHierarchy uniqueName="[TAchats].[PU]" caption="PU" attribute="1" defaultMemberUniqueName="[TAchats].[PU].[All]" allUniqueName="[TAchats].[PU].[All]" dimensionUniqueName="[TAchats]" displayFolder="" count="0" memberValueDatatype="20" unbalanced="0"/>
    <cacheHierarchy uniqueName="[TAchats].[Valeur]" caption="Valeur" attribute="1" defaultMemberUniqueName="[TAchats].[Valeur].[All]" allUniqueName="[TAchats].[Valeur].[All]" dimensionUniqueName="[TAchats]" displayFolder="" count="0" memberValueDatatype="5" unbalanced="0"/>
    <cacheHierarchy uniqueName="[TAchats].[Transp U]" caption="Transp U" attribute="1" defaultMemberUniqueName="[TAchats].[Transp U].[All]" allUniqueName="[TAchats].[Transp U].[All]" dimensionUniqueName="[TAchats]" displayFolder="" count="0" memberValueDatatype="20" unbalanced="0"/>
    <cacheHierarchy uniqueName="[TAchats].[Transport]" caption="Transport" attribute="1" defaultMemberUniqueName="[TAchats].[Transport].[All]" allUniqueName="[TAchats].[Transport].[All]" dimensionUniqueName="[TAchats]" displayFolder="" count="0" memberValueDatatype="20" unbalanced="0"/>
    <cacheHierarchy uniqueName="[TAchats].[Cout d'achat]" caption="Cout d'achat" attribute="1" defaultMemberUniqueName="[TAchats].[Cout d'achat].[All]" allUniqueName="[TAchats].[Cout d'achat].[All]" dimensionUniqueName="[TAchats]" displayFolder="" count="0" memberValueDatatype="5" unbalanced="0"/>
    <cacheHierarchy uniqueName="[TAchats].[CA U]" caption="CA U" attribute="1" defaultMemberUniqueName="[TAchats].[CA U].[All]" allUniqueName="[TAchats].[CA U].[All]" dimensionUniqueName="[TAchats]" displayFolder="" count="0" memberValueDatatype="130" unbalanced="0"/>
    <cacheHierarchy uniqueName="[TDate].[Date]" caption="Date" attribute="1" defaultMemberUniqueName="[TDate].[Date].[All]" allUniqueName="[TDate].[Date].[All]" dimensionUniqueName="[TDate]" displayFolder="" count="0" memberValueDatatype="130" unbalanced="0"/>
    <cacheHierarchy uniqueName="[TLieuxAppro].[Lieux]" caption="Lieux" attribute="1" defaultMemberUniqueName="[TLieuxAppro].[Lieux].[All]" allUniqueName="[TLieuxAppro].[Lieux].[All]" dimensionUniqueName="[TLieuxAppro]" displayFolder="" count="0" memberValueDatatype="130" unbalanced="0"/>
    <cacheHierarchy uniqueName="[TProd].[Date]" caption="Date" attribute="1" defaultMemberUniqueName="[TProd].[Date].[All]" allUniqueName="[TProd].[Date].[All]" dimensionUniqueName="[TProd]" displayFolder="" count="0" memberValueDatatype="130" unbalanced="0"/>
    <cacheHierarchy uniqueName="[TProd].[Réf]" caption="Réf" attribute="1" defaultMemberUniqueName="[TProd].[Réf].[All]" allUniqueName="[TProd].[Réf].[All]" dimensionUniqueName="[TProd]" displayFolder="" count="0" memberValueDatatype="130" unbalanced="0"/>
    <cacheHierarchy uniqueName="[TProd].[Type]" caption="Type" attribute="1" defaultMemberUniqueName="[TProd].[Type].[All]" allUniqueName="[TProd].[Type].[All]" dimensionUniqueName="[TProd]" displayFolder="" count="0" memberValueDatatype="130" unbalanced="0"/>
    <cacheHierarchy uniqueName="[TProd].[Quantité]" caption="Quantité" attribute="1" defaultMemberUniqueName="[TProd].[Quantité].[All]" allUniqueName="[TProd].[Quantité].[All]" dimensionUniqueName="[TProd]" displayFolder="" count="0" memberValueDatatype="20" unbalanced="0"/>
    <cacheHierarchy uniqueName="[TProd].[PU]" caption="PU" attribute="1" defaultMemberUniqueName="[TProd].[PU].[All]" allUniqueName="[TProd].[PU].[All]" dimensionUniqueName="[TProd]" displayFolder="" count="0" memberValueDatatype="5" unbalanced="0"/>
    <cacheHierarchy uniqueName="[TProd].[Productions]" caption="Productions" attribute="1" defaultMemberUniqueName="[TProd].[Productions].[All]" allUniqueName="[TProd].[Productions].[All]" dimensionUniqueName="[TProd]" displayFolder="" count="0" memberValueDatatype="5" unbalanced="0"/>
    <cacheHierarchy uniqueName="[TTypes].[Types]" caption="Types" attribute="1" defaultMemberUniqueName="[TTypes].[Types].[All]" allUniqueName="[TTypes].[Types].[All]" dimensionUniqueName="[TTypes]" displayFolder="" count="0" memberValueDatatype="130" unbalanced="0"/>
    <cacheHierarchy uniqueName="[TVentes].[Réf]" caption="Réf" attribute="1" defaultMemberUniqueName="[TVentes].[Réf].[All]" allUniqueName="[TVentes].[Réf].[All]" dimensionUniqueName="[TVentes]" displayFolder="" count="0" memberValueDatatype="130" unbalanced="0"/>
    <cacheHierarchy uniqueName="[TVentes].[Types]" caption="Types" attribute="1" defaultMemberUniqueName="[TVentes].[Types].[All]" allUniqueName="[TVentes].[Types].[All]" dimensionUniqueName="[TVentes]" displayFolder="" count="0" memberValueDatatype="130" unbalanced="0"/>
    <cacheHierarchy uniqueName="[TVentes].[Date]" caption="Date" attribute="1" defaultMemberUniqueName="[TVentes].[Date].[All]" allUniqueName="[TVentes].[Date].[All]" dimensionUniqueName="[TVentes]" displayFolder="" count="0" memberValueDatatype="130" unbalanced="0"/>
    <cacheHierarchy uniqueName="[TVentes].[Client]" caption="Client" attribute="1" defaultMemberUniqueName="[TVentes].[Client].[All]" allUniqueName="[TVentes].[Client].[All]" dimensionUniqueName="[TVentes]" displayFolder="" count="0" memberValueDatatype="130" unbalanced="0"/>
    <cacheHierarchy uniqueName="[TVentes].[Pays]" caption="Pays" attribute="1" defaultMemberUniqueName="[TVentes].[Pays].[All]" allUniqueName="[TVentes].[Pays].[All]" dimensionUniqueName="[TVentes]" displayFolder="" count="0" memberValueDatatype="130" unbalanced="0"/>
    <cacheHierarchy uniqueName="[TVentes].[Qté]" caption="Qté" attribute="1" defaultMemberUniqueName="[TVentes].[Qté].[All]" allUniqueName="[TVentes].[Qté].[All]" dimensionUniqueName="[TVentes]" displayFolder="" count="0" memberValueDatatype="20" unbalanced="0"/>
    <cacheHierarchy uniqueName="[TVentes].[PU]" caption="PU" attribute="1" defaultMemberUniqueName="[TVentes].[PU].[All]" allUniqueName="[TVentes].[PU].[All]" dimensionUniqueName="[TVentes]" displayFolder="" count="0" memberValueDatatype="20" unbalanced="0"/>
    <cacheHierarchy uniqueName="[TVentes].[MGA]" caption="MGA" attribute="1" defaultMemberUniqueName="[TVentes].[MGA].[All]" allUniqueName="[TVentes].[MGA].[All]" dimensionUniqueName="[TVentes]" displayFolder="" count="0" memberValueDatatype="5" unbalanced="0"/>
    <cacheHierarchy uniqueName="[TVentes].[USD]" caption="USD" attribute="1" defaultMemberUniqueName="[TVentes].[USD].[All]" allUniqueName="[TVentes].[USD].[All]" dimensionUniqueName="[TVentes]" displayFolder="" count="0" memberValueDatatype="5" unbalanced="0"/>
    <cacheHierarchy uniqueName="[TVentes].[EUR]" caption="EUR" attribute="1" defaultMemberUniqueName="[TVentes].[EUR].[All]" allUniqueName="[TVentes].[EUR].[All]" dimensionUniqueName="[TVentes]" displayFolder="" count="0" memberValueDatatype="5" unbalanced="0"/>
    <cacheHierarchy uniqueName="[Measures].[__XL_Count TAchats]" caption="__XL_Count TAchats" measure="1" displayFolder="" measureGroup="TAchats" count="0" hidden="1"/>
    <cacheHierarchy uniqueName="[Measures].[__XL_Count TLieuxAppro]" caption="__XL_Count TLieuxAppro" measure="1" displayFolder="" measureGroup="TLieuxAppro" count="0" hidden="1"/>
    <cacheHierarchy uniqueName="[Measures].[__XL_Count TProd]" caption="__XL_Count TProd" measure="1" displayFolder="" measureGroup="TProd" count="0" hidden="1"/>
    <cacheHierarchy uniqueName="[Measures].[__XL_Count TTypes]" caption="__XL_Count TTypes" measure="1" displayFolder="" measureGroup="TTypes" count="0" hidden="1"/>
    <cacheHierarchy uniqueName="[Measures].[__XL_Count TDate]" caption="__XL_Count TDate" measure="1" displayFolder="" measureGroup="TDate" count="0" hidden="1"/>
    <cacheHierarchy uniqueName="[Measures].[__XL_Count TVentes]" caption="__XL_Count TVentes" measure="1" displayFolder="" measureGroup="TVentes" count="0" hidden="1"/>
    <cacheHierarchy uniqueName="[Measures].[__XL_Count Tableau10]" caption="__XL_Count Tableau10" measure="1" displayFolder="" measureGroup="Tableau10" count="0" hidden="1"/>
    <cacheHierarchy uniqueName="[Measures].[__No measures defined]" caption="__No measures defined" measure="1" displayFolder="" count="0" hidden="1"/>
    <cacheHierarchy uniqueName="[Measures].[Somme de Valeur]" caption="Somme de Valeur" measure="1" displayFolder="" measureGroup="TAchat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Qté]" caption="Somme de Qté" measure="1" displayFolder="" measureGroup="TAchat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omme de Cout d'achat]" caption="Somme de Cout d'achat" measure="1" displayFolder="" measureGroup="TAcha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té 2]" caption="Somme de Qté 2" measure="1" displayFolder="" measureGroup="TVent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omme de MGA]" caption="Somme de MGA" measure="1" displayFolder="" measureGroup="TVent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me de Quantité]" caption="Somme de Quantité" measure="1" displayFolder="" measureGroup="TProd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Nombre de Type]" caption="Nombre de Type" measure="1" displayFolder="" measureGroup="TAchat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Nombre de Qté]" caption="Nombre de Qté" measure="1" displayFolder="" measureGroup="TAchat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Unsupported0" caption="Réf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8">
    <dimension measure="1" name="Measures" uniqueName="[Measures]" caption="Measures"/>
    <dimension name="Tableau10" uniqueName="[Tableau10]" caption="Tableau10"/>
    <dimension name="TAchats" uniqueName="[TAchats]" caption="TAchats"/>
    <dimension name="TDate" uniqueName="[TDate]" caption="TDate"/>
    <dimension name="TLieuxAppro" uniqueName="[TLieuxAppro]" caption="TLieuxAppro"/>
    <dimension name="TProd" uniqueName="[TProd]" caption="TProd"/>
    <dimension name="TTypes" uniqueName="[TTypes]" caption="TTypes"/>
    <dimension name="TVentes" uniqueName="[TVentes]" caption="TVentes"/>
  </dimensions>
  <measureGroups count="7">
    <measureGroup name="Tableau10" caption="Tableau10"/>
    <measureGroup name="TAchats" caption="TAchats"/>
    <measureGroup name="TDate" caption="TDate"/>
    <measureGroup name="TLieuxAppro" caption="TLieuxAppro"/>
    <measureGroup name="TProd" caption="TProd"/>
    <measureGroup name="TTypes" caption="TTypes"/>
    <measureGroup name="TVentes" caption="TVentes"/>
  </measureGroups>
  <maps count="10">
    <map measureGroup="0" dimension="1"/>
    <map measureGroup="1" dimension="2"/>
    <map measureGroup="1" dimension="3"/>
    <map measureGroup="2" dimension="3"/>
    <map measureGroup="3" dimension="4"/>
    <map measureGroup="4" dimension="3"/>
    <map measureGroup="4" dimension="5"/>
    <map measureGroup="5" dimension="6"/>
    <map measureGroup="6" dimension="3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5411.646880208333" backgroundQuery="1" createdVersion="7" refreshedVersion="7" minRefreshableVersion="3" recordCount="0" supportSubquery="1" supportAdvancedDrill="1" xr:uid="{8A345111-64D6-44F3-B5F5-03A0478ADA25}">
  <cacheSource type="external" connectionId="1"/>
  <cacheFields count="2">
    <cacheField name="[TProd].[Date].[Date]" caption="Date" numFmtId="0" hierarchy="14" level="1">
      <sharedItems count="12">
        <s v="Août"/>
        <s v="Avril"/>
        <s v="Décembre"/>
        <s v="Février"/>
        <s v="Janvier"/>
        <s v="Juillet"/>
        <s v="Juin"/>
        <s v="Mai"/>
        <s v="Mars"/>
        <s v="Novembre"/>
        <s v="Octobre"/>
        <s v="Septembre"/>
      </sharedItems>
    </cacheField>
    <cacheField name="[Measures].[Somme de Quantité]" caption="Somme de Quantité" numFmtId="0" hierarchy="44" level="32767"/>
  </cacheFields>
  <cacheHierarchies count="47">
    <cacheHierarchy uniqueName="[Tableau10].[Réf]" caption="Réf" attribute="1" defaultMemberUniqueName="[Tableau10].[Réf].[All]" allUniqueName="[Tableau10].[Réf].[All]" dimensionUniqueName="[Tableau10]" displayFolder="" count="0" memberValueDatatype="130" unbalanced="0"/>
    <cacheHierarchy uniqueName="[TAchats].[Date]" caption="Date" attribute="1" defaultMemberUniqueName="[TAchats].[Date].[All]" allUniqueName="[TAchats].[Date].[All]" dimensionUniqueName="[TAchats]" displayFolder="" count="0" memberValueDatatype="130" unbalanced="0"/>
    <cacheHierarchy uniqueName="[TAchats].[Réf]" caption="Réf" attribute="1" defaultMemberUniqueName="[TAchats].[Réf].[All]" allUniqueName="[TAchats].[Réf].[All]" dimensionUniqueName="[TAchats]" displayFolder="" count="0" memberValueDatatype="130" unbalanced="0"/>
    <cacheHierarchy uniqueName="[TAchats].[Type]" caption="Type" attribute="1" defaultMemberUniqueName="[TAchats].[Type].[All]" allUniqueName="[TAchats].[Type].[All]" dimensionUniqueName="[TAchats]" displayFolder="" count="0" memberValueDatatype="130" unbalanced="0"/>
    <cacheHierarchy uniqueName="[TAchats].[Lieux]" caption="Lieux" attribute="1" defaultMemberUniqueName="[TAchats].[Lieux].[All]" allUniqueName="[TAchats].[Lieux].[All]" dimensionUniqueName="[TAchats]" displayFolder="" count="0" memberValueDatatype="130" unbalanced="0"/>
    <cacheHierarchy uniqueName="[TAchats].[Qté]" caption="Qté" attribute="1" defaultMemberUniqueName="[TAchats].[Qté].[All]" allUniqueName="[TAchats].[Qté].[All]" dimensionUniqueName="[TAchats]" displayFolder="" count="0" memberValueDatatype="5" unbalanced="0"/>
    <cacheHierarchy uniqueName="[TAchats].[PU]" caption="PU" attribute="1" defaultMemberUniqueName="[TAchats].[PU].[All]" allUniqueName="[TAchats].[PU].[All]" dimensionUniqueName="[TAchats]" displayFolder="" count="0" memberValueDatatype="20" unbalanced="0"/>
    <cacheHierarchy uniqueName="[TAchats].[Valeur]" caption="Valeur" attribute="1" defaultMemberUniqueName="[TAchats].[Valeur].[All]" allUniqueName="[TAchats].[Valeur].[All]" dimensionUniqueName="[TAchats]" displayFolder="" count="0" memberValueDatatype="5" unbalanced="0"/>
    <cacheHierarchy uniqueName="[TAchats].[Transp U]" caption="Transp U" attribute="1" defaultMemberUniqueName="[TAchats].[Transp U].[All]" allUniqueName="[TAchats].[Transp U].[All]" dimensionUniqueName="[TAchats]" displayFolder="" count="0" memberValueDatatype="20" unbalanced="0"/>
    <cacheHierarchy uniqueName="[TAchats].[Transport]" caption="Transport" attribute="1" defaultMemberUniqueName="[TAchats].[Transport].[All]" allUniqueName="[TAchats].[Transport].[All]" dimensionUniqueName="[TAchats]" displayFolder="" count="0" memberValueDatatype="20" unbalanced="0"/>
    <cacheHierarchy uniqueName="[TAchats].[Cout d'achat]" caption="Cout d'achat" attribute="1" defaultMemberUniqueName="[TAchats].[Cout d'achat].[All]" allUniqueName="[TAchats].[Cout d'achat].[All]" dimensionUniqueName="[TAchats]" displayFolder="" count="0" memberValueDatatype="5" unbalanced="0"/>
    <cacheHierarchy uniqueName="[TAchats].[CA U]" caption="CA U" attribute="1" defaultMemberUniqueName="[TAchats].[CA U].[All]" allUniqueName="[TAchats].[CA U].[All]" dimensionUniqueName="[TAchats]" displayFolder="" count="0" memberValueDatatype="130" unbalanced="0"/>
    <cacheHierarchy uniqueName="[TDate].[Date]" caption="Date" attribute="1" defaultMemberUniqueName="[TDate].[Date].[All]" allUniqueName="[TDate].[Date].[All]" dimensionUniqueName="[TDate]" displayFolder="" count="0" memberValueDatatype="130" unbalanced="0"/>
    <cacheHierarchy uniqueName="[TLieuxAppro].[Lieux]" caption="Lieux" attribute="1" defaultMemberUniqueName="[TLieuxAppro].[Lieux].[All]" allUniqueName="[TLieuxAppro].[Lieux].[All]" dimensionUniqueName="[TLieuxAppro]" displayFolder="" count="0" memberValueDatatype="130" unbalanced="0"/>
    <cacheHierarchy uniqueName="[TProd].[Date]" caption="Date" attribute="1" defaultMemberUniqueName="[TProd].[Date].[All]" allUniqueName="[TProd].[Date].[All]" dimensionUniqueName="[TProd]" displayFolder="" count="2" memberValueDatatype="130" unbalanced="0">
      <fieldsUsage count="2">
        <fieldUsage x="-1"/>
        <fieldUsage x="0"/>
      </fieldsUsage>
    </cacheHierarchy>
    <cacheHierarchy uniqueName="[TProd].[Réf]" caption="Réf" attribute="1" defaultMemberUniqueName="[TProd].[Réf].[All]" allUniqueName="[TProd].[Réf].[All]" dimensionUniqueName="[TProd]" displayFolder="" count="0" memberValueDatatype="130" unbalanced="0"/>
    <cacheHierarchy uniqueName="[TProd].[Type]" caption="Type" attribute="1" defaultMemberUniqueName="[TProd].[Type].[All]" allUniqueName="[TProd].[Type].[All]" dimensionUniqueName="[TProd]" displayFolder="" count="0" memberValueDatatype="130" unbalanced="0"/>
    <cacheHierarchy uniqueName="[TProd].[Quantité]" caption="Quantité" attribute="1" defaultMemberUniqueName="[TProd].[Quantité].[All]" allUniqueName="[TProd].[Quantité].[All]" dimensionUniqueName="[TProd]" displayFolder="" count="0" memberValueDatatype="20" unbalanced="0"/>
    <cacheHierarchy uniqueName="[TProd].[PU]" caption="PU" attribute="1" defaultMemberUniqueName="[TProd].[PU].[All]" allUniqueName="[TProd].[PU].[All]" dimensionUniqueName="[TProd]" displayFolder="" count="0" memberValueDatatype="5" unbalanced="0"/>
    <cacheHierarchy uniqueName="[TProd].[Productions]" caption="Productions" attribute="1" defaultMemberUniqueName="[TProd].[Productions].[All]" allUniqueName="[TProd].[Productions].[All]" dimensionUniqueName="[TProd]" displayFolder="" count="0" memberValueDatatype="5" unbalanced="0"/>
    <cacheHierarchy uniqueName="[TTypes].[Types]" caption="Types" attribute="1" defaultMemberUniqueName="[TTypes].[Types].[All]" allUniqueName="[TTypes].[Types].[All]" dimensionUniqueName="[TTypes]" displayFolder="" count="0" memberValueDatatype="130" unbalanced="0"/>
    <cacheHierarchy uniqueName="[TVentes].[Réf]" caption="Réf" attribute="1" defaultMemberUniqueName="[TVentes].[Réf].[All]" allUniqueName="[TVentes].[Réf].[All]" dimensionUniqueName="[TVentes]" displayFolder="" count="0" memberValueDatatype="130" unbalanced="0"/>
    <cacheHierarchy uniqueName="[TVentes].[Types]" caption="Types" attribute="1" defaultMemberUniqueName="[TVentes].[Types].[All]" allUniqueName="[TVentes].[Types].[All]" dimensionUniqueName="[TVentes]" displayFolder="" count="0" memberValueDatatype="130" unbalanced="0"/>
    <cacheHierarchy uniqueName="[TVentes].[Date]" caption="Date" attribute="1" defaultMemberUniqueName="[TVentes].[Date].[All]" allUniqueName="[TVentes].[Date].[All]" dimensionUniqueName="[TVentes]" displayFolder="" count="0" memberValueDatatype="130" unbalanced="0"/>
    <cacheHierarchy uniqueName="[TVentes].[Client]" caption="Client" attribute="1" defaultMemberUniqueName="[TVentes].[Client].[All]" allUniqueName="[TVentes].[Client].[All]" dimensionUniqueName="[TVentes]" displayFolder="" count="0" memberValueDatatype="130" unbalanced="0"/>
    <cacheHierarchy uniqueName="[TVentes].[Pays]" caption="Pays" attribute="1" defaultMemberUniqueName="[TVentes].[Pays].[All]" allUniqueName="[TVentes].[Pays].[All]" dimensionUniqueName="[TVentes]" displayFolder="" count="0" memberValueDatatype="130" unbalanced="0"/>
    <cacheHierarchy uniqueName="[TVentes].[Qté]" caption="Qté" attribute="1" defaultMemberUniqueName="[TVentes].[Qté].[All]" allUniqueName="[TVentes].[Qté].[All]" dimensionUniqueName="[TVentes]" displayFolder="" count="0" memberValueDatatype="20" unbalanced="0"/>
    <cacheHierarchy uniqueName="[TVentes].[PU]" caption="PU" attribute="1" defaultMemberUniqueName="[TVentes].[PU].[All]" allUniqueName="[TVentes].[PU].[All]" dimensionUniqueName="[TVentes]" displayFolder="" count="0" memberValueDatatype="20" unbalanced="0"/>
    <cacheHierarchy uniqueName="[TVentes].[MGA]" caption="MGA" attribute="1" defaultMemberUniqueName="[TVentes].[MGA].[All]" allUniqueName="[TVentes].[MGA].[All]" dimensionUniqueName="[TVentes]" displayFolder="" count="0" memberValueDatatype="5" unbalanced="0"/>
    <cacheHierarchy uniqueName="[TVentes].[USD]" caption="USD" attribute="1" defaultMemberUniqueName="[TVentes].[USD].[All]" allUniqueName="[TVentes].[USD].[All]" dimensionUniqueName="[TVentes]" displayFolder="" count="0" memberValueDatatype="5" unbalanced="0"/>
    <cacheHierarchy uniqueName="[TVentes].[EUR]" caption="EUR" attribute="1" defaultMemberUniqueName="[TVentes].[EUR].[All]" allUniqueName="[TVentes].[EUR].[All]" dimensionUniqueName="[TVentes]" displayFolder="" count="0" memberValueDatatype="5" unbalanced="0"/>
    <cacheHierarchy uniqueName="[Measures].[__XL_Count TAchats]" caption="__XL_Count TAchats" measure="1" displayFolder="" measureGroup="TAchats" count="0" hidden="1"/>
    <cacheHierarchy uniqueName="[Measures].[__XL_Count TLieuxAppro]" caption="__XL_Count TLieuxAppro" measure="1" displayFolder="" measureGroup="TLieuxAppro" count="0" hidden="1"/>
    <cacheHierarchy uniqueName="[Measures].[__XL_Count TProd]" caption="__XL_Count TProd" measure="1" displayFolder="" measureGroup="TProd" count="0" hidden="1"/>
    <cacheHierarchy uniqueName="[Measures].[__XL_Count TTypes]" caption="__XL_Count TTypes" measure="1" displayFolder="" measureGroup="TTypes" count="0" hidden="1"/>
    <cacheHierarchy uniqueName="[Measures].[__XL_Count TDate]" caption="__XL_Count TDate" measure="1" displayFolder="" measureGroup="TDate" count="0" hidden="1"/>
    <cacheHierarchy uniqueName="[Measures].[__XL_Count TVentes]" caption="__XL_Count TVentes" measure="1" displayFolder="" measureGroup="TVentes" count="0" hidden="1"/>
    <cacheHierarchy uniqueName="[Measures].[__XL_Count Tableau10]" caption="__XL_Count Tableau10" measure="1" displayFolder="" measureGroup="Tableau10" count="0" hidden="1"/>
    <cacheHierarchy uniqueName="[Measures].[__No measures defined]" caption="__No measures defined" measure="1" displayFolder="" count="0" hidden="1"/>
    <cacheHierarchy uniqueName="[Measures].[Somme de Valeur]" caption="Somme de Valeur" measure="1" displayFolder="" measureGroup="TAchat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Qté]" caption="Somme de Qté" measure="1" displayFolder="" measureGroup="TAchat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omme de Cout d'achat]" caption="Somme de Cout d'achat" measure="1" displayFolder="" measureGroup="T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té 2]" caption="Somme de Qté 2" measure="1" displayFolder="" measureGroup="TVent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omme de MGA]" caption="Somme de MGA" measure="1" displayFolder="" measureGroup="TVent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me de Quantité]" caption="Somme de Quantité" measure="1" displayFolder="" measureGroup="TPro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Nombre de Type]" caption="Nombre de Type" measure="1" displayFolder="" measureGroup="TAchat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Nombre de Qté]" caption="Nombre de Qté" measure="1" displayFolder="" measureGroup="TAchat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8">
    <dimension measure="1" name="Measures" uniqueName="[Measures]" caption="Measures"/>
    <dimension name="Tableau10" uniqueName="[Tableau10]" caption="Tableau10"/>
    <dimension name="TAchats" uniqueName="[TAchats]" caption="TAchats"/>
    <dimension name="TDate" uniqueName="[TDate]" caption="TDate"/>
    <dimension name="TLieuxAppro" uniqueName="[TLieuxAppro]" caption="TLieuxAppro"/>
    <dimension name="TProd" uniqueName="[TProd]" caption="TProd"/>
    <dimension name="TTypes" uniqueName="[TTypes]" caption="TTypes"/>
    <dimension name="TVentes" uniqueName="[TVentes]" caption="TVentes"/>
  </dimensions>
  <measureGroups count="7">
    <measureGroup name="Tableau10" caption="Tableau10"/>
    <measureGroup name="TAchats" caption="TAchats"/>
    <measureGroup name="TDate" caption="TDate"/>
    <measureGroup name="TLieuxAppro" caption="TLieuxAppro"/>
    <measureGroup name="TProd" caption="TProd"/>
    <measureGroup name="TTypes" caption="TTypes"/>
    <measureGroup name="TVentes" caption="TVentes"/>
  </measureGroups>
  <maps count="10">
    <map measureGroup="0" dimension="1"/>
    <map measureGroup="1" dimension="2"/>
    <map measureGroup="1" dimension="3"/>
    <map measureGroup="2" dimension="3"/>
    <map measureGroup="3" dimension="4"/>
    <map measureGroup="4" dimension="3"/>
    <map measureGroup="4" dimension="5"/>
    <map measureGroup="5" dimension="6"/>
    <map measureGroup="6" dimension="3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5411.646881250002" backgroundQuery="1" createdVersion="7" refreshedVersion="7" minRefreshableVersion="3" recordCount="0" supportSubquery="1" supportAdvancedDrill="1" xr:uid="{AE1179CB-B6DA-416D-8F3A-49A0B5E55273}">
  <cacheSource type="external" connectionId="1"/>
  <cacheFields count="1">
    <cacheField name="[TProd].[Date].[Date]" caption="Date" numFmtId="0" hierarchy="14" level="1">
      <sharedItems count="12">
        <s v="Août"/>
        <s v="Avril"/>
        <s v="Décembre"/>
        <s v="Février"/>
        <s v="Janvier"/>
        <s v="Juillet"/>
        <s v="Juin"/>
        <s v="Mai"/>
        <s v="Mars"/>
        <s v="Novembre"/>
        <s v="Octobre"/>
        <s v="Septembre"/>
      </sharedItems>
    </cacheField>
  </cacheFields>
  <cacheHierarchies count="47">
    <cacheHierarchy uniqueName="[Tableau10].[Réf]" caption="Réf" attribute="1" defaultMemberUniqueName="[Tableau10].[Réf].[All]" allUniqueName="[Tableau10].[Réf].[All]" dimensionUniqueName="[Tableau10]" displayFolder="" count="0" memberValueDatatype="130" unbalanced="0"/>
    <cacheHierarchy uniqueName="[TAchats].[Date]" caption="Date" attribute="1" defaultMemberUniqueName="[TAchats].[Date].[All]" allUniqueName="[TAchats].[Date].[All]" dimensionUniqueName="[TAchats]" displayFolder="" count="0" memberValueDatatype="130" unbalanced="0"/>
    <cacheHierarchy uniqueName="[TAchats].[Réf]" caption="Réf" attribute="1" defaultMemberUniqueName="[TAchats].[Réf].[All]" allUniqueName="[TAchats].[Réf].[All]" dimensionUniqueName="[TAchats]" displayFolder="" count="0" memberValueDatatype="130" unbalanced="0"/>
    <cacheHierarchy uniqueName="[TAchats].[Type]" caption="Type" attribute="1" defaultMemberUniqueName="[TAchats].[Type].[All]" allUniqueName="[TAchats].[Type].[All]" dimensionUniqueName="[TAchats]" displayFolder="" count="0" memberValueDatatype="130" unbalanced="0"/>
    <cacheHierarchy uniqueName="[TAchats].[Lieux]" caption="Lieux" attribute="1" defaultMemberUniqueName="[TAchats].[Lieux].[All]" allUniqueName="[TAchats].[Lieux].[All]" dimensionUniqueName="[TAchats]" displayFolder="" count="0" memberValueDatatype="130" unbalanced="0"/>
    <cacheHierarchy uniqueName="[TAchats].[Qté]" caption="Qté" attribute="1" defaultMemberUniqueName="[TAchats].[Qté].[All]" allUniqueName="[TAchats].[Qté].[All]" dimensionUniqueName="[TAchats]" displayFolder="" count="0" memberValueDatatype="5" unbalanced="0"/>
    <cacheHierarchy uniqueName="[TAchats].[PU]" caption="PU" attribute="1" defaultMemberUniqueName="[TAchats].[PU].[All]" allUniqueName="[TAchats].[PU].[All]" dimensionUniqueName="[TAchats]" displayFolder="" count="0" memberValueDatatype="20" unbalanced="0"/>
    <cacheHierarchy uniqueName="[TAchats].[Valeur]" caption="Valeur" attribute="1" defaultMemberUniqueName="[TAchats].[Valeur].[All]" allUniqueName="[TAchats].[Valeur].[All]" dimensionUniqueName="[TAchats]" displayFolder="" count="0" memberValueDatatype="5" unbalanced="0"/>
    <cacheHierarchy uniqueName="[TAchats].[Transp U]" caption="Transp U" attribute="1" defaultMemberUniqueName="[TAchats].[Transp U].[All]" allUniqueName="[TAchats].[Transp U].[All]" dimensionUniqueName="[TAchats]" displayFolder="" count="0" memberValueDatatype="20" unbalanced="0"/>
    <cacheHierarchy uniqueName="[TAchats].[Transport]" caption="Transport" attribute="1" defaultMemberUniqueName="[TAchats].[Transport].[All]" allUniqueName="[TAchats].[Transport].[All]" dimensionUniqueName="[TAchats]" displayFolder="" count="0" memberValueDatatype="20" unbalanced="0"/>
    <cacheHierarchy uniqueName="[TAchats].[Cout d'achat]" caption="Cout d'achat" attribute="1" defaultMemberUniqueName="[TAchats].[Cout d'achat].[All]" allUniqueName="[TAchats].[Cout d'achat].[All]" dimensionUniqueName="[TAchats]" displayFolder="" count="0" memberValueDatatype="5" unbalanced="0"/>
    <cacheHierarchy uniqueName="[TAchats].[CA U]" caption="CA U" attribute="1" defaultMemberUniqueName="[TAchats].[CA U].[All]" allUniqueName="[TAchats].[CA U].[All]" dimensionUniqueName="[TAchats]" displayFolder="" count="0" memberValueDatatype="130" unbalanced="0"/>
    <cacheHierarchy uniqueName="[TDate].[Date]" caption="Date" attribute="1" defaultMemberUniqueName="[TDate].[Date].[All]" allUniqueName="[TDate].[Date].[All]" dimensionUniqueName="[TDate]" displayFolder="" count="0" memberValueDatatype="130" unbalanced="0"/>
    <cacheHierarchy uniqueName="[TLieuxAppro].[Lieux]" caption="Lieux" attribute="1" defaultMemberUniqueName="[TLieuxAppro].[Lieux].[All]" allUniqueName="[TLieuxAppro].[Lieux].[All]" dimensionUniqueName="[TLieuxAppro]" displayFolder="" count="0" memberValueDatatype="130" unbalanced="0"/>
    <cacheHierarchy uniqueName="[TProd].[Date]" caption="Date" attribute="1" defaultMemberUniqueName="[TProd].[Date].[All]" allUniqueName="[TProd].[Date].[All]" dimensionUniqueName="[TProd]" displayFolder="" count="2" memberValueDatatype="130" unbalanced="0">
      <fieldsUsage count="2">
        <fieldUsage x="-1"/>
        <fieldUsage x="0"/>
      </fieldsUsage>
    </cacheHierarchy>
    <cacheHierarchy uniqueName="[TProd].[Réf]" caption="Réf" attribute="1" defaultMemberUniqueName="[TProd].[Réf].[All]" allUniqueName="[TProd].[Réf].[All]" dimensionUniqueName="[TProd]" displayFolder="" count="0" memberValueDatatype="130" unbalanced="0"/>
    <cacheHierarchy uniqueName="[TProd].[Type]" caption="Type" attribute="1" defaultMemberUniqueName="[TProd].[Type].[All]" allUniqueName="[TProd].[Type].[All]" dimensionUniqueName="[TProd]" displayFolder="" count="0" memberValueDatatype="130" unbalanced="0"/>
    <cacheHierarchy uniqueName="[TProd].[Quantité]" caption="Quantité" attribute="1" defaultMemberUniqueName="[TProd].[Quantité].[All]" allUniqueName="[TProd].[Quantité].[All]" dimensionUniqueName="[TProd]" displayFolder="" count="0" memberValueDatatype="20" unbalanced="0"/>
    <cacheHierarchy uniqueName="[TProd].[PU]" caption="PU" attribute="1" defaultMemberUniqueName="[TProd].[PU].[All]" allUniqueName="[TProd].[PU].[All]" dimensionUniqueName="[TProd]" displayFolder="" count="0" memberValueDatatype="5" unbalanced="0"/>
    <cacheHierarchy uniqueName="[TProd].[Productions]" caption="Productions" attribute="1" defaultMemberUniqueName="[TProd].[Productions].[All]" allUniqueName="[TProd].[Productions].[All]" dimensionUniqueName="[TProd]" displayFolder="" count="0" memberValueDatatype="5" unbalanced="0"/>
    <cacheHierarchy uniqueName="[TTypes].[Types]" caption="Types" attribute="1" defaultMemberUniqueName="[TTypes].[Types].[All]" allUniqueName="[TTypes].[Types].[All]" dimensionUniqueName="[TTypes]" displayFolder="" count="0" memberValueDatatype="130" unbalanced="0"/>
    <cacheHierarchy uniqueName="[TVentes].[Réf]" caption="Réf" attribute="1" defaultMemberUniqueName="[TVentes].[Réf].[All]" allUniqueName="[TVentes].[Réf].[All]" dimensionUniqueName="[TVentes]" displayFolder="" count="0" memberValueDatatype="130" unbalanced="0"/>
    <cacheHierarchy uniqueName="[TVentes].[Types]" caption="Types" attribute="1" defaultMemberUniqueName="[TVentes].[Types].[All]" allUniqueName="[TVentes].[Types].[All]" dimensionUniqueName="[TVentes]" displayFolder="" count="0" memberValueDatatype="130" unbalanced="0"/>
    <cacheHierarchy uniqueName="[TVentes].[Date]" caption="Date" attribute="1" defaultMemberUniqueName="[TVentes].[Date].[All]" allUniqueName="[TVentes].[Date].[All]" dimensionUniqueName="[TVentes]" displayFolder="" count="0" memberValueDatatype="130" unbalanced="0"/>
    <cacheHierarchy uniqueName="[TVentes].[Client]" caption="Client" attribute="1" defaultMemberUniqueName="[TVentes].[Client].[All]" allUniqueName="[TVentes].[Client].[All]" dimensionUniqueName="[TVentes]" displayFolder="" count="0" memberValueDatatype="130" unbalanced="0"/>
    <cacheHierarchy uniqueName="[TVentes].[Pays]" caption="Pays" attribute="1" defaultMemberUniqueName="[TVentes].[Pays].[All]" allUniqueName="[TVentes].[Pays].[All]" dimensionUniqueName="[TVentes]" displayFolder="" count="0" memberValueDatatype="130" unbalanced="0"/>
    <cacheHierarchy uniqueName="[TVentes].[Qté]" caption="Qté" attribute="1" defaultMemberUniqueName="[TVentes].[Qté].[All]" allUniqueName="[TVentes].[Qté].[All]" dimensionUniqueName="[TVentes]" displayFolder="" count="0" memberValueDatatype="20" unbalanced="0"/>
    <cacheHierarchy uniqueName="[TVentes].[PU]" caption="PU" attribute="1" defaultMemberUniqueName="[TVentes].[PU].[All]" allUniqueName="[TVentes].[PU].[All]" dimensionUniqueName="[TVentes]" displayFolder="" count="0" memberValueDatatype="20" unbalanced="0"/>
    <cacheHierarchy uniqueName="[TVentes].[MGA]" caption="MGA" attribute="1" defaultMemberUniqueName="[TVentes].[MGA].[All]" allUniqueName="[TVentes].[MGA].[All]" dimensionUniqueName="[TVentes]" displayFolder="" count="0" memberValueDatatype="5" unbalanced="0"/>
    <cacheHierarchy uniqueName="[TVentes].[USD]" caption="USD" attribute="1" defaultMemberUniqueName="[TVentes].[USD].[All]" allUniqueName="[TVentes].[USD].[All]" dimensionUniqueName="[TVentes]" displayFolder="" count="0" memberValueDatatype="5" unbalanced="0"/>
    <cacheHierarchy uniqueName="[TVentes].[EUR]" caption="EUR" attribute="1" defaultMemberUniqueName="[TVentes].[EUR].[All]" allUniqueName="[TVentes].[EUR].[All]" dimensionUniqueName="[TVentes]" displayFolder="" count="0" memberValueDatatype="5" unbalanced="0"/>
    <cacheHierarchy uniqueName="[Measures].[__XL_Count TAchats]" caption="__XL_Count TAchats" measure="1" displayFolder="" measureGroup="TAchats" count="0" hidden="1"/>
    <cacheHierarchy uniqueName="[Measures].[__XL_Count TLieuxAppro]" caption="__XL_Count TLieuxAppro" measure="1" displayFolder="" measureGroup="TLieuxAppro" count="0" hidden="1"/>
    <cacheHierarchy uniqueName="[Measures].[__XL_Count TProd]" caption="__XL_Count TProd" measure="1" displayFolder="" measureGroup="TProd" count="0" hidden="1"/>
    <cacheHierarchy uniqueName="[Measures].[__XL_Count TTypes]" caption="__XL_Count TTypes" measure="1" displayFolder="" measureGroup="TTypes" count="0" hidden="1"/>
    <cacheHierarchy uniqueName="[Measures].[__XL_Count TDate]" caption="__XL_Count TDate" measure="1" displayFolder="" measureGroup="TDate" count="0" hidden="1"/>
    <cacheHierarchy uniqueName="[Measures].[__XL_Count TVentes]" caption="__XL_Count TVentes" measure="1" displayFolder="" measureGroup="TVentes" count="0" hidden="1"/>
    <cacheHierarchy uniqueName="[Measures].[__XL_Count Tableau10]" caption="__XL_Count Tableau10" measure="1" displayFolder="" measureGroup="Tableau10" count="0" hidden="1"/>
    <cacheHierarchy uniqueName="[Measures].[__No measures defined]" caption="__No measures defined" measure="1" displayFolder="" count="0" hidden="1"/>
    <cacheHierarchy uniqueName="[Measures].[Somme de Valeur]" caption="Somme de Valeur" measure="1" displayFolder="" measureGroup="TAchat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Qté]" caption="Somme de Qté" measure="1" displayFolder="" measureGroup="TAchat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omme de Cout d'achat]" caption="Somme de Cout d'achat" measure="1" displayFolder="" measureGroup="T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té 2]" caption="Somme de Qté 2" measure="1" displayFolder="" measureGroup="TVent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omme de MGA]" caption="Somme de MGA" measure="1" displayFolder="" measureGroup="TVent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me de Quantité]" caption="Somme de Quantité" measure="1" displayFolder="" measureGroup="TProd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Nombre de Type]" caption="Nombre de Type" measure="1" displayFolder="" measureGroup="TAchat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Nombre de Qté]" caption="Nombre de Qté" measure="1" displayFolder="" measureGroup="TAchat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8">
    <dimension measure="1" name="Measures" uniqueName="[Measures]" caption="Measures"/>
    <dimension name="Tableau10" uniqueName="[Tableau10]" caption="Tableau10"/>
    <dimension name="TAchats" uniqueName="[TAchats]" caption="TAchats"/>
    <dimension name="TDate" uniqueName="[TDate]" caption="TDate"/>
    <dimension name="TLieuxAppro" uniqueName="[TLieuxAppro]" caption="TLieuxAppro"/>
    <dimension name="TProd" uniqueName="[TProd]" caption="TProd"/>
    <dimension name="TTypes" uniqueName="[TTypes]" caption="TTypes"/>
    <dimension name="TVentes" uniqueName="[TVentes]" caption="TVentes"/>
  </dimensions>
  <measureGroups count="7">
    <measureGroup name="Tableau10" caption="Tableau10"/>
    <measureGroup name="TAchats" caption="TAchats"/>
    <measureGroup name="TDate" caption="TDate"/>
    <measureGroup name="TLieuxAppro" caption="TLieuxAppro"/>
    <measureGroup name="TProd" caption="TProd"/>
    <measureGroup name="TTypes" caption="TTypes"/>
    <measureGroup name="TVentes" caption="TVentes"/>
  </measureGroups>
  <maps count="10">
    <map measureGroup="0" dimension="1"/>
    <map measureGroup="1" dimension="2"/>
    <map measureGroup="1" dimension="3"/>
    <map measureGroup="2" dimension="3"/>
    <map measureGroup="3" dimension="4"/>
    <map measureGroup="4" dimension="3"/>
    <map measureGroup="4" dimension="5"/>
    <map measureGroup="5" dimension="6"/>
    <map measureGroup="6" dimension="3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5411.646867129632" backgroundQuery="1" createdVersion="3" refreshedVersion="7" minRefreshableVersion="3" recordCount="0" supportSubquery="1" supportAdvancedDrill="1" xr:uid="{788F1EEC-4E90-4021-B98B-67CCC08460C7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47">
    <cacheHierarchy uniqueName="[Tableau10].[Réf]" caption="Réf" attribute="1" defaultMemberUniqueName="[Tableau10].[Réf].[All]" allUniqueName="[Tableau10].[Réf].[All]" dimensionUniqueName="[Tableau10]" displayFolder="" count="0" memberValueDatatype="130" unbalanced="0"/>
    <cacheHierarchy uniqueName="[TAchats].[Date]" caption="Date" attribute="1" defaultMemberUniqueName="[TAchats].[Date].[All]" allUniqueName="[TAchats].[Date].[All]" dimensionUniqueName="[TAchats]" displayFolder="" count="0" memberValueDatatype="130" unbalanced="0"/>
    <cacheHierarchy uniqueName="[TAchats].[Réf]" caption="Réf" attribute="1" defaultMemberUniqueName="[TAchats].[Réf].[All]" allUniqueName="[TAchats].[Réf].[All]" dimensionUniqueName="[TAchats]" displayFolder="" count="0" memberValueDatatype="130" unbalanced="0"/>
    <cacheHierarchy uniqueName="[TAchats].[Type]" caption="Type" attribute="1" defaultMemberUniqueName="[TAchats].[Type].[All]" allUniqueName="[TAchats].[Type].[All]" dimensionUniqueName="[TAchats]" displayFolder="" count="0" memberValueDatatype="130" unbalanced="0"/>
    <cacheHierarchy uniqueName="[TAchats].[Lieux]" caption="Lieux" attribute="1" defaultMemberUniqueName="[TAchats].[Lieux].[All]" allUniqueName="[TAchats].[Lieux].[All]" dimensionUniqueName="[TAchats]" displayFolder="" count="0" memberValueDatatype="130" unbalanced="0"/>
    <cacheHierarchy uniqueName="[TAchats].[Qté]" caption="Qté" attribute="1" defaultMemberUniqueName="[TAchats].[Qté].[All]" allUniqueName="[TAchats].[Qté].[All]" dimensionUniqueName="[TAchats]" displayFolder="" count="0" memberValueDatatype="5" unbalanced="0"/>
    <cacheHierarchy uniqueName="[TAchats].[PU]" caption="PU" attribute="1" defaultMemberUniqueName="[TAchats].[PU].[All]" allUniqueName="[TAchats].[PU].[All]" dimensionUniqueName="[TAchats]" displayFolder="" count="0" memberValueDatatype="20" unbalanced="0"/>
    <cacheHierarchy uniqueName="[TAchats].[Valeur]" caption="Valeur" attribute="1" defaultMemberUniqueName="[TAchats].[Valeur].[All]" allUniqueName="[TAchats].[Valeur].[All]" dimensionUniqueName="[TAchats]" displayFolder="" count="0" memberValueDatatype="5" unbalanced="0"/>
    <cacheHierarchy uniqueName="[TAchats].[Transp U]" caption="Transp U" attribute="1" defaultMemberUniqueName="[TAchats].[Transp U].[All]" allUniqueName="[TAchats].[Transp U].[All]" dimensionUniqueName="[TAchats]" displayFolder="" count="0" memberValueDatatype="20" unbalanced="0"/>
    <cacheHierarchy uniqueName="[TAchats].[Transport]" caption="Transport" attribute="1" defaultMemberUniqueName="[TAchats].[Transport].[All]" allUniqueName="[TAchats].[Transport].[All]" dimensionUniqueName="[TAchats]" displayFolder="" count="0" memberValueDatatype="20" unbalanced="0"/>
    <cacheHierarchy uniqueName="[TAchats].[Cout d'achat]" caption="Cout d'achat" attribute="1" defaultMemberUniqueName="[TAchats].[Cout d'achat].[All]" allUniqueName="[TAchats].[Cout d'achat].[All]" dimensionUniqueName="[TAchats]" displayFolder="" count="0" memberValueDatatype="5" unbalanced="0"/>
    <cacheHierarchy uniqueName="[TAchats].[CA U]" caption="CA U" attribute="1" defaultMemberUniqueName="[TAchats].[CA U].[All]" allUniqueName="[TAchats].[CA U].[All]" dimensionUniqueName="[TAchats]" displayFolder="" count="0" memberValueDatatype="130" unbalanced="0"/>
    <cacheHierarchy uniqueName="[TDate].[Date]" caption="Date" attribute="1" defaultMemberUniqueName="[TDate].[Date].[All]" allUniqueName="[TDate].[Date].[All]" dimensionUniqueName="[TDate]" displayFolder="" count="2" memberValueDatatype="130" unbalanced="0"/>
    <cacheHierarchy uniqueName="[TLieuxAppro].[Lieux]" caption="Lieux" attribute="1" defaultMemberUniqueName="[TLieuxAppro].[Lieux].[All]" allUniqueName="[TLieuxAppro].[Lieux].[All]" dimensionUniqueName="[TLieuxAppro]" displayFolder="" count="0" memberValueDatatype="130" unbalanced="0"/>
    <cacheHierarchy uniqueName="[TProd].[Date]" caption="Date" attribute="1" defaultMemberUniqueName="[TProd].[Date].[All]" allUniqueName="[TProd].[Date].[All]" dimensionUniqueName="[TProd]" displayFolder="" count="0" memberValueDatatype="130" unbalanced="0"/>
    <cacheHierarchy uniqueName="[TProd].[Réf]" caption="Réf" attribute="1" defaultMemberUniqueName="[TProd].[Réf].[All]" allUniqueName="[TProd].[Réf].[All]" dimensionUniqueName="[TProd]" displayFolder="" count="0" memberValueDatatype="130" unbalanced="0"/>
    <cacheHierarchy uniqueName="[TProd].[Type]" caption="Type" attribute="1" defaultMemberUniqueName="[TProd].[Type].[All]" allUniqueName="[TProd].[Type].[All]" dimensionUniqueName="[TProd]" displayFolder="" count="0" memberValueDatatype="130" unbalanced="0"/>
    <cacheHierarchy uniqueName="[TProd].[Quantité]" caption="Quantité" attribute="1" defaultMemberUniqueName="[TProd].[Quantité].[All]" allUniqueName="[TProd].[Quantité].[All]" dimensionUniqueName="[TProd]" displayFolder="" count="0" memberValueDatatype="20" unbalanced="0"/>
    <cacheHierarchy uniqueName="[TProd].[PU]" caption="PU" attribute="1" defaultMemberUniqueName="[TProd].[PU].[All]" allUniqueName="[TProd].[PU].[All]" dimensionUniqueName="[TProd]" displayFolder="" count="0" memberValueDatatype="5" unbalanced="0"/>
    <cacheHierarchy uniqueName="[TProd].[Productions]" caption="Productions" attribute="1" defaultMemberUniqueName="[TProd].[Productions].[All]" allUniqueName="[TProd].[Productions].[All]" dimensionUniqueName="[TProd]" displayFolder="" count="0" memberValueDatatype="5" unbalanced="0"/>
    <cacheHierarchy uniqueName="[TTypes].[Types]" caption="Types" attribute="1" defaultMemberUniqueName="[TTypes].[Types].[All]" allUniqueName="[TTypes].[Types].[All]" dimensionUniqueName="[TTypes]" displayFolder="" count="0" memberValueDatatype="130" unbalanced="0"/>
    <cacheHierarchy uniqueName="[TVentes].[Réf]" caption="Réf" attribute="1" defaultMemberUniqueName="[TVentes].[Réf].[All]" allUniqueName="[TVentes].[Réf].[All]" dimensionUniqueName="[TVentes]" displayFolder="" count="0" memberValueDatatype="130" unbalanced="0"/>
    <cacheHierarchy uniqueName="[TVentes].[Types]" caption="Types" attribute="1" defaultMemberUniqueName="[TVentes].[Types].[All]" allUniqueName="[TVentes].[Types].[All]" dimensionUniqueName="[TVentes]" displayFolder="" count="0" memberValueDatatype="130" unbalanced="0"/>
    <cacheHierarchy uniqueName="[TVentes].[Date]" caption="Date" attribute="1" defaultMemberUniqueName="[TVentes].[Date].[All]" allUniqueName="[TVentes].[Date].[All]" dimensionUniqueName="[TVentes]" displayFolder="" count="0" memberValueDatatype="130" unbalanced="0"/>
    <cacheHierarchy uniqueName="[TVentes].[Client]" caption="Client" attribute="1" defaultMemberUniqueName="[TVentes].[Client].[All]" allUniqueName="[TVentes].[Client].[All]" dimensionUniqueName="[TVentes]" displayFolder="" count="0" memberValueDatatype="130" unbalanced="0"/>
    <cacheHierarchy uniqueName="[TVentes].[Pays]" caption="Pays" attribute="1" defaultMemberUniqueName="[TVentes].[Pays].[All]" allUniqueName="[TVentes].[Pays].[All]" dimensionUniqueName="[TVentes]" displayFolder="" count="0" memberValueDatatype="130" unbalanced="0"/>
    <cacheHierarchy uniqueName="[TVentes].[Qté]" caption="Qté" attribute="1" defaultMemberUniqueName="[TVentes].[Qté].[All]" allUniqueName="[TVentes].[Qté].[All]" dimensionUniqueName="[TVentes]" displayFolder="" count="0" memberValueDatatype="20" unbalanced="0"/>
    <cacheHierarchy uniqueName="[TVentes].[PU]" caption="PU" attribute="1" defaultMemberUniqueName="[TVentes].[PU].[All]" allUniqueName="[TVentes].[PU].[All]" dimensionUniqueName="[TVentes]" displayFolder="" count="0" memberValueDatatype="20" unbalanced="0"/>
    <cacheHierarchy uniqueName="[TVentes].[MGA]" caption="MGA" attribute="1" defaultMemberUniqueName="[TVentes].[MGA].[All]" allUniqueName="[TVentes].[MGA].[All]" dimensionUniqueName="[TVentes]" displayFolder="" count="0" memberValueDatatype="5" unbalanced="0"/>
    <cacheHierarchy uniqueName="[TVentes].[USD]" caption="USD" attribute="1" defaultMemberUniqueName="[TVentes].[USD].[All]" allUniqueName="[TVentes].[USD].[All]" dimensionUniqueName="[TVentes]" displayFolder="" count="0" memberValueDatatype="5" unbalanced="0"/>
    <cacheHierarchy uniqueName="[TVentes].[EUR]" caption="EUR" attribute="1" defaultMemberUniqueName="[TVentes].[EUR].[All]" allUniqueName="[TVentes].[EUR].[All]" dimensionUniqueName="[TVentes]" displayFolder="" count="0" memberValueDatatype="5" unbalanced="0"/>
    <cacheHierarchy uniqueName="[Measures].[__XL_Count TAchats]" caption="__XL_Count TAchats" measure="1" displayFolder="" measureGroup="TAchats" count="0" hidden="1"/>
    <cacheHierarchy uniqueName="[Measures].[__XL_Count TLieuxAppro]" caption="__XL_Count TLieuxAppro" measure="1" displayFolder="" measureGroup="TLieuxAppro" count="0" hidden="1"/>
    <cacheHierarchy uniqueName="[Measures].[__XL_Count TProd]" caption="__XL_Count TProd" measure="1" displayFolder="" measureGroup="TProd" count="0" hidden="1"/>
    <cacheHierarchy uniqueName="[Measures].[__XL_Count TTypes]" caption="__XL_Count TTypes" measure="1" displayFolder="" measureGroup="TTypes" count="0" hidden="1"/>
    <cacheHierarchy uniqueName="[Measures].[__XL_Count TDate]" caption="__XL_Count TDate" measure="1" displayFolder="" measureGroup="TDate" count="0" hidden="1"/>
    <cacheHierarchy uniqueName="[Measures].[__XL_Count TVentes]" caption="__XL_Count TVentes" measure="1" displayFolder="" measureGroup="TVentes" count="0" hidden="1"/>
    <cacheHierarchy uniqueName="[Measures].[__XL_Count Tableau10]" caption="__XL_Count Tableau10" measure="1" displayFolder="" measureGroup="Tableau10" count="0" hidden="1"/>
    <cacheHierarchy uniqueName="[Measures].[__No measures defined]" caption="__No measures defined" measure="1" displayFolder="" count="0" hidden="1"/>
    <cacheHierarchy uniqueName="[Measures].[Somme de Valeur]" caption="Somme de Valeur" measure="1" displayFolder="" measureGroup="TAchat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Qté]" caption="Somme de Qté" measure="1" displayFolder="" measureGroup="TAchat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omme de Cout d'achat]" caption="Somme de Cout d'achat" measure="1" displayFolder="" measureGroup="T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té 2]" caption="Somme de Qté 2" measure="1" displayFolder="" measureGroup="TVent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omme de MGA]" caption="Somme de MGA" measure="1" displayFolder="" measureGroup="TVent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me de Quantité]" caption="Somme de Quantité" measure="1" displayFolder="" measureGroup="TProd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Nombre de Type]" caption="Nombre de Type" measure="1" displayFolder="" measureGroup="TAchat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Nombre de Qté]" caption="Nombre de Qté" measure="1" displayFolder="" measureGroup="TAchat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778224531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72447C-B9DC-4B8E-8EA8-2E262785153F}" name="TCProdV" cacheId="3" applyNumberFormats="0" applyBorderFormats="0" applyFontFormats="0" applyPatternFormats="0" applyAlignmentFormats="0" applyWidthHeightFormats="1" dataCaption="Valeurs" updatedVersion="7" minRefreshableVersion="3" useAutoFormatting="1" subtotalHiddenItems="1" itemPrintTitles="1" createdVersion="7" indent="0" outline="1" outlineData="1" multipleFieldFilters="0" chartFormat="3">
  <location ref="E7:E11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Date].[Date].&amp;[Mar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BP SIMULATION 2024.xlsm!TProd">
        <x15:activeTabTopLevelEntity name="[TProd]"/>
        <x15:activeTabTopLevelEntity name="[TDat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187B38-694D-4CBF-ABED-AA7C1FD83B20}" name="Tableau croisé dynamique3" cacheId="7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A95:C108" firstHeaderRow="0" firstDataRow="1" firstDataCol="1"/>
  <pivotFields count="3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MGA" fld="1" baseField="0" baseItem="0"/>
    <dataField name="Somme de MGA2" fld="2" baseField="0" baseItem="0">
      <extLst>
        <ext xmlns:x14="http://schemas.microsoft.com/office/spreadsheetml/2009/9/main" uri="{E15A36E0-9728-4e99-A89B-3F7291B0FE68}">
          <x14:dataField sourceField="1" uniqueName="[__Xl2].[Measures].[Somme de MGA]"/>
        </ext>
      </extLst>
    </dataField>
  </dataField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1">
    <rowHierarchyUsage hierarchyUsage="2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BP SIMULATION 2024.xlsm!TVentes">
        <x15:activeTabTopLevelEntity name="[TV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2518C0-C671-4E20-BDD2-395789C5CB0A}" name="TCValAchParMois" cacheId="10" applyNumberFormats="0" applyBorderFormats="0" applyFontFormats="0" applyPatternFormats="0" applyAlignmentFormats="0" applyWidthHeightFormats="1" dataCaption="Valeurs" updatedVersion="7" minRefreshableVersion="3" useAutoFormatting="1" subtotalHiddenItems="1" itemPrintTitles="1" createdVersion="7" indent="0" outline="1" outlineData="1" multipleFieldFilters="0" chartFormat="1">
  <location ref="A65:C78" firstHeaderRow="0" firstDataRow="1" firstDataCol="1"/>
  <pivotFields count="3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Cout d'achat" fld="1" baseField="0" baseItem="0"/>
    <dataField name="Somme de Cout d'achat2" fld="2" baseField="0" baseItem="0">
      <extLst>
        <ext xmlns:x14="http://schemas.microsoft.com/office/spreadsheetml/2009/9/main" uri="{E15A36E0-9728-4e99-A89B-3F7291B0FE68}">
          <x14:dataField sourceField="1" uniqueName="[__Xl2].[Measures].[Somme de Cout d'achat]"/>
        </ext>
      </extLst>
    </dataField>
  </dataField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BP SIMULATION 2024.xlsm!TAchats">
        <x15:activeTabTopLevelEntity name="[TAcha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4A575C-D8FC-4492-81C8-F05C73ADF48D}" name="TventeV" cacheId="4" applyNumberFormats="0" applyBorderFormats="0" applyFontFormats="0" applyPatternFormats="0" applyAlignmentFormats="0" applyWidthHeightFormats="1" dataCaption="Valeurs" updatedVersion="7" minRefreshableVersion="3" useAutoFormatting="1" subtotalHiddenItems="1" itemPrintTitles="1" createdVersion="7" indent="0" outline="1" outlineData="1" multipleFieldFilters="0" chartFormat="3">
  <location ref="E13:F17" firstHeaderRow="1" firstDataRow="1" firstDataCol="1"/>
  <pivotFields count="3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me de MGA" fld="1" baseField="0" baseItem="0" numFmtId="199"/>
  </dataFields>
  <chartFormats count="4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Date].[Date].&amp;[Mar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BP SIMULATION 2024.xlsm!TVentes">
        <x15:activeTabTopLevelEntity name="[TVentes]"/>
        <x15:activeTabTopLevelEntity name="[TDat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4549E9-8B76-4074-A604-5A0489998597}" name="Tableau croisé dynamique4" cacheId="12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A80:A93" firstHeaderRow="1" firstDataRow="1" firstDataCol="1"/>
  <pivotFields count="1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BP SIMULATION 2024.xlsm!TProd">
        <x15:activeTabTopLevelEntity name="[TPro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DCBDD3-7ADE-47D8-A95B-7D51B2BBC464}" name="TCProdQ" cacheId="0" applyNumberFormats="0" applyBorderFormats="0" applyFontFormats="0" applyPatternFormats="0" applyAlignmentFormats="0" applyWidthHeightFormats="1" dataCaption="Valeurs" updatedVersion="7" minRefreshableVersion="3" useAutoFormatting="1" subtotalHiddenItems="1" itemPrintTitles="1" createdVersion="7" indent="0" outline="1" outlineData="1" multipleFieldFilters="0" chartFormat="5">
  <location ref="A7:B11" firstHeaderRow="1" firstDataRow="1" firstDataCol="1"/>
  <pivotFields count="3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me de Quantité" fld="1" baseField="0" baseItem="0" numFmtId="3"/>
  </dataFields>
  <chartFormats count="4"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Date].[Date].&amp;[Mar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BP SIMULATION 2024.xlsm!TProd">
        <x15:activeTabTopLevelEntity name="[TProd]"/>
        <x15:activeTabTopLevelEntity name="[TDat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B97B70-BD20-4E81-9729-42F291FC1079}" name="Tableau croisé dynamique1" cacheId="6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A111:N117" firstHeaderRow="1" firstDataRow="2" firstDataCol="1"/>
  <pivotFields count="3">
    <pivotField axis="axisCol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omme de Qté" fld="2" baseField="0" baseItem="0"/>
  </dataField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BP SIMULATION 2024.xlsm!TAchats">
        <x15:activeTabTopLevelEntity name="[TAcha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A18D2E-5AC0-402D-9517-3F6EC256EDE2}" name="TCVenteQ" cacheId="1" applyNumberFormats="0" applyBorderFormats="0" applyFontFormats="0" applyPatternFormats="0" applyAlignmentFormats="0" applyWidthHeightFormats="1" dataCaption="Valeurs" updatedVersion="7" minRefreshableVersion="3" useAutoFormatting="1" subtotalHiddenItems="1" itemPrintTitles="1" createdVersion="7" indent="0" outline="1" outlineData="1" multipleFieldFilters="0" chartFormat="4">
  <location ref="A13:B17" firstHeaderRow="1" firstDataRow="1" firstDataCol="1"/>
  <pivotFields count="3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me de Qté" fld="1" baseField="0" baseItem="0" numFmtId="3"/>
  </dataFields>
  <chartFormats count="4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Date].[Date].&amp;[Mar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BP SIMULATION 2024.xlsm!TVentes">
        <x15:activeTabTopLevelEntity name="[TVentes]"/>
        <x15:activeTabTopLevelEntity name="[TDat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53857D-A177-4F21-B787-D4AFF8C0D0CF}" name="TCAchatV" cacheId="2" applyNumberFormats="0" applyBorderFormats="0" applyFontFormats="0" applyPatternFormats="0" applyAlignmentFormats="0" applyWidthHeightFormats="1" dataCaption="Valeurs" updatedVersion="7" minRefreshableVersion="3" useAutoFormatting="1" subtotalHiddenItems="1" itemPrintTitles="1" createdVersion="7" indent="0" outline="1" outlineData="1" multipleFieldFilters="0" chartFormat="3">
  <location ref="E1:F5" firstHeaderRow="1" firstDataRow="1" firstDataCol="1"/>
  <pivotFields count="3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me de Cout d'achat" fld="1" baseField="0" baseItem="0" numFmtId="208"/>
  </dataFields>
  <chartFormats count="4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Date].[Date].&amp;[Mar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BP SIMULATION 2024.xlsm!TAchats">
        <x15:activeTabTopLevelEntity name="[TAchats]"/>
        <x15:activeTabTopLevelEntity name="[TDat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CB4C2E-2695-48E8-81CE-719A1DF893F2}" name="TCQteProMois" cacheId="11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A34:B47" firstHeaderRow="1" firstDataRow="1" firstDataCol="1"/>
  <pivotFields count="2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omme de Quantité" fld="1" baseField="0" baseItem="0"/>
  </dataField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BP SIMULATION 2024.xlsm!TProd">
        <x15:activeTabTopLevelEntity name="[TPro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80B835-64C7-4BDA-B700-48072FB21119}" name="TCProdParMois" cacheId="8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A49:B62" firstHeaderRow="1" firstDataRow="1" firstDataCol="1"/>
  <pivotFields count="2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omme de Qté" fld="1" baseField="0" baseItem="0"/>
  </dataField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BP SIMULATION 2024.xlsm!TVentes">
        <x15:activeTabTopLevelEntity name="[TV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F81492-4F52-4297-816F-7187196F9B3F}" name="TCAchatMois" cacheId="9" applyNumberFormats="0" applyBorderFormats="0" applyFontFormats="0" applyPatternFormats="0" applyAlignmentFormats="0" applyWidthHeightFormats="1" dataCaption="Valeurs" updatedVersion="7" minRefreshableVersion="3" useAutoFormatting="1" subtotalHiddenItems="1" itemPrintTitles="1" createdVersion="7" indent="0" outline="1" outlineData="1" multipleFieldFilters="0">
  <location ref="A19:B32" firstHeaderRow="1" firstDataRow="1" firstDataCol="1"/>
  <pivotFields count="2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omme de Qté" fld="1" baseField="0" baseItem="0"/>
  </dataField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BP SIMULATION 2024.xlsm!TAchats">
        <x15:activeTabTopLevelEntity name="[TAcha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14FC16-AD82-4ABC-AD34-8C2841C0CF78}" name="TCAchatsQ" cacheId="5" applyNumberFormats="0" applyBorderFormats="0" applyFontFormats="0" applyPatternFormats="0" applyAlignmentFormats="0" applyWidthHeightFormats="1" dataCaption="Valeurs" updatedVersion="7" minRefreshableVersion="3" useAutoFormatting="1" subtotalHiddenItems="1" itemPrintTitles="1" createdVersion="7" indent="0" outline="1" outlineData="1" multipleFieldFilters="0" chartFormat="3">
  <location ref="A1:B5" firstHeaderRow="1" firstDataRow="1" firstDataCol="1"/>
  <pivotFields count="3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me de Qté" fld="1" baseField="0" baseItem="0" numFmtId="3"/>
  </dataFields>
  <chartFormats count="4"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Date].[Date].&amp;[Mar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BP SIMULATION 2024.xlsm!TAchats">
        <x15:activeTabTopLevelEntity name="[TAchats]"/>
        <x15:activeTabTopLevelEntity name="[TDat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Date" xr10:uid="{B6B5D7AE-4C10-46E5-B431-00AC86DC60F3}" sourceName="[TDate].[Date]">
  <pivotTables>
    <pivotTable tabId="81" name="TCAchatsQ"/>
    <pivotTable tabId="81" name="TCProdQ"/>
    <pivotTable tabId="81" name="TCVenteQ"/>
    <pivotTable tabId="81" name="TCAchatV"/>
    <pivotTable tabId="81" name="TCProdV"/>
    <pivotTable tabId="81" name="TventeV"/>
  </pivotTables>
  <data>
    <olap pivotCacheId="778224531">
      <levels count="2">
        <level uniqueName="[TDate].[Date].[(All)]" sourceCaption="(All)" count="0"/>
        <level uniqueName="[TDate].[Date].[Date]" sourceCaption="Date" count="12">
          <ranges>
            <range startItem="0">
              <i n="[TDate].[Date].&amp;[Août]" c="Août"/>
              <i n="[TDate].[Date].&amp;[Avril]" c="Avril"/>
              <i n="[TDate].[Date].&amp;[Décembre]" c="Décembre"/>
              <i n="[TDate].[Date].&amp;[Février]" c="Février"/>
              <i n="[TDate].[Date].&amp;[Janvier]" c="Janvier"/>
              <i n="[TDate].[Date].&amp;[Juillet]" c="Juillet"/>
              <i n="[TDate].[Date].&amp;[Juin]" c="Juin"/>
              <i n="[TDate].[Date].&amp;[Mai]" c="Mai"/>
              <i n="[TDate].[Date].&amp;[Mars]" c="Mars"/>
              <i n="[TDate].[Date].&amp;[Novembre]" c="Novembre"/>
              <i n="[TDate].[Date].&amp;[Octobre]" c="Octobre"/>
              <i n="[TDate].[Date].&amp;[Septembre]" c="Septembre"/>
            </range>
          </ranges>
        </level>
      </levels>
      <selections count="1">
        <selection n="[TDate].[Date].&amp;[Mars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e" xr10:uid="{F6BB34F1-CF39-4EF1-9027-B3F5D2319615}" cache="Segment_Date" caption="Date" columnCount="2" level="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e 1" xr10:uid="{63C4D241-6741-4D63-9B49-7FA3F8869DDD}" cache="Segment_Date" caption="Date" level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40279C-FC00-4918-BD60-26964768D76C}" name="TAchats" displayName="TAchats" ref="A2:K110" totalsRowShown="0" headerRowDxfId="42" dataDxfId="41">
  <autoFilter ref="A2:K110" xr:uid="{4040279C-FC00-4918-BD60-26964768D76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CE2974D8-9DC6-4A6F-81B8-D3CCC3C0A3BE}" name="Date" dataDxfId="40">
      <calculatedColumnFormula>+'Besoins en micas'!B142</calculatedColumnFormula>
    </tableColumn>
    <tableColumn id="2" xr3:uid="{0BE371B5-DB7D-4655-B3AC-606FA9DDA22E}" name="Réf" dataDxfId="39">
      <calculatedColumnFormula>+'Besoins en micas'!C142</calculatedColumnFormula>
    </tableColumn>
    <tableColumn id="3" xr3:uid="{79DB4B0E-F561-49ED-BFBD-1A4AF1ACDB4B}" name="Type" dataDxfId="38">
      <calculatedColumnFormula>+'Besoins en micas'!D142</calculatedColumnFormula>
    </tableColumn>
    <tableColumn id="4" xr3:uid="{FA5971DC-3D29-4AFF-9358-963E731D2061}" name="Lieux" dataDxfId="37">
      <calculatedColumnFormula>+'Besoins en micas'!E142</calculatedColumnFormula>
    </tableColumn>
    <tableColumn id="5" xr3:uid="{3FE67756-582A-4391-88C5-91DC0B447B68}" name="Qté" dataDxfId="36">
      <calculatedColumnFormula>+'Besoins en micas'!F142</calculatedColumnFormula>
    </tableColumn>
    <tableColumn id="6" xr3:uid="{38530589-09A3-4185-BF6D-E26175F70ED0}" name="PU" dataDxfId="35">
      <calculatedColumnFormula>+'Besoins en micas'!G142</calculatedColumnFormula>
    </tableColumn>
    <tableColumn id="7" xr3:uid="{C4DCB465-430B-4197-9FD8-513990E826C2}" name="Valeur" dataDxfId="34">
      <calculatedColumnFormula>+'Besoins en micas'!H142</calculatedColumnFormula>
    </tableColumn>
    <tableColumn id="8" xr3:uid="{489DBA83-5654-426F-B4E6-E35D0E46C313}" name="Transp U" dataDxfId="33">
      <calculatedColumnFormula>+'Besoins en micas'!I142</calculatedColumnFormula>
    </tableColumn>
    <tableColumn id="9" xr3:uid="{594A434F-66A9-44C7-9C7C-4F61DAB6F097}" name="Transport" dataDxfId="32">
      <calculatedColumnFormula>+'Besoins en micas'!J142</calculatedColumnFormula>
    </tableColumn>
    <tableColumn id="10" xr3:uid="{F83C75D5-E346-4C17-A91A-721D2FF4CF9D}" name="Cout d'achat" dataDxfId="31">
      <calculatedColumnFormula>+'Besoins en micas'!K142</calculatedColumnFormula>
    </tableColumn>
    <tableColumn id="11" xr3:uid="{BE39E627-8F3C-4206-8CC5-64E62EF4673C}" name="CA U" dataDxfId="30">
      <calculatedColumnFormula>+'Besoins en micas'!L142</calculatedColumnFormula>
    </tableColumn>
  </tableColumns>
  <tableStyleInfo name="TableStyleLight8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4C7103-81BB-4798-A85D-B83FDDFD6A5F}" name="TVentes" displayName="TVentes" ref="A113:J221" totalsRowShown="0" headerRowDxfId="29" dataDxfId="28">
  <autoFilter ref="A113:J221" xr:uid="{8E4C7103-81BB-4798-A85D-B83FDDFD6A5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7E29D37D-FDD6-4048-9CD8-777B83CA067A}" name="Réf" dataDxfId="27">
      <calculatedColumnFormula>CA!B59</calculatedColumnFormula>
    </tableColumn>
    <tableColumn id="2" xr3:uid="{9A9343F9-7CAC-4ED9-9342-4C68C3EC9E16}" name="Types" dataDxfId="26">
      <calculatedColumnFormula>CA!C59</calculatedColumnFormula>
    </tableColumn>
    <tableColumn id="3" xr3:uid="{BDDA7025-64F1-4A51-853B-B6586A7F8753}" name="Date" dataDxfId="25">
      <calculatedColumnFormula>CA!D59</calculatedColumnFormula>
    </tableColumn>
    <tableColumn id="4" xr3:uid="{C504AADB-3C1F-4AEE-8011-D79BA25A2B54}" name="Client" dataDxfId="24">
      <calculatedColumnFormula>CA!E59</calculatedColumnFormula>
    </tableColumn>
    <tableColumn id="5" xr3:uid="{AE797185-1CF7-4206-A545-12B35D098A07}" name="Pays" dataDxfId="23">
      <calculatedColumnFormula>CA!F59</calculatedColumnFormula>
    </tableColumn>
    <tableColumn id="6" xr3:uid="{CDF992CB-625C-4603-B651-4FAF74AD20A2}" name="Qté" dataDxfId="22">
      <calculatedColumnFormula>CA!G59*1000</calculatedColumnFormula>
    </tableColumn>
    <tableColumn id="7" xr3:uid="{F38EC3AC-72F3-43F1-8514-960BAE500FC5}" name="PU" dataDxfId="21">
      <calculatedColumnFormula>CA!H59</calculatedColumnFormula>
    </tableColumn>
    <tableColumn id="8" xr3:uid="{C65DD24A-4CBE-4F81-B891-C9E8FCFC742D}" name="MGA" dataDxfId="20">
      <calculatedColumnFormula>CA!I59</calculatedColumnFormula>
    </tableColumn>
    <tableColumn id="9" xr3:uid="{E502F0F0-85A9-459E-BC4A-595462B36064}" name="USD" dataDxfId="19">
      <calculatedColumnFormula>CA!J59</calculatedColumnFormula>
    </tableColumn>
    <tableColumn id="10" xr3:uid="{F80674CE-1D4A-491C-8C0B-E95B19598C50}" name="EUR" dataDxfId="18">
      <calculatedColumnFormula>CA!K59</calculatedColumnFormula>
    </tableColumn>
  </tableColumns>
  <tableStyleInfo name="TableStyleLight8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265F773-AF38-473A-A851-BE8CBFDB730C}" name="TProd" displayName="TProd" ref="A224:F260" totalsRowShown="0" headerRowDxfId="17" dataDxfId="16">
  <autoFilter ref="A224:F260" xr:uid="{3265F773-AF38-473A-A851-BE8CBFDB73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30A5E9B1-3218-437B-8695-9D98FD4E95BF}" name="Date" dataDxfId="15">
      <calculatedColumnFormula>+Production!I139</calculatedColumnFormula>
    </tableColumn>
    <tableColumn id="2" xr3:uid="{EDF6F979-E3DC-46BC-BECD-CB83AAEE6383}" name="Réf" dataDxfId="14">
      <calculatedColumnFormula>+Production!J139</calculatedColumnFormula>
    </tableColumn>
    <tableColumn id="3" xr3:uid="{D6F094BC-BF14-4477-9DCE-946AC0C37605}" name="Type" dataDxfId="13">
      <calculatedColumnFormula>+Production!K139</calculatedColumnFormula>
    </tableColumn>
    <tableColumn id="4" xr3:uid="{0034BE28-7AC5-4F4C-B996-0C35D421FCB7}" name="Quantité" dataDxfId="12">
      <calculatedColumnFormula>+Production!L139</calculatedColumnFormula>
    </tableColumn>
    <tableColumn id="5" xr3:uid="{79E9E87C-0B83-40EF-AD41-842CF626E71F}" name="PU" dataDxfId="11">
      <calculatedColumnFormula>+Production!M139</calculatedColumnFormula>
    </tableColumn>
    <tableColumn id="6" xr3:uid="{E9930547-87C3-4B24-9C68-E503857EEF8F}" name="Productions" dataDxfId="10">
      <calculatedColumnFormula>+Production!N139</calculatedColumnFormula>
    </tableColumn>
  </tableColumns>
  <tableStyleInfo name="TableStyleLight8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48DDCC3-0235-46F8-81D8-68991514F8BF}" name="TTypes" displayName="TTypes" ref="M2:M8" totalsRowShown="0" headerRowDxfId="9" dataDxfId="8">
  <autoFilter ref="M2:M8" xr:uid="{948DDCC3-0235-46F8-81D8-68991514F8BF}">
    <filterColumn colId="0" hiddenButton="1"/>
  </autoFilter>
  <tableColumns count="1">
    <tableColumn id="1" xr3:uid="{533A9352-9627-4743-B19C-7318340D7BC9}" name="Types" dataDxfId="7"/>
  </tableColumns>
  <tableStyleInfo name="TableStyleLight8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540861-3BD6-4897-93F8-0B2CBFFF60FC}" name="TLieuxAppro" displayName="TLieuxAppro" ref="O2:O6" totalsRowShown="0" headerRowDxfId="6" dataDxfId="5">
  <autoFilter ref="O2:O6" xr:uid="{E6540861-3BD6-4897-93F8-0B2CBFFF60FC}">
    <filterColumn colId="0" hiddenButton="1"/>
  </autoFilter>
  <tableColumns count="1">
    <tableColumn id="1" xr3:uid="{B0F707BE-051F-45AF-AAC8-FF2833FA302E}" name="Lieux" dataDxfId="4"/>
  </tableColumns>
  <tableStyleInfo name="TableStyleLight8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85D1ADF-3E84-4419-9244-E82B0C7F905E}" name="TDate" displayName="TDate" ref="Q2:Q14" totalsRowShown="0" headerRowDxfId="3" dataDxfId="2" tableBorderDxfId="1">
  <autoFilter ref="Q2:Q14" xr:uid="{685D1ADF-3E84-4419-9244-E82B0C7F905E}">
    <filterColumn colId="0" hiddenButton="1"/>
  </autoFilter>
  <tableColumns count="1">
    <tableColumn id="1" xr3:uid="{B0BF05AB-805A-41D0-B893-E7F994F5F682}" name="Date" dataDxfId="0"/>
  </tableColumns>
  <tableStyleInfo name="TableStyleLight8" showFirstColumn="0" showLastColumn="0" showRowStripes="0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6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drawing" Target="../drawings/drawing1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7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0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 filterMode="1"/>
  <dimension ref="A2:Z249"/>
  <sheetViews>
    <sheetView topLeftCell="A220" workbookViewId="0">
      <selection activeCell="C250" sqref="C250"/>
    </sheetView>
  </sheetViews>
  <sheetFormatPr baseColWidth="10" defaultRowHeight="11.25"/>
  <cols>
    <col min="1" max="1" width="11.42578125" style="7"/>
    <col min="2" max="2" width="25.42578125" style="1" bestFit="1" customWidth="1"/>
    <col min="3" max="3" width="12.5703125" style="1" bestFit="1" customWidth="1"/>
    <col min="4" max="4" width="19.5703125" style="1" bestFit="1" customWidth="1"/>
    <col min="5" max="6" width="11.42578125" style="1"/>
    <col min="7" max="7" width="12.5703125" style="27" bestFit="1" customWidth="1"/>
    <col min="8" max="8" width="11.5703125" style="27" bestFit="1" customWidth="1"/>
    <col min="9" max="9" width="15.42578125" style="27" bestFit="1" customWidth="1"/>
    <col min="10" max="11" width="11.5703125" style="27" bestFit="1" customWidth="1"/>
    <col min="12" max="12" width="11.7109375" style="27" bestFit="1" customWidth="1"/>
    <col min="13" max="13" width="11.5703125" style="27" bestFit="1" customWidth="1"/>
    <col min="14" max="14" width="14.28515625" style="27" bestFit="1" customWidth="1"/>
    <col min="15" max="20" width="11.5703125" style="27" bestFit="1" customWidth="1"/>
    <col min="21" max="21" width="12.5703125" style="27" bestFit="1" customWidth="1"/>
    <col min="22" max="22" width="11.42578125" style="1"/>
    <col min="23" max="23" width="14.5703125" style="1" bestFit="1" customWidth="1"/>
    <col min="24" max="16384" width="11.42578125" style="1"/>
  </cols>
  <sheetData>
    <row r="2" spans="1:26">
      <c r="B2" s="1">
        <f>4200/30</f>
        <v>140</v>
      </c>
    </row>
    <row r="3" spans="1:26">
      <c r="J3" s="27">
        <f>+J5/D5</f>
        <v>11.666666666666666</v>
      </c>
    </row>
    <row r="5" spans="1:26">
      <c r="D5" s="58">
        <f>SUBTOTAL(3,D7:D135)</f>
        <v>9</v>
      </c>
      <c r="E5" s="57"/>
      <c r="F5" s="57"/>
      <c r="G5" s="58">
        <f>SUBTOTAL(9,G7:G135)</f>
        <v>321500</v>
      </c>
      <c r="H5" s="58">
        <f t="shared" ref="H5:Z5" si="0">SUBTOTAL(9,H7:H135)</f>
        <v>0</v>
      </c>
      <c r="I5" s="58">
        <f t="shared" si="0"/>
        <v>0</v>
      </c>
      <c r="J5" s="58">
        <f t="shared" si="0"/>
        <v>105</v>
      </c>
      <c r="K5" s="58">
        <f t="shared" si="0"/>
        <v>0</v>
      </c>
      <c r="L5" s="58">
        <f t="shared" si="0"/>
        <v>0</v>
      </c>
      <c r="M5" s="58">
        <f t="shared" si="0"/>
        <v>0</v>
      </c>
      <c r="N5" s="58">
        <f t="shared" si="0"/>
        <v>321500</v>
      </c>
      <c r="O5" s="58">
        <f t="shared" si="0"/>
        <v>18000</v>
      </c>
      <c r="P5" s="58">
        <f t="shared" si="0"/>
        <v>0</v>
      </c>
      <c r="Q5" s="58">
        <f t="shared" si="0"/>
        <v>0</v>
      </c>
      <c r="R5" s="58">
        <f t="shared" si="0"/>
        <v>0</v>
      </c>
      <c r="S5" s="58">
        <f t="shared" si="0"/>
        <v>0</v>
      </c>
      <c r="T5" s="58">
        <f t="shared" si="0"/>
        <v>0</v>
      </c>
      <c r="U5" s="58">
        <f t="shared" si="0"/>
        <v>303500</v>
      </c>
      <c r="V5" s="58">
        <f t="shared" si="0"/>
        <v>0</v>
      </c>
      <c r="W5" s="58">
        <f t="shared" si="0"/>
        <v>0</v>
      </c>
      <c r="X5" s="58">
        <f t="shared" si="0"/>
        <v>0</v>
      </c>
      <c r="Y5" s="58">
        <f t="shared" si="0"/>
        <v>0</v>
      </c>
      <c r="Z5" s="58">
        <f t="shared" si="0"/>
        <v>27500</v>
      </c>
    </row>
    <row r="6" spans="1:26">
      <c r="A6" s="28" t="str">
        <f>"Matricule"</f>
        <v>Matricule</v>
      </c>
      <c r="B6" s="29" t="str">
        <f>"NOM"</f>
        <v>NOM</v>
      </c>
      <c r="C6" s="29" t="str">
        <f>"PRENOMS"</f>
        <v>PRENOMS</v>
      </c>
      <c r="D6" s="29" t="str">
        <f>"FONCTION"</f>
        <v>FONCTION</v>
      </c>
      <c r="E6" s="29" t="str">
        <f>"entree"</f>
        <v>entree</v>
      </c>
      <c r="F6" s="29" t="str">
        <f>"CAT"</f>
        <v>CAT</v>
      </c>
      <c r="G6" s="30" t="str">
        <f>"Base"</f>
        <v>Base</v>
      </c>
      <c r="H6" s="30" t="str">
        <f>"ALLOCATION DE CONGES"</f>
        <v>ALLOCATION DE CONGES</v>
      </c>
      <c r="I6" s="30" t="str">
        <f>"HEURES SUPP"</f>
        <v>HEURES SUPP</v>
      </c>
      <c r="J6" s="30" t="str">
        <f>"NBRES"</f>
        <v>NBRES</v>
      </c>
      <c r="K6" s="30" t="str">
        <f>"ABSENCE"</f>
        <v>ABSENCE</v>
      </c>
      <c r="L6" s="30" t="str">
        <f>"PREAVIS (retenue)"</f>
        <v>PREAVIS (retenue)</v>
      </c>
      <c r="M6" s="30" t="str">
        <f>"INDEMNITE"</f>
        <v>INDEMNITE</v>
      </c>
      <c r="N6" s="30" t="str">
        <f>"BRUT"</f>
        <v>BRUT</v>
      </c>
      <c r="O6" s="30" t="str">
        <f>"IRSA"</f>
        <v>IRSA</v>
      </c>
      <c r="P6" s="30" t="str">
        <f>"RET CNAPS"</f>
        <v>RET CNAPS</v>
      </c>
      <c r="Q6" s="30" t="str">
        <f>"RET OSTIE"</f>
        <v>RET OSTIE</v>
      </c>
      <c r="R6" s="30" t="str">
        <f>"AVANCES"</f>
        <v>AVANCES</v>
      </c>
      <c r="S6" s="30" t="str">
        <f>"ANC ARR"</f>
        <v>ANC ARR</v>
      </c>
      <c r="T6" s="30" t="str">
        <f>"NOUV ARR"</f>
        <v>NOUV ARR</v>
      </c>
      <c r="U6" s="30" t="str">
        <f>"NET A PAYER"</f>
        <v>NET A PAYER</v>
      </c>
      <c r="V6" s="29" t="str">
        <f>"UNITE"</f>
        <v>UNITE</v>
      </c>
      <c r="W6" s="29" t="str">
        <f>"SERVICE"</f>
        <v>SERVICE</v>
      </c>
      <c r="X6" s="29" t="str">
        <f>"Intitulé établissement"</f>
        <v>Intitulé établissement</v>
      </c>
      <c r="Y6" s="29" t="str">
        <f>"MODE DE PAIEMENT"</f>
        <v>MODE DE PAIEMENT</v>
      </c>
      <c r="Z6" s="1" t="s">
        <v>34</v>
      </c>
    </row>
    <row r="7" spans="1:26" hidden="1">
      <c r="A7" s="28">
        <v>100081</v>
      </c>
      <c r="B7" s="29" t="s">
        <v>272</v>
      </c>
      <c r="C7" s="29" t="s">
        <v>81</v>
      </c>
      <c r="D7" s="29" t="s">
        <v>82</v>
      </c>
      <c r="E7" s="31">
        <v>43033</v>
      </c>
      <c r="F7" s="29"/>
      <c r="G7" s="30">
        <v>117000</v>
      </c>
      <c r="H7" s="30">
        <v>0</v>
      </c>
      <c r="I7" s="30">
        <v>0</v>
      </c>
      <c r="J7" s="30">
        <v>39</v>
      </c>
      <c r="K7" s="30">
        <v>0</v>
      </c>
      <c r="L7" s="30">
        <v>0</v>
      </c>
      <c r="M7" s="30">
        <v>0</v>
      </c>
      <c r="N7" s="30">
        <v>117000</v>
      </c>
      <c r="O7" s="30">
        <v>2000</v>
      </c>
      <c r="P7" s="30">
        <v>0</v>
      </c>
      <c r="Q7" s="30">
        <v>0</v>
      </c>
      <c r="R7" s="30">
        <v>0</v>
      </c>
      <c r="S7" s="30">
        <v>0</v>
      </c>
      <c r="T7" s="30">
        <v>0</v>
      </c>
      <c r="U7" s="30">
        <v>115000</v>
      </c>
      <c r="V7" s="29" t="s">
        <v>83</v>
      </c>
      <c r="W7" s="29" t="s">
        <v>84</v>
      </c>
      <c r="X7" s="29" t="s">
        <v>343</v>
      </c>
      <c r="Y7" s="29" t="s">
        <v>85</v>
      </c>
      <c r="Z7" s="39">
        <f>+N7/J7</f>
        <v>3000</v>
      </c>
    </row>
    <row r="8" spans="1:26" hidden="1">
      <c r="A8" s="28">
        <v>100135</v>
      </c>
      <c r="B8" s="29" t="s">
        <v>273</v>
      </c>
      <c r="C8" s="29" t="s">
        <v>86</v>
      </c>
      <c r="D8" s="29" t="s">
        <v>82</v>
      </c>
      <c r="E8" s="31">
        <v>43033</v>
      </c>
      <c r="F8" s="29"/>
      <c r="G8" s="30">
        <v>117000</v>
      </c>
      <c r="H8" s="30">
        <v>0</v>
      </c>
      <c r="I8" s="30">
        <v>0</v>
      </c>
      <c r="J8" s="30">
        <v>39</v>
      </c>
      <c r="K8" s="30">
        <v>0</v>
      </c>
      <c r="L8" s="30">
        <v>0</v>
      </c>
      <c r="M8" s="30">
        <v>0</v>
      </c>
      <c r="N8" s="30">
        <v>117000</v>
      </c>
      <c r="O8" s="30">
        <v>2000</v>
      </c>
      <c r="P8" s="30">
        <v>0</v>
      </c>
      <c r="Q8" s="30">
        <v>0</v>
      </c>
      <c r="R8" s="30">
        <v>0</v>
      </c>
      <c r="S8" s="30">
        <v>0</v>
      </c>
      <c r="T8" s="30">
        <v>0</v>
      </c>
      <c r="U8" s="30">
        <v>115000</v>
      </c>
      <c r="V8" s="29" t="s">
        <v>83</v>
      </c>
      <c r="W8" s="29" t="s">
        <v>84</v>
      </c>
      <c r="X8" s="29" t="s">
        <v>343</v>
      </c>
      <c r="Y8" s="29" t="s">
        <v>85</v>
      </c>
      <c r="Z8" s="39">
        <f t="shared" ref="Z8:Z71" si="1">+N8/J8</f>
        <v>3000</v>
      </c>
    </row>
    <row r="9" spans="1:26" hidden="1">
      <c r="A9" s="28">
        <v>100137</v>
      </c>
      <c r="B9" s="29" t="s">
        <v>247</v>
      </c>
      <c r="C9" s="29" t="s">
        <v>87</v>
      </c>
      <c r="D9" s="29" t="s">
        <v>82</v>
      </c>
      <c r="E9" s="31">
        <v>43011</v>
      </c>
      <c r="F9" s="29"/>
      <c r="G9" s="30">
        <v>117000</v>
      </c>
      <c r="H9" s="30">
        <v>0</v>
      </c>
      <c r="I9" s="30">
        <v>0</v>
      </c>
      <c r="J9" s="30">
        <v>39</v>
      </c>
      <c r="K9" s="30">
        <v>0</v>
      </c>
      <c r="L9" s="30">
        <v>0</v>
      </c>
      <c r="M9" s="30">
        <v>0</v>
      </c>
      <c r="N9" s="30">
        <v>117000</v>
      </c>
      <c r="O9" s="30">
        <v>2000</v>
      </c>
      <c r="P9" s="30">
        <v>0</v>
      </c>
      <c r="Q9" s="30">
        <v>0</v>
      </c>
      <c r="R9" s="30">
        <v>0</v>
      </c>
      <c r="S9" s="30">
        <v>0</v>
      </c>
      <c r="T9" s="30">
        <v>0</v>
      </c>
      <c r="U9" s="30">
        <v>115000</v>
      </c>
      <c r="V9" s="29" t="s">
        <v>83</v>
      </c>
      <c r="W9" s="29" t="s">
        <v>84</v>
      </c>
      <c r="X9" s="29" t="s">
        <v>343</v>
      </c>
      <c r="Y9" s="29" t="s">
        <v>85</v>
      </c>
      <c r="Z9" s="39">
        <f t="shared" si="1"/>
        <v>3000</v>
      </c>
    </row>
    <row r="10" spans="1:26" hidden="1">
      <c r="A10" s="28">
        <v>100265</v>
      </c>
      <c r="B10" s="29" t="s">
        <v>330</v>
      </c>
      <c r="C10" s="29" t="s">
        <v>88</v>
      </c>
      <c r="D10" s="29" t="s">
        <v>82</v>
      </c>
      <c r="E10" s="31">
        <v>42850</v>
      </c>
      <c r="F10" s="29"/>
      <c r="G10" s="30">
        <v>117000</v>
      </c>
      <c r="H10" s="30">
        <v>0</v>
      </c>
      <c r="I10" s="30">
        <v>0</v>
      </c>
      <c r="J10" s="30">
        <v>39</v>
      </c>
      <c r="K10" s="30">
        <v>0</v>
      </c>
      <c r="L10" s="30">
        <v>0</v>
      </c>
      <c r="M10" s="30">
        <v>0</v>
      </c>
      <c r="N10" s="30">
        <v>117000</v>
      </c>
      <c r="O10" s="30">
        <v>2000</v>
      </c>
      <c r="P10" s="30">
        <v>0</v>
      </c>
      <c r="Q10" s="30">
        <v>0</v>
      </c>
      <c r="R10" s="30">
        <v>0</v>
      </c>
      <c r="S10" s="30">
        <v>0</v>
      </c>
      <c r="T10" s="30">
        <v>0</v>
      </c>
      <c r="U10" s="30">
        <v>115000</v>
      </c>
      <c r="V10" s="29" t="s">
        <v>83</v>
      </c>
      <c r="W10" s="29" t="s">
        <v>84</v>
      </c>
      <c r="X10" s="29" t="s">
        <v>343</v>
      </c>
      <c r="Y10" s="29" t="s">
        <v>85</v>
      </c>
      <c r="Z10" s="39">
        <f t="shared" si="1"/>
        <v>3000</v>
      </c>
    </row>
    <row r="11" spans="1:26" hidden="1">
      <c r="A11" s="28">
        <v>100266</v>
      </c>
      <c r="B11" s="29" t="s">
        <v>273</v>
      </c>
      <c r="C11" s="29" t="s">
        <v>89</v>
      </c>
      <c r="D11" s="29" t="s">
        <v>82</v>
      </c>
      <c r="E11" s="31">
        <v>43003</v>
      </c>
      <c r="F11" s="29"/>
      <c r="G11" s="30">
        <v>117000</v>
      </c>
      <c r="H11" s="30">
        <v>0</v>
      </c>
      <c r="I11" s="30">
        <v>0</v>
      </c>
      <c r="J11" s="30">
        <v>39</v>
      </c>
      <c r="K11" s="30">
        <v>0</v>
      </c>
      <c r="L11" s="30">
        <v>0</v>
      </c>
      <c r="M11" s="30">
        <v>0</v>
      </c>
      <c r="N11" s="30">
        <v>117000</v>
      </c>
      <c r="O11" s="30">
        <v>2000</v>
      </c>
      <c r="P11" s="30">
        <v>0</v>
      </c>
      <c r="Q11" s="30">
        <v>0</v>
      </c>
      <c r="R11" s="30">
        <v>0</v>
      </c>
      <c r="S11" s="30">
        <v>0</v>
      </c>
      <c r="T11" s="30">
        <v>0</v>
      </c>
      <c r="U11" s="30">
        <v>115000</v>
      </c>
      <c r="V11" s="29" t="s">
        <v>83</v>
      </c>
      <c r="W11" s="29" t="s">
        <v>84</v>
      </c>
      <c r="X11" s="29" t="s">
        <v>343</v>
      </c>
      <c r="Y11" s="29" t="s">
        <v>85</v>
      </c>
      <c r="Z11" s="39">
        <f t="shared" si="1"/>
        <v>3000</v>
      </c>
    </row>
    <row r="12" spans="1:26" hidden="1">
      <c r="A12" s="28">
        <v>100269</v>
      </c>
      <c r="B12" s="29" t="s">
        <v>264</v>
      </c>
      <c r="C12" s="29"/>
      <c r="D12" s="29" t="s">
        <v>82</v>
      </c>
      <c r="E12" s="31">
        <v>42881</v>
      </c>
      <c r="F12" s="29"/>
      <c r="G12" s="30">
        <v>117000</v>
      </c>
      <c r="H12" s="30">
        <v>0</v>
      </c>
      <c r="I12" s="30">
        <v>0</v>
      </c>
      <c r="J12" s="30">
        <v>39</v>
      </c>
      <c r="K12" s="30">
        <v>0</v>
      </c>
      <c r="L12" s="30">
        <v>0</v>
      </c>
      <c r="M12" s="30">
        <v>0</v>
      </c>
      <c r="N12" s="30">
        <v>117000</v>
      </c>
      <c r="O12" s="30">
        <v>2000</v>
      </c>
      <c r="P12" s="30">
        <v>0</v>
      </c>
      <c r="Q12" s="30">
        <v>0</v>
      </c>
      <c r="R12" s="30">
        <v>0</v>
      </c>
      <c r="S12" s="30">
        <v>0</v>
      </c>
      <c r="T12" s="30">
        <v>0</v>
      </c>
      <c r="U12" s="30">
        <v>115000</v>
      </c>
      <c r="V12" s="29" t="s">
        <v>83</v>
      </c>
      <c r="W12" s="29" t="s">
        <v>84</v>
      </c>
      <c r="X12" s="29" t="s">
        <v>343</v>
      </c>
      <c r="Y12" s="29" t="s">
        <v>85</v>
      </c>
      <c r="Z12" s="39">
        <f t="shared" si="1"/>
        <v>3000</v>
      </c>
    </row>
    <row r="13" spans="1:26" hidden="1">
      <c r="A13" s="28">
        <v>100288</v>
      </c>
      <c r="B13" s="29" t="s">
        <v>282</v>
      </c>
      <c r="C13" s="29" t="s">
        <v>90</v>
      </c>
      <c r="D13" s="29" t="s">
        <v>91</v>
      </c>
      <c r="E13" s="31">
        <v>42941</v>
      </c>
      <c r="F13" s="29" t="s">
        <v>92</v>
      </c>
      <c r="G13" s="30">
        <v>117000</v>
      </c>
      <c r="H13" s="30">
        <v>0</v>
      </c>
      <c r="I13" s="30">
        <v>0</v>
      </c>
      <c r="J13" s="30">
        <v>39</v>
      </c>
      <c r="K13" s="30">
        <v>0</v>
      </c>
      <c r="L13" s="30">
        <v>0</v>
      </c>
      <c r="M13" s="30">
        <v>0</v>
      </c>
      <c r="N13" s="30">
        <v>117000</v>
      </c>
      <c r="O13" s="30">
        <v>2000</v>
      </c>
      <c r="P13" s="30">
        <v>0</v>
      </c>
      <c r="Q13" s="30">
        <v>0</v>
      </c>
      <c r="R13" s="30">
        <v>0</v>
      </c>
      <c r="S13" s="30">
        <v>0</v>
      </c>
      <c r="T13" s="30">
        <v>0</v>
      </c>
      <c r="U13" s="30">
        <v>115000</v>
      </c>
      <c r="V13" s="29" t="s">
        <v>83</v>
      </c>
      <c r="W13" s="29" t="s">
        <v>84</v>
      </c>
      <c r="X13" s="29" t="s">
        <v>343</v>
      </c>
      <c r="Y13" s="29" t="s">
        <v>85</v>
      </c>
      <c r="Z13" s="39">
        <f t="shared" si="1"/>
        <v>3000</v>
      </c>
    </row>
    <row r="14" spans="1:26" hidden="1">
      <c r="A14" s="28">
        <v>100293</v>
      </c>
      <c r="B14" s="29" t="s">
        <v>312</v>
      </c>
      <c r="C14" s="29" t="s">
        <v>93</v>
      </c>
      <c r="D14" s="29" t="s">
        <v>82</v>
      </c>
      <c r="E14" s="31">
        <v>42941</v>
      </c>
      <c r="F14" s="29" t="s">
        <v>92</v>
      </c>
      <c r="G14" s="30">
        <v>117000</v>
      </c>
      <c r="H14" s="30">
        <v>0</v>
      </c>
      <c r="I14" s="30">
        <v>0</v>
      </c>
      <c r="J14" s="30">
        <v>39</v>
      </c>
      <c r="K14" s="30">
        <v>0</v>
      </c>
      <c r="L14" s="30">
        <v>0</v>
      </c>
      <c r="M14" s="30">
        <v>0</v>
      </c>
      <c r="N14" s="30">
        <v>117000</v>
      </c>
      <c r="O14" s="30">
        <v>2000</v>
      </c>
      <c r="P14" s="30">
        <v>0</v>
      </c>
      <c r="Q14" s="30">
        <v>0</v>
      </c>
      <c r="R14" s="30">
        <v>0</v>
      </c>
      <c r="S14" s="30">
        <v>0</v>
      </c>
      <c r="T14" s="30">
        <v>0</v>
      </c>
      <c r="U14" s="30">
        <v>115000</v>
      </c>
      <c r="V14" s="29" t="s">
        <v>83</v>
      </c>
      <c r="W14" s="29" t="s">
        <v>84</v>
      </c>
      <c r="X14" s="29" t="s">
        <v>343</v>
      </c>
      <c r="Y14" s="29" t="s">
        <v>85</v>
      </c>
      <c r="Z14" s="39">
        <f t="shared" si="1"/>
        <v>3000</v>
      </c>
    </row>
    <row r="15" spans="1:26" hidden="1">
      <c r="A15" s="28">
        <v>100303</v>
      </c>
      <c r="B15" s="29" t="s">
        <v>331</v>
      </c>
      <c r="C15" s="29" t="s">
        <v>94</v>
      </c>
      <c r="D15" s="29" t="s">
        <v>91</v>
      </c>
      <c r="E15" s="31">
        <v>42941</v>
      </c>
      <c r="F15" s="29" t="s">
        <v>92</v>
      </c>
      <c r="G15" s="30">
        <v>117000</v>
      </c>
      <c r="H15" s="30">
        <v>0</v>
      </c>
      <c r="I15" s="30">
        <v>0</v>
      </c>
      <c r="J15" s="30">
        <v>39</v>
      </c>
      <c r="K15" s="30">
        <v>0</v>
      </c>
      <c r="L15" s="30">
        <v>0</v>
      </c>
      <c r="M15" s="30">
        <v>0</v>
      </c>
      <c r="N15" s="30">
        <v>117000</v>
      </c>
      <c r="O15" s="30">
        <v>2000</v>
      </c>
      <c r="P15" s="30">
        <v>0</v>
      </c>
      <c r="Q15" s="30">
        <v>0</v>
      </c>
      <c r="R15" s="30">
        <v>0</v>
      </c>
      <c r="S15" s="30">
        <v>0</v>
      </c>
      <c r="T15" s="30">
        <v>0</v>
      </c>
      <c r="U15" s="30">
        <v>115000</v>
      </c>
      <c r="V15" s="29" t="s">
        <v>83</v>
      </c>
      <c r="W15" s="29" t="s">
        <v>84</v>
      </c>
      <c r="X15" s="29" t="s">
        <v>343</v>
      </c>
      <c r="Y15" s="29" t="s">
        <v>85</v>
      </c>
      <c r="Z15" s="39">
        <f t="shared" si="1"/>
        <v>3000</v>
      </c>
    </row>
    <row r="16" spans="1:26" hidden="1">
      <c r="A16" s="28">
        <v>100304</v>
      </c>
      <c r="B16" s="29" t="s">
        <v>332</v>
      </c>
      <c r="C16" s="29"/>
      <c r="D16" s="29" t="s">
        <v>82</v>
      </c>
      <c r="E16" s="31">
        <v>43033</v>
      </c>
      <c r="F16" s="29" t="s">
        <v>92</v>
      </c>
      <c r="G16" s="30">
        <v>117000</v>
      </c>
      <c r="H16" s="30">
        <v>0</v>
      </c>
      <c r="I16" s="30">
        <v>0</v>
      </c>
      <c r="J16" s="30">
        <v>39</v>
      </c>
      <c r="K16" s="30">
        <v>0</v>
      </c>
      <c r="L16" s="30">
        <v>0</v>
      </c>
      <c r="M16" s="30">
        <v>0</v>
      </c>
      <c r="N16" s="30">
        <v>117000</v>
      </c>
      <c r="O16" s="30">
        <v>2000</v>
      </c>
      <c r="P16" s="30">
        <v>0</v>
      </c>
      <c r="Q16" s="30">
        <v>0</v>
      </c>
      <c r="R16" s="30">
        <v>0</v>
      </c>
      <c r="S16" s="30">
        <v>0</v>
      </c>
      <c r="T16" s="30">
        <v>0</v>
      </c>
      <c r="U16" s="30">
        <v>115000</v>
      </c>
      <c r="V16" s="29" t="s">
        <v>83</v>
      </c>
      <c r="W16" s="29" t="s">
        <v>84</v>
      </c>
      <c r="X16" s="29" t="s">
        <v>343</v>
      </c>
      <c r="Y16" s="29" t="s">
        <v>85</v>
      </c>
      <c r="Z16" s="39">
        <f t="shared" si="1"/>
        <v>3000</v>
      </c>
    </row>
    <row r="17" spans="1:26" hidden="1">
      <c r="A17" s="28">
        <v>100305</v>
      </c>
      <c r="B17" s="29" t="s">
        <v>247</v>
      </c>
      <c r="C17" s="29" t="s">
        <v>95</v>
      </c>
      <c r="D17" s="29" t="s">
        <v>91</v>
      </c>
      <c r="E17" s="31">
        <v>42941</v>
      </c>
      <c r="F17" s="29" t="s">
        <v>92</v>
      </c>
      <c r="G17" s="30">
        <v>117000</v>
      </c>
      <c r="H17" s="30">
        <v>0</v>
      </c>
      <c r="I17" s="30">
        <v>0</v>
      </c>
      <c r="J17" s="30">
        <v>39</v>
      </c>
      <c r="K17" s="30">
        <v>0</v>
      </c>
      <c r="L17" s="30">
        <v>0</v>
      </c>
      <c r="M17" s="30">
        <v>0</v>
      </c>
      <c r="N17" s="30">
        <v>117000</v>
      </c>
      <c r="O17" s="30">
        <v>2000</v>
      </c>
      <c r="P17" s="30">
        <v>0</v>
      </c>
      <c r="Q17" s="30">
        <v>0</v>
      </c>
      <c r="R17" s="30">
        <v>0</v>
      </c>
      <c r="S17" s="30">
        <v>0</v>
      </c>
      <c r="T17" s="30">
        <v>0</v>
      </c>
      <c r="U17" s="30">
        <v>115000</v>
      </c>
      <c r="V17" s="29" t="s">
        <v>83</v>
      </c>
      <c r="W17" s="29" t="s">
        <v>84</v>
      </c>
      <c r="X17" s="29" t="s">
        <v>343</v>
      </c>
      <c r="Y17" s="29" t="s">
        <v>85</v>
      </c>
      <c r="Z17" s="39">
        <f t="shared" si="1"/>
        <v>3000</v>
      </c>
    </row>
    <row r="18" spans="1:26" hidden="1">
      <c r="A18" s="28">
        <v>100261</v>
      </c>
      <c r="B18" s="29" t="s">
        <v>333</v>
      </c>
      <c r="C18" s="29"/>
      <c r="D18" s="29" t="s">
        <v>82</v>
      </c>
      <c r="E18" s="31">
        <v>43033</v>
      </c>
      <c r="F18" s="29"/>
      <c r="G18" s="30">
        <v>114000</v>
      </c>
      <c r="H18" s="30">
        <v>0</v>
      </c>
      <c r="I18" s="30">
        <v>0</v>
      </c>
      <c r="J18" s="30">
        <v>38</v>
      </c>
      <c r="K18" s="30">
        <v>0</v>
      </c>
      <c r="L18" s="30">
        <v>0</v>
      </c>
      <c r="M18" s="30">
        <v>0</v>
      </c>
      <c r="N18" s="30">
        <v>114000</v>
      </c>
      <c r="O18" s="30">
        <v>2000</v>
      </c>
      <c r="P18" s="30">
        <v>0</v>
      </c>
      <c r="Q18" s="30">
        <v>0</v>
      </c>
      <c r="R18" s="30">
        <v>0</v>
      </c>
      <c r="S18" s="30">
        <v>0</v>
      </c>
      <c r="T18" s="30">
        <v>0</v>
      </c>
      <c r="U18" s="30">
        <v>112000</v>
      </c>
      <c r="V18" s="29" t="s">
        <v>83</v>
      </c>
      <c r="W18" s="29" t="s">
        <v>84</v>
      </c>
      <c r="X18" s="29" t="s">
        <v>343</v>
      </c>
      <c r="Y18" s="29" t="s">
        <v>85</v>
      </c>
      <c r="Z18" s="39">
        <f t="shared" si="1"/>
        <v>3000</v>
      </c>
    </row>
    <row r="19" spans="1:26" hidden="1">
      <c r="A19" s="28">
        <v>100264</v>
      </c>
      <c r="B19" s="29" t="s">
        <v>260</v>
      </c>
      <c r="C19" s="29"/>
      <c r="D19" s="29" t="s">
        <v>82</v>
      </c>
      <c r="E19" s="31">
        <v>42853</v>
      </c>
      <c r="F19" s="29"/>
      <c r="G19" s="30">
        <v>111000</v>
      </c>
      <c r="H19" s="30">
        <v>0</v>
      </c>
      <c r="I19" s="30">
        <v>0</v>
      </c>
      <c r="J19" s="30">
        <v>37</v>
      </c>
      <c r="K19" s="30">
        <v>0</v>
      </c>
      <c r="L19" s="30">
        <v>0</v>
      </c>
      <c r="M19" s="30">
        <v>0</v>
      </c>
      <c r="N19" s="30">
        <v>111000</v>
      </c>
      <c r="O19" s="30">
        <v>2000</v>
      </c>
      <c r="P19" s="30">
        <v>0</v>
      </c>
      <c r="Q19" s="30">
        <v>0</v>
      </c>
      <c r="R19" s="30">
        <v>0</v>
      </c>
      <c r="S19" s="30">
        <v>0</v>
      </c>
      <c r="T19" s="30">
        <v>0</v>
      </c>
      <c r="U19" s="30">
        <v>109000</v>
      </c>
      <c r="V19" s="29" t="s">
        <v>83</v>
      </c>
      <c r="W19" s="29" t="s">
        <v>84</v>
      </c>
      <c r="X19" s="29" t="s">
        <v>343</v>
      </c>
      <c r="Y19" s="29" t="s">
        <v>85</v>
      </c>
      <c r="Z19" s="39">
        <f t="shared" si="1"/>
        <v>3000</v>
      </c>
    </row>
    <row r="20" spans="1:26" hidden="1">
      <c r="A20" s="28">
        <v>100291</v>
      </c>
      <c r="B20" s="29" t="s">
        <v>334</v>
      </c>
      <c r="C20" s="29"/>
      <c r="D20" s="29" t="s">
        <v>82</v>
      </c>
      <c r="E20" s="31">
        <v>43033</v>
      </c>
      <c r="F20" s="29" t="s">
        <v>92</v>
      </c>
      <c r="G20" s="30">
        <v>111000</v>
      </c>
      <c r="H20" s="30">
        <v>0</v>
      </c>
      <c r="I20" s="30">
        <v>0</v>
      </c>
      <c r="J20" s="30">
        <v>37</v>
      </c>
      <c r="K20" s="30">
        <v>0</v>
      </c>
      <c r="L20" s="30">
        <v>0</v>
      </c>
      <c r="M20" s="30">
        <v>0</v>
      </c>
      <c r="N20" s="30">
        <v>111000</v>
      </c>
      <c r="O20" s="30">
        <v>2000</v>
      </c>
      <c r="P20" s="30">
        <v>0</v>
      </c>
      <c r="Q20" s="30">
        <v>0</v>
      </c>
      <c r="R20" s="30">
        <v>0</v>
      </c>
      <c r="S20" s="30">
        <v>0</v>
      </c>
      <c r="T20" s="30">
        <v>0</v>
      </c>
      <c r="U20" s="30">
        <v>109000</v>
      </c>
      <c r="V20" s="29" t="s">
        <v>83</v>
      </c>
      <c r="W20" s="29" t="s">
        <v>84</v>
      </c>
      <c r="X20" s="29" t="s">
        <v>343</v>
      </c>
      <c r="Y20" s="29" t="s">
        <v>85</v>
      </c>
      <c r="Z20" s="39">
        <f t="shared" si="1"/>
        <v>3000</v>
      </c>
    </row>
    <row r="21" spans="1:26" hidden="1">
      <c r="A21" s="28">
        <v>100184</v>
      </c>
      <c r="B21" s="29" t="s">
        <v>312</v>
      </c>
      <c r="C21" s="29" t="s">
        <v>96</v>
      </c>
      <c r="D21" s="29" t="s">
        <v>91</v>
      </c>
      <c r="E21" s="31">
        <v>43033</v>
      </c>
      <c r="F21" s="29"/>
      <c r="G21" s="30">
        <v>108000</v>
      </c>
      <c r="H21" s="30">
        <v>0</v>
      </c>
      <c r="I21" s="30">
        <v>0</v>
      </c>
      <c r="J21" s="30">
        <v>36</v>
      </c>
      <c r="K21" s="30">
        <v>0</v>
      </c>
      <c r="L21" s="30">
        <v>0</v>
      </c>
      <c r="M21" s="30">
        <v>0</v>
      </c>
      <c r="N21" s="30">
        <v>108000</v>
      </c>
      <c r="O21" s="30">
        <v>2000</v>
      </c>
      <c r="P21" s="30">
        <v>0</v>
      </c>
      <c r="Q21" s="30">
        <v>0</v>
      </c>
      <c r="R21" s="30">
        <v>0</v>
      </c>
      <c r="S21" s="30">
        <v>0</v>
      </c>
      <c r="T21" s="30">
        <v>0</v>
      </c>
      <c r="U21" s="30">
        <v>106000</v>
      </c>
      <c r="V21" s="29" t="s">
        <v>83</v>
      </c>
      <c r="W21" s="29" t="s">
        <v>84</v>
      </c>
      <c r="X21" s="29" t="s">
        <v>343</v>
      </c>
      <c r="Y21" s="29" t="s">
        <v>85</v>
      </c>
      <c r="Z21" s="39">
        <f t="shared" si="1"/>
        <v>3000</v>
      </c>
    </row>
    <row r="22" spans="1:26" hidden="1">
      <c r="A22" s="28">
        <v>100023</v>
      </c>
      <c r="B22" s="29" t="s">
        <v>335</v>
      </c>
      <c r="C22" s="29"/>
      <c r="D22" s="29" t="s">
        <v>82</v>
      </c>
      <c r="E22" s="31">
        <v>43033</v>
      </c>
      <c r="F22" s="29"/>
      <c r="G22" s="30">
        <v>105000</v>
      </c>
      <c r="H22" s="30">
        <v>0</v>
      </c>
      <c r="I22" s="30">
        <v>0</v>
      </c>
      <c r="J22" s="30">
        <v>35</v>
      </c>
      <c r="K22" s="30">
        <v>0</v>
      </c>
      <c r="L22" s="30">
        <v>0</v>
      </c>
      <c r="M22" s="30">
        <v>0</v>
      </c>
      <c r="N22" s="30">
        <v>105000</v>
      </c>
      <c r="O22" s="30">
        <v>2000</v>
      </c>
      <c r="P22" s="30">
        <v>0</v>
      </c>
      <c r="Q22" s="30">
        <v>0</v>
      </c>
      <c r="R22" s="30">
        <v>0</v>
      </c>
      <c r="S22" s="30">
        <v>0</v>
      </c>
      <c r="T22" s="30">
        <v>0</v>
      </c>
      <c r="U22" s="30">
        <v>103000</v>
      </c>
      <c r="V22" s="29" t="s">
        <v>83</v>
      </c>
      <c r="W22" s="29" t="s">
        <v>84</v>
      </c>
      <c r="X22" s="29" t="s">
        <v>343</v>
      </c>
      <c r="Y22" s="29" t="s">
        <v>85</v>
      </c>
      <c r="Z22" s="39">
        <f t="shared" si="1"/>
        <v>3000</v>
      </c>
    </row>
    <row r="23" spans="1:26" hidden="1">
      <c r="A23" s="28">
        <v>100307</v>
      </c>
      <c r="B23" s="29" t="s">
        <v>336</v>
      </c>
      <c r="C23" s="29" t="s">
        <v>97</v>
      </c>
      <c r="D23" s="29" t="s">
        <v>82</v>
      </c>
      <c r="E23" s="31">
        <v>42972</v>
      </c>
      <c r="F23" s="29"/>
      <c r="G23" s="30">
        <v>122500</v>
      </c>
      <c r="H23" s="30">
        <v>0</v>
      </c>
      <c r="I23" s="30">
        <v>0</v>
      </c>
      <c r="J23" s="30">
        <v>35</v>
      </c>
      <c r="K23" s="30">
        <v>0</v>
      </c>
      <c r="L23" s="30">
        <v>0</v>
      </c>
      <c r="M23" s="30">
        <v>0</v>
      </c>
      <c r="N23" s="30">
        <v>122500</v>
      </c>
      <c r="O23" s="30">
        <v>2000</v>
      </c>
      <c r="P23" s="30">
        <v>0</v>
      </c>
      <c r="Q23" s="30">
        <v>0</v>
      </c>
      <c r="R23" s="30">
        <v>0</v>
      </c>
      <c r="S23" s="30">
        <v>0</v>
      </c>
      <c r="T23" s="30">
        <v>0</v>
      </c>
      <c r="U23" s="30">
        <v>120500</v>
      </c>
      <c r="V23" s="29" t="s">
        <v>83</v>
      </c>
      <c r="W23" s="29" t="s">
        <v>98</v>
      </c>
      <c r="X23" s="29" t="s">
        <v>340</v>
      </c>
      <c r="Y23" s="29" t="s">
        <v>85</v>
      </c>
      <c r="Z23" s="39">
        <f t="shared" si="1"/>
        <v>3500</v>
      </c>
    </row>
    <row r="24" spans="1:26" hidden="1">
      <c r="A24" s="28">
        <v>100146</v>
      </c>
      <c r="B24" s="29" t="s">
        <v>337</v>
      </c>
      <c r="C24" s="29" t="s">
        <v>99</v>
      </c>
      <c r="D24" s="29" t="s">
        <v>82</v>
      </c>
      <c r="E24" s="31">
        <v>42548</v>
      </c>
      <c r="F24" s="29"/>
      <c r="G24" s="30">
        <v>119000</v>
      </c>
      <c r="H24" s="30">
        <v>0</v>
      </c>
      <c r="I24" s="30">
        <v>0</v>
      </c>
      <c r="J24" s="30">
        <v>34</v>
      </c>
      <c r="K24" s="30">
        <v>0</v>
      </c>
      <c r="L24" s="30">
        <v>0</v>
      </c>
      <c r="M24" s="30">
        <v>0</v>
      </c>
      <c r="N24" s="30">
        <v>119000</v>
      </c>
      <c r="O24" s="30">
        <v>2000</v>
      </c>
      <c r="P24" s="30">
        <v>0</v>
      </c>
      <c r="Q24" s="30">
        <v>0</v>
      </c>
      <c r="R24" s="30">
        <v>0</v>
      </c>
      <c r="S24" s="30">
        <v>0</v>
      </c>
      <c r="T24" s="30">
        <v>0</v>
      </c>
      <c r="U24" s="30">
        <v>117000</v>
      </c>
      <c r="V24" s="29" t="s">
        <v>83</v>
      </c>
      <c r="W24" s="29" t="s">
        <v>98</v>
      </c>
      <c r="X24" s="29" t="s">
        <v>340</v>
      </c>
      <c r="Y24" s="29" t="s">
        <v>85</v>
      </c>
      <c r="Z24" s="39">
        <f t="shared" si="1"/>
        <v>3500</v>
      </c>
    </row>
    <row r="25" spans="1:26" hidden="1">
      <c r="A25" s="28">
        <v>100309</v>
      </c>
      <c r="B25" s="29" t="s">
        <v>338</v>
      </c>
      <c r="C25" s="29" t="s">
        <v>100</v>
      </c>
      <c r="D25" s="29" t="s">
        <v>82</v>
      </c>
      <c r="E25" s="31">
        <v>42972</v>
      </c>
      <c r="F25" s="29" t="s">
        <v>92</v>
      </c>
      <c r="G25" s="30">
        <v>119000</v>
      </c>
      <c r="H25" s="30">
        <v>0</v>
      </c>
      <c r="I25" s="30">
        <v>0</v>
      </c>
      <c r="J25" s="30">
        <v>34</v>
      </c>
      <c r="K25" s="30">
        <v>0</v>
      </c>
      <c r="L25" s="30">
        <v>0</v>
      </c>
      <c r="M25" s="30">
        <v>0</v>
      </c>
      <c r="N25" s="30">
        <v>119000</v>
      </c>
      <c r="O25" s="30">
        <v>2000</v>
      </c>
      <c r="P25" s="30">
        <v>0</v>
      </c>
      <c r="Q25" s="30">
        <v>0</v>
      </c>
      <c r="R25" s="30">
        <v>0</v>
      </c>
      <c r="S25" s="30">
        <v>0</v>
      </c>
      <c r="T25" s="30">
        <v>0</v>
      </c>
      <c r="U25" s="30">
        <v>117000</v>
      </c>
      <c r="V25" s="29" t="s">
        <v>83</v>
      </c>
      <c r="W25" s="29" t="s">
        <v>98</v>
      </c>
      <c r="X25" s="29" t="s">
        <v>340</v>
      </c>
      <c r="Y25" s="29" t="s">
        <v>85</v>
      </c>
      <c r="Z25" s="39">
        <f t="shared" si="1"/>
        <v>3500</v>
      </c>
    </row>
    <row r="26" spans="1:26" hidden="1">
      <c r="A26" s="28">
        <v>100049</v>
      </c>
      <c r="B26" s="29" t="s">
        <v>339</v>
      </c>
      <c r="C26" s="29"/>
      <c r="D26" s="29" t="s">
        <v>82</v>
      </c>
      <c r="E26" s="31">
        <v>42095</v>
      </c>
      <c r="F26" s="29"/>
      <c r="G26" s="30">
        <v>96000</v>
      </c>
      <c r="H26" s="30">
        <v>0</v>
      </c>
      <c r="I26" s="30">
        <v>0</v>
      </c>
      <c r="J26" s="30">
        <v>32</v>
      </c>
      <c r="K26" s="30">
        <v>0</v>
      </c>
      <c r="L26" s="30">
        <v>0</v>
      </c>
      <c r="M26" s="30">
        <v>0</v>
      </c>
      <c r="N26" s="30">
        <v>96000</v>
      </c>
      <c r="O26" s="30">
        <v>2000</v>
      </c>
      <c r="P26" s="30">
        <v>0</v>
      </c>
      <c r="Q26" s="30">
        <v>0</v>
      </c>
      <c r="R26" s="30">
        <v>0</v>
      </c>
      <c r="S26" s="30">
        <v>0</v>
      </c>
      <c r="T26" s="30">
        <v>0</v>
      </c>
      <c r="U26" s="30">
        <v>94000</v>
      </c>
      <c r="V26" s="29" t="s">
        <v>83</v>
      </c>
      <c r="W26" s="29" t="s">
        <v>84</v>
      </c>
      <c r="X26" s="29" t="s">
        <v>343</v>
      </c>
      <c r="Y26" s="29" t="s">
        <v>85</v>
      </c>
      <c r="Z26" s="39">
        <f t="shared" si="1"/>
        <v>3000</v>
      </c>
    </row>
    <row r="27" spans="1:26" hidden="1">
      <c r="A27" s="28">
        <v>100255</v>
      </c>
      <c r="B27" s="29" t="s">
        <v>244</v>
      </c>
      <c r="C27" s="29" t="s">
        <v>101</v>
      </c>
      <c r="D27" s="29" t="s">
        <v>82</v>
      </c>
      <c r="E27" s="31">
        <v>42832</v>
      </c>
      <c r="F27" s="29"/>
      <c r="G27" s="30">
        <v>96000</v>
      </c>
      <c r="H27" s="30">
        <v>0</v>
      </c>
      <c r="I27" s="30">
        <v>0</v>
      </c>
      <c r="J27" s="30">
        <v>32</v>
      </c>
      <c r="K27" s="30">
        <v>0</v>
      </c>
      <c r="L27" s="30">
        <v>0</v>
      </c>
      <c r="M27" s="30">
        <v>0</v>
      </c>
      <c r="N27" s="30">
        <v>96000</v>
      </c>
      <c r="O27" s="30">
        <v>2000</v>
      </c>
      <c r="P27" s="30">
        <v>0</v>
      </c>
      <c r="Q27" s="30">
        <v>0</v>
      </c>
      <c r="R27" s="30">
        <v>0</v>
      </c>
      <c r="S27" s="30">
        <v>0</v>
      </c>
      <c r="T27" s="30">
        <v>0</v>
      </c>
      <c r="U27" s="30">
        <v>94000</v>
      </c>
      <c r="V27" s="29" t="s">
        <v>83</v>
      </c>
      <c r="W27" s="29" t="s">
        <v>84</v>
      </c>
      <c r="X27" s="29" t="s">
        <v>343</v>
      </c>
      <c r="Y27" s="29" t="s">
        <v>85</v>
      </c>
      <c r="Z27" s="39">
        <f t="shared" si="1"/>
        <v>3000</v>
      </c>
    </row>
    <row r="28" spans="1:26" hidden="1">
      <c r="A28" s="28">
        <v>100275</v>
      </c>
      <c r="B28" s="29" t="s">
        <v>245</v>
      </c>
      <c r="C28" s="29" t="s">
        <v>102</v>
      </c>
      <c r="D28" s="29" t="s">
        <v>82</v>
      </c>
      <c r="E28" s="31">
        <v>42913</v>
      </c>
      <c r="F28" s="29"/>
      <c r="G28" s="30">
        <v>112000</v>
      </c>
      <c r="H28" s="30">
        <v>0</v>
      </c>
      <c r="I28" s="30">
        <v>0</v>
      </c>
      <c r="J28" s="30">
        <v>32</v>
      </c>
      <c r="K28" s="30">
        <v>0</v>
      </c>
      <c r="L28" s="30">
        <v>0</v>
      </c>
      <c r="M28" s="30">
        <v>0</v>
      </c>
      <c r="N28" s="30">
        <v>112000</v>
      </c>
      <c r="O28" s="30">
        <v>2000</v>
      </c>
      <c r="P28" s="30">
        <v>0</v>
      </c>
      <c r="Q28" s="30">
        <v>0</v>
      </c>
      <c r="R28" s="30">
        <v>0</v>
      </c>
      <c r="S28" s="30">
        <v>0</v>
      </c>
      <c r="T28" s="30">
        <v>0</v>
      </c>
      <c r="U28" s="30">
        <v>110000</v>
      </c>
      <c r="V28" s="29" t="s">
        <v>83</v>
      </c>
      <c r="W28" s="29" t="s">
        <v>98</v>
      </c>
      <c r="X28" s="29" t="s">
        <v>340</v>
      </c>
      <c r="Y28" s="29" t="s">
        <v>85</v>
      </c>
      <c r="Z28" s="39">
        <f t="shared" si="1"/>
        <v>3500</v>
      </c>
    </row>
    <row r="29" spans="1:26" hidden="1">
      <c r="A29" s="28">
        <v>100114</v>
      </c>
      <c r="B29" s="29" t="s">
        <v>246</v>
      </c>
      <c r="C29" s="29" t="s">
        <v>103</v>
      </c>
      <c r="D29" s="29" t="s">
        <v>82</v>
      </c>
      <c r="E29" s="31">
        <v>43003</v>
      </c>
      <c r="F29" s="29" t="s">
        <v>92</v>
      </c>
      <c r="G29" s="30">
        <v>108500</v>
      </c>
      <c r="H29" s="30">
        <v>0</v>
      </c>
      <c r="I29" s="30">
        <v>0</v>
      </c>
      <c r="J29" s="30">
        <v>31</v>
      </c>
      <c r="K29" s="30">
        <v>0</v>
      </c>
      <c r="L29" s="30">
        <v>0</v>
      </c>
      <c r="M29" s="30">
        <v>0</v>
      </c>
      <c r="N29" s="30">
        <v>108500</v>
      </c>
      <c r="O29" s="30">
        <v>2000</v>
      </c>
      <c r="P29" s="30">
        <v>0</v>
      </c>
      <c r="Q29" s="30">
        <v>0</v>
      </c>
      <c r="R29" s="30">
        <v>0</v>
      </c>
      <c r="S29" s="30">
        <v>0</v>
      </c>
      <c r="T29" s="30">
        <v>0</v>
      </c>
      <c r="U29" s="30">
        <v>106500</v>
      </c>
      <c r="V29" s="29" t="s">
        <v>83</v>
      </c>
      <c r="W29" s="29" t="s">
        <v>98</v>
      </c>
      <c r="X29" s="29" t="s">
        <v>340</v>
      </c>
      <c r="Y29" s="29" t="s">
        <v>85</v>
      </c>
      <c r="Z29" s="39">
        <f t="shared" si="1"/>
        <v>3500</v>
      </c>
    </row>
    <row r="30" spans="1:26" hidden="1">
      <c r="A30" s="28">
        <v>100138</v>
      </c>
      <c r="B30" s="29" t="s">
        <v>247</v>
      </c>
      <c r="C30" s="29" t="s">
        <v>104</v>
      </c>
      <c r="D30" s="29" t="s">
        <v>82</v>
      </c>
      <c r="E30" s="31">
        <v>42515</v>
      </c>
      <c r="F30" s="29"/>
      <c r="G30" s="30">
        <v>93000</v>
      </c>
      <c r="H30" s="30">
        <v>0</v>
      </c>
      <c r="I30" s="30">
        <v>0</v>
      </c>
      <c r="J30" s="30">
        <v>31</v>
      </c>
      <c r="K30" s="30">
        <v>0</v>
      </c>
      <c r="L30" s="30">
        <v>0</v>
      </c>
      <c r="M30" s="30">
        <v>0</v>
      </c>
      <c r="N30" s="30">
        <v>93000</v>
      </c>
      <c r="O30" s="30">
        <v>2000</v>
      </c>
      <c r="P30" s="30">
        <v>0</v>
      </c>
      <c r="Q30" s="30">
        <v>0</v>
      </c>
      <c r="R30" s="30">
        <v>0</v>
      </c>
      <c r="S30" s="30">
        <v>0</v>
      </c>
      <c r="T30" s="30">
        <v>0</v>
      </c>
      <c r="U30" s="30">
        <v>91000</v>
      </c>
      <c r="V30" s="29" t="s">
        <v>83</v>
      </c>
      <c r="W30" s="29" t="s">
        <v>84</v>
      </c>
      <c r="X30" s="29" t="s">
        <v>343</v>
      </c>
      <c r="Y30" s="29" t="s">
        <v>85</v>
      </c>
      <c r="Z30" s="39">
        <f t="shared" si="1"/>
        <v>3000</v>
      </c>
    </row>
    <row r="31" spans="1:26" hidden="1">
      <c r="A31" s="28">
        <v>100239</v>
      </c>
      <c r="B31" s="29" t="s">
        <v>248</v>
      </c>
      <c r="C31" s="29" t="s">
        <v>105</v>
      </c>
      <c r="D31" s="29" t="s">
        <v>91</v>
      </c>
      <c r="E31" s="31">
        <v>42846</v>
      </c>
      <c r="F31" s="29" t="s">
        <v>92</v>
      </c>
      <c r="G31" s="30">
        <v>108500</v>
      </c>
      <c r="H31" s="30">
        <v>0</v>
      </c>
      <c r="I31" s="30">
        <v>0</v>
      </c>
      <c r="J31" s="30">
        <v>31</v>
      </c>
      <c r="K31" s="30">
        <v>0</v>
      </c>
      <c r="L31" s="30">
        <v>0</v>
      </c>
      <c r="M31" s="30">
        <v>0</v>
      </c>
      <c r="N31" s="30">
        <v>108500</v>
      </c>
      <c r="O31" s="30">
        <v>2000</v>
      </c>
      <c r="P31" s="30">
        <v>0</v>
      </c>
      <c r="Q31" s="30">
        <v>0</v>
      </c>
      <c r="R31" s="30">
        <v>0</v>
      </c>
      <c r="S31" s="30">
        <v>0</v>
      </c>
      <c r="T31" s="30">
        <v>0</v>
      </c>
      <c r="U31" s="30">
        <v>106500</v>
      </c>
      <c r="V31" s="29" t="s">
        <v>83</v>
      </c>
      <c r="W31" s="29" t="s">
        <v>98</v>
      </c>
      <c r="X31" s="29" t="s">
        <v>340</v>
      </c>
      <c r="Y31" s="29" t="s">
        <v>85</v>
      </c>
      <c r="Z31" s="39">
        <f t="shared" si="1"/>
        <v>3500</v>
      </c>
    </row>
    <row r="32" spans="1:26" hidden="1">
      <c r="A32" s="28">
        <v>100270</v>
      </c>
      <c r="B32" s="29" t="s">
        <v>249</v>
      </c>
      <c r="C32" s="29"/>
      <c r="D32" s="29" t="s">
        <v>82</v>
      </c>
      <c r="E32" s="31">
        <v>42881</v>
      </c>
      <c r="F32" s="29"/>
      <c r="G32" s="30">
        <v>108500</v>
      </c>
      <c r="H32" s="30">
        <v>0</v>
      </c>
      <c r="I32" s="30">
        <v>0</v>
      </c>
      <c r="J32" s="30">
        <v>31</v>
      </c>
      <c r="K32" s="30">
        <v>0</v>
      </c>
      <c r="L32" s="30">
        <v>0</v>
      </c>
      <c r="M32" s="30">
        <v>0</v>
      </c>
      <c r="N32" s="30">
        <v>108500</v>
      </c>
      <c r="O32" s="30">
        <v>2000</v>
      </c>
      <c r="P32" s="30">
        <v>0</v>
      </c>
      <c r="Q32" s="30">
        <v>0</v>
      </c>
      <c r="R32" s="30">
        <v>0</v>
      </c>
      <c r="S32" s="30">
        <v>0</v>
      </c>
      <c r="T32" s="30">
        <v>0</v>
      </c>
      <c r="U32" s="30">
        <v>106500</v>
      </c>
      <c r="V32" s="29" t="s">
        <v>83</v>
      </c>
      <c r="W32" s="29" t="s">
        <v>98</v>
      </c>
      <c r="X32" s="29" t="s">
        <v>340</v>
      </c>
      <c r="Y32" s="29" t="s">
        <v>85</v>
      </c>
      <c r="Z32" s="39">
        <f t="shared" si="1"/>
        <v>3500</v>
      </c>
    </row>
    <row r="33" spans="1:26" hidden="1">
      <c r="A33" s="28">
        <v>100300</v>
      </c>
      <c r="B33" s="29" t="s">
        <v>250</v>
      </c>
      <c r="C33" s="29" t="s">
        <v>106</v>
      </c>
      <c r="D33" s="29" t="s">
        <v>91</v>
      </c>
      <c r="E33" s="31">
        <v>42941</v>
      </c>
      <c r="F33" s="29" t="s">
        <v>92</v>
      </c>
      <c r="G33" s="30">
        <v>108500</v>
      </c>
      <c r="H33" s="30">
        <v>0</v>
      </c>
      <c r="I33" s="30">
        <v>0</v>
      </c>
      <c r="J33" s="30">
        <v>31</v>
      </c>
      <c r="K33" s="30">
        <v>0</v>
      </c>
      <c r="L33" s="30">
        <v>0</v>
      </c>
      <c r="M33" s="30">
        <v>0</v>
      </c>
      <c r="N33" s="30">
        <v>108500</v>
      </c>
      <c r="O33" s="30">
        <v>2000</v>
      </c>
      <c r="P33" s="30">
        <v>0</v>
      </c>
      <c r="Q33" s="30">
        <v>0</v>
      </c>
      <c r="R33" s="30">
        <v>0</v>
      </c>
      <c r="S33" s="30">
        <v>0</v>
      </c>
      <c r="T33" s="30">
        <v>0</v>
      </c>
      <c r="U33" s="30">
        <v>106500</v>
      </c>
      <c r="V33" s="29" t="s">
        <v>83</v>
      </c>
      <c r="W33" s="29" t="s">
        <v>98</v>
      </c>
      <c r="X33" s="29" t="s">
        <v>340</v>
      </c>
      <c r="Y33" s="29" t="s">
        <v>85</v>
      </c>
      <c r="Z33" s="39">
        <f t="shared" si="1"/>
        <v>3500</v>
      </c>
    </row>
    <row r="34" spans="1:26" hidden="1">
      <c r="A34" s="28">
        <v>100278</v>
      </c>
      <c r="B34" s="29" t="s">
        <v>251</v>
      </c>
      <c r="C34" s="29" t="s">
        <v>107</v>
      </c>
      <c r="D34" s="29" t="s">
        <v>82</v>
      </c>
      <c r="E34" s="31">
        <v>42913</v>
      </c>
      <c r="F34" s="29"/>
      <c r="G34" s="30">
        <v>105000</v>
      </c>
      <c r="H34" s="30">
        <v>0</v>
      </c>
      <c r="I34" s="30">
        <v>0</v>
      </c>
      <c r="J34" s="30">
        <v>30</v>
      </c>
      <c r="K34" s="30">
        <v>0</v>
      </c>
      <c r="L34" s="30">
        <v>0</v>
      </c>
      <c r="M34" s="30">
        <v>0</v>
      </c>
      <c r="N34" s="30">
        <v>105000</v>
      </c>
      <c r="O34" s="30">
        <v>2000</v>
      </c>
      <c r="P34" s="30">
        <v>0</v>
      </c>
      <c r="Q34" s="30">
        <v>0</v>
      </c>
      <c r="R34" s="30">
        <v>0</v>
      </c>
      <c r="S34" s="30">
        <v>0</v>
      </c>
      <c r="T34" s="30">
        <v>0</v>
      </c>
      <c r="U34" s="30">
        <v>103000</v>
      </c>
      <c r="V34" s="29" t="s">
        <v>83</v>
      </c>
      <c r="W34" s="29" t="s">
        <v>98</v>
      </c>
      <c r="X34" s="29" t="s">
        <v>340</v>
      </c>
      <c r="Y34" s="29" t="s">
        <v>85</v>
      </c>
      <c r="Z34" s="39">
        <f t="shared" si="1"/>
        <v>3500</v>
      </c>
    </row>
    <row r="35" spans="1:26" hidden="1">
      <c r="A35" s="28">
        <v>100281</v>
      </c>
      <c r="B35" s="29" t="s">
        <v>252</v>
      </c>
      <c r="C35" s="29" t="s">
        <v>108</v>
      </c>
      <c r="D35" s="29" t="s">
        <v>82</v>
      </c>
      <c r="E35" s="31">
        <v>42913</v>
      </c>
      <c r="F35" s="29"/>
      <c r="G35" s="30">
        <v>101500</v>
      </c>
      <c r="H35" s="30">
        <v>0</v>
      </c>
      <c r="I35" s="30">
        <v>0</v>
      </c>
      <c r="J35" s="30">
        <v>29</v>
      </c>
      <c r="K35" s="30">
        <v>0</v>
      </c>
      <c r="L35" s="30">
        <v>0</v>
      </c>
      <c r="M35" s="30">
        <v>0</v>
      </c>
      <c r="N35" s="30">
        <v>101500</v>
      </c>
      <c r="O35" s="30">
        <v>2000</v>
      </c>
      <c r="P35" s="30">
        <v>0</v>
      </c>
      <c r="Q35" s="30">
        <v>0</v>
      </c>
      <c r="R35" s="30">
        <v>0</v>
      </c>
      <c r="S35" s="30">
        <v>0</v>
      </c>
      <c r="T35" s="30">
        <v>0</v>
      </c>
      <c r="U35" s="30">
        <v>99500</v>
      </c>
      <c r="V35" s="29" t="s">
        <v>83</v>
      </c>
      <c r="W35" s="29" t="s">
        <v>98</v>
      </c>
      <c r="X35" s="29" t="s">
        <v>340</v>
      </c>
      <c r="Y35" s="29" t="s">
        <v>85</v>
      </c>
      <c r="Z35" s="39">
        <f t="shared" si="1"/>
        <v>3500</v>
      </c>
    </row>
    <row r="36" spans="1:26" hidden="1">
      <c r="A36" s="28">
        <v>100120</v>
      </c>
      <c r="B36" s="29" t="s">
        <v>253</v>
      </c>
      <c r="C36" s="29" t="s">
        <v>109</v>
      </c>
      <c r="D36" s="29" t="s">
        <v>82</v>
      </c>
      <c r="E36" s="31">
        <v>42913</v>
      </c>
      <c r="F36" s="29"/>
      <c r="G36" s="30">
        <v>98000</v>
      </c>
      <c r="H36" s="30">
        <v>0</v>
      </c>
      <c r="I36" s="30">
        <v>0</v>
      </c>
      <c r="J36" s="30">
        <v>28</v>
      </c>
      <c r="K36" s="30">
        <v>0</v>
      </c>
      <c r="L36" s="30">
        <v>0</v>
      </c>
      <c r="M36" s="30">
        <v>0</v>
      </c>
      <c r="N36" s="30">
        <v>98000</v>
      </c>
      <c r="O36" s="30">
        <v>2000</v>
      </c>
      <c r="P36" s="30">
        <v>0</v>
      </c>
      <c r="Q36" s="30">
        <v>0</v>
      </c>
      <c r="R36" s="30">
        <v>0</v>
      </c>
      <c r="S36" s="30">
        <v>0</v>
      </c>
      <c r="T36" s="30">
        <v>0</v>
      </c>
      <c r="U36" s="30">
        <v>96000</v>
      </c>
      <c r="V36" s="29" t="s">
        <v>83</v>
      </c>
      <c r="W36" s="29" t="s">
        <v>98</v>
      </c>
      <c r="X36" s="29" t="s">
        <v>340</v>
      </c>
      <c r="Y36" s="29" t="s">
        <v>85</v>
      </c>
      <c r="Z36" s="39">
        <f t="shared" si="1"/>
        <v>3500</v>
      </c>
    </row>
    <row r="37" spans="1:26" hidden="1">
      <c r="A37" s="28">
        <v>100290</v>
      </c>
      <c r="B37" s="29" t="s">
        <v>254</v>
      </c>
      <c r="C37" s="29"/>
      <c r="D37" s="29" t="s">
        <v>91</v>
      </c>
      <c r="E37" s="31">
        <v>42941</v>
      </c>
      <c r="F37" s="29" t="s">
        <v>92</v>
      </c>
      <c r="G37" s="30">
        <v>84000</v>
      </c>
      <c r="H37" s="30">
        <v>0</v>
      </c>
      <c r="I37" s="30">
        <v>0</v>
      </c>
      <c r="J37" s="30">
        <v>28</v>
      </c>
      <c r="K37" s="30">
        <v>0</v>
      </c>
      <c r="L37" s="30">
        <v>0</v>
      </c>
      <c r="M37" s="30">
        <v>0</v>
      </c>
      <c r="N37" s="30">
        <v>84000</v>
      </c>
      <c r="O37" s="30">
        <v>2000</v>
      </c>
      <c r="P37" s="30">
        <v>0</v>
      </c>
      <c r="Q37" s="30">
        <v>0</v>
      </c>
      <c r="R37" s="30">
        <v>0</v>
      </c>
      <c r="S37" s="30">
        <v>0</v>
      </c>
      <c r="T37" s="30">
        <v>0</v>
      </c>
      <c r="U37" s="30">
        <v>82000</v>
      </c>
      <c r="V37" s="29" t="s">
        <v>83</v>
      </c>
      <c r="W37" s="29" t="s">
        <v>84</v>
      </c>
      <c r="X37" s="29" t="s">
        <v>343</v>
      </c>
      <c r="Y37" s="29" t="s">
        <v>85</v>
      </c>
      <c r="Z37" s="39">
        <f t="shared" si="1"/>
        <v>3000</v>
      </c>
    </row>
    <row r="38" spans="1:26" hidden="1">
      <c r="A38" s="28">
        <v>100129</v>
      </c>
      <c r="B38" s="29" t="s">
        <v>255</v>
      </c>
      <c r="C38" s="29" t="s">
        <v>110</v>
      </c>
      <c r="D38" s="29" t="s">
        <v>82</v>
      </c>
      <c r="E38" s="31">
        <v>43003</v>
      </c>
      <c r="F38" s="29"/>
      <c r="G38" s="30">
        <v>94500</v>
      </c>
      <c r="H38" s="30">
        <v>0</v>
      </c>
      <c r="I38" s="30">
        <v>0</v>
      </c>
      <c r="J38" s="30">
        <v>27</v>
      </c>
      <c r="K38" s="30">
        <v>0</v>
      </c>
      <c r="L38" s="30">
        <v>0</v>
      </c>
      <c r="M38" s="30">
        <v>0</v>
      </c>
      <c r="N38" s="30">
        <v>94500</v>
      </c>
      <c r="O38" s="30">
        <v>2000</v>
      </c>
      <c r="P38" s="30">
        <v>0</v>
      </c>
      <c r="Q38" s="30">
        <v>0</v>
      </c>
      <c r="R38" s="30">
        <v>0</v>
      </c>
      <c r="S38" s="30">
        <v>0</v>
      </c>
      <c r="T38" s="30">
        <v>0</v>
      </c>
      <c r="U38" s="30">
        <v>92500</v>
      </c>
      <c r="V38" s="29" t="s">
        <v>83</v>
      </c>
      <c r="W38" s="29" t="s">
        <v>98</v>
      </c>
      <c r="X38" s="29" t="s">
        <v>340</v>
      </c>
      <c r="Y38" s="29" t="s">
        <v>85</v>
      </c>
      <c r="Z38" s="39">
        <f t="shared" si="1"/>
        <v>3500</v>
      </c>
    </row>
    <row r="39" spans="1:26" hidden="1">
      <c r="A39" s="28">
        <v>100136</v>
      </c>
      <c r="B39" s="29" t="s">
        <v>256</v>
      </c>
      <c r="C39" s="29" t="s">
        <v>111</v>
      </c>
      <c r="D39" s="29" t="s">
        <v>112</v>
      </c>
      <c r="E39" s="31">
        <v>43033</v>
      </c>
      <c r="F39" s="29" t="s">
        <v>92</v>
      </c>
      <c r="G39" s="30">
        <v>81000</v>
      </c>
      <c r="H39" s="30">
        <v>0</v>
      </c>
      <c r="I39" s="30">
        <v>0</v>
      </c>
      <c r="J39" s="30">
        <v>27</v>
      </c>
      <c r="K39" s="30">
        <v>0</v>
      </c>
      <c r="L39" s="30">
        <v>0</v>
      </c>
      <c r="M39" s="30">
        <v>0</v>
      </c>
      <c r="N39" s="30">
        <v>81000</v>
      </c>
      <c r="O39" s="30">
        <v>2000</v>
      </c>
      <c r="P39" s="30">
        <v>0</v>
      </c>
      <c r="Q39" s="30">
        <v>0</v>
      </c>
      <c r="R39" s="30">
        <v>0</v>
      </c>
      <c r="S39" s="30">
        <v>0</v>
      </c>
      <c r="T39" s="30">
        <v>0</v>
      </c>
      <c r="U39" s="30">
        <v>79000</v>
      </c>
      <c r="V39" s="29" t="s">
        <v>83</v>
      </c>
      <c r="W39" s="29" t="s">
        <v>113</v>
      </c>
      <c r="X39" s="29" t="s">
        <v>340</v>
      </c>
      <c r="Y39" s="29" t="s">
        <v>85</v>
      </c>
      <c r="Z39" s="39">
        <f t="shared" si="1"/>
        <v>3000</v>
      </c>
    </row>
    <row r="40" spans="1:26" hidden="1">
      <c r="A40" s="28">
        <v>100250</v>
      </c>
      <c r="B40" s="29" t="s">
        <v>257</v>
      </c>
      <c r="C40" s="29" t="s">
        <v>114</v>
      </c>
      <c r="D40" s="29" t="s">
        <v>112</v>
      </c>
      <c r="E40" s="31">
        <v>42972</v>
      </c>
      <c r="F40" s="29" t="s">
        <v>92</v>
      </c>
      <c r="G40" s="30">
        <v>81000</v>
      </c>
      <c r="H40" s="30">
        <v>0</v>
      </c>
      <c r="I40" s="30">
        <v>0</v>
      </c>
      <c r="J40" s="30">
        <v>27</v>
      </c>
      <c r="K40" s="30">
        <v>0</v>
      </c>
      <c r="L40" s="30">
        <v>0</v>
      </c>
      <c r="M40" s="30">
        <v>0</v>
      </c>
      <c r="N40" s="30">
        <v>81000</v>
      </c>
      <c r="O40" s="30">
        <v>2000</v>
      </c>
      <c r="P40" s="30">
        <v>0</v>
      </c>
      <c r="Q40" s="30">
        <v>0</v>
      </c>
      <c r="R40" s="30">
        <v>0</v>
      </c>
      <c r="S40" s="30">
        <v>0</v>
      </c>
      <c r="T40" s="30">
        <v>0</v>
      </c>
      <c r="U40" s="30">
        <v>79000</v>
      </c>
      <c r="V40" s="29" t="s">
        <v>83</v>
      </c>
      <c r="W40" s="29" t="s">
        <v>113</v>
      </c>
      <c r="X40" s="29" t="s">
        <v>340</v>
      </c>
      <c r="Y40" s="29" t="s">
        <v>85</v>
      </c>
      <c r="Z40" s="39">
        <f t="shared" si="1"/>
        <v>3000</v>
      </c>
    </row>
    <row r="41" spans="1:26" hidden="1">
      <c r="A41" s="28">
        <v>100153</v>
      </c>
      <c r="B41" s="29" t="s">
        <v>258</v>
      </c>
      <c r="C41" s="29"/>
      <c r="D41" s="29" t="s">
        <v>82</v>
      </c>
      <c r="E41" s="31">
        <v>42576</v>
      </c>
      <c r="F41" s="29"/>
      <c r="G41" s="30">
        <v>78000</v>
      </c>
      <c r="H41" s="30">
        <v>0</v>
      </c>
      <c r="I41" s="30">
        <v>0</v>
      </c>
      <c r="J41" s="30">
        <v>26</v>
      </c>
      <c r="K41" s="30">
        <v>0</v>
      </c>
      <c r="L41" s="30">
        <v>0</v>
      </c>
      <c r="M41" s="30">
        <v>0</v>
      </c>
      <c r="N41" s="30">
        <v>78000</v>
      </c>
      <c r="O41" s="30">
        <v>2000</v>
      </c>
      <c r="P41" s="30">
        <v>0</v>
      </c>
      <c r="Q41" s="30">
        <v>0</v>
      </c>
      <c r="R41" s="30">
        <v>0</v>
      </c>
      <c r="S41" s="30">
        <v>0</v>
      </c>
      <c r="T41" s="30">
        <v>0</v>
      </c>
      <c r="U41" s="30">
        <v>76000</v>
      </c>
      <c r="V41" s="29" t="s">
        <v>83</v>
      </c>
      <c r="W41" s="29" t="s">
        <v>84</v>
      </c>
      <c r="X41" s="29" t="s">
        <v>343</v>
      </c>
      <c r="Y41" s="29" t="s">
        <v>85</v>
      </c>
      <c r="Z41" s="39">
        <f t="shared" si="1"/>
        <v>3000</v>
      </c>
    </row>
    <row r="42" spans="1:26" hidden="1">
      <c r="A42" s="28">
        <v>100237</v>
      </c>
      <c r="B42" s="29" t="s">
        <v>259</v>
      </c>
      <c r="C42" s="29" t="s">
        <v>115</v>
      </c>
      <c r="D42" s="29" t="s">
        <v>91</v>
      </c>
      <c r="E42" s="31">
        <v>42845</v>
      </c>
      <c r="F42" s="29" t="s">
        <v>92</v>
      </c>
      <c r="G42" s="30">
        <v>91000</v>
      </c>
      <c r="H42" s="30">
        <v>0</v>
      </c>
      <c r="I42" s="30">
        <v>0</v>
      </c>
      <c r="J42" s="30">
        <v>26</v>
      </c>
      <c r="K42" s="30">
        <v>0</v>
      </c>
      <c r="L42" s="30">
        <v>0</v>
      </c>
      <c r="M42" s="30">
        <v>0</v>
      </c>
      <c r="N42" s="30">
        <v>91000</v>
      </c>
      <c r="O42" s="30">
        <v>2000</v>
      </c>
      <c r="P42" s="30">
        <v>0</v>
      </c>
      <c r="Q42" s="30">
        <v>0</v>
      </c>
      <c r="R42" s="30">
        <v>0</v>
      </c>
      <c r="S42" s="30">
        <v>0</v>
      </c>
      <c r="T42" s="30">
        <v>0</v>
      </c>
      <c r="U42" s="30">
        <v>89000</v>
      </c>
      <c r="V42" s="29" t="s">
        <v>83</v>
      </c>
      <c r="W42" s="29" t="s">
        <v>98</v>
      </c>
      <c r="X42" s="29" t="s">
        <v>340</v>
      </c>
      <c r="Y42" s="29" t="s">
        <v>85</v>
      </c>
      <c r="Z42" s="39">
        <f t="shared" si="1"/>
        <v>3500</v>
      </c>
    </row>
    <row r="43" spans="1:26" hidden="1">
      <c r="A43" s="28">
        <v>100273</v>
      </c>
      <c r="B43" s="29" t="s">
        <v>260</v>
      </c>
      <c r="C43" s="29" t="s">
        <v>116</v>
      </c>
      <c r="D43" s="29" t="s">
        <v>112</v>
      </c>
      <c r="E43" s="31">
        <v>42917</v>
      </c>
      <c r="F43" s="29"/>
      <c r="G43" s="30">
        <v>78000</v>
      </c>
      <c r="H43" s="30">
        <v>0</v>
      </c>
      <c r="I43" s="30">
        <v>0</v>
      </c>
      <c r="J43" s="30">
        <v>26</v>
      </c>
      <c r="K43" s="30">
        <v>0</v>
      </c>
      <c r="L43" s="30">
        <v>0</v>
      </c>
      <c r="M43" s="30">
        <v>0</v>
      </c>
      <c r="N43" s="30">
        <v>78000</v>
      </c>
      <c r="O43" s="30">
        <v>2000</v>
      </c>
      <c r="P43" s="30">
        <v>0</v>
      </c>
      <c r="Q43" s="30">
        <v>0</v>
      </c>
      <c r="R43" s="30">
        <v>0</v>
      </c>
      <c r="S43" s="30">
        <v>0</v>
      </c>
      <c r="T43" s="30">
        <v>0</v>
      </c>
      <c r="U43" s="30">
        <v>76000</v>
      </c>
      <c r="V43" s="29" t="s">
        <v>83</v>
      </c>
      <c r="W43" s="29" t="s">
        <v>113</v>
      </c>
      <c r="X43" s="29" t="s">
        <v>340</v>
      </c>
      <c r="Y43" s="29" t="s">
        <v>85</v>
      </c>
      <c r="Z43" s="39">
        <f t="shared" si="1"/>
        <v>3000</v>
      </c>
    </row>
    <row r="44" spans="1:26" hidden="1">
      <c r="A44" s="28">
        <v>100284</v>
      </c>
      <c r="B44" s="29" t="s">
        <v>261</v>
      </c>
      <c r="C44" s="29"/>
      <c r="D44" s="29" t="s">
        <v>82</v>
      </c>
      <c r="E44" s="31">
        <v>43003</v>
      </c>
      <c r="F44" s="29"/>
      <c r="G44" s="30">
        <v>78000</v>
      </c>
      <c r="H44" s="30">
        <v>0</v>
      </c>
      <c r="I44" s="30">
        <v>0</v>
      </c>
      <c r="J44" s="30">
        <v>26</v>
      </c>
      <c r="K44" s="30">
        <v>0</v>
      </c>
      <c r="L44" s="30">
        <v>0</v>
      </c>
      <c r="M44" s="30">
        <v>0</v>
      </c>
      <c r="N44" s="30">
        <v>78000</v>
      </c>
      <c r="O44" s="30">
        <v>2000</v>
      </c>
      <c r="P44" s="30">
        <v>0</v>
      </c>
      <c r="Q44" s="30">
        <v>0</v>
      </c>
      <c r="R44" s="30">
        <v>0</v>
      </c>
      <c r="S44" s="30">
        <v>0</v>
      </c>
      <c r="T44" s="30">
        <v>0</v>
      </c>
      <c r="U44" s="30">
        <v>76000</v>
      </c>
      <c r="V44" s="29" t="s">
        <v>83</v>
      </c>
      <c r="W44" s="29" t="s">
        <v>84</v>
      </c>
      <c r="X44" s="29" t="s">
        <v>343</v>
      </c>
      <c r="Y44" s="29" t="s">
        <v>85</v>
      </c>
      <c r="Z44" s="39">
        <f t="shared" si="1"/>
        <v>3000</v>
      </c>
    </row>
    <row r="45" spans="1:26" hidden="1">
      <c r="A45" s="28">
        <v>100299</v>
      </c>
      <c r="B45" s="29" t="s">
        <v>262</v>
      </c>
      <c r="C45" s="29" t="s">
        <v>117</v>
      </c>
      <c r="D45" s="29" t="s">
        <v>91</v>
      </c>
      <c r="E45" s="31">
        <v>42941</v>
      </c>
      <c r="F45" s="29" t="s">
        <v>92</v>
      </c>
      <c r="G45" s="30">
        <v>91000</v>
      </c>
      <c r="H45" s="30">
        <v>0</v>
      </c>
      <c r="I45" s="30">
        <v>0</v>
      </c>
      <c r="J45" s="30">
        <v>26</v>
      </c>
      <c r="K45" s="30">
        <v>0</v>
      </c>
      <c r="L45" s="30">
        <v>0</v>
      </c>
      <c r="M45" s="30">
        <v>0</v>
      </c>
      <c r="N45" s="30">
        <v>91000</v>
      </c>
      <c r="O45" s="30">
        <v>2000</v>
      </c>
      <c r="P45" s="30">
        <v>0</v>
      </c>
      <c r="Q45" s="30">
        <v>0</v>
      </c>
      <c r="R45" s="30">
        <v>0</v>
      </c>
      <c r="S45" s="30">
        <v>0</v>
      </c>
      <c r="T45" s="30">
        <v>0</v>
      </c>
      <c r="U45" s="30">
        <v>89000</v>
      </c>
      <c r="V45" s="29" t="s">
        <v>83</v>
      </c>
      <c r="W45" s="29" t="s">
        <v>98</v>
      </c>
      <c r="X45" s="29" t="s">
        <v>340</v>
      </c>
      <c r="Y45" s="29" t="s">
        <v>85</v>
      </c>
      <c r="Z45" s="39">
        <f t="shared" si="1"/>
        <v>3500</v>
      </c>
    </row>
    <row r="46" spans="1:26" hidden="1">
      <c r="A46" s="28">
        <v>100235</v>
      </c>
      <c r="B46" s="29" t="s">
        <v>263</v>
      </c>
      <c r="C46" s="29"/>
      <c r="D46" s="29" t="s">
        <v>82</v>
      </c>
      <c r="E46" s="31">
        <v>43033</v>
      </c>
      <c r="F46" s="29"/>
      <c r="G46" s="30">
        <v>75000</v>
      </c>
      <c r="H46" s="30">
        <v>0</v>
      </c>
      <c r="I46" s="30">
        <v>0</v>
      </c>
      <c r="J46" s="30">
        <v>25</v>
      </c>
      <c r="K46" s="30">
        <v>0</v>
      </c>
      <c r="L46" s="30">
        <v>0</v>
      </c>
      <c r="M46" s="30">
        <v>0</v>
      </c>
      <c r="N46" s="30">
        <v>75000</v>
      </c>
      <c r="O46" s="30">
        <v>2000</v>
      </c>
      <c r="P46" s="30">
        <v>0</v>
      </c>
      <c r="Q46" s="30">
        <v>0</v>
      </c>
      <c r="R46" s="30">
        <v>0</v>
      </c>
      <c r="S46" s="30">
        <v>0</v>
      </c>
      <c r="T46" s="30">
        <v>0</v>
      </c>
      <c r="U46" s="30">
        <v>73000</v>
      </c>
      <c r="V46" s="29" t="s">
        <v>83</v>
      </c>
      <c r="W46" s="29" t="s">
        <v>84</v>
      </c>
      <c r="X46" s="29" t="s">
        <v>343</v>
      </c>
      <c r="Y46" s="29" t="s">
        <v>85</v>
      </c>
      <c r="Z46" s="39">
        <f t="shared" si="1"/>
        <v>3000</v>
      </c>
    </row>
    <row r="47" spans="1:26" hidden="1">
      <c r="A47" s="28">
        <v>14</v>
      </c>
      <c r="B47" s="29" t="s">
        <v>247</v>
      </c>
      <c r="C47" s="29" t="s">
        <v>118</v>
      </c>
      <c r="D47" s="29" t="s">
        <v>82</v>
      </c>
      <c r="E47" s="31">
        <v>34652</v>
      </c>
      <c r="F47" s="29" t="s">
        <v>119</v>
      </c>
      <c r="G47" s="30">
        <v>84000</v>
      </c>
      <c r="H47" s="30">
        <v>0</v>
      </c>
      <c r="I47" s="30">
        <v>0</v>
      </c>
      <c r="J47" s="30">
        <v>24</v>
      </c>
      <c r="K47" s="30">
        <v>0</v>
      </c>
      <c r="L47" s="30">
        <v>0</v>
      </c>
      <c r="M47" s="30">
        <v>0</v>
      </c>
      <c r="N47" s="30">
        <v>84000</v>
      </c>
      <c r="O47" s="30">
        <v>2000</v>
      </c>
      <c r="P47" s="30">
        <v>0</v>
      </c>
      <c r="Q47" s="30">
        <v>0</v>
      </c>
      <c r="R47" s="30">
        <v>0</v>
      </c>
      <c r="S47" s="30">
        <v>0</v>
      </c>
      <c r="T47" s="30">
        <v>0</v>
      </c>
      <c r="U47" s="30">
        <v>82000</v>
      </c>
      <c r="V47" s="29" t="s">
        <v>83</v>
      </c>
      <c r="W47" s="29" t="s">
        <v>120</v>
      </c>
      <c r="X47" s="29" t="s">
        <v>340</v>
      </c>
      <c r="Y47" s="29" t="s">
        <v>85</v>
      </c>
      <c r="Z47" s="39">
        <f t="shared" si="1"/>
        <v>3500</v>
      </c>
    </row>
    <row r="48" spans="1:26" hidden="1">
      <c r="A48" s="28">
        <v>100263</v>
      </c>
      <c r="B48" s="29" t="s">
        <v>264</v>
      </c>
      <c r="C48" s="29" t="s">
        <v>121</v>
      </c>
      <c r="D48" s="29" t="s">
        <v>122</v>
      </c>
      <c r="E48" s="31">
        <v>42851</v>
      </c>
      <c r="F48" s="29"/>
      <c r="G48" s="30">
        <v>84000</v>
      </c>
      <c r="H48" s="30">
        <v>0</v>
      </c>
      <c r="I48" s="30">
        <v>0</v>
      </c>
      <c r="J48" s="30">
        <v>24</v>
      </c>
      <c r="K48" s="30">
        <v>0</v>
      </c>
      <c r="L48" s="30">
        <v>0</v>
      </c>
      <c r="M48" s="30">
        <v>0</v>
      </c>
      <c r="N48" s="30">
        <v>84000</v>
      </c>
      <c r="O48" s="30">
        <v>2000</v>
      </c>
      <c r="P48" s="30">
        <v>0</v>
      </c>
      <c r="Q48" s="30">
        <v>0</v>
      </c>
      <c r="R48" s="30">
        <v>0</v>
      </c>
      <c r="S48" s="30">
        <v>0</v>
      </c>
      <c r="T48" s="30">
        <v>0</v>
      </c>
      <c r="U48" s="30">
        <v>82000</v>
      </c>
      <c r="V48" s="29" t="s">
        <v>83</v>
      </c>
      <c r="W48" s="29" t="s">
        <v>120</v>
      </c>
      <c r="X48" s="29" t="s">
        <v>340</v>
      </c>
      <c r="Y48" s="29" t="s">
        <v>85</v>
      </c>
      <c r="Z48" s="39">
        <f t="shared" si="1"/>
        <v>3500</v>
      </c>
    </row>
    <row r="49" spans="1:26" hidden="1">
      <c r="A49" s="28">
        <v>100274</v>
      </c>
      <c r="B49" s="29" t="s">
        <v>265</v>
      </c>
      <c r="C49" s="29" t="s">
        <v>123</v>
      </c>
      <c r="D49" s="29" t="s">
        <v>124</v>
      </c>
      <c r="E49" s="31">
        <v>42913</v>
      </c>
      <c r="F49" s="29"/>
      <c r="G49" s="30">
        <v>84000</v>
      </c>
      <c r="H49" s="30">
        <v>0</v>
      </c>
      <c r="I49" s="30">
        <v>0</v>
      </c>
      <c r="J49" s="30">
        <v>24</v>
      </c>
      <c r="K49" s="30">
        <v>0</v>
      </c>
      <c r="L49" s="30">
        <v>0</v>
      </c>
      <c r="M49" s="30">
        <v>0</v>
      </c>
      <c r="N49" s="30">
        <v>84000</v>
      </c>
      <c r="O49" s="30">
        <v>2000</v>
      </c>
      <c r="P49" s="30">
        <v>0</v>
      </c>
      <c r="Q49" s="30">
        <v>0</v>
      </c>
      <c r="R49" s="30">
        <v>0</v>
      </c>
      <c r="S49" s="30">
        <v>0</v>
      </c>
      <c r="T49" s="30">
        <v>0</v>
      </c>
      <c r="U49" s="30">
        <v>82000</v>
      </c>
      <c r="V49" s="29" t="s">
        <v>83</v>
      </c>
      <c r="W49" s="29" t="s">
        <v>125</v>
      </c>
      <c r="X49" s="29" t="s">
        <v>340</v>
      </c>
      <c r="Y49" s="29" t="s">
        <v>85</v>
      </c>
      <c r="Z49" s="39">
        <f t="shared" si="1"/>
        <v>3500</v>
      </c>
    </row>
    <row r="50" spans="1:26" hidden="1">
      <c r="A50" s="28">
        <v>100296</v>
      </c>
      <c r="B50" s="29" t="s">
        <v>266</v>
      </c>
      <c r="C50" s="29" t="s">
        <v>126</v>
      </c>
      <c r="D50" s="29" t="s">
        <v>91</v>
      </c>
      <c r="E50" s="31">
        <v>42941</v>
      </c>
      <c r="F50" s="29" t="s">
        <v>92</v>
      </c>
      <c r="G50" s="30">
        <v>84000</v>
      </c>
      <c r="H50" s="30">
        <v>0</v>
      </c>
      <c r="I50" s="30">
        <v>0</v>
      </c>
      <c r="J50" s="30">
        <v>24</v>
      </c>
      <c r="K50" s="30">
        <v>0</v>
      </c>
      <c r="L50" s="30">
        <v>0</v>
      </c>
      <c r="M50" s="30">
        <v>0</v>
      </c>
      <c r="N50" s="30">
        <v>84000</v>
      </c>
      <c r="O50" s="30">
        <v>2000</v>
      </c>
      <c r="P50" s="30">
        <v>0</v>
      </c>
      <c r="Q50" s="30">
        <v>0</v>
      </c>
      <c r="R50" s="30">
        <v>0</v>
      </c>
      <c r="S50" s="30">
        <v>0</v>
      </c>
      <c r="T50" s="30">
        <v>0</v>
      </c>
      <c r="U50" s="30">
        <v>82000</v>
      </c>
      <c r="V50" s="29" t="s">
        <v>83</v>
      </c>
      <c r="W50" s="29" t="s">
        <v>98</v>
      </c>
      <c r="X50" s="29" t="s">
        <v>340</v>
      </c>
      <c r="Y50" s="29" t="s">
        <v>85</v>
      </c>
      <c r="Z50" s="39">
        <f t="shared" si="1"/>
        <v>3500</v>
      </c>
    </row>
    <row r="51" spans="1:26" hidden="1">
      <c r="A51" s="28">
        <v>100297</v>
      </c>
      <c r="B51" s="29" t="s">
        <v>267</v>
      </c>
      <c r="C51" s="29" t="s">
        <v>118</v>
      </c>
      <c r="D51" s="29" t="s">
        <v>91</v>
      </c>
      <c r="E51" s="31">
        <v>42941</v>
      </c>
      <c r="F51" s="29" t="s">
        <v>92</v>
      </c>
      <c r="G51" s="30">
        <v>77000</v>
      </c>
      <c r="H51" s="30">
        <v>0</v>
      </c>
      <c r="I51" s="30">
        <v>0</v>
      </c>
      <c r="J51" s="30">
        <v>22</v>
      </c>
      <c r="K51" s="30">
        <v>0</v>
      </c>
      <c r="L51" s="30">
        <v>0</v>
      </c>
      <c r="M51" s="30">
        <v>0</v>
      </c>
      <c r="N51" s="30">
        <v>77000</v>
      </c>
      <c r="O51" s="30">
        <v>2000</v>
      </c>
      <c r="P51" s="30">
        <v>0</v>
      </c>
      <c r="Q51" s="30">
        <v>0</v>
      </c>
      <c r="R51" s="30">
        <v>0</v>
      </c>
      <c r="S51" s="30">
        <v>0</v>
      </c>
      <c r="T51" s="30">
        <v>0</v>
      </c>
      <c r="U51" s="30">
        <v>75000</v>
      </c>
      <c r="V51" s="29" t="s">
        <v>83</v>
      </c>
      <c r="W51" s="29" t="s">
        <v>98</v>
      </c>
      <c r="X51" s="29" t="s">
        <v>340</v>
      </c>
      <c r="Y51" s="29" t="s">
        <v>85</v>
      </c>
      <c r="Z51" s="39">
        <f t="shared" si="1"/>
        <v>3500</v>
      </c>
    </row>
    <row r="52" spans="1:26" hidden="1">
      <c r="A52" s="28">
        <v>100113</v>
      </c>
      <c r="B52" s="29" t="s">
        <v>268</v>
      </c>
      <c r="C52" s="29"/>
      <c r="D52" s="29" t="s">
        <v>82</v>
      </c>
      <c r="E52" s="31">
        <v>43011</v>
      </c>
      <c r="F52" s="29"/>
      <c r="G52" s="30">
        <v>63000</v>
      </c>
      <c r="H52" s="30">
        <v>0</v>
      </c>
      <c r="I52" s="30">
        <v>0</v>
      </c>
      <c r="J52" s="30">
        <v>21</v>
      </c>
      <c r="K52" s="30">
        <v>0</v>
      </c>
      <c r="L52" s="30">
        <v>0</v>
      </c>
      <c r="M52" s="30">
        <v>0</v>
      </c>
      <c r="N52" s="30">
        <v>63000</v>
      </c>
      <c r="O52" s="30">
        <v>2000</v>
      </c>
      <c r="P52" s="30">
        <v>0</v>
      </c>
      <c r="Q52" s="30">
        <v>0</v>
      </c>
      <c r="R52" s="30">
        <v>0</v>
      </c>
      <c r="S52" s="30">
        <v>0</v>
      </c>
      <c r="T52" s="30">
        <v>0</v>
      </c>
      <c r="U52" s="30">
        <v>61000</v>
      </c>
      <c r="V52" s="29" t="s">
        <v>83</v>
      </c>
      <c r="W52" s="29" t="s">
        <v>84</v>
      </c>
      <c r="X52" s="29" t="s">
        <v>343</v>
      </c>
      <c r="Y52" s="29" t="s">
        <v>85</v>
      </c>
      <c r="Z52" s="39">
        <f t="shared" si="1"/>
        <v>3000</v>
      </c>
    </row>
    <row r="53" spans="1:26" hidden="1">
      <c r="A53" s="28">
        <v>100231</v>
      </c>
      <c r="B53" s="29" t="s">
        <v>269</v>
      </c>
      <c r="C53" s="29" t="s">
        <v>127</v>
      </c>
      <c r="D53" s="29" t="s">
        <v>91</v>
      </c>
      <c r="E53" s="31">
        <v>42913</v>
      </c>
      <c r="F53" s="29" t="s">
        <v>92</v>
      </c>
      <c r="G53" s="30">
        <v>70000</v>
      </c>
      <c r="H53" s="30">
        <v>0</v>
      </c>
      <c r="I53" s="30">
        <v>0</v>
      </c>
      <c r="J53" s="30">
        <v>20</v>
      </c>
      <c r="K53" s="30">
        <v>0</v>
      </c>
      <c r="L53" s="30">
        <v>0</v>
      </c>
      <c r="M53" s="30">
        <v>0</v>
      </c>
      <c r="N53" s="30">
        <v>70000</v>
      </c>
      <c r="O53" s="30">
        <v>2000</v>
      </c>
      <c r="P53" s="30">
        <v>0</v>
      </c>
      <c r="Q53" s="30">
        <v>0</v>
      </c>
      <c r="R53" s="30">
        <v>0</v>
      </c>
      <c r="S53" s="30">
        <v>0</v>
      </c>
      <c r="T53" s="30">
        <v>0</v>
      </c>
      <c r="U53" s="30">
        <v>68000</v>
      </c>
      <c r="V53" s="29" t="s">
        <v>83</v>
      </c>
      <c r="W53" s="29" t="s">
        <v>98</v>
      </c>
      <c r="X53" s="29" t="s">
        <v>340</v>
      </c>
      <c r="Y53" s="29" t="s">
        <v>85</v>
      </c>
      <c r="Z53" s="39">
        <f t="shared" si="1"/>
        <v>3500</v>
      </c>
    </row>
    <row r="54" spans="1:26" hidden="1">
      <c r="A54" s="28">
        <v>100271</v>
      </c>
      <c r="B54" s="29" t="s">
        <v>270</v>
      </c>
      <c r="C54" s="29"/>
      <c r="D54" s="29" t="s">
        <v>82</v>
      </c>
      <c r="E54" s="31">
        <v>42881</v>
      </c>
      <c r="F54" s="29"/>
      <c r="G54" s="30">
        <v>70000</v>
      </c>
      <c r="H54" s="30">
        <v>0</v>
      </c>
      <c r="I54" s="30">
        <v>0</v>
      </c>
      <c r="J54" s="30">
        <v>20</v>
      </c>
      <c r="K54" s="30">
        <v>0</v>
      </c>
      <c r="L54" s="30">
        <v>0</v>
      </c>
      <c r="M54" s="30">
        <v>0</v>
      </c>
      <c r="N54" s="30">
        <v>70000</v>
      </c>
      <c r="O54" s="30">
        <v>2000</v>
      </c>
      <c r="P54" s="30">
        <v>0</v>
      </c>
      <c r="Q54" s="30">
        <v>0</v>
      </c>
      <c r="R54" s="30">
        <v>0</v>
      </c>
      <c r="S54" s="30">
        <v>0</v>
      </c>
      <c r="T54" s="30">
        <v>0</v>
      </c>
      <c r="U54" s="30">
        <v>68000</v>
      </c>
      <c r="V54" s="29" t="s">
        <v>83</v>
      </c>
      <c r="W54" s="29" t="s">
        <v>98</v>
      </c>
      <c r="X54" s="29" t="s">
        <v>340</v>
      </c>
      <c r="Y54" s="29" t="s">
        <v>85</v>
      </c>
      <c r="Z54" s="39">
        <f t="shared" si="1"/>
        <v>3500</v>
      </c>
    </row>
    <row r="55" spans="1:26" hidden="1">
      <c r="A55" s="28">
        <v>100119</v>
      </c>
      <c r="B55" s="29" t="s">
        <v>271</v>
      </c>
      <c r="C55" s="29" t="s">
        <v>128</v>
      </c>
      <c r="D55" s="29" t="s">
        <v>112</v>
      </c>
      <c r="E55" s="31">
        <v>42972</v>
      </c>
      <c r="F55" s="29" t="s">
        <v>92</v>
      </c>
      <c r="G55" s="30">
        <v>57000</v>
      </c>
      <c r="H55" s="30">
        <v>0</v>
      </c>
      <c r="I55" s="30">
        <v>0</v>
      </c>
      <c r="J55" s="30">
        <v>19</v>
      </c>
      <c r="K55" s="30">
        <v>0</v>
      </c>
      <c r="L55" s="30">
        <v>0</v>
      </c>
      <c r="M55" s="30">
        <v>0</v>
      </c>
      <c r="N55" s="30">
        <v>57000</v>
      </c>
      <c r="O55" s="30">
        <v>2000</v>
      </c>
      <c r="P55" s="30">
        <v>0</v>
      </c>
      <c r="Q55" s="30">
        <v>0</v>
      </c>
      <c r="R55" s="30">
        <v>0</v>
      </c>
      <c r="S55" s="30">
        <v>0</v>
      </c>
      <c r="T55" s="30">
        <v>0</v>
      </c>
      <c r="U55" s="30">
        <v>55000</v>
      </c>
      <c r="V55" s="29" t="s">
        <v>83</v>
      </c>
      <c r="W55" s="29" t="s">
        <v>113</v>
      </c>
      <c r="X55" s="29" t="s">
        <v>340</v>
      </c>
      <c r="Y55" s="29" t="s">
        <v>85</v>
      </c>
      <c r="Z55" s="39">
        <f t="shared" si="1"/>
        <v>3000</v>
      </c>
    </row>
    <row r="56" spans="1:26" hidden="1">
      <c r="A56" s="28">
        <v>100065</v>
      </c>
      <c r="B56" s="29" t="s">
        <v>272</v>
      </c>
      <c r="C56" s="29" t="s">
        <v>129</v>
      </c>
      <c r="D56" s="29" t="s">
        <v>82</v>
      </c>
      <c r="E56" s="31">
        <v>43033</v>
      </c>
      <c r="F56" s="29"/>
      <c r="G56" s="30">
        <v>52500</v>
      </c>
      <c r="H56" s="30">
        <v>0</v>
      </c>
      <c r="I56" s="30">
        <v>0</v>
      </c>
      <c r="J56" s="30">
        <v>15</v>
      </c>
      <c r="K56" s="30">
        <v>0</v>
      </c>
      <c r="L56" s="30">
        <v>0</v>
      </c>
      <c r="M56" s="30">
        <v>0</v>
      </c>
      <c r="N56" s="30">
        <v>52500</v>
      </c>
      <c r="O56" s="30">
        <v>2000</v>
      </c>
      <c r="P56" s="30">
        <v>0</v>
      </c>
      <c r="Q56" s="30">
        <v>0</v>
      </c>
      <c r="R56" s="30">
        <v>0</v>
      </c>
      <c r="S56" s="30">
        <v>0</v>
      </c>
      <c r="T56" s="30">
        <v>0</v>
      </c>
      <c r="U56" s="30">
        <v>50500</v>
      </c>
      <c r="V56" s="29" t="s">
        <v>83</v>
      </c>
      <c r="W56" s="29" t="s">
        <v>98</v>
      </c>
      <c r="X56" s="29" t="s">
        <v>340</v>
      </c>
      <c r="Y56" s="29" t="s">
        <v>85</v>
      </c>
      <c r="Z56" s="39">
        <f t="shared" si="1"/>
        <v>3500</v>
      </c>
    </row>
    <row r="57" spans="1:26" hidden="1">
      <c r="A57" s="28">
        <v>100227</v>
      </c>
      <c r="B57" s="29" t="s">
        <v>272</v>
      </c>
      <c r="C57" s="29" t="s">
        <v>130</v>
      </c>
      <c r="D57" s="29" t="s">
        <v>82</v>
      </c>
      <c r="E57" s="31">
        <v>43033</v>
      </c>
      <c r="F57" s="29" t="s">
        <v>92</v>
      </c>
      <c r="G57" s="30">
        <v>45000</v>
      </c>
      <c r="H57" s="30">
        <v>0</v>
      </c>
      <c r="I57" s="30">
        <v>0</v>
      </c>
      <c r="J57" s="30">
        <v>15</v>
      </c>
      <c r="K57" s="30">
        <v>0</v>
      </c>
      <c r="L57" s="30">
        <v>0</v>
      </c>
      <c r="M57" s="30">
        <v>0</v>
      </c>
      <c r="N57" s="30">
        <v>45000</v>
      </c>
      <c r="O57" s="30">
        <v>2000</v>
      </c>
      <c r="P57" s="30">
        <v>0</v>
      </c>
      <c r="Q57" s="30">
        <v>0</v>
      </c>
      <c r="R57" s="30">
        <v>0</v>
      </c>
      <c r="S57" s="30">
        <v>0</v>
      </c>
      <c r="T57" s="30">
        <v>0</v>
      </c>
      <c r="U57" s="30">
        <v>43000</v>
      </c>
      <c r="V57" s="29" t="s">
        <v>83</v>
      </c>
      <c r="W57" s="29" t="s">
        <v>84</v>
      </c>
      <c r="X57" s="29" t="s">
        <v>343</v>
      </c>
      <c r="Y57" s="29" t="s">
        <v>85</v>
      </c>
      <c r="Z57" s="39">
        <f t="shared" si="1"/>
        <v>3000</v>
      </c>
    </row>
    <row r="58" spans="1:26">
      <c r="A58" s="28">
        <v>100036</v>
      </c>
      <c r="B58" s="29" t="s">
        <v>260</v>
      </c>
      <c r="C58" s="29" t="s">
        <v>86</v>
      </c>
      <c r="D58" s="29" t="s">
        <v>82</v>
      </c>
      <c r="E58" s="31">
        <v>42748</v>
      </c>
      <c r="F58" s="29"/>
      <c r="G58" s="30">
        <v>42000</v>
      </c>
      <c r="H58" s="30">
        <v>0</v>
      </c>
      <c r="I58" s="30">
        <v>0</v>
      </c>
      <c r="J58" s="30">
        <v>14</v>
      </c>
      <c r="K58" s="30">
        <v>0</v>
      </c>
      <c r="L58" s="30">
        <v>0</v>
      </c>
      <c r="M58" s="30">
        <v>0</v>
      </c>
      <c r="N58" s="30">
        <v>42000</v>
      </c>
      <c r="O58" s="30">
        <v>2000</v>
      </c>
      <c r="P58" s="30">
        <v>0</v>
      </c>
      <c r="Q58" s="30">
        <v>0</v>
      </c>
      <c r="R58" s="30">
        <v>0</v>
      </c>
      <c r="S58" s="30">
        <v>0</v>
      </c>
      <c r="T58" s="30">
        <v>0</v>
      </c>
      <c r="U58" s="30">
        <v>40000</v>
      </c>
      <c r="V58" s="29" t="s">
        <v>83</v>
      </c>
      <c r="W58" s="29" t="s">
        <v>131</v>
      </c>
      <c r="X58" s="29" t="s">
        <v>342</v>
      </c>
      <c r="Y58" s="29" t="s">
        <v>85</v>
      </c>
      <c r="Z58" s="39">
        <f t="shared" si="1"/>
        <v>3000</v>
      </c>
    </row>
    <row r="59" spans="1:26">
      <c r="A59" s="28">
        <v>100047</v>
      </c>
      <c r="B59" s="29" t="s">
        <v>273</v>
      </c>
      <c r="C59" s="29" t="s">
        <v>132</v>
      </c>
      <c r="D59" s="29" t="s">
        <v>82</v>
      </c>
      <c r="E59" s="31">
        <v>42760</v>
      </c>
      <c r="F59" s="29"/>
      <c r="G59" s="30">
        <v>42000</v>
      </c>
      <c r="H59" s="30">
        <v>0</v>
      </c>
      <c r="I59" s="30">
        <v>0</v>
      </c>
      <c r="J59" s="30">
        <v>14</v>
      </c>
      <c r="K59" s="30">
        <v>0</v>
      </c>
      <c r="L59" s="30">
        <v>0</v>
      </c>
      <c r="M59" s="30">
        <v>0</v>
      </c>
      <c r="N59" s="30">
        <v>42000</v>
      </c>
      <c r="O59" s="30">
        <v>2000</v>
      </c>
      <c r="P59" s="30">
        <v>0</v>
      </c>
      <c r="Q59" s="30">
        <v>0</v>
      </c>
      <c r="R59" s="30">
        <v>0</v>
      </c>
      <c r="S59" s="30">
        <v>0</v>
      </c>
      <c r="T59" s="30">
        <v>0</v>
      </c>
      <c r="U59" s="30">
        <v>40000</v>
      </c>
      <c r="V59" s="29" t="s">
        <v>83</v>
      </c>
      <c r="W59" s="29" t="s">
        <v>131</v>
      </c>
      <c r="X59" s="29" t="s">
        <v>342</v>
      </c>
      <c r="Y59" s="29" t="s">
        <v>85</v>
      </c>
      <c r="Z59" s="39">
        <f t="shared" si="1"/>
        <v>3000</v>
      </c>
    </row>
    <row r="60" spans="1:26">
      <c r="A60" s="28">
        <v>100287</v>
      </c>
      <c r="B60" s="29" t="s">
        <v>274</v>
      </c>
      <c r="C60" s="29"/>
      <c r="D60" s="29" t="s">
        <v>82</v>
      </c>
      <c r="E60" s="31">
        <v>42917</v>
      </c>
      <c r="F60" s="29"/>
      <c r="G60" s="30">
        <v>42000</v>
      </c>
      <c r="H60" s="30">
        <v>0</v>
      </c>
      <c r="I60" s="30">
        <v>0</v>
      </c>
      <c r="J60" s="30">
        <v>14</v>
      </c>
      <c r="K60" s="30">
        <v>0</v>
      </c>
      <c r="L60" s="30">
        <v>0</v>
      </c>
      <c r="M60" s="30">
        <v>0</v>
      </c>
      <c r="N60" s="30">
        <v>42000</v>
      </c>
      <c r="O60" s="30">
        <v>2000</v>
      </c>
      <c r="P60" s="30">
        <v>0</v>
      </c>
      <c r="Q60" s="30">
        <v>0</v>
      </c>
      <c r="R60" s="30">
        <v>0</v>
      </c>
      <c r="S60" s="30">
        <v>0</v>
      </c>
      <c r="T60" s="30">
        <v>0</v>
      </c>
      <c r="U60" s="30">
        <v>40000</v>
      </c>
      <c r="V60" s="29" t="s">
        <v>83</v>
      </c>
      <c r="W60" s="29" t="s">
        <v>131</v>
      </c>
      <c r="X60" s="29" t="s">
        <v>342</v>
      </c>
      <c r="Y60" s="29" t="s">
        <v>85</v>
      </c>
      <c r="Z60" s="39">
        <f t="shared" si="1"/>
        <v>3000</v>
      </c>
    </row>
    <row r="61" spans="1:26">
      <c r="A61" s="28">
        <v>100046</v>
      </c>
      <c r="B61" s="29" t="s">
        <v>275</v>
      </c>
      <c r="C61" s="29" t="s">
        <v>133</v>
      </c>
      <c r="D61" s="29" t="s">
        <v>82</v>
      </c>
      <c r="E61" s="31">
        <v>38353</v>
      </c>
      <c r="F61" s="29"/>
      <c r="G61" s="30">
        <v>45500</v>
      </c>
      <c r="H61" s="30">
        <v>0</v>
      </c>
      <c r="I61" s="30">
        <v>0</v>
      </c>
      <c r="J61" s="30">
        <v>13</v>
      </c>
      <c r="K61" s="30">
        <v>0</v>
      </c>
      <c r="L61" s="30">
        <v>0</v>
      </c>
      <c r="M61" s="30">
        <v>0</v>
      </c>
      <c r="N61" s="30">
        <v>45500</v>
      </c>
      <c r="O61" s="30">
        <v>2000</v>
      </c>
      <c r="P61" s="30">
        <v>0</v>
      </c>
      <c r="Q61" s="30">
        <v>0</v>
      </c>
      <c r="R61" s="30">
        <v>0</v>
      </c>
      <c r="S61" s="30">
        <v>0</v>
      </c>
      <c r="T61" s="30">
        <v>0</v>
      </c>
      <c r="U61" s="30">
        <v>43500</v>
      </c>
      <c r="V61" s="29" t="s">
        <v>83</v>
      </c>
      <c r="W61" s="29" t="s">
        <v>131</v>
      </c>
      <c r="X61" s="29" t="s">
        <v>342</v>
      </c>
      <c r="Y61" s="29" t="s">
        <v>85</v>
      </c>
      <c r="Z61" s="39">
        <f t="shared" si="1"/>
        <v>3500</v>
      </c>
    </row>
    <row r="62" spans="1:26">
      <c r="A62" s="28">
        <v>100256</v>
      </c>
      <c r="B62" s="29" t="s">
        <v>276</v>
      </c>
      <c r="C62" s="29"/>
      <c r="D62" s="29" t="s">
        <v>82</v>
      </c>
      <c r="E62" s="31">
        <v>42866</v>
      </c>
      <c r="F62" s="29"/>
      <c r="G62" s="30">
        <v>39000</v>
      </c>
      <c r="H62" s="30">
        <v>0</v>
      </c>
      <c r="I62" s="30">
        <v>0</v>
      </c>
      <c r="J62" s="30">
        <v>13</v>
      </c>
      <c r="K62" s="30">
        <v>0</v>
      </c>
      <c r="L62" s="30">
        <v>0</v>
      </c>
      <c r="M62" s="30">
        <v>0</v>
      </c>
      <c r="N62" s="30">
        <v>39000</v>
      </c>
      <c r="O62" s="30">
        <v>2000</v>
      </c>
      <c r="P62" s="30">
        <v>0</v>
      </c>
      <c r="Q62" s="30">
        <v>0</v>
      </c>
      <c r="R62" s="30">
        <v>0</v>
      </c>
      <c r="S62" s="30">
        <v>0</v>
      </c>
      <c r="T62" s="30">
        <v>0</v>
      </c>
      <c r="U62" s="30">
        <v>37000</v>
      </c>
      <c r="V62" s="29" t="s">
        <v>83</v>
      </c>
      <c r="W62" s="29" t="s">
        <v>131</v>
      </c>
      <c r="X62" s="29" t="s">
        <v>342</v>
      </c>
      <c r="Y62" s="29" t="s">
        <v>85</v>
      </c>
      <c r="Z62" s="39">
        <f t="shared" si="1"/>
        <v>3000</v>
      </c>
    </row>
    <row r="63" spans="1:26">
      <c r="A63" s="28">
        <v>100219</v>
      </c>
      <c r="B63" s="29" t="s">
        <v>273</v>
      </c>
      <c r="C63" s="29" t="s">
        <v>134</v>
      </c>
      <c r="D63" s="29" t="s">
        <v>91</v>
      </c>
      <c r="E63" s="31">
        <v>42793</v>
      </c>
      <c r="F63" s="29" t="s">
        <v>92</v>
      </c>
      <c r="G63" s="30">
        <v>37500</v>
      </c>
      <c r="H63" s="30">
        <v>0</v>
      </c>
      <c r="I63" s="30">
        <v>0</v>
      </c>
      <c r="J63" s="30">
        <v>12.5</v>
      </c>
      <c r="K63" s="30">
        <v>0</v>
      </c>
      <c r="L63" s="30">
        <v>0</v>
      </c>
      <c r="M63" s="30">
        <v>0</v>
      </c>
      <c r="N63" s="30">
        <v>37500</v>
      </c>
      <c r="O63" s="30">
        <v>2000</v>
      </c>
      <c r="P63" s="30">
        <v>0</v>
      </c>
      <c r="Q63" s="30">
        <v>0</v>
      </c>
      <c r="R63" s="30">
        <v>0</v>
      </c>
      <c r="S63" s="30">
        <v>0</v>
      </c>
      <c r="T63" s="30">
        <v>0</v>
      </c>
      <c r="U63" s="30">
        <v>35500</v>
      </c>
      <c r="V63" s="29" t="s">
        <v>83</v>
      </c>
      <c r="W63" s="29" t="s">
        <v>131</v>
      </c>
      <c r="X63" s="29" t="s">
        <v>342</v>
      </c>
      <c r="Y63" s="29" t="s">
        <v>85</v>
      </c>
      <c r="Z63" s="39">
        <f t="shared" si="1"/>
        <v>3000</v>
      </c>
    </row>
    <row r="64" spans="1:26" hidden="1">
      <c r="A64" s="28">
        <v>100057</v>
      </c>
      <c r="B64" s="29" t="s">
        <v>260</v>
      </c>
      <c r="C64" s="29" t="s">
        <v>135</v>
      </c>
      <c r="D64" s="29" t="s">
        <v>82</v>
      </c>
      <c r="E64" s="31">
        <v>43033</v>
      </c>
      <c r="F64" s="29"/>
      <c r="G64" s="30">
        <v>36000</v>
      </c>
      <c r="H64" s="30">
        <v>0</v>
      </c>
      <c r="I64" s="30">
        <v>0</v>
      </c>
      <c r="J64" s="30">
        <v>12</v>
      </c>
      <c r="K64" s="30">
        <v>0</v>
      </c>
      <c r="L64" s="30">
        <v>0</v>
      </c>
      <c r="M64" s="30">
        <v>0</v>
      </c>
      <c r="N64" s="30">
        <v>36000</v>
      </c>
      <c r="O64" s="30">
        <v>2000</v>
      </c>
      <c r="P64" s="30">
        <v>0</v>
      </c>
      <c r="Q64" s="30">
        <v>0</v>
      </c>
      <c r="R64" s="30">
        <v>0</v>
      </c>
      <c r="S64" s="30">
        <v>0</v>
      </c>
      <c r="T64" s="30">
        <v>0</v>
      </c>
      <c r="U64" s="30">
        <v>34000</v>
      </c>
      <c r="V64" s="29" t="s">
        <v>83</v>
      </c>
      <c r="W64" s="29" t="s">
        <v>84</v>
      </c>
      <c r="X64" s="29" t="s">
        <v>343</v>
      </c>
      <c r="Y64" s="29" t="s">
        <v>85</v>
      </c>
      <c r="Z64" s="39">
        <f t="shared" si="1"/>
        <v>3000</v>
      </c>
    </row>
    <row r="65" spans="1:26" hidden="1">
      <c r="A65" s="28">
        <v>100109</v>
      </c>
      <c r="B65" s="29" t="s">
        <v>277</v>
      </c>
      <c r="C65" s="29" t="s">
        <v>136</v>
      </c>
      <c r="D65" s="29" t="s">
        <v>82</v>
      </c>
      <c r="E65" s="31">
        <v>43033</v>
      </c>
      <c r="F65" s="29"/>
      <c r="G65" s="30">
        <v>42000</v>
      </c>
      <c r="H65" s="30">
        <v>0</v>
      </c>
      <c r="I65" s="30">
        <v>0</v>
      </c>
      <c r="J65" s="30">
        <v>12</v>
      </c>
      <c r="K65" s="30">
        <v>0</v>
      </c>
      <c r="L65" s="30">
        <v>0</v>
      </c>
      <c r="M65" s="30">
        <v>0</v>
      </c>
      <c r="N65" s="30">
        <v>42000</v>
      </c>
      <c r="O65" s="30">
        <v>2000</v>
      </c>
      <c r="P65" s="30">
        <v>0</v>
      </c>
      <c r="Q65" s="30">
        <v>0</v>
      </c>
      <c r="R65" s="30">
        <v>0</v>
      </c>
      <c r="S65" s="30">
        <v>0</v>
      </c>
      <c r="T65" s="30">
        <v>0</v>
      </c>
      <c r="U65" s="30">
        <v>40000</v>
      </c>
      <c r="V65" s="29" t="s">
        <v>83</v>
      </c>
      <c r="W65" s="29" t="s">
        <v>98</v>
      </c>
      <c r="X65" s="29" t="s">
        <v>340</v>
      </c>
      <c r="Y65" s="29" t="s">
        <v>85</v>
      </c>
      <c r="Z65" s="39">
        <f t="shared" si="1"/>
        <v>3500</v>
      </c>
    </row>
    <row r="66" spans="1:26">
      <c r="A66" s="28">
        <v>100220</v>
      </c>
      <c r="B66" s="29" t="s">
        <v>272</v>
      </c>
      <c r="C66" s="29" t="s">
        <v>137</v>
      </c>
      <c r="D66" s="29" t="s">
        <v>91</v>
      </c>
      <c r="E66" s="31">
        <v>42793</v>
      </c>
      <c r="F66" s="29" t="s">
        <v>92</v>
      </c>
      <c r="G66" s="30">
        <v>34500</v>
      </c>
      <c r="H66" s="30">
        <v>0</v>
      </c>
      <c r="I66" s="30">
        <v>0</v>
      </c>
      <c r="J66" s="30">
        <v>11.5</v>
      </c>
      <c r="K66" s="30">
        <v>0</v>
      </c>
      <c r="L66" s="30">
        <v>0</v>
      </c>
      <c r="M66" s="30">
        <v>0</v>
      </c>
      <c r="N66" s="30">
        <v>34500</v>
      </c>
      <c r="O66" s="30">
        <v>2000</v>
      </c>
      <c r="P66" s="30">
        <v>0</v>
      </c>
      <c r="Q66" s="30">
        <v>0</v>
      </c>
      <c r="R66" s="30">
        <v>0</v>
      </c>
      <c r="S66" s="30">
        <v>0</v>
      </c>
      <c r="T66" s="30">
        <v>0</v>
      </c>
      <c r="U66" s="30">
        <v>32500</v>
      </c>
      <c r="V66" s="29" t="s">
        <v>83</v>
      </c>
      <c r="W66" s="29" t="s">
        <v>131</v>
      </c>
      <c r="X66" s="29" t="s">
        <v>342</v>
      </c>
      <c r="Y66" s="29" t="s">
        <v>85</v>
      </c>
      <c r="Z66" s="39">
        <f t="shared" si="1"/>
        <v>3000</v>
      </c>
    </row>
    <row r="67" spans="1:26" hidden="1">
      <c r="A67" s="28">
        <v>100123</v>
      </c>
      <c r="B67" s="29" t="s">
        <v>246</v>
      </c>
      <c r="C67" s="29" t="s">
        <v>138</v>
      </c>
      <c r="D67" s="29" t="s">
        <v>124</v>
      </c>
      <c r="E67" s="31">
        <v>42881</v>
      </c>
      <c r="F67" s="29"/>
      <c r="G67" s="30">
        <v>31500</v>
      </c>
      <c r="H67" s="30">
        <v>0</v>
      </c>
      <c r="I67" s="30">
        <v>0</v>
      </c>
      <c r="J67" s="30">
        <v>9</v>
      </c>
      <c r="K67" s="30">
        <v>0</v>
      </c>
      <c r="L67" s="30">
        <v>0</v>
      </c>
      <c r="M67" s="30">
        <v>0</v>
      </c>
      <c r="N67" s="30">
        <v>31500</v>
      </c>
      <c r="O67" s="30">
        <v>2000</v>
      </c>
      <c r="P67" s="30">
        <v>0</v>
      </c>
      <c r="Q67" s="30">
        <v>0</v>
      </c>
      <c r="R67" s="30">
        <v>0</v>
      </c>
      <c r="S67" s="30">
        <v>0</v>
      </c>
      <c r="T67" s="30">
        <v>0</v>
      </c>
      <c r="U67" s="30">
        <v>29500</v>
      </c>
      <c r="V67" s="29" t="s">
        <v>83</v>
      </c>
      <c r="W67" s="29" t="s">
        <v>125</v>
      </c>
      <c r="X67" s="29" t="s">
        <v>340</v>
      </c>
      <c r="Y67" s="29" t="s">
        <v>85</v>
      </c>
      <c r="Z67" s="39">
        <f t="shared" si="1"/>
        <v>3500</v>
      </c>
    </row>
    <row r="68" spans="1:26">
      <c r="A68" s="28">
        <v>100286</v>
      </c>
      <c r="B68" s="29" t="s">
        <v>273</v>
      </c>
      <c r="C68" s="29" t="s">
        <v>139</v>
      </c>
      <c r="D68" s="29" t="s">
        <v>82</v>
      </c>
      <c r="E68" s="31">
        <v>42917</v>
      </c>
      <c r="F68" s="29"/>
      <c r="G68" s="30">
        <v>25500</v>
      </c>
      <c r="H68" s="30">
        <v>0</v>
      </c>
      <c r="I68" s="30">
        <v>0</v>
      </c>
      <c r="J68" s="30">
        <v>8.5</v>
      </c>
      <c r="K68" s="30">
        <v>0</v>
      </c>
      <c r="L68" s="30">
        <v>0</v>
      </c>
      <c r="M68" s="30">
        <v>0</v>
      </c>
      <c r="N68" s="30">
        <v>25500</v>
      </c>
      <c r="O68" s="30">
        <v>2000</v>
      </c>
      <c r="P68" s="30">
        <v>0</v>
      </c>
      <c r="Q68" s="30">
        <v>0</v>
      </c>
      <c r="R68" s="30">
        <v>0</v>
      </c>
      <c r="S68" s="30">
        <v>0</v>
      </c>
      <c r="T68" s="30">
        <v>0</v>
      </c>
      <c r="U68" s="30">
        <v>23500</v>
      </c>
      <c r="V68" s="29" t="s">
        <v>83</v>
      </c>
      <c r="W68" s="29" t="s">
        <v>131</v>
      </c>
      <c r="X68" s="29" t="s">
        <v>342</v>
      </c>
      <c r="Y68" s="29" t="s">
        <v>85</v>
      </c>
      <c r="Z68" s="39">
        <f t="shared" si="1"/>
        <v>3000</v>
      </c>
    </row>
    <row r="69" spans="1:26" hidden="1">
      <c r="A69" s="28">
        <v>100254</v>
      </c>
      <c r="B69" s="29" t="s">
        <v>278</v>
      </c>
      <c r="C69" s="29" t="s">
        <v>140</v>
      </c>
      <c r="D69" s="29" t="s">
        <v>82</v>
      </c>
      <c r="E69" s="31">
        <v>42832</v>
      </c>
      <c r="F69" s="29"/>
      <c r="G69" s="30">
        <v>18000</v>
      </c>
      <c r="H69" s="30">
        <v>0</v>
      </c>
      <c r="I69" s="30">
        <v>0</v>
      </c>
      <c r="J69" s="30">
        <v>6</v>
      </c>
      <c r="K69" s="30">
        <v>0</v>
      </c>
      <c r="L69" s="30">
        <v>0</v>
      </c>
      <c r="M69" s="30">
        <v>0</v>
      </c>
      <c r="N69" s="30">
        <v>18000</v>
      </c>
      <c r="O69" s="30">
        <v>2000</v>
      </c>
      <c r="P69" s="30">
        <v>0</v>
      </c>
      <c r="Q69" s="30">
        <v>0</v>
      </c>
      <c r="R69" s="30">
        <v>0</v>
      </c>
      <c r="S69" s="30">
        <v>0</v>
      </c>
      <c r="T69" s="30">
        <v>0</v>
      </c>
      <c r="U69" s="30">
        <v>16000</v>
      </c>
      <c r="V69" s="29" t="s">
        <v>83</v>
      </c>
      <c r="W69" s="29" t="s">
        <v>84</v>
      </c>
      <c r="X69" s="29" t="s">
        <v>343</v>
      </c>
      <c r="Y69" s="29" t="s">
        <v>85</v>
      </c>
      <c r="Z69" s="39">
        <f t="shared" si="1"/>
        <v>3000</v>
      </c>
    </row>
    <row r="70" spans="1:26" hidden="1">
      <c r="A70" s="28">
        <v>100127</v>
      </c>
      <c r="B70" s="29" t="s">
        <v>279</v>
      </c>
      <c r="C70" s="29" t="s">
        <v>141</v>
      </c>
      <c r="D70" s="29" t="s">
        <v>142</v>
      </c>
      <c r="E70" s="31">
        <v>43033</v>
      </c>
      <c r="F70" s="29"/>
      <c r="G70" s="30">
        <v>17500</v>
      </c>
      <c r="H70" s="30">
        <v>0</v>
      </c>
      <c r="I70" s="30">
        <v>0</v>
      </c>
      <c r="J70" s="30">
        <v>5</v>
      </c>
      <c r="K70" s="30">
        <v>0</v>
      </c>
      <c r="L70" s="30">
        <v>0</v>
      </c>
      <c r="M70" s="30">
        <v>0</v>
      </c>
      <c r="N70" s="30">
        <v>17500</v>
      </c>
      <c r="O70" s="30">
        <v>2000</v>
      </c>
      <c r="P70" s="30">
        <v>0</v>
      </c>
      <c r="Q70" s="30">
        <v>0</v>
      </c>
      <c r="R70" s="30">
        <v>0</v>
      </c>
      <c r="S70" s="30">
        <v>0</v>
      </c>
      <c r="T70" s="30">
        <v>0</v>
      </c>
      <c r="U70" s="30">
        <v>15500</v>
      </c>
      <c r="V70" s="29" t="s">
        <v>83</v>
      </c>
      <c r="W70" s="29" t="s">
        <v>98</v>
      </c>
      <c r="X70" s="29" t="s">
        <v>340</v>
      </c>
      <c r="Y70" s="29" t="s">
        <v>85</v>
      </c>
      <c r="Z70" s="39">
        <f t="shared" si="1"/>
        <v>3500</v>
      </c>
    </row>
    <row r="71" spans="1:26" hidden="1">
      <c r="A71" s="28">
        <v>100128</v>
      </c>
      <c r="B71" s="29" t="s">
        <v>272</v>
      </c>
      <c r="C71" s="29" t="s">
        <v>143</v>
      </c>
      <c r="D71" s="29" t="s">
        <v>142</v>
      </c>
      <c r="E71" s="31">
        <v>43033</v>
      </c>
      <c r="F71" s="29"/>
      <c r="G71" s="30">
        <v>17500</v>
      </c>
      <c r="H71" s="30">
        <v>0</v>
      </c>
      <c r="I71" s="30">
        <v>0</v>
      </c>
      <c r="J71" s="30">
        <v>5</v>
      </c>
      <c r="K71" s="30">
        <v>0</v>
      </c>
      <c r="L71" s="30">
        <v>0</v>
      </c>
      <c r="M71" s="30">
        <v>0</v>
      </c>
      <c r="N71" s="30">
        <v>17500</v>
      </c>
      <c r="O71" s="30">
        <v>2000</v>
      </c>
      <c r="P71" s="30">
        <v>0</v>
      </c>
      <c r="Q71" s="30">
        <v>0</v>
      </c>
      <c r="R71" s="30">
        <v>0</v>
      </c>
      <c r="S71" s="30">
        <v>0</v>
      </c>
      <c r="T71" s="30">
        <v>0</v>
      </c>
      <c r="U71" s="30">
        <v>15500</v>
      </c>
      <c r="V71" s="29" t="s">
        <v>83</v>
      </c>
      <c r="W71" s="29" t="s">
        <v>98</v>
      </c>
      <c r="X71" s="29" t="s">
        <v>340</v>
      </c>
      <c r="Y71" s="29" t="s">
        <v>85</v>
      </c>
      <c r="Z71" s="39">
        <f t="shared" si="1"/>
        <v>3500</v>
      </c>
    </row>
    <row r="72" spans="1:26" hidden="1">
      <c r="A72" s="28">
        <v>100177</v>
      </c>
      <c r="B72" s="29" t="s">
        <v>280</v>
      </c>
      <c r="C72" s="29" t="s">
        <v>144</v>
      </c>
      <c r="D72" s="29" t="s">
        <v>124</v>
      </c>
      <c r="E72" s="31">
        <v>43059</v>
      </c>
      <c r="F72" s="29"/>
      <c r="G72" s="30">
        <v>17500</v>
      </c>
      <c r="H72" s="30">
        <v>0</v>
      </c>
      <c r="I72" s="30">
        <v>0</v>
      </c>
      <c r="J72" s="30">
        <v>5</v>
      </c>
      <c r="K72" s="30">
        <v>0</v>
      </c>
      <c r="L72" s="30">
        <v>0</v>
      </c>
      <c r="M72" s="30">
        <v>0</v>
      </c>
      <c r="N72" s="30">
        <v>17500</v>
      </c>
      <c r="O72" s="30">
        <v>2000</v>
      </c>
      <c r="P72" s="30">
        <v>0</v>
      </c>
      <c r="Q72" s="30">
        <v>0</v>
      </c>
      <c r="R72" s="30">
        <v>0</v>
      </c>
      <c r="S72" s="30">
        <v>0</v>
      </c>
      <c r="T72" s="30">
        <v>0</v>
      </c>
      <c r="U72" s="30">
        <v>15500</v>
      </c>
      <c r="V72" s="29" t="s">
        <v>83</v>
      </c>
      <c r="W72" s="29" t="s">
        <v>125</v>
      </c>
      <c r="X72" s="29" t="s">
        <v>340</v>
      </c>
      <c r="Y72" s="29" t="s">
        <v>85</v>
      </c>
      <c r="Z72" s="39">
        <f t="shared" ref="Z72:Z78" si="2">+N72/J72</f>
        <v>3500</v>
      </c>
    </row>
    <row r="73" spans="1:26" hidden="1">
      <c r="A73" s="28">
        <v>100240</v>
      </c>
      <c r="B73" s="29" t="s">
        <v>281</v>
      </c>
      <c r="C73" s="29" t="s">
        <v>145</v>
      </c>
      <c r="D73" s="29" t="s">
        <v>142</v>
      </c>
      <c r="E73" s="31">
        <v>43033</v>
      </c>
      <c r="F73" s="29" t="s">
        <v>92</v>
      </c>
      <c r="G73" s="30">
        <v>17500</v>
      </c>
      <c r="H73" s="30">
        <v>0</v>
      </c>
      <c r="I73" s="30">
        <v>0</v>
      </c>
      <c r="J73" s="30">
        <v>5</v>
      </c>
      <c r="K73" s="30">
        <v>0</v>
      </c>
      <c r="L73" s="30">
        <v>0</v>
      </c>
      <c r="M73" s="30">
        <v>0</v>
      </c>
      <c r="N73" s="30">
        <v>17500</v>
      </c>
      <c r="O73" s="30">
        <v>2000</v>
      </c>
      <c r="P73" s="30">
        <v>0</v>
      </c>
      <c r="Q73" s="30">
        <v>0</v>
      </c>
      <c r="R73" s="30">
        <v>0</v>
      </c>
      <c r="S73" s="30">
        <v>0</v>
      </c>
      <c r="T73" s="30">
        <v>0</v>
      </c>
      <c r="U73" s="30">
        <v>15500</v>
      </c>
      <c r="V73" s="29" t="s">
        <v>83</v>
      </c>
      <c r="W73" s="29" t="s">
        <v>98</v>
      </c>
      <c r="X73" s="29" t="s">
        <v>340</v>
      </c>
      <c r="Y73" s="29" t="s">
        <v>85</v>
      </c>
      <c r="Z73" s="39">
        <f t="shared" si="2"/>
        <v>3500</v>
      </c>
    </row>
    <row r="74" spans="1:26" hidden="1">
      <c r="A74" s="28">
        <v>100267</v>
      </c>
      <c r="B74" s="29" t="s">
        <v>269</v>
      </c>
      <c r="C74" s="29" t="s">
        <v>146</v>
      </c>
      <c r="D74" s="29" t="s">
        <v>142</v>
      </c>
      <c r="E74" s="31">
        <v>43033</v>
      </c>
      <c r="F74" s="29"/>
      <c r="G74" s="30">
        <v>17500</v>
      </c>
      <c r="H74" s="30">
        <v>0</v>
      </c>
      <c r="I74" s="30">
        <v>0</v>
      </c>
      <c r="J74" s="30">
        <v>5</v>
      </c>
      <c r="K74" s="30">
        <v>0</v>
      </c>
      <c r="L74" s="30">
        <v>0</v>
      </c>
      <c r="M74" s="30">
        <v>0</v>
      </c>
      <c r="N74" s="30">
        <v>17500</v>
      </c>
      <c r="O74" s="30">
        <v>2000</v>
      </c>
      <c r="P74" s="30">
        <v>0</v>
      </c>
      <c r="Q74" s="30">
        <v>0</v>
      </c>
      <c r="R74" s="30">
        <v>0</v>
      </c>
      <c r="S74" s="30">
        <v>0</v>
      </c>
      <c r="T74" s="30">
        <v>0</v>
      </c>
      <c r="U74" s="30">
        <v>15500</v>
      </c>
      <c r="V74" s="29" t="s">
        <v>83</v>
      </c>
      <c r="W74" s="29" t="s">
        <v>98</v>
      </c>
      <c r="X74" s="29" t="s">
        <v>340</v>
      </c>
      <c r="Y74" s="29" t="s">
        <v>85</v>
      </c>
      <c r="Z74" s="39">
        <f t="shared" si="2"/>
        <v>3500</v>
      </c>
    </row>
    <row r="75" spans="1:26">
      <c r="A75" s="28">
        <v>100156</v>
      </c>
      <c r="B75" s="29" t="s">
        <v>264</v>
      </c>
      <c r="C75" s="29" t="s">
        <v>147</v>
      </c>
      <c r="D75" s="29" t="s">
        <v>82</v>
      </c>
      <c r="E75" s="31">
        <v>42607</v>
      </c>
      <c r="F75" s="29"/>
      <c r="G75" s="30">
        <v>13500</v>
      </c>
      <c r="H75" s="30">
        <v>0</v>
      </c>
      <c r="I75" s="30">
        <v>0</v>
      </c>
      <c r="J75" s="30">
        <v>4.5</v>
      </c>
      <c r="K75" s="30">
        <v>0</v>
      </c>
      <c r="L75" s="30">
        <v>0</v>
      </c>
      <c r="M75" s="30">
        <v>0</v>
      </c>
      <c r="N75" s="30">
        <v>13500</v>
      </c>
      <c r="O75" s="30">
        <v>2000</v>
      </c>
      <c r="P75" s="30">
        <v>0</v>
      </c>
      <c r="Q75" s="30">
        <v>0</v>
      </c>
      <c r="R75" s="30">
        <v>0</v>
      </c>
      <c r="S75" s="30">
        <v>0</v>
      </c>
      <c r="T75" s="30">
        <v>0</v>
      </c>
      <c r="U75" s="30">
        <v>11500</v>
      </c>
      <c r="V75" s="29" t="s">
        <v>83</v>
      </c>
      <c r="W75" s="29" t="s">
        <v>131</v>
      </c>
      <c r="X75" s="29" t="s">
        <v>342</v>
      </c>
      <c r="Y75" s="29" t="s">
        <v>85</v>
      </c>
      <c r="Z75" s="39">
        <f t="shared" si="2"/>
        <v>3000</v>
      </c>
    </row>
    <row r="76" spans="1:26" hidden="1">
      <c r="A76" s="28">
        <v>100216</v>
      </c>
      <c r="B76" s="29" t="s">
        <v>244</v>
      </c>
      <c r="C76" s="29" t="s">
        <v>148</v>
      </c>
      <c r="D76" s="29" t="s">
        <v>112</v>
      </c>
      <c r="E76" s="31">
        <v>43059</v>
      </c>
      <c r="F76" s="29" t="s">
        <v>92</v>
      </c>
      <c r="G76" s="30">
        <v>14000</v>
      </c>
      <c r="H76" s="30">
        <v>0</v>
      </c>
      <c r="I76" s="30">
        <v>0</v>
      </c>
      <c r="J76" s="30">
        <v>4</v>
      </c>
      <c r="K76" s="30">
        <v>0</v>
      </c>
      <c r="L76" s="30">
        <v>0</v>
      </c>
      <c r="M76" s="30">
        <v>0</v>
      </c>
      <c r="N76" s="30">
        <v>14000</v>
      </c>
      <c r="O76" s="30">
        <v>2000</v>
      </c>
      <c r="P76" s="30">
        <v>0</v>
      </c>
      <c r="Q76" s="30">
        <v>0</v>
      </c>
      <c r="R76" s="30">
        <v>0</v>
      </c>
      <c r="S76" s="30">
        <v>0</v>
      </c>
      <c r="T76" s="30">
        <v>0</v>
      </c>
      <c r="U76" s="30">
        <v>12000</v>
      </c>
      <c r="V76" s="29" t="s">
        <v>83</v>
      </c>
      <c r="W76" s="29" t="s">
        <v>113</v>
      </c>
      <c r="X76" s="29" t="s">
        <v>340</v>
      </c>
      <c r="Y76" s="29" t="s">
        <v>85</v>
      </c>
      <c r="Z76" s="39">
        <f t="shared" si="2"/>
        <v>3500</v>
      </c>
    </row>
    <row r="77" spans="1:26" hidden="1">
      <c r="A77" s="28">
        <v>100236</v>
      </c>
      <c r="B77" s="29" t="s">
        <v>272</v>
      </c>
      <c r="C77" s="29" t="s">
        <v>149</v>
      </c>
      <c r="D77" s="29" t="s">
        <v>82</v>
      </c>
      <c r="E77" s="31">
        <v>43033</v>
      </c>
      <c r="F77" s="29" t="s">
        <v>92</v>
      </c>
      <c r="G77" s="30">
        <v>14000</v>
      </c>
      <c r="H77" s="30">
        <v>0</v>
      </c>
      <c r="I77" s="30">
        <v>0</v>
      </c>
      <c r="J77" s="30">
        <v>4</v>
      </c>
      <c r="K77" s="30">
        <v>0</v>
      </c>
      <c r="L77" s="30">
        <v>0</v>
      </c>
      <c r="M77" s="30">
        <v>0</v>
      </c>
      <c r="N77" s="30">
        <v>14000</v>
      </c>
      <c r="O77" s="30">
        <v>2000</v>
      </c>
      <c r="P77" s="30">
        <v>0</v>
      </c>
      <c r="Q77" s="30">
        <v>0</v>
      </c>
      <c r="R77" s="30">
        <v>0</v>
      </c>
      <c r="S77" s="30">
        <v>0</v>
      </c>
      <c r="T77" s="30">
        <v>0</v>
      </c>
      <c r="U77" s="30">
        <v>12000</v>
      </c>
      <c r="V77" s="29" t="s">
        <v>83</v>
      </c>
      <c r="W77" s="29" t="s">
        <v>98</v>
      </c>
      <c r="X77" s="29" t="s">
        <v>340</v>
      </c>
      <c r="Y77" s="29" t="s">
        <v>85</v>
      </c>
      <c r="Z77" s="39">
        <f t="shared" si="2"/>
        <v>3500</v>
      </c>
    </row>
    <row r="78" spans="1:26" hidden="1">
      <c r="A78" s="28">
        <v>100242</v>
      </c>
      <c r="B78" s="29" t="s">
        <v>282</v>
      </c>
      <c r="C78" s="29" t="s">
        <v>150</v>
      </c>
      <c r="D78" s="29" t="s">
        <v>142</v>
      </c>
      <c r="E78" s="31">
        <v>43033</v>
      </c>
      <c r="F78" s="29" t="s">
        <v>92</v>
      </c>
      <c r="G78" s="30">
        <v>3500</v>
      </c>
      <c r="H78" s="30">
        <v>0</v>
      </c>
      <c r="I78" s="30">
        <v>0</v>
      </c>
      <c r="J78" s="30">
        <v>1</v>
      </c>
      <c r="K78" s="30">
        <v>0</v>
      </c>
      <c r="L78" s="30">
        <v>0</v>
      </c>
      <c r="M78" s="30">
        <v>0</v>
      </c>
      <c r="N78" s="30">
        <v>3500</v>
      </c>
      <c r="O78" s="30">
        <v>2000</v>
      </c>
      <c r="P78" s="30">
        <v>0</v>
      </c>
      <c r="Q78" s="30">
        <v>0</v>
      </c>
      <c r="R78" s="30">
        <v>0</v>
      </c>
      <c r="S78" s="30">
        <v>0</v>
      </c>
      <c r="T78" s="30">
        <v>0</v>
      </c>
      <c r="U78" s="30">
        <v>1500</v>
      </c>
      <c r="V78" s="29" t="s">
        <v>83</v>
      </c>
      <c r="W78" s="29" t="s">
        <v>98</v>
      </c>
      <c r="X78" s="29" t="s">
        <v>340</v>
      </c>
      <c r="Y78" s="29" t="s">
        <v>85</v>
      </c>
      <c r="Z78" s="39">
        <f t="shared" si="2"/>
        <v>3500</v>
      </c>
    </row>
    <row r="79" spans="1:26" hidden="1">
      <c r="A79" s="28">
        <v>1</v>
      </c>
      <c r="B79" s="29" t="s">
        <v>283</v>
      </c>
      <c r="C79" s="29"/>
      <c r="D79" s="29" t="s">
        <v>82</v>
      </c>
      <c r="E79" s="31">
        <v>29221</v>
      </c>
      <c r="F79" s="29"/>
      <c r="G79" s="30">
        <v>194984</v>
      </c>
      <c r="H79" s="30">
        <v>0</v>
      </c>
      <c r="I79" s="30">
        <v>7312.05</v>
      </c>
      <c r="J79" s="30">
        <v>0</v>
      </c>
      <c r="K79" s="30">
        <v>0</v>
      </c>
      <c r="L79" s="30">
        <v>0</v>
      </c>
      <c r="M79" s="30">
        <v>0</v>
      </c>
      <c r="N79" s="30">
        <v>202296.05</v>
      </c>
      <c r="O79" s="30">
        <v>2000</v>
      </c>
      <c r="P79" s="30">
        <v>2022.96</v>
      </c>
      <c r="Q79" s="30">
        <v>2022.96</v>
      </c>
      <c r="R79" s="30">
        <v>0</v>
      </c>
      <c r="S79" s="30">
        <v>14.42</v>
      </c>
      <c r="T79" s="30">
        <v>64.55</v>
      </c>
      <c r="U79" s="30">
        <v>196200</v>
      </c>
      <c r="V79" s="29" t="s">
        <v>151</v>
      </c>
      <c r="W79" s="29" t="s">
        <v>125</v>
      </c>
      <c r="X79" s="29" t="s">
        <v>340</v>
      </c>
      <c r="Y79" s="29" t="s">
        <v>85</v>
      </c>
      <c r="Z79" s="39"/>
    </row>
    <row r="80" spans="1:26" hidden="1">
      <c r="A80" s="28">
        <v>2</v>
      </c>
      <c r="B80" s="29" t="s">
        <v>284</v>
      </c>
      <c r="C80" s="29"/>
      <c r="D80" s="29" t="s">
        <v>82</v>
      </c>
      <c r="E80" s="31">
        <v>32545</v>
      </c>
      <c r="F80" s="29" t="s">
        <v>152</v>
      </c>
      <c r="G80" s="30">
        <v>182797</v>
      </c>
      <c r="H80" s="30">
        <v>0</v>
      </c>
      <c r="I80" s="30">
        <v>0</v>
      </c>
      <c r="J80" s="30">
        <v>0</v>
      </c>
      <c r="K80" s="30">
        <v>0</v>
      </c>
      <c r="L80" s="30">
        <v>0</v>
      </c>
      <c r="M80" s="30">
        <v>0</v>
      </c>
      <c r="N80" s="30">
        <v>182797</v>
      </c>
      <c r="O80" s="30">
        <v>2000</v>
      </c>
      <c r="P80" s="30">
        <v>1827.97</v>
      </c>
      <c r="Q80" s="30">
        <v>1827.97</v>
      </c>
      <c r="R80" s="30">
        <v>0</v>
      </c>
      <c r="S80" s="30">
        <v>59.97</v>
      </c>
      <c r="T80" s="30">
        <v>1.03</v>
      </c>
      <c r="U80" s="30">
        <v>177200</v>
      </c>
      <c r="V80" s="29" t="s">
        <v>151</v>
      </c>
      <c r="W80" s="29" t="s">
        <v>125</v>
      </c>
      <c r="X80" s="29" t="s">
        <v>340</v>
      </c>
      <c r="Y80" s="29" t="s">
        <v>153</v>
      </c>
      <c r="Z80" s="39"/>
    </row>
    <row r="81" spans="1:26" hidden="1">
      <c r="A81" s="28">
        <v>3</v>
      </c>
      <c r="B81" s="29" t="s">
        <v>277</v>
      </c>
      <c r="C81" s="29"/>
      <c r="D81" s="29" t="s">
        <v>124</v>
      </c>
      <c r="E81" s="31">
        <v>32964</v>
      </c>
      <c r="F81" s="29" t="s">
        <v>154</v>
      </c>
      <c r="G81" s="30">
        <v>164808</v>
      </c>
      <c r="H81" s="30">
        <v>82404</v>
      </c>
      <c r="I81" s="30">
        <v>0</v>
      </c>
      <c r="J81" s="30">
        <v>0</v>
      </c>
      <c r="K81" s="30">
        <v>82404</v>
      </c>
      <c r="L81" s="30">
        <v>0</v>
      </c>
      <c r="M81" s="30">
        <v>0</v>
      </c>
      <c r="N81" s="30">
        <v>164808</v>
      </c>
      <c r="O81" s="30">
        <v>2000</v>
      </c>
      <c r="P81" s="30">
        <v>1648.08</v>
      </c>
      <c r="Q81" s="30">
        <v>1648.08</v>
      </c>
      <c r="R81" s="30">
        <v>0</v>
      </c>
      <c r="S81" s="30">
        <v>6.95</v>
      </c>
      <c r="T81" s="30">
        <v>18.79</v>
      </c>
      <c r="U81" s="30">
        <v>159500</v>
      </c>
      <c r="V81" s="29" t="s">
        <v>151</v>
      </c>
      <c r="W81" s="29" t="s">
        <v>125</v>
      </c>
      <c r="X81" s="29" t="s">
        <v>340</v>
      </c>
      <c r="Y81" s="29" t="s">
        <v>153</v>
      </c>
      <c r="Z81" s="39"/>
    </row>
    <row r="82" spans="1:26" hidden="1">
      <c r="A82" s="28">
        <v>4</v>
      </c>
      <c r="B82" s="29" t="s">
        <v>285</v>
      </c>
      <c r="C82" s="29" t="s">
        <v>155</v>
      </c>
      <c r="D82" s="29" t="s">
        <v>156</v>
      </c>
      <c r="E82" s="31">
        <v>33240</v>
      </c>
      <c r="F82" s="29" t="s">
        <v>157</v>
      </c>
      <c r="G82" s="30">
        <v>164227</v>
      </c>
      <c r="H82" s="30">
        <v>0</v>
      </c>
      <c r="I82" s="30">
        <v>43181.4</v>
      </c>
      <c r="J82" s="30">
        <v>0</v>
      </c>
      <c r="K82" s="30">
        <v>0</v>
      </c>
      <c r="L82" s="30">
        <v>0</v>
      </c>
      <c r="M82" s="30">
        <v>0</v>
      </c>
      <c r="N82" s="30">
        <v>207408.4</v>
      </c>
      <c r="O82" s="30">
        <v>2000</v>
      </c>
      <c r="P82" s="30">
        <v>2074.08</v>
      </c>
      <c r="Q82" s="30">
        <v>2074.08</v>
      </c>
      <c r="R82" s="30">
        <v>0</v>
      </c>
      <c r="S82" s="30">
        <v>54.38</v>
      </c>
      <c r="T82" s="30">
        <v>14.62</v>
      </c>
      <c r="U82" s="30">
        <v>201300</v>
      </c>
      <c r="V82" s="29" t="s">
        <v>151</v>
      </c>
      <c r="W82" s="29" t="s">
        <v>158</v>
      </c>
      <c r="X82" s="29" t="s">
        <v>340</v>
      </c>
      <c r="Y82" s="29" t="s">
        <v>153</v>
      </c>
      <c r="Z82" s="39"/>
    </row>
    <row r="83" spans="1:26" hidden="1">
      <c r="A83" s="28">
        <v>5</v>
      </c>
      <c r="B83" s="29" t="s">
        <v>286</v>
      </c>
      <c r="C83" s="29" t="s">
        <v>159</v>
      </c>
      <c r="D83" s="29" t="s">
        <v>160</v>
      </c>
      <c r="E83" s="31">
        <v>33611</v>
      </c>
      <c r="F83" s="29" t="s">
        <v>161</v>
      </c>
      <c r="G83" s="30">
        <v>172352</v>
      </c>
      <c r="H83" s="30">
        <v>0</v>
      </c>
      <c r="I83" s="30">
        <v>12926.68</v>
      </c>
      <c r="J83" s="30">
        <v>0</v>
      </c>
      <c r="K83" s="30">
        <v>0</v>
      </c>
      <c r="L83" s="30">
        <v>0</v>
      </c>
      <c r="M83" s="30">
        <v>0</v>
      </c>
      <c r="N83" s="30">
        <v>185278.68</v>
      </c>
      <c r="O83" s="30">
        <v>2000</v>
      </c>
      <c r="P83" s="30">
        <v>1852.79</v>
      </c>
      <c r="Q83" s="30">
        <v>1852.79</v>
      </c>
      <c r="R83" s="30">
        <v>0</v>
      </c>
      <c r="S83" s="30">
        <v>61.11</v>
      </c>
      <c r="T83" s="30">
        <v>34.21</v>
      </c>
      <c r="U83" s="30">
        <v>179600</v>
      </c>
      <c r="V83" s="29" t="s">
        <v>151</v>
      </c>
      <c r="W83" s="29" t="s">
        <v>162</v>
      </c>
      <c r="X83" s="29" t="s">
        <v>340</v>
      </c>
      <c r="Y83" s="29" t="s">
        <v>85</v>
      </c>
      <c r="Z83" s="39"/>
    </row>
    <row r="84" spans="1:26" hidden="1">
      <c r="A84" s="28">
        <v>6</v>
      </c>
      <c r="B84" s="29" t="s">
        <v>287</v>
      </c>
      <c r="C84" s="29" t="s">
        <v>163</v>
      </c>
      <c r="D84" s="29" t="s">
        <v>164</v>
      </c>
      <c r="E84" s="31">
        <v>33873</v>
      </c>
      <c r="F84" s="29" t="s">
        <v>165</v>
      </c>
      <c r="G84" s="30">
        <v>182797</v>
      </c>
      <c r="H84" s="30">
        <v>0</v>
      </c>
      <c r="I84" s="30">
        <v>0</v>
      </c>
      <c r="J84" s="30">
        <v>0</v>
      </c>
      <c r="K84" s="30">
        <v>0</v>
      </c>
      <c r="L84" s="30">
        <v>0</v>
      </c>
      <c r="M84" s="30">
        <v>0</v>
      </c>
      <c r="N84" s="30">
        <v>182797</v>
      </c>
      <c r="O84" s="30">
        <v>2000</v>
      </c>
      <c r="P84" s="30">
        <v>1827.97</v>
      </c>
      <c r="Q84" s="30">
        <v>0</v>
      </c>
      <c r="R84" s="30">
        <v>0</v>
      </c>
      <c r="S84" s="30">
        <v>73.650000000000006</v>
      </c>
      <c r="T84" s="30">
        <v>42.68</v>
      </c>
      <c r="U84" s="30">
        <v>179000</v>
      </c>
      <c r="V84" s="29" t="s">
        <v>151</v>
      </c>
      <c r="W84" s="29" t="s">
        <v>166</v>
      </c>
      <c r="X84" s="29" t="s">
        <v>341</v>
      </c>
      <c r="Y84" s="29" t="s">
        <v>85</v>
      </c>
      <c r="Z84" s="39"/>
    </row>
    <row r="85" spans="1:26" hidden="1">
      <c r="A85" s="28">
        <v>7</v>
      </c>
      <c r="B85" s="29" t="s">
        <v>288</v>
      </c>
      <c r="C85" s="29" t="s">
        <v>167</v>
      </c>
      <c r="D85" s="29" t="s">
        <v>168</v>
      </c>
      <c r="E85" s="31">
        <v>34238</v>
      </c>
      <c r="F85" s="29" t="s">
        <v>169</v>
      </c>
      <c r="G85" s="30">
        <v>240828</v>
      </c>
      <c r="H85" s="30">
        <v>120414</v>
      </c>
      <c r="I85" s="30">
        <v>0</v>
      </c>
      <c r="J85" s="30">
        <v>0</v>
      </c>
      <c r="K85" s="30">
        <v>120414</v>
      </c>
      <c r="L85" s="30">
        <v>0</v>
      </c>
      <c r="M85" s="30">
        <v>0</v>
      </c>
      <c r="N85" s="30">
        <v>240828</v>
      </c>
      <c r="O85" s="30">
        <v>2000</v>
      </c>
      <c r="P85" s="30">
        <v>2408.2800000000002</v>
      </c>
      <c r="Q85" s="30">
        <v>2408.2800000000002</v>
      </c>
      <c r="R85" s="30">
        <v>0</v>
      </c>
      <c r="S85" s="30">
        <v>55.79</v>
      </c>
      <c r="T85" s="30">
        <v>67.23</v>
      </c>
      <c r="U85" s="30">
        <v>234000</v>
      </c>
      <c r="V85" s="29" t="s">
        <v>151</v>
      </c>
      <c r="W85" s="29" t="s">
        <v>113</v>
      </c>
      <c r="X85" s="29" t="s">
        <v>340</v>
      </c>
      <c r="Y85" s="29" t="s">
        <v>153</v>
      </c>
      <c r="Z85" s="39"/>
    </row>
    <row r="86" spans="1:26" hidden="1">
      <c r="A86" s="28">
        <v>11</v>
      </c>
      <c r="B86" s="29" t="s">
        <v>289</v>
      </c>
      <c r="C86" s="29"/>
      <c r="D86" s="29" t="s">
        <v>112</v>
      </c>
      <c r="E86" s="31">
        <v>34329</v>
      </c>
      <c r="F86" s="29" t="s">
        <v>165</v>
      </c>
      <c r="G86" s="30">
        <v>182797</v>
      </c>
      <c r="H86" s="30">
        <v>0</v>
      </c>
      <c r="I86" s="30">
        <v>0</v>
      </c>
      <c r="J86" s="30">
        <v>0</v>
      </c>
      <c r="K86" s="30">
        <v>0</v>
      </c>
      <c r="L86" s="30">
        <v>0</v>
      </c>
      <c r="M86" s="30">
        <v>0</v>
      </c>
      <c r="N86" s="30">
        <v>182797</v>
      </c>
      <c r="O86" s="30">
        <v>2000</v>
      </c>
      <c r="P86" s="30">
        <v>1827.97</v>
      </c>
      <c r="Q86" s="30">
        <v>0</v>
      </c>
      <c r="R86" s="30">
        <v>0</v>
      </c>
      <c r="S86" s="30">
        <v>94.63</v>
      </c>
      <c r="T86" s="30">
        <v>63.66</v>
      </c>
      <c r="U86" s="30">
        <v>179000</v>
      </c>
      <c r="V86" s="29" t="s">
        <v>151</v>
      </c>
      <c r="W86" s="29" t="s">
        <v>84</v>
      </c>
      <c r="X86" s="29" t="s">
        <v>343</v>
      </c>
      <c r="Y86" s="29" t="s">
        <v>153</v>
      </c>
      <c r="Z86" s="39"/>
    </row>
    <row r="87" spans="1:26" hidden="1">
      <c r="A87" s="28">
        <v>13</v>
      </c>
      <c r="B87" s="29" t="s">
        <v>261</v>
      </c>
      <c r="C87" s="29" t="s">
        <v>170</v>
      </c>
      <c r="D87" s="29" t="s">
        <v>160</v>
      </c>
      <c r="E87" s="31">
        <v>34341</v>
      </c>
      <c r="F87" s="29" t="s">
        <v>161</v>
      </c>
      <c r="G87" s="30">
        <v>172352</v>
      </c>
      <c r="H87" s="30">
        <v>0</v>
      </c>
      <c r="I87" s="30">
        <v>10341.34</v>
      </c>
      <c r="J87" s="30">
        <v>0</v>
      </c>
      <c r="K87" s="30">
        <v>0</v>
      </c>
      <c r="L87" s="30">
        <v>0</v>
      </c>
      <c r="M87" s="30">
        <v>0</v>
      </c>
      <c r="N87" s="30">
        <v>182693.34</v>
      </c>
      <c r="O87" s="30">
        <v>2000</v>
      </c>
      <c r="P87" s="30">
        <v>1826.93</v>
      </c>
      <c r="Q87" s="30">
        <v>1826.93</v>
      </c>
      <c r="R87" s="30">
        <v>0</v>
      </c>
      <c r="S87" s="30">
        <v>42.8</v>
      </c>
      <c r="T87" s="30">
        <v>82.28</v>
      </c>
      <c r="U87" s="30">
        <v>177000</v>
      </c>
      <c r="V87" s="29" t="s">
        <v>151</v>
      </c>
      <c r="W87" s="29" t="s">
        <v>162</v>
      </c>
      <c r="X87" s="29" t="s">
        <v>340</v>
      </c>
      <c r="Y87" s="29" t="s">
        <v>153</v>
      </c>
      <c r="Z87" s="39"/>
    </row>
    <row r="88" spans="1:26" hidden="1">
      <c r="A88" s="28">
        <v>15</v>
      </c>
      <c r="B88" s="29" t="s">
        <v>290</v>
      </c>
      <c r="C88" s="29" t="s">
        <v>171</v>
      </c>
      <c r="D88" s="29" t="s">
        <v>172</v>
      </c>
      <c r="E88" s="31">
        <v>35181</v>
      </c>
      <c r="F88" s="29" t="s">
        <v>173</v>
      </c>
      <c r="G88" s="30">
        <v>315108</v>
      </c>
      <c r="H88" s="30">
        <v>157554</v>
      </c>
      <c r="I88" s="30">
        <v>0</v>
      </c>
      <c r="J88" s="30">
        <v>0</v>
      </c>
      <c r="K88" s="30">
        <v>157554</v>
      </c>
      <c r="L88" s="30">
        <v>0</v>
      </c>
      <c r="M88" s="30">
        <v>0</v>
      </c>
      <c r="N88" s="30">
        <v>315108</v>
      </c>
      <c r="O88" s="30">
        <v>12380</v>
      </c>
      <c r="P88" s="30">
        <v>3151.08</v>
      </c>
      <c r="Q88" s="30">
        <v>0</v>
      </c>
      <c r="R88" s="30">
        <v>0</v>
      </c>
      <c r="S88" s="30">
        <v>44.34</v>
      </c>
      <c r="T88" s="30">
        <v>21.26</v>
      </c>
      <c r="U88" s="30">
        <v>299600</v>
      </c>
      <c r="V88" s="29" t="s">
        <v>151</v>
      </c>
      <c r="W88" s="29" t="s">
        <v>166</v>
      </c>
      <c r="X88" s="29" t="s">
        <v>341</v>
      </c>
      <c r="Y88" s="29" t="s">
        <v>85</v>
      </c>
      <c r="Z88" s="39"/>
    </row>
    <row r="89" spans="1:26" hidden="1">
      <c r="A89" s="28">
        <v>16</v>
      </c>
      <c r="B89" s="29" t="s">
        <v>291</v>
      </c>
      <c r="C89" s="29" t="s">
        <v>174</v>
      </c>
      <c r="D89" s="29" t="s">
        <v>175</v>
      </c>
      <c r="E89" s="31">
        <v>35297</v>
      </c>
      <c r="F89" s="29" t="s">
        <v>176</v>
      </c>
      <c r="G89" s="30">
        <v>500000</v>
      </c>
      <c r="H89" s="30">
        <v>0</v>
      </c>
      <c r="I89" s="30">
        <v>0</v>
      </c>
      <c r="J89" s="30">
        <v>0</v>
      </c>
      <c r="K89" s="30">
        <v>0</v>
      </c>
      <c r="L89" s="30">
        <v>0</v>
      </c>
      <c r="M89" s="30">
        <v>150000</v>
      </c>
      <c r="N89" s="30">
        <v>650000</v>
      </c>
      <c r="O89" s="30">
        <v>71400</v>
      </c>
      <c r="P89" s="30">
        <v>6500</v>
      </c>
      <c r="Q89" s="30">
        <v>6500</v>
      </c>
      <c r="R89" s="30">
        <v>0</v>
      </c>
      <c r="S89" s="30">
        <v>98</v>
      </c>
      <c r="T89" s="30">
        <v>98</v>
      </c>
      <c r="U89" s="30">
        <v>565600</v>
      </c>
      <c r="V89" s="29" t="s">
        <v>151</v>
      </c>
      <c r="W89" s="29" t="s">
        <v>177</v>
      </c>
      <c r="X89" s="29" t="s">
        <v>340</v>
      </c>
      <c r="Y89" s="29" t="s">
        <v>153</v>
      </c>
      <c r="Z89" s="39"/>
    </row>
    <row r="90" spans="1:26" hidden="1">
      <c r="A90" s="28">
        <v>17</v>
      </c>
      <c r="B90" s="29" t="s">
        <v>292</v>
      </c>
      <c r="C90" s="29"/>
      <c r="D90" s="29" t="s">
        <v>178</v>
      </c>
      <c r="E90" s="31">
        <v>35333</v>
      </c>
      <c r="F90" s="29" t="s">
        <v>154</v>
      </c>
      <c r="G90" s="30">
        <v>164808</v>
      </c>
      <c r="H90" s="30">
        <v>21974.400000000001</v>
      </c>
      <c r="I90" s="30">
        <v>0</v>
      </c>
      <c r="J90" s="30">
        <v>0</v>
      </c>
      <c r="K90" s="30">
        <v>21974.400000000001</v>
      </c>
      <c r="L90" s="30">
        <v>0</v>
      </c>
      <c r="M90" s="30">
        <v>0</v>
      </c>
      <c r="N90" s="30">
        <v>164808</v>
      </c>
      <c r="O90" s="30">
        <v>2000</v>
      </c>
      <c r="P90" s="30">
        <v>1648.08</v>
      </c>
      <c r="Q90" s="30">
        <v>1648.08</v>
      </c>
      <c r="R90" s="30">
        <v>0</v>
      </c>
      <c r="S90" s="30">
        <v>70.319999999999993</v>
      </c>
      <c r="T90" s="30">
        <v>82.16</v>
      </c>
      <c r="U90" s="30">
        <v>159500</v>
      </c>
      <c r="V90" s="29" t="s">
        <v>151</v>
      </c>
      <c r="W90" s="29" t="s">
        <v>125</v>
      </c>
      <c r="X90" s="29" t="s">
        <v>340</v>
      </c>
      <c r="Y90" s="29" t="s">
        <v>153</v>
      </c>
      <c r="Z90" s="39"/>
    </row>
    <row r="91" spans="1:26" hidden="1">
      <c r="A91" s="28">
        <v>18</v>
      </c>
      <c r="B91" s="29" t="s">
        <v>293</v>
      </c>
      <c r="C91" s="29" t="s">
        <v>179</v>
      </c>
      <c r="D91" s="29" t="s">
        <v>180</v>
      </c>
      <c r="E91" s="31">
        <v>35334</v>
      </c>
      <c r="F91" s="29" t="s">
        <v>181</v>
      </c>
      <c r="G91" s="30">
        <v>315108</v>
      </c>
      <c r="H91" s="30">
        <v>0</v>
      </c>
      <c r="I91" s="30">
        <v>0</v>
      </c>
      <c r="J91" s="30">
        <v>0</v>
      </c>
      <c r="K91" s="30">
        <v>0</v>
      </c>
      <c r="L91" s="30">
        <v>0</v>
      </c>
      <c r="M91" s="30">
        <v>0</v>
      </c>
      <c r="N91" s="30">
        <v>315108</v>
      </c>
      <c r="O91" s="30">
        <v>11760</v>
      </c>
      <c r="P91" s="30">
        <v>3151.08</v>
      </c>
      <c r="Q91" s="30">
        <v>3151.08</v>
      </c>
      <c r="R91" s="30">
        <v>0</v>
      </c>
      <c r="S91" s="30">
        <v>89.25</v>
      </c>
      <c r="T91" s="30">
        <v>35.090000000000003</v>
      </c>
      <c r="U91" s="30">
        <v>297100</v>
      </c>
      <c r="V91" s="29" t="s">
        <v>151</v>
      </c>
      <c r="W91" s="29" t="s">
        <v>125</v>
      </c>
      <c r="X91" s="29" t="s">
        <v>340</v>
      </c>
      <c r="Y91" s="29" t="s">
        <v>153</v>
      </c>
      <c r="Z91" s="39"/>
    </row>
    <row r="92" spans="1:26" hidden="1">
      <c r="A92" s="28">
        <v>19</v>
      </c>
      <c r="B92" s="29" t="s">
        <v>294</v>
      </c>
      <c r="C92" s="29"/>
      <c r="D92" s="29" t="s">
        <v>182</v>
      </c>
      <c r="E92" s="31">
        <v>36014</v>
      </c>
      <c r="F92" s="29" t="s">
        <v>176</v>
      </c>
      <c r="G92" s="30">
        <v>295000</v>
      </c>
      <c r="H92" s="30">
        <v>0</v>
      </c>
      <c r="I92" s="30">
        <v>0</v>
      </c>
      <c r="J92" s="30">
        <v>0</v>
      </c>
      <c r="K92" s="30">
        <v>0</v>
      </c>
      <c r="L92" s="30">
        <v>0</v>
      </c>
      <c r="M92" s="30">
        <v>0</v>
      </c>
      <c r="N92" s="30">
        <v>295000</v>
      </c>
      <c r="O92" s="30">
        <v>5000</v>
      </c>
      <c r="P92" s="30">
        <v>0</v>
      </c>
      <c r="Q92" s="30">
        <v>0</v>
      </c>
      <c r="R92" s="30">
        <v>0</v>
      </c>
      <c r="S92" s="30">
        <v>0</v>
      </c>
      <c r="T92" s="30">
        <v>0</v>
      </c>
      <c r="U92" s="30">
        <v>290000</v>
      </c>
      <c r="V92" s="29" t="s">
        <v>83</v>
      </c>
      <c r="W92" s="29" t="s">
        <v>98</v>
      </c>
      <c r="X92" s="29" t="s">
        <v>340</v>
      </c>
      <c r="Y92" s="29" t="s">
        <v>85</v>
      </c>
      <c r="Z92" s="39"/>
    </row>
    <row r="93" spans="1:26" hidden="1">
      <c r="A93" s="28">
        <v>20</v>
      </c>
      <c r="B93" s="29" t="s">
        <v>295</v>
      </c>
      <c r="C93" s="29" t="s">
        <v>183</v>
      </c>
      <c r="D93" s="29" t="s">
        <v>184</v>
      </c>
      <c r="E93" s="31">
        <v>39351</v>
      </c>
      <c r="F93" s="29" t="s">
        <v>92</v>
      </c>
      <c r="G93" s="30">
        <v>159585</v>
      </c>
      <c r="H93" s="30">
        <v>0</v>
      </c>
      <c r="I93" s="30">
        <v>0</v>
      </c>
      <c r="J93" s="30">
        <v>0</v>
      </c>
      <c r="K93" s="30">
        <v>0</v>
      </c>
      <c r="L93" s="30">
        <v>0</v>
      </c>
      <c r="M93" s="30">
        <v>0</v>
      </c>
      <c r="N93" s="30">
        <v>159585</v>
      </c>
      <c r="O93" s="30">
        <v>2000</v>
      </c>
      <c r="P93" s="30">
        <v>1595.85</v>
      </c>
      <c r="Q93" s="30">
        <v>1595.85</v>
      </c>
      <c r="R93" s="30">
        <v>0</v>
      </c>
      <c r="S93" s="30">
        <v>15.48</v>
      </c>
      <c r="T93" s="30">
        <v>8.7799999999999994</v>
      </c>
      <c r="U93" s="30">
        <v>154400</v>
      </c>
      <c r="V93" s="29" t="s">
        <v>151</v>
      </c>
      <c r="W93" s="29" t="s">
        <v>162</v>
      </c>
      <c r="X93" s="29" t="s">
        <v>340</v>
      </c>
      <c r="Y93" s="29" t="s">
        <v>153</v>
      </c>
      <c r="Z93" s="39"/>
    </row>
    <row r="94" spans="1:26" hidden="1">
      <c r="A94" s="28">
        <v>21</v>
      </c>
      <c r="B94" s="29" t="s">
        <v>296</v>
      </c>
      <c r="C94" s="29" t="s">
        <v>185</v>
      </c>
      <c r="D94" s="29" t="s">
        <v>184</v>
      </c>
      <c r="E94" s="31">
        <v>39351</v>
      </c>
      <c r="F94" s="29" t="s">
        <v>92</v>
      </c>
      <c r="G94" s="30">
        <v>159585</v>
      </c>
      <c r="H94" s="30">
        <v>0</v>
      </c>
      <c r="I94" s="30">
        <v>14721.99</v>
      </c>
      <c r="J94" s="30">
        <v>0</v>
      </c>
      <c r="K94" s="30">
        <v>0</v>
      </c>
      <c r="L94" s="30">
        <v>0</v>
      </c>
      <c r="M94" s="30">
        <v>0</v>
      </c>
      <c r="N94" s="30">
        <v>174306.99</v>
      </c>
      <c r="O94" s="30">
        <v>2000</v>
      </c>
      <c r="P94" s="30">
        <v>1743.07</v>
      </c>
      <c r="Q94" s="30">
        <v>1743.07</v>
      </c>
      <c r="R94" s="30">
        <v>0</v>
      </c>
      <c r="S94" s="30">
        <v>42.75</v>
      </c>
      <c r="T94" s="30">
        <v>63.6</v>
      </c>
      <c r="U94" s="30">
        <v>168800</v>
      </c>
      <c r="V94" s="29" t="s">
        <v>151</v>
      </c>
      <c r="W94" s="29" t="s">
        <v>162</v>
      </c>
      <c r="X94" s="29" t="s">
        <v>340</v>
      </c>
      <c r="Y94" s="29" t="s">
        <v>153</v>
      </c>
      <c r="Z94" s="39"/>
    </row>
    <row r="95" spans="1:26" hidden="1">
      <c r="A95" s="28">
        <v>22</v>
      </c>
      <c r="B95" s="29" t="s">
        <v>297</v>
      </c>
      <c r="C95" s="29" t="s">
        <v>186</v>
      </c>
      <c r="D95" s="29" t="s">
        <v>184</v>
      </c>
      <c r="E95" s="31">
        <v>39351</v>
      </c>
      <c r="F95" s="29" t="s">
        <v>92</v>
      </c>
      <c r="G95" s="30">
        <v>159585</v>
      </c>
      <c r="H95" s="30">
        <v>0</v>
      </c>
      <c r="I95" s="30">
        <v>13166.01</v>
      </c>
      <c r="J95" s="30">
        <v>0</v>
      </c>
      <c r="K95" s="30">
        <v>0</v>
      </c>
      <c r="L95" s="30">
        <v>0</v>
      </c>
      <c r="M95" s="30">
        <v>0</v>
      </c>
      <c r="N95" s="30">
        <v>172751.01</v>
      </c>
      <c r="O95" s="30">
        <v>2000</v>
      </c>
      <c r="P95" s="30">
        <v>1727.51</v>
      </c>
      <c r="Q95" s="30">
        <v>1727.51</v>
      </c>
      <c r="R95" s="30">
        <v>0</v>
      </c>
      <c r="S95" s="30">
        <v>73.040000000000006</v>
      </c>
      <c r="T95" s="30">
        <v>69.03</v>
      </c>
      <c r="U95" s="30">
        <v>167300</v>
      </c>
      <c r="V95" s="29" t="s">
        <v>151</v>
      </c>
      <c r="W95" s="29" t="s">
        <v>162</v>
      </c>
      <c r="X95" s="29" t="s">
        <v>340</v>
      </c>
      <c r="Y95" s="29" t="s">
        <v>85</v>
      </c>
      <c r="Z95" s="39"/>
    </row>
    <row r="96" spans="1:26" hidden="1">
      <c r="A96" s="28">
        <v>23</v>
      </c>
      <c r="B96" s="29" t="s">
        <v>298</v>
      </c>
      <c r="C96" s="29" t="s">
        <v>187</v>
      </c>
      <c r="D96" s="29" t="s">
        <v>112</v>
      </c>
      <c r="E96" s="31">
        <v>39473</v>
      </c>
      <c r="F96" s="29" t="s">
        <v>92</v>
      </c>
      <c r="G96" s="30">
        <v>159585</v>
      </c>
      <c r="H96" s="30">
        <v>0</v>
      </c>
      <c r="I96" s="30">
        <v>0</v>
      </c>
      <c r="J96" s="30">
        <v>0</v>
      </c>
      <c r="K96" s="30">
        <v>0</v>
      </c>
      <c r="L96" s="30">
        <v>0</v>
      </c>
      <c r="M96" s="30">
        <v>0</v>
      </c>
      <c r="N96" s="30">
        <v>159585</v>
      </c>
      <c r="O96" s="30">
        <v>2000</v>
      </c>
      <c r="P96" s="30">
        <v>1595.85</v>
      </c>
      <c r="Q96" s="30">
        <v>1595.85</v>
      </c>
      <c r="R96" s="30">
        <v>0</v>
      </c>
      <c r="S96" s="30">
        <v>89.75</v>
      </c>
      <c r="T96" s="30">
        <v>83.05</v>
      </c>
      <c r="U96" s="30">
        <v>154400</v>
      </c>
      <c r="V96" s="29" t="s">
        <v>151</v>
      </c>
      <c r="W96" s="29" t="s">
        <v>113</v>
      </c>
      <c r="X96" s="29" t="s">
        <v>340</v>
      </c>
      <c r="Y96" s="29" t="s">
        <v>153</v>
      </c>
      <c r="Z96" s="39"/>
    </row>
    <row r="97" spans="1:26" hidden="1">
      <c r="A97" s="28">
        <v>24</v>
      </c>
      <c r="B97" s="29" t="s">
        <v>299</v>
      </c>
      <c r="C97" s="29" t="s">
        <v>188</v>
      </c>
      <c r="D97" s="29" t="s">
        <v>189</v>
      </c>
      <c r="E97" s="31">
        <v>39473</v>
      </c>
      <c r="F97" s="29" t="s">
        <v>154</v>
      </c>
      <c r="G97" s="30">
        <v>164808</v>
      </c>
      <c r="H97" s="30">
        <v>0</v>
      </c>
      <c r="I97" s="30">
        <v>0</v>
      </c>
      <c r="J97" s="30">
        <v>0</v>
      </c>
      <c r="K97" s="30">
        <v>0</v>
      </c>
      <c r="L97" s="30">
        <v>0</v>
      </c>
      <c r="M97" s="30">
        <v>0</v>
      </c>
      <c r="N97" s="30">
        <v>164808</v>
      </c>
      <c r="O97" s="30">
        <v>2000</v>
      </c>
      <c r="P97" s="30">
        <v>1648.08</v>
      </c>
      <c r="Q97" s="30">
        <v>1648.08</v>
      </c>
      <c r="R97" s="30">
        <v>0</v>
      </c>
      <c r="S97" s="30">
        <v>53.29</v>
      </c>
      <c r="T97" s="30">
        <v>65.13</v>
      </c>
      <c r="U97" s="30">
        <v>159500</v>
      </c>
      <c r="V97" s="29" t="s">
        <v>151</v>
      </c>
      <c r="W97" s="29" t="s">
        <v>98</v>
      </c>
      <c r="X97" s="29" t="s">
        <v>349</v>
      </c>
      <c r="Y97" s="29" t="s">
        <v>85</v>
      </c>
      <c r="Z97" s="39"/>
    </row>
    <row r="98" spans="1:26" hidden="1">
      <c r="A98" s="28">
        <v>25</v>
      </c>
      <c r="B98" s="29" t="s">
        <v>300</v>
      </c>
      <c r="C98" s="29" t="s">
        <v>190</v>
      </c>
      <c r="D98" s="29" t="s">
        <v>191</v>
      </c>
      <c r="E98" s="31">
        <v>40551</v>
      </c>
      <c r="F98" s="29" t="s">
        <v>192</v>
      </c>
      <c r="G98" s="30">
        <v>212393</v>
      </c>
      <c r="H98" s="30">
        <v>0</v>
      </c>
      <c r="I98" s="30">
        <v>71867.95</v>
      </c>
      <c r="J98" s="30">
        <v>0</v>
      </c>
      <c r="K98" s="30">
        <v>0</v>
      </c>
      <c r="L98" s="30">
        <v>0</v>
      </c>
      <c r="M98" s="30">
        <v>86859.75</v>
      </c>
      <c r="N98" s="30">
        <v>371120.7</v>
      </c>
      <c r="O98" s="30">
        <v>22720</v>
      </c>
      <c r="P98" s="30">
        <v>3711.21</v>
      </c>
      <c r="Q98" s="30">
        <v>3711.21</v>
      </c>
      <c r="R98" s="30">
        <v>0</v>
      </c>
      <c r="S98" s="30">
        <v>25.86</v>
      </c>
      <c r="T98" s="30">
        <v>4.1399999999999997</v>
      </c>
      <c r="U98" s="30">
        <v>341000</v>
      </c>
      <c r="V98" s="29" t="s">
        <v>151</v>
      </c>
      <c r="W98" s="29" t="s">
        <v>125</v>
      </c>
      <c r="X98" s="29" t="s">
        <v>340</v>
      </c>
      <c r="Y98" s="29" t="s">
        <v>85</v>
      </c>
      <c r="Z98" s="39"/>
    </row>
    <row r="99" spans="1:26" hidden="1">
      <c r="A99" s="28">
        <v>26</v>
      </c>
      <c r="B99" s="29" t="s">
        <v>301</v>
      </c>
      <c r="C99" s="29" t="s">
        <v>193</v>
      </c>
      <c r="D99" s="29" t="s">
        <v>184</v>
      </c>
      <c r="E99" s="31">
        <v>40721</v>
      </c>
      <c r="F99" s="29" t="s">
        <v>92</v>
      </c>
      <c r="G99" s="30">
        <v>159585</v>
      </c>
      <c r="H99" s="30">
        <v>37236.5</v>
      </c>
      <c r="I99" s="30">
        <v>15559.83</v>
      </c>
      <c r="J99" s="30">
        <v>0</v>
      </c>
      <c r="K99" s="30">
        <v>37236.5</v>
      </c>
      <c r="L99" s="30">
        <v>0</v>
      </c>
      <c r="M99" s="30">
        <v>0</v>
      </c>
      <c r="N99" s="30">
        <v>175144.83</v>
      </c>
      <c r="O99" s="30">
        <v>2000</v>
      </c>
      <c r="P99" s="30">
        <v>1751.45</v>
      </c>
      <c r="Q99" s="30">
        <v>1751.45</v>
      </c>
      <c r="R99" s="30">
        <v>0</v>
      </c>
      <c r="S99" s="30">
        <v>20.36</v>
      </c>
      <c r="T99" s="30">
        <v>62.29</v>
      </c>
      <c r="U99" s="30">
        <v>169600</v>
      </c>
      <c r="V99" s="29" t="s">
        <v>151</v>
      </c>
      <c r="W99" s="29" t="s">
        <v>162</v>
      </c>
      <c r="X99" s="29" t="s">
        <v>340</v>
      </c>
      <c r="Y99" s="29" t="s">
        <v>153</v>
      </c>
      <c r="Z99" s="39"/>
    </row>
    <row r="100" spans="1:26" hidden="1">
      <c r="A100" s="28">
        <v>27</v>
      </c>
      <c r="B100" s="29" t="s">
        <v>302</v>
      </c>
      <c r="C100" s="29"/>
      <c r="D100" s="29" t="s">
        <v>112</v>
      </c>
      <c r="E100" s="31">
        <v>40750</v>
      </c>
      <c r="F100" s="29" t="s">
        <v>194</v>
      </c>
      <c r="G100" s="30">
        <v>159585</v>
      </c>
      <c r="H100" s="30">
        <v>0</v>
      </c>
      <c r="I100" s="30">
        <v>0</v>
      </c>
      <c r="J100" s="30">
        <v>0</v>
      </c>
      <c r="K100" s="30">
        <v>0</v>
      </c>
      <c r="L100" s="30">
        <v>0</v>
      </c>
      <c r="M100" s="30">
        <v>0</v>
      </c>
      <c r="N100" s="30">
        <v>159585</v>
      </c>
      <c r="O100" s="30">
        <v>2000</v>
      </c>
      <c r="P100" s="30">
        <v>1595.85</v>
      </c>
      <c r="Q100" s="30">
        <v>1595.85</v>
      </c>
      <c r="R100" s="30">
        <v>0</v>
      </c>
      <c r="S100" s="30">
        <v>66.95</v>
      </c>
      <c r="T100" s="30">
        <v>60.25</v>
      </c>
      <c r="U100" s="30">
        <v>154400</v>
      </c>
      <c r="V100" s="29" t="s">
        <v>151</v>
      </c>
      <c r="W100" s="29" t="s">
        <v>113</v>
      </c>
      <c r="X100" s="29" t="s">
        <v>340</v>
      </c>
      <c r="Y100" s="29" t="s">
        <v>153</v>
      </c>
      <c r="Z100" s="39"/>
    </row>
    <row r="101" spans="1:26" hidden="1">
      <c r="A101" s="28">
        <v>28</v>
      </c>
      <c r="B101" s="29" t="s">
        <v>303</v>
      </c>
      <c r="C101" s="29" t="s">
        <v>195</v>
      </c>
      <c r="D101" s="29" t="s">
        <v>112</v>
      </c>
      <c r="E101" s="31">
        <v>40750</v>
      </c>
      <c r="F101" s="29" t="s">
        <v>194</v>
      </c>
      <c r="G101" s="30">
        <v>159585</v>
      </c>
      <c r="H101" s="30">
        <v>0</v>
      </c>
      <c r="I101" s="30">
        <v>0</v>
      </c>
      <c r="J101" s="30">
        <v>0</v>
      </c>
      <c r="K101" s="30">
        <v>0</v>
      </c>
      <c r="L101" s="30">
        <v>0</v>
      </c>
      <c r="M101" s="30">
        <v>0</v>
      </c>
      <c r="N101" s="30">
        <v>159585</v>
      </c>
      <c r="O101" s="30">
        <v>2000</v>
      </c>
      <c r="P101" s="30">
        <v>1595.85</v>
      </c>
      <c r="Q101" s="30">
        <v>1595.85</v>
      </c>
      <c r="R101" s="30">
        <v>0</v>
      </c>
      <c r="S101" s="30">
        <v>69.17</v>
      </c>
      <c r="T101" s="30">
        <v>62.47</v>
      </c>
      <c r="U101" s="30">
        <v>154400</v>
      </c>
      <c r="V101" s="29" t="s">
        <v>151</v>
      </c>
      <c r="W101" s="29" t="s">
        <v>113</v>
      </c>
      <c r="X101" s="29" t="s">
        <v>340</v>
      </c>
      <c r="Y101" s="29" t="s">
        <v>153</v>
      </c>
      <c r="Z101" s="39"/>
    </row>
    <row r="102" spans="1:26" hidden="1">
      <c r="A102" s="28">
        <v>29</v>
      </c>
      <c r="B102" s="29" t="s">
        <v>304</v>
      </c>
      <c r="C102" s="29" t="s">
        <v>196</v>
      </c>
      <c r="D102" s="29" t="s">
        <v>197</v>
      </c>
      <c r="E102" s="31">
        <v>40750</v>
      </c>
      <c r="F102" s="29" t="s">
        <v>194</v>
      </c>
      <c r="G102" s="30">
        <v>159585</v>
      </c>
      <c r="H102" s="30">
        <v>0</v>
      </c>
      <c r="I102" s="30">
        <v>0</v>
      </c>
      <c r="J102" s="30">
        <v>0</v>
      </c>
      <c r="K102" s="30">
        <v>0</v>
      </c>
      <c r="L102" s="30">
        <v>0</v>
      </c>
      <c r="M102" s="30">
        <v>0</v>
      </c>
      <c r="N102" s="30">
        <v>159585</v>
      </c>
      <c r="O102" s="30">
        <v>2000</v>
      </c>
      <c r="P102" s="30">
        <v>1595.85</v>
      </c>
      <c r="Q102" s="30">
        <v>1595.85</v>
      </c>
      <c r="R102" s="30">
        <v>0</v>
      </c>
      <c r="S102" s="30">
        <v>36.409999999999997</v>
      </c>
      <c r="T102" s="30">
        <v>29.71</v>
      </c>
      <c r="U102" s="30">
        <v>154400</v>
      </c>
      <c r="V102" s="29" t="s">
        <v>151</v>
      </c>
      <c r="W102" s="29" t="s">
        <v>98</v>
      </c>
      <c r="X102" s="29" t="s">
        <v>340</v>
      </c>
      <c r="Y102" s="29" t="s">
        <v>85</v>
      </c>
      <c r="Z102" s="39"/>
    </row>
    <row r="103" spans="1:26" hidden="1">
      <c r="A103" s="28">
        <v>30</v>
      </c>
      <c r="B103" s="29" t="s">
        <v>305</v>
      </c>
      <c r="C103" s="29" t="s">
        <v>198</v>
      </c>
      <c r="D103" s="29" t="s">
        <v>197</v>
      </c>
      <c r="E103" s="31">
        <v>40994</v>
      </c>
      <c r="F103" s="29"/>
      <c r="G103" s="30">
        <v>159585</v>
      </c>
      <c r="H103" s="30">
        <v>53195</v>
      </c>
      <c r="I103" s="30">
        <v>0</v>
      </c>
      <c r="J103" s="30">
        <v>0</v>
      </c>
      <c r="K103" s="30">
        <v>53195</v>
      </c>
      <c r="L103" s="30">
        <v>0</v>
      </c>
      <c r="M103" s="30">
        <v>0</v>
      </c>
      <c r="N103" s="30">
        <v>159585</v>
      </c>
      <c r="O103" s="30">
        <v>2000</v>
      </c>
      <c r="P103" s="30">
        <v>1595.85</v>
      </c>
      <c r="Q103" s="30">
        <v>1595.85</v>
      </c>
      <c r="R103" s="30">
        <v>0</v>
      </c>
      <c r="S103" s="30">
        <v>85.31</v>
      </c>
      <c r="T103" s="30">
        <v>78.61</v>
      </c>
      <c r="U103" s="30">
        <v>154400</v>
      </c>
      <c r="V103" s="29" t="s">
        <v>151</v>
      </c>
      <c r="W103" s="29" t="s">
        <v>125</v>
      </c>
      <c r="X103" s="29" t="s">
        <v>340</v>
      </c>
      <c r="Y103" s="29" t="s">
        <v>153</v>
      </c>
      <c r="Z103" s="39"/>
    </row>
    <row r="104" spans="1:26" hidden="1">
      <c r="A104" s="28">
        <v>32</v>
      </c>
      <c r="B104" s="29" t="s">
        <v>285</v>
      </c>
      <c r="C104" s="29" t="s">
        <v>199</v>
      </c>
      <c r="D104" s="29" t="s">
        <v>200</v>
      </c>
      <c r="E104" s="31">
        <v>41295</v>
      </c>
      <c r="F104" s="29" t="s">
        <v>176</v>
      </c>
      <c r="G104" s="30">
        <v>500000</v>
      </c>
      <c r="H104" s="30">
        <v>0</v>
      </c>
      <c r="I104" s="30">
        <v>0</v>
      </c>
      <c r="J104" s="30">
        <v>0</v>
      </c>
      <c r="K104" s="30">
        <v>0</v>
      </c>
      <c r="L104" s="30">
        <v>0</v>
      </c>
      <c r="M104" s="30">
        <v>0</v>
      </c>
      <c r="N104" s="30">
        <v>500000</v>
      </c>
      <c r="O104" s="30">
        <v>44000</v>
      </c>
      <c r="P104" s="30">
        <v>5000</v>
      </c>
      <c r="Q104" s="30">
        <v>5000</v>
      </c>
      <c r="R104" s="30">
        <v>0</v>
      </c>
      <c r="S104" s="30">
        <v>76.06</v>
      </c>
      <c r="T104" s="30">
        <v>76.06</v>
      </c>
      <c r="U104" s="30">
        <v>446000</v>
      </c>
      <c r="V104" s="29" t="s">
        <v>151</v>
      </c>
      <c r="W104" s="29" t="s">
        <v>177</v>
      </c>
      <c r="X104" s="29" t="s">
        <v>340</v>
      </c>
      <c r="Y104" s="29" t="s">
        <v>85</v>
      </c>
      <c r="Z104" s="39"/>
    </row>
    <row r="105" spans="1:26" hidden="1">
      <c r="A105" s="28">
        <v>34</v>
      </c>
      <c r="B105" s="29" t="s">
        <v>306</v>
      </c>
      <c r="C105" s="29" t="s">
        <v>201</v>
      </c>
      <c r="D105" s="29" t="s">
        <v>202</v>
      </c>
      <c r="E105" s="31">
        <v>41568</v>
      </c>
      <c r="F105" s="29" t="s">
        <v>154</v>
      </c>
      <c r="G105" s="30">
        <v>164808</v>
      </c>
      <c r="H105" s="30">
        <v>0</v>
      </c>
      <c r="I105" s="30">
        <v>0</v>
      </c>
      <c r="J105" s="30">
        <v>0</v>
      </c>
      <c r="K105" s="30">
        <v>0</v>
      </c>
      <c r="L105" s="30">
        <v>0</v>
      </c>
      <c r="M105" s="30">
        <v>0</v>
      </c>
      <c r="N105" s="30">
        <v>164808</v>
      </c>
      <c r="O105" s="30">
        <v>2000</v>
      </c>
      <c r="P105" s="30">
        <v>1648.08</v>
      </c>
      <c r="Q105" s="30">
        <v>0</v>
      </c>
      <c r="R105" s="30">
        <v>0</v>
      </c>
      <c r="S105" s="30">
        <v>75.87</v>
      </c>
      <c r="T105" s="30">
        <v>35.79</v>
      </c>
      <c r="U105" s="30">
        <v>161200</v>
      </c>
      <c r="V105" s="29" t="s">
        <v>151</v>
      </c>
      <c r="W105" s="29" t="s">
        <v>84</v>
      </c>
      <c r="X105" s="29" t="s">
        <v>343</v>
      </c>
      <c r="Y105" s="29" t="s">
        <v>85</v>
      </c>
      <c r="Z105" s="39"/>
    </row>
    <row r="106" spans="1:26" hidden="1">
      <c r="A106" s="28">
        <v>35</v>
      </c>
      <c r="B106" s="29" t="s">
        <v>307</v>
      </c>
      <c r="C106" s="29" t="s">
        <v>203</v>
      </c>
      <c r="D106" s="29" t="s">
        <v>204</v>
      </c>
      <c r="E106" s="31">
        <v>41696</v>
      </c>
      <c r="F106" s="29" t="s">
        <v>92</v>
      </c>
      <c r="G106" s="30">
        <v>155523</v>
      </c>
      <c r="H106" s="30">
        <v>0</v>
      </c>
      <c r="I106" s="30">
        <v>80395.39</v>
      </c>
      <c r="J106" s="30">
        <v>0</v>
      </c>
      <c r="K106" s="30">
        <v>0</v>
      </c>
      <c r="L106" s="30">
        <v>0</v>
      </c>
      <c r="M106" s="30">
        <v>86859.75</v>
      </c>
      <c r="N106" s="30">
        <v>322778.14</v>
      </c>
      <c r="O106" s="30">
        <v>13260</v>
      </c>
      <c r="P106" s="30">
        <v>3227.78</v>
      </c>
      <c r="Q106" s="30">
        <v>3227.78</v>
      </c>
      <c r="R106" s="30">
        <v>0</v>
      </c>
      <c r="S106" s="30">
        <v>52.87</v>
      </c>
      <c r="T106" s="30">
        <v>15.45</v>
      </c>
      <c r="U106" s="30">
        <v>303100</v>
      </c>
      <c r="V106" s="29" t="s">
        <v>151</v>
      </c>
      <c r="W106" s="29" t="s">
        <v>158</v>
      </c>
      <c r="X106" s="29" t="s">
        <v>340</v>
      </c>
      <c r="Y106" s="29" t="s">
        <v>153</v>
      </c>
      <c r="Z106" s="39"/>
    </row>
    <row r="107" spans="1:26" hidden="1">
      <c r="A107" s="28">
        <v>36</v>
      </c>
      <c r="B107" s="29" t="s">
        <v>246</v>
      </c>
      <c r="C107" s="29" t="s">
        <v>205</v>
      </c>
      <c r="D107" s="29" t="s">
        <v>206</v>
      </c>
      <c r="E107" s="31">
        <v>35256</v>
      </c>
      <c r="F107" s="29" t="s">
        <v>176</v>
      </c>
      <c r="G107" s="30">
        <v>2194958.4900000002</v>
      </c>
      <c r="H107" s="30">
        <v>0</v>
      </c>
      <c r="I107" s="30">
        <v>0</v>
      </c>
      <c r="J107" s="30">
        <v>0</v>
      </c>
      <c r="K107" s="30">
        <v>0</v>
      </c>
      <c r="L107" s="30">
        <v>0</v>
      </c>
      <c r="M107" s="30">
        <v>0</v>
      </c>
      <c r="N107" s="30">
        <v>2194958.4900000002</v>
      </c>
      <c r="O107" s="30">
        <v>382500</v>
      </c>
      <c r="P107" s="30">
        <v>12441.84</v>
      </c>
      <c r="Q107" s="30">
        <v>0</v>
      </c>
      <c r="R107" s="30">
        <v>0</v>
      </c>
      <c r="S107" s="30">
        <v>17.03</v>
      </c>
      <c r="T107" s="30">
        <v>33.68</v>
      </c>
      <c r="U107" s="30">
        <v>1800000</v>
      </c>
      <c r="V107" s="29" t="s">
        <v>151</v>
      </c>
      <c r="W107" s="29" t="s">
        <v>177</v>
      </c>
      <c r="X107" s="29" t="s">
        <v>340</v>
      </c>
      <c r="Y107" s="29" t="s">
        <v>153</v>
      </c>
      <c r="Z107" s="39"/>
    </row>
    <row r="108" spans="1:26" hidden="1">
      <c r="A108" s="28">
        <v>39</v>
      </c>
      <c r="B108" s="29" t="s">
        <v>308</v>
      </c>
      <c r="C108" s="29"/>
      <c r="D108" s="29" t="s">
        <v>172</v>
      </c>
      <c r="E108" s="31">
        <v>42013</v>
      </c>
      <c r="F108" s="29" t="s">
        <v>181</v>
      </c>
      <c r="G108" s="30">
        <v>300000</v>
      </c>
      <c r="H108" s="30">
        <v>0</v>
      </c>
      <c r="I108" s="30">
        <v>0</v>
      </c>
      <c r="J108" s="30">
        <v>0</v>
      </c>
      <c r="K108" s="30">
        <v>0</v>
      </c>
      <c r="L108" s="30">
        <v>0</v>
      </c>
      <c r="M108" s="30">
        <v>0</v>
      </c>
      <c r="N108" s="30">
        <v>300000</v>
      </c>
      <c r="O108" s="30">
        <v>9400</v>
      </c>
      <c r="P108" s="30">
        <v>3000</v>
      </c>
      <c r="Q108" s="30">
        <v>0</v>
      </c>
      <c r="R108" s="30">
        <v>0</v>
      </c>
      <c r="S108" s="30">
        <v>15.33</v>
      </c>
      <c r="T108" s="30">
        <v>15.33</v>
      </c>
      <c r="U108" s="30">
        <v>287600</v>
      </c>
      <c r="V108" s="29" t="s">
        <v>151</v>
      </c>
      <c r="W108" s="29" t="s">
        <v>131</v>
      </c>
      <c r="X108" s="29" t="s">
        <v>342</v>
      </c>
      <c r="Y108" s="29" t="s">
        <v>85</v>
      </c>
      <c r="Z108" s="39"/>
    </row>
    <row r="109" spans="1:26" hidden="1">
      <c r="A109" s="28">
        <v>40</v>
      </c>
      <c r="B109" s="29" t="s">
        <v>309</v>
      </c>
      <c r="C109" s="29" t="s">
        <v>207</v>
      </c>
      <c r="D109" s="29" t="s">
        <v>208</v>
      </c>
      <c r="E109" s="31">
        <v>42013</v>
      </c>
      <c r="F109" s="29" t="s">
        <v>209</v>
      </c>
      <c r="G109" s="30">
        <v>246051</v>
      </c>
      <c r="H109" s="30">
        <v>49210.2</v>
      </c>
      <c r="I109" s="30">
        <v>0</v>
      </c>
      <c r="J109" s="30">
        <v>0</v>
      </c>
      <c r="K109" s="30">
        <v>49210.2</v>
      </c>
      <c r="L109" s="30">
        <v>0</v>
      </c>
      <c r="M109" s="30">
        <v>0</v>
      </c>
      <c r="N109" s="30">
        <v>246051</v>
      </c>
      <c r="O109" s="30">
        <v>2000</v>
      </c>
      <c r="P109" s="30">
        <v>2460.5100000000002</v>
      </c>
      <c r="Q109" s="30">
        <v>0</v>
      </c>
      <c r="R109" s="30">
        <v>0</v>
      </c>
      <c r="S109" s="30">
        <v>40.07</v>
      </c>
      <c r="T109" s="30">
        <v>30.56</v>
      </c>
      <c r="U109" s="30">
        <v>241600</v>
      </c>
      <c r="V109" s="29" t="s">
        <v>151</v>
      </c>
      <c r="W109" s="29" t="s">
        <v>131</v>
      </c>
      <c r="X109" s="29" t="s">
        <v>342</v>
      </c>
      <c r="Y109" s="29" t="s">
        <v>85</v>
      </c>
      <c r="Z109" s="39"/>
    </row>
    <row r="110" spans="1:26" hidden="1">
      <c r="A110" s="28">
        <v>41</v>
      </c>
      <c r="B110" s="29" t="s">
        <v>310</v>
      </c>
      <c r="C110" s="29" t="s">
        <v>210</v>
      </c>
      <c r="D110" s="29" t="s">
        <v>202</v>
      </c>
      <c r="E110" s="31">
        <v>42150</v>
      </c>
      <c r="F110" s="29" t="s">
        <v>92</v>
      </c>
      <c r="G110" s="30">
        <v>155523</v>
      </c>
      <c r="H110" s="30">
        <v>0</v>
      </c>
      <c r="I110" s="30">
        <v>0</v>
      </c>
      <c r="J110" s="30">
        <v>0</v>
      </c>
      <c r="K110" s="30">
        <v>0</v>
      </c>
      <c r="L110" s="30">
        <v>0</v>
      </c>
      <c r="M110" s="30">
        <v>0</v>
      </c>
      <c r="N110" s="30">
        <v>155523</v>
      </c>
      <c r="O110" s="30">
        <v>2000</v>
      </c>
      <c r="P110" s="30">
        <v>1555.23</v>
      </c>
      <c r="Q110" s="30">
        <v>1555.23</v>
      </c>
      <c r="R110" s="30">
        <v>0</v>
      </c>
      <c r="S110" s="30">
        <v>69.38</v>
      </c>
      <c r="T110" s="30">
        <v>81.92</v>
      </c>
      <c r="U110" s="30">
        <v>150400</v>
      </c>
      <c r="V110" s="29" t="s">
        <v>151</v>
      </c>
      <c r="W110" s="29" t="s">
        <v>84</v>
      </c>
      <c r="X110" s="29" t="s">
        <v>343</v>
      </c>
      <c r="Y110" s="29" t="s">
        <v>85</v>
      </c>
      <c r="Z110" s="39"/>
    </row>
    <row r="111" spans="1:26" hidden="1">
      <c r="A111" s="28">
        <v>42</v>
      </c>
      <c r="B111" s="29" t="s">
        <v>296</v>
      </c>
      <c r="C111" s="29" t="s">
        <v>185</v>
      </c>
      <c r="D111" s="29" t="s">
        <v>211</v>
      </c>
      <c r="E111" s="31">
        <v>42345</v>
      </c>
      <c r="F111" s="29" t="s">
        <v>212</v>
      </c>
      <c r="G111" s="30">
        <v>246051</v>
      </c>
      <c r="H111" s="30">
        <v>0</v>
      </c>
      <c r="I111" s="30">
        <v>0</v>
      </c>
      <c r="J111" s="30">
        <v>0</v>
      </c>
      <c r="K111" s="30">
        <v>0</v>
      </c>
      <c r="L111" s="30">
        <v>0</v>
      </c>
      <c r="M111" s="30">
        <v>0</v>
      </c>
      <c r="N111" s="30">
        <v>246051</v>
      </c>
      <c r="O111" s="30">
        <v>2000</v>
      </c>
      <c r="P111" s="30">
        <v>2460.5100000000002</v>
      </c>
      <c r="Q111" s="30">
        <v>2460.5100000000002</v>
      </c>
      <c r="R111" s="30">
        <v>0</v>
      </c>
      <c r="S111" s="30">
        <v>9.0500000000000007</v>
      </c>
      <c r="T111" s="30">
        <v>39.03</v>
      </c>
      <c r="U111" s="30">
        <v>239100</v>
      </c>
      <c r="V111" s="29" t="s">
        <v>151</v>
      </c>
      <c r="W111" s="29" t="s">
        <v>177</v>
      </c>
      <c r="X111" s="29" t="s">
        <v>340</v>
      </c>
      <c r="Y111" s="29" t="s">
        <v>85</v>
      </c>
      <c r="Z111" s="39"/>
    </row>
    <row r="112" spans="1:26" hidden="1">
      <c r="A112" s="28">
        <v>43</v>
      </c>
      <c r="B112" s="29" t="s">
        <v>311</v>
      </c>
      <c r="C112" s="29" t="s">
        <v>213</v>
      </c>
      <c r="D112" s="29" t="s">
        <v>182</v>
      </c>
      <c r="E112" s="31">
        <v>42345</v>
      </c>
      <c r="F112" s="29" t="s">
        <v>212</v>
      </c>
      <c r="G112" s="30">
        <v>246051</v>
      </c>
      <c r="H112" s="30">
        <v>0</v>
      </c>
      <c r="I112" s="30">
        <v>55632.17</v>
      </c>
      <c r="J112" s="30">
        <v>0</v>
      </c>
      <c r="K112" s="30">
        <v>0</v>
      </c>
      <c r="L112" s="30">
        <v>0</v>
      </c>
      <c r="M112" s="30">
        <v>86859.75</v>
      </c>
      <c r="N112" s="30">
        <v>388542.92</v>
      </c>
      <c r="O112" s="30">
        <v>26140</v>
      </c>
      <c r="P112" s="30">
        <v>3885.43</v>
      </c>
      <c r="Q112" s="30">
        <v>3885.43</v>
      </c>
      <c r="R112" s="30">
        <v>0</v>
      </c>
      <c r="S112" s="30">
        <v>25.11</v>
      </c>
      <c r="T112" s="30">
        <v>57.17</v>
      </c>
      <c r="U112" s="30">
        <v>354600</v>
      </c>
      <c r="V112" s="29" t="s">
        <v>151</v>
      </c>
      <c r="W112" s="29" t="s">
        <v>98</v>
      </c>
      <c r="X112" s="29" t="s">
        <v>340</v>
      </c>
      <c r="Y112" s="29" t="s">
        <v>85</v>
      </c>
      <c r="Z112" s="39"/>
    </row>
    <row r="113" spans="1:26" hidden="1">
      <c r="A113" s="28">
        <v>47</v>
      </c>
      <c r="B113" s="29" t="s">
        <v>312</v>
      </c>
      <c r="C113" s="29" t="s">
        <v>214</v>
      </c>
      <c r="D113" s="29" t="s">
        <v>215</v>
      </c>
      <c r="E113" s="31">
        <v>42576</v>
      </c>
      <c r="F113" s="29"/>
      <c r="G113" s="30">
        <v>161906</v>
      </c>
      <c r="H113" s="30">
        <v>0</v>
      </c>
      <c r="I113" s="30">
        <v>0</v>
      </c>
      <c r="J113" s="30">
        <v>0</v>
      </c>
      <c r="K113" s="30">
        <v>0</v>
      </c>
      <c r="L113" s="30">
        <v>0</v>
      </c>
      <c r="M113" s="30">
        <v>0</v>
      </c>
      <c r="N113" s="30">
        <v>161906</v>
      </c>
      <c r="O113" s="30">
        <v>2000</v>
      </c>
      <c r="P113" s="30">
        <v>1619.06</v>
      </c>
      <c r="Q113" s="30">
        <v>1619.06</v>
      </c>
      <c r="R113" s="30">
        <v>0</v>
      </c>
      <c r="S113" s="30">
        <v>85.14</v>
      </c>
      <c r="T113" s="30">
        <v>53.02</v>
      </c>
      <c r="U113" s="30">
        <v>156700</v>
      </c>
      <c r="V113" s="29" t="s">
        <v>151</v>
      </c>
      <c r="W113" s="29" t="s">
        <v>98</v>
      </c>
      <c r="X113" s="29" t="s">
        <v>340</v>
      </c>
      <c r="Y113" s="29" t="s">
        <v>85</v>
      </c>
      <c r="Z113" s="39"/>
    </row>
    <row r="114" spans="1:26" hidden="1">
      <c r="A114" s="28">
        <v>49</v>
      </c>
      <c r="B114" s="29" t="s">
        <v>313</v>
      </c>
      <c r="C114" s="29" t="s">
        <v>216</v>
      </c>
      <c r="D114" s="29" t="s">
        <v>217</v>
      </c>
      <c r="E114" s="31">
        <v>42705</v>
      </c>
      <c r="F114" s="29" t="s">
        <v>218</v>
      </c>
      <c r="G114" s="30">
        <v>155523</v>
      </c>
      <c r="H114" s="30">
        <v>0</v>
      </c>
      <c r="I114" s="30">
        <v>0</v>
      </c>
      <c r="J114" s="30">
        <v>0</v>
      </c>
      <c r="K114" s="30">
        <v>0</v>
      </c>
      <c r="L114" s="30">
        <v>0</v>
      </c>
      <c r="M114" s="30">
        <v>0</v>
      </c>
      <c r="N114" s="30">
        <v>155523</v>
      </c>
      <c r="O114" s="30">
        <v>2000</v>
      </c>
      <c r="P114" s="30">
        <v>1555.23</v>
      </c>
      <c r="Q114" s="30">
        <v>1555.23</v>
      </c>
      <c r="R114" s="30">
        <v>0</v>
      </c>
      <c r="S114" s="30">
        <v>58.74</v>
      </c>
      <c r="T114" s="30">
        <v>71.28</v>
      </c>
      <c r="U114" s="30">
        <v>150400</v>
      </c>
      <c r="V114" s="29" t="s">
        <v>151</v>
      </c>
      <c r="W114" s="29" t="s">
        <v>84</v>
      </c>
      <c r="X114" s="29" t="s">
        <v>343</v>
      </c>
      <c r="Y114" s="29" t="s">
        <v>85</v>
      </c>
      <c r="Z114" s="39"/>
    </row>
    <row r="115" spans="1:26" hidden="1">
      <c r="A115" s="28">
        <v>50</v>
      </c>
      <c r="B115" s="29" t="s">
        <v>314</v>
      </c>
      <c r="C115" s="29" t="s">
        <v>219</v>
      </c>
      <c r="D115" s="29" t="s">
        <v>220</v>
      </c>
      <c r="E115" s="31">
        <v>42730</v>
      </c>
      <c r="F115" s="29" t="s">
        <v>218</v>
      </c>
      <c r="G115" s="30">
        <v>155523</v>
      </c>
      <c r="H115" s="30">
        <v>0</v>
      </c>
      <c r="I115" s="30">
        <v>0</v>
      </c>
      <c r="J115" s="30">
        <v>0</v>
      </c>
      <c r="K115" s="30">
        <v>0</v>
      </c>
      <c r="L115" s="30">
        <v>0</v>
      </c>
      <c r="M115" s="30">
        <v>0</v>
      </c>
      <c r="N115" s="30">
        <v>155523</v>
      </c>
      <c r="O115" s="30">
        <v>2000</v>
      </c>
      <c r="P115" s="30">
        <v>1555.23</v>
      </c>
      <c r="Q115" s="30">
        <v>1555.23</v>
      </c>
      <c r="R115" s="30">
        <v>0</v>
      </c>
      <c r="S115" s="30">
        <v>15.33</v>
      </c>
      <c r="T115" s="30">
        <v>27.87</v>
      </c>
      <c r="U115" s="30">
        <v>150400</v>
      </c>
      <c r="V115" s="29" t="s">
        <v>151</v>
      </c>
      <c r="W115" s="29" t="s">
        <v>120</v>
      </c>
      <c r="X115" s="29" t="s">
        <v>340</v>
      </c>
      <c r="Y115" s="29" t="s">
        <v>85</v>
      </c>
      <c r="Z115" s="39"/>
    </row>
    <row r="116" spans="1:26" hidden="1">
      <c r="A116" s="28">
        <v>51</v>
      </c>
      <c r="B116" s="29" t="s">
        <v>312</v>
      </c>
      <c r="C116" s="29" t="s">
        <v>221</v>
      </c>
      <c r="D116" s="29" t="s">
        <v>197</v>
      </c>
      <c r="E116" s="31">
        <v>42730</v>
      </c>
      <c r="F116" s="29" t="s">
        <v>218</v>
      </c>
      <c r="G116" s="30">
        <v>155523</v>
      </c>
      <c r="H116" s="30">
        <v>0</v>
      </c>
      <c r="I116" s="30">
        <v>0</v>
      </c>
      <c r="J116" s="30">
        <v>0</v>
      </c>
      <c r="K116" s="30">
        <v>0</v>
      </c>
      <c r="L116" s="30">
        <v>0</v>
      </c>
      <c r="M116" s="30">
        <v>0</v>
      </c>
      <c r="N116" s="30">
        <v>155523</v>
      </c>
      <c r="O116" s="30">
        <v>2000</v>
      </c>
      <c r="P116" s="30">
        <v>1555.23</v>
      </c>
      <c r="Q116" s="30">
        <v>1555.23</v>
      </c>
      <c r="R116" s="30">
        <v>0</v>
      </c>
      <c r="S116" s="30">
        <v>35.799999999999997</v>
      </c>
      <c r="T116" s="30">
        <v>48.34</v>
      </c>
      <c r="U116" s="30">
        <v>150400</v>
      </c>
      <c r="V116" s="29" t="s">
        <v>151</v>
      </c>
      <c r="W116" s="29" t="s">
        <v>98</v>
      </c>
      <c r="X116" s="29" t="s">
        <v>340</v>
      </c>
      <c r="Y116" s="29" t="s">
        <v>85</v>
      </c>
      <c r="Z116" s="39"/>
    </row>
    <row r="117" spans="1:26" hidden="1">
      <c r="A117" s="28">
        <v>52</v>
      </c>
      <c r="B117" s="29" t="s">
        <v>315</v>
      </c>
      <c r="C117" s="29" t="s">
        <v>222</v>
      </c>
      <c r="D117" s="29" t="s">
        <v>223</v>
      </c>
      <c r="E117" s="31">
        <v>42744</v>
      </c>
      <c r="F117" s="29"/>
      <c r="G117" s="30">
        <v>157264</v>
      </c>
      <c r="H117" s="30">
        <v>0</v>
      </c>
      <c r="I117" s="30">
        <v>0</v>
      </c>
      <c r="J117" s="30">
        <v>0</v>
      </c>
      <c r="K117" s="30">
        <v>0</v>
      </c>
      <c r="L117" s="30">
        <v>0</v>
      </c>
      <c r="M117" s="30">
        <v>0</v>
      </c>
      <c r="N117" s="30">
        <v>157264</v>
      </c>
      <c r="O117" s="30">
        <v>2000</v>
      </c>
      <c r="P117" s="30">
        <v>1572.64</v>
      </c>
      <c r="Q117" s="30">
        <v>1572.64</v>
      </c>
      <c r="R117" s="30">
        <v>0</v>
      </c>
      <c r="S117" s="30">
        <v>17.16</v>
      </c>
      <c r="T117" s="30">
        <v>35.880000000000003</v>
      </c>
      <c r="U117" s="30">
        <v>152100</v>
      </c>
      <c r="V117" s="29" t="s">
        <v>151</v>
      </c>
      <c r="W117" s="29" t="s">
        <v>84</v>
      </c>
      <c r="X117" s="29" t="s">
        <v>343</v>
      </c>
      <c r="Y117" s="29" t="s">
        <v>85</v>
      </c>
      <c r="Z117" s="39"/>
    </row>
    <row r="118" spans="1:26" hidden="1">
      <c r="A118" s="28">
        <v>53</v>
      </c>
      <c r="B118" s="29" t="s">
        <v>316</v>
      </c>
      <c r="C118" s="29" t="s">
        <v>224</v>
      </c>
      <c r="D118" s="29" t="s">
        <v>202</v>
      </c>
      <c r="E118" s="31">
        <v>42744</v>
      </c>
      <c r="F118" s="29"/>
      <c r="G118" s="30">
        <v>157264</v>
      </c>
      <c r="H118" s="30">
        <v>0</v>
      </c>
      <c r="I118" s="30">
        <v>0</v>
      </c>
      <c r="J118" s="30">
        <v>0</v>
      </c>
      <c r="K118" s="30">
        <v>0</v>
      </c>
      <c r="L118" s="30">
        <v>0</v>
      </c>
      <c r="M118" s="30">
        <v>0</v>
      </c>
      <c r="N118" s="30">
        <v>157264</v>
      </c>
      <c r="O118" s="30">
        <v>2000</v>
      </c>
      <c r="P118" s="30">
        <v>1572.64</v>
      </c>
      <c r="Q118" s="30">
        <v>1572.64</v>
      </c>
      <c r="R118" s="30">
        <v>0</v>
      </c>
      <c r="S118" s="30">
        <v>17.16</v>
      </c>
      <c r="T118" s="30">
        <v>35.880000000000003</v>
      </c>
      <c r="U118" s="30">
        <v>152100</v>
      </c>
      <c r="V118" s="29" t="s">
        <v>151</v>
      </c>
      <c r="W118" s="29" t="s">
        <v>84</v>
      </c>
      <c r="X118" s="29" t="s">
        <v>343</v>
      </c>
      <c r="Y118" s="29" t="s">
        <v>85</v>
      </c>
      <c r="Z118" s="39"/>
    </row>
    <row r="119" spans="1:26" hidden="1">
      <c r="A119" s="28">
        <v>54</v>
      </c>
      <c r="B119" s="29" t="s">
        <v>317</v>
      </c>
      <c r="C119" s="29" t="s">
        <v>225</v>
      </c>
      <c r="D119" s="29" t="s">
        <v>215</v>
      </c>
      <c r="E119" s="31">
        <v>42826</v>
      </c>
      <c r="F119" s="29" t="s">
        <v>226</v>
      </c>
      <c r="G119" s="30">
        <v>157264</v>
      </c>
      <c r="H119" s="30">
        <v>0</v>
      </c>
      <c r="I119" s="30">
        <v>0</v>
      </c>
      <c r="J119" s="30">
        <v>0</v>
      </c>
      <c r="K119" s="30">
        <v>0</v>
      </c>
      <c r="L119" s="30">
        <v>0</v>
      </c>
      <c r="M119" s="30">
        <v>0</v>
      </c>
      <c r="N119" s="30">
        <v>157264</v>
      </c>
      <c r="O119" s="30">
        <v>2000</v>
      </c>
      <c r="P119" s="30">
        <v>1572.64</v>
      </c>
      <c r="Q119" s="30">
        <v>1572.64</v>
      </c>
      <c r="R119" s="30">
        <v>0</v>
      </c>
      <c r="S119" s="30">
        <v>31.04</v>
      </c>
      <c r="T119" s="30">
        <v>49.76</v>
      </c>
      <c r="U119" s="30">
        <v>152100</v>
      </c>
      <c r="V119" s="29" t="s">
        <v>151</v>
      </c>
      <c r="W119" s="29" t="s">
        <v>98</v>
      </c>
      <c r="X119" s="29" t="s">
        <v>340</v>
      </c>
      <c r="Y119" s="29" t="s">
        <v>85</v>
      </c>
      <c r="Z119" s="39"/>
    </row>
    <row r="120" spans="1:26" hidden="1">
      <c r="A120" s="28">
        <v>55</v>
      </c>
      <c r="B120" s="29" t="s">
        <v>318</v>
      </c>
      <c r="C120" s="29"/>
      <c r="D120" s="29" t="s">
        <v>215</v>
      </c>
      <c r="E120" s="31">
        <v>42859</v>
      </c>
      <c r="F120" s="29" t="s">
        <v>227</v>
      </c>
      <c r="G120" s="30">
        <v>155523</v>
      </c>
      <c r="H120" s="30">
        <v>0</v>
      </c>
      <c r="I120" s="30">
        <v>0</v>
      </c>
      <c r="J120" s="30">
        <v>0</v>
      </c>
      <c r="K120" s="30">
        <v>0</v>
      </c>
      <c r="L120" s="30">
        <v>0</v>
      </c>
      <c r="M120" s="30">
        <v>0</v>
      </c>
      <c r="N120" s="30">
        <v>155523</v>
      </c>
      <c r="O120" s="30">
        <v>2000</v>
      </c>
      <c r="P120" s="30">
        <v>1555.23</v>
      </c>
      <c r="Q120" s="30">
        <v>1555.23</v>
      </c>
      <c r="R120" s="30">
        <v>0</v>
      </c>
      <c r="S120" s="30">
        <v>33.979999999999997</v>
      </c>
      <c r="T120" s="30">
        <v>46.52</v>
      </c>
      <c r="U120" s="30">
        <v>150400</v>
      </c>
      <c r="V120" s="29" t="s">
        <v>151</v>
      </c>
      <c r="W120" s="29" t="s">
        <v>98</v>
      </c>
      <c r="X120" s="29" t="s">
        <v>340</v>
      </c>
      <c r="Y120" s="29" t="s">
        <v>85</v>
      </c>
      <c r="Z120" s="39"/>
    </row>
    <row r="121" spans="1:26" hidden="1">
      <c r="A121" s="28">
        <v>57</v>
      </c>
      <c r="B121" s="29" t="s">
        <v>319</v>
      </c>
      <c r="C121" s="29" t="s">
        <v>228</v>
      </c>
      <c r="D121" s="29" t="s">
        <v>229</v>
      </c>
      <c r="E121" s="31">
        <v>42950</v>
      </c>
      <c r="F121" s="29" t="s">
        <v>169</v>
      </c>
      <c r="G121" s="30">
        <v>213554</v>
      </c>
      <c r="H121" s="30">
        <v>0</v>
      </c>
      <c r="I121" s="30">
        <v>0</v>
      </c>
      <c r="J121" s="30">
        <v>0</v>
      </c>
      <c r="K121" s="30">
        <v>0</v>
      </c>
      <c r="L121" s="30">
        <v>0</v>
      </c>
      <c r="M121" s="30">
        <v>0</v>
      </c>
      <c r="N121" s="30">
        <v>213554</v>
      </c>
      <c r="O121" s="30">
        <v>2000</v>
      </c>
      <c r="P121" s="30">
        <v>2135.54</v>
      </c>
      <c r="Q121" s="30">
        <v>2135.54</v>
      </c>
      <c r="R121" s="30">
        <v>0</v>
      </c>
      <c r="S121" s="30">
        <v>96.56</v>
      </c>
      <c r="T121" s="30">
        <v>79.48</v>
      </c>
      <c r="U121" s="30">
        <v>207300</v>
      </c>
      <c r="V121" s="29" t="s">
        <v>151</v>
      </c>
      <c r="W121" s="29" t="s">
        <v>177</v>
      </c>
      <c r="X121" s="29" t="s">
        <v>340</v>
      </c>
      <c r="Y121" s="29" t="s">
        <v>85</v>
      </c>
      <c r="Z121" s="39"/>
    </row>
    <row r="122" spans="1:26" hidden="1">
      <c r="A122" s="28">
        <v>58</v>
      </c>
      <c r="B122" s="29" t="s">
        <v>320</v>
      </c>
      <c r="C122" s="29" t="s">
        <v>230</v>
      </c>
      <c r="D122" s="29" t="s">
        <v>231</v>
      </c>
      <c r="E122" s="31">
        <v>43003</v>
      </c>
      <c r="F122" s="29"/>
      <c r="G122" s="30">
        <v>171771</v>
      </c>
      <c r="H122" s="30">
        <v>0</v>
      </c>
      <c r="I122" s="30">
        <v>0</v>
      </c>
      <c r="J122" s="30">
        <v>0</v>
      </c>
      <c r="K122" s="30">
        <v>0</v>
      </c>
      <c r="L122" s="30">
        <v>0</v>
      </c>
      <c r="M122" s="30">
        <v>0</v>
      </c>
      <c r="N122" s="30">
        <v>171771</v>
      </c>
      <c r="O122" s="30">
        <v>2000</v>
      </c>
      <c r="P122" s="30">
        <v>1717.71</v>
      </c>
      <c r="Q122" s="30">
        <v>1717.71</v>
      </c>
      <c r="R122" s="30">
        <v>0</v>
      </c>
      <c r="S122" s="30">
        <v>35.58</v>
      </c>
      <c r="T122" s="30">
        <v>71.16</v>
      </c>
      <c r="U122" s="30">
        <v>166300</v>
      </c>
      <c r="V122" s="29" t="s">
        <v>151</v>
      </c>
      <c r="W122" s="29" t="s">
        <v>177</v>
      </c>
      <c r="X122" s="29" t="s">
        <v>340</v>
      </c>
      <c r="Y122" s="29" t="s">
        <v>85</v>
      </c>
      <c r="Z122" s="39"/>
    </row>
    <row r="123" spans="1:26" hidden="1">
      <c r="A123" s="28">
        <v>100063</v>
      </c>
      <c r="B123" s="29" t="s">
        <v>321</v>
      </c>
      <c r="C123" s="29" t="s">
        <v>232</v>
      </c>
      <c r="D123" s="29" t="s">
        <v>82</v>
      </c>
      <c r="E123" s="31">
        <v>43003</v>
      </c>
      <c r="F123" s="29"/>
      <c r="G123" s="30">
        <v>155523</v>
      </c>
      <c r="H123" s="30">
        <v>0</v>
      </c>
      <c r="I123" s="30">
        <v>51682.75</v>
      </c>
      <c r="J123" s="30">
        <v>0</v>
      </c>
      <c r="K123" s="30">
        <v>0</v>
      </c>
      <c r="L123" s="30">
        <v>0</v>
      </c>
      <c r="M123" s="30">
        <v>0</v>
      </c>
      <c r="N123" s="30">
        <v>207205.75</v>
      </c>
      <c r="O123" s="30">
        <v>2000</v>
      </c>
      <c r="P123" s="30">
        <v>2072.06</v>
      </c>
      <c r="Q123" s="30">
        <v>2072.06</v>
      </c>
      <c r="R123" s="30">
        <v>0</v>
      </c>
      <c r="S123" s="30">
        <v>12.54</v>
      </c>
      <c r="T123" s="30">
        <v>74.17</v>
      </c>
      <c r="U123" s="30">
        <v>201000</v>
      </c>
      <c r="V123" s="29" t="s">
        <v>151</v>
      </c>
      <c r="W123" s="29" t="s">
        <v>98</v>
      </c>
      <c r="X123" s="29" t="s">
        <v>340</v>
      </c>
      <c r="Y123" s="29" t="s">
        <v>85</v>
      </c>
      <c r="Z123" s="39"/>
    </row>
    <row r="124" spans="1:26" hidden="1">
      <c r="A124" s="28">
        <v>100098</v>
      </c>
      <c r="B124" s="29" t="s">
        <v>322</v>
      </c>
      <c r="C124" s="29" t="s">
        <v>233</v>
      </c>
      <c r="D124" s="29" t="s">
        <v>82</v>
      </c>
      <c r="E124" s="31">
        <v>42913</v>
      </c>
      <c r="F124" s="29" t="s">
        <v>92</v>
      </c>
      <c r="G124" s="30">
        <v>155523</v>
      </c>
      <c r="H124" s="30">
        <v>0</v>
      </c>
      <c r="I124" s="30">
        <v>12014.45</v>
      </c>
      <c r="J124" s="30">
        <v>0</v>
      </c>
      <c r="K124" s="30">
        <v>0</v>
      </c>
      <c r="L124" s="30">
        <v>0</v>
      </c>
      <c r="M124" s="30">
        <v>0</v>
      </c>
      <c r="N124" s="30">
        <v>167537.45000000001</v>
      </c>
      <c r="O124" s="30">
        <v>2000</v>
      </c>
      <c r="P124" s="30">
        <v>1675.37</v>
      </c>
      <c r="Q124" s="30">
        <v>1675.37</v>
      </c>
      <c r="R124" s="30">
        <v>0</v>
      </c>
      <c r="S124" s="30">
        <v>71.98</v>
      </c>
      <c r="T124" s="30">
        <v>58.69</v>
      </c>
      <c r="U124" s="30">
        <v>162200</v>
      </c>
      <c r="V124" s="29" t="s">
        <v>151</v>
      </c>
      <c r="W124" s="29" t="s">
        <v>98</v>
      </c>
      <c r="X124" s="29" t="s">
        <v>340</v>
      </c>
      <c r="Y124" s="29" t="s">
        <v>85</v>
      </c>
      <c r="Z124" s="39"/>
    </row>
    <row r="125" spans="1:26" hidden="1">
      <c r="A125" s="28">
        <v>100124</v>
      </c>
      <c r="B125" s="29" t="s">
        <v>323</v>
      </c>
      <c r="C125" s="29" t="s">
        <v>234</v>
      </c>
      <c r="D125" s="29" t="s">
        <v>82</v>
      </c>
      <c r="E125" s="31">
        <v>42913</v>
      </c>
      <c r="F125" s="29"/>
      <c r="G125" s="30">
        <v>155523</v>
      </c>
      <c r="H125" s="30">
        <v>0</v>
      </c>
      <c r="I125" s="30">
        <v>45123.71</v>
      </c>
      <c r="J125" s="30">
        <v>0</v>
      </c>
      <c r="K125" s="30">
        <v>0</v>
      </c>
      <c r="L125" s="30">
        <v>0</v>
      </c>
      <c r="M125" s="30">
        <v>0</v>
      </c>
      <c r="N125" s="30">
        <v>200646.71</v>
      </c>
      <c r="O125" s="30">
        <v>2000</v>
      </c>
      <c r="P125" s="30">
        <v>2006.47</v>
      </c>
      <c r="Q125" s="30">
        <v>2006.47</v>
      </c>
      <c r="R125" s="30">
        <v>0</v>
      </c>
      <c r="S125" s="30">
        <v>29.07</v>
      </c>
      <c r="T125" s="30">
        <v>62.84</v>
      </c>
      <c r="U125" s="30">
        <v>194600</v>
      </c>
      <c r="V125" s="29" t="s">
        <v>151</v>
      </c>
      <c r="W125" s="29" t="s">
        <v>98</v>
      </c>
      <c r="X125" s="29" t="s">
        <v>340</v>
      </c>
      <c r="Y125" s="29" t="s">
        <v>85</v>
      </c>
      <c r="Z125" s="39"/>
    </row>
    <row r="126" spans="1:26" hidden="1">
      <c r="A126" s="28">
        <v>100159</v>
      </c>
      <c r="B126" s="29" t="s">
        <v>324</v>
      </c>
      <c r="C126" s="29" t="s">
        <v>235</v>
      </c>
      <c r="D126" s="29" t="s">
        <v>82</v>
      </c>
      <c r="E126" s="31">
        <v>43003</v>
      </c>
      <c r="F126" s="29"/>
      <c r="G126" s="30">
        <v>155523</v>
      </c>
      <c r="H126" s="30">
        <v>0</v>
      </c>
      <c r="I126" s="30">
        <v>65536.600000000006</v>
      </c>
      <c r="J126" s="30">
        <v>0</v>
      </c>
      <c r="K126" s="30">
        <v>0</v>
      </c>
      <c r="L126" s="30">
        <v>0</v>
      </c>
      <c r="M126" s="30">
        <v>0</v>
      </c>
      <c r="N126" s="30">
        <v>221059.6</v>
      </c>
      <c r="O126" s="30">
        <v>2000</v>
      </c>
      <c r="P126" s="30">
        <v>2210.6</v>
      </c>
      <c r="Q126" s="30">
        <v>2210.6</v>
      </c>
      <c r="R126" s="30">
        <v>0</v>
      </c>
      <c r="S126" s="30">
        <v>16.25</v>
      </c>
      <c r="T126" s="30">
        <v>54.65</v>
      </c>
      <c r="U126" s="30">
        <v>214600</v>
      </c>
      <c r="V126" s="29" t="s">
        <v>151</v>
      </c>
      <c r="W126" s="29" t="s">
        <v>98</v>
      </c>
      <c r="X126" s="29" t="s">
        <v>340</v>
      </c>
      <c r="Y126" s="29" t="s">
        <v>85</v>
      </c>
      <c r="Z126" s="39"/>
    </row>
    <row r="127" spans="1:26" hidden="1">
      <c r="A127" s="28">
        <v>100167</v>
      </c>
      <c r="B127" s="29" t="s">
        <v>264</v>
      </c>
      <c r="C127" s="29" t="s">
        <v>236</v>
      </c>
      <c r="D127" s="29" t="s">
        <v>82</v>
      </c>
      <c r="E127" s="31">
        <v>43003</v>
      </c>
      <c r="F127" s="29"/>
      <c r="G127" s="30">
        <v>155523</v>
      </c>
      <c r="H127" s="30">
        <v>0</v>
      </c>
      <c r="I127" s="30">
        <v>58950.64</v>
      </c>
      <c r="J127" s="30">
        <v>0</v>
      </c>
      <c r="K127" s="30">
        <v>0</v>
      </c>
      <c r="L127" s="30">
        <v>0</v>
      </c>
      <c r="M127" s="30">
        <v>0</v>
      </c>
      <c r="N127" s="30">
        <v>214473.64</v>
      </c>
      <c r="O127" s="30">
        <v>2000</v>
      </c>
      <c r="P127" s="30">
        <v>2144.7399999999998</v>
      </c>
      <c r="Q127" s="30">
        <v>2144.7399999999998</v>
      </c>
      <c r="R127" s="30">
        <v>0</v>
      </c>
      <c r="S127" s="30">
        <v>14.49</v>
      </c>
      <c r="T127" s="30">
        <v>98.65</v>
      </c>
      <c r="U127" s="30">
        <v>208100</v>
      </c>
      <c r="V127" s="29" t="s">
        <v>151</v>
      </c>
      <c r="W127" s="29" t="s">
        <v>98</v>
      </c>
      <c r="X127" s="29" t="s">
        <v>340</v>
      </c>
      <c r="Y127" s="29" t="s">
        <v>85</v>
      </c>
      <c r="Z127" s="39"/>
    </row>
    <row r="128" spans="1:26" hidden="1">
      <c r="A128" s="28">
        <v>100173</v>
      </c>
      <c r="B128" s="29" t="s">
        <v>281</v>
      </c>
      <c r="C128" s="29" t="s">
        <v>237</v>
      </c>
      <c r="D128" s="29" t="s">
        <v>82</v>
      </c>
      <c r="E128" s="31">
        <v>43003</v>
      </c>
      <c r="F128" s="29"/>
      <c r="G128" s="30">
        <v>155523</v>
      </c>
      <c r="H128" s="30">
        <v>0</v>
      </c>
      <c r="I128" s="30">
        <v>79857.03</v>
      </c>
      <c r="J128" s="30">
        <v>0</v>
      </c>
      <c r="K128" s="30">
        <v>0</v>
      </c>
      <c r="L128" s="30">
        <v>0</v>
      </c>
      <c r="M128" s="30">
        <v>0</v>
      </c>
      <c r="N128" s="30">
        <v>235380.03</v>
      </c>
      <c r="O128" s="30">
        <v>2000</v>
      </c>
      <c r="P128" s="30">
        <v>2353.8000000000002</v>
      </c>
      <c r="Q128" s="30">
        <v>2353.8000000000002</v>
      </c>
      <c r="R128" s="30">
        <v>0</v>
      </c>
      <c r="S128" s="30">
        <v>12.54</v>
      </c>
      <c r="T128" s="30">
        <v>84.97</v>
      </c>
      <c r="U128" s="30">
        <v>228600</v>
      </c>
      <c r="V128" s="29" t="s">
        <v>151</v>
      </c>
      <c r="W128" s="29" t="s">
        <v>98</v>
      </c>
      <c r="X128" s="29" t="s">
        <v>340</v>
      </c>
      <c r="Y128" s="29" t="s">
        <v>85</v>
      </c>
      <c r="Z128" s="39"/>
    </row>
    <row r="129" spans="1:26" hidden="1">
      <c r="A129" s="28">
        <v>100187</v>
      </c>
      <c r="B129" s="29" t="s">
        <v>325</v>
      </c>
      <c r="C129" s="29" t="s">
        <v>238</v>
      </c>
      <c r="D129" s="29" t="s">
        <v>82</v>
      </c>
      <c r="E129" s="31">
        <v>42713</v>
      </c>
      <c r="F129" s="29"/>
      <c r="G129" s="30">
        <v>155523</v>
      </c>
      <c r="H129" s="30">
        <v>0</v>
      </c>
      <c r="I129" s="30">
        <v>0</v>
      </c>
      <c r="J129" s="30">
        <v>0</v>
      </c>
      <c r="K129" s="30">
        <v>0</v>
      </c>
      <c r="L129" s="30">
        <v>0</v>
      </c>
      <c r="M129" s="30">
        <v>0</v>
      </c>
      <c r="N129" s="30">
        <v>155523</v>
      </c>
      <c r="O129" s="30">
        <v>2000</v>
      </c>
      <c r="P129" s="30">
        <v>1555.23</v>
      </c>
      <c r="Q129" s="30">
        <v>1555.23</v>
      </c>
      <c r="R129" s="30">
        <v>0</v>
      </c>
      <c r="S129" s="30">
        <v>4.6100000000000003</v>
      </c>
      <c r="T129" s="30">
        <v>17.149999999999999</v>
      </c>
      <c r="U129" s="30">
        <v>150400</v>
      </c>
      <c r="V129" s="29" t="s">
        <v>151</v>
      </c>
      <c r="W129" s="29" t="s">
        <v>98</v>
      </c>
      <c r="X129" s="29" t="s">
        <v>340</v>
      </c>
      <c r="Y129" s="29" t="s">
        <v>85</v>
      </c>
      <c r="Z129" s="39"/>
    </row>
    <row r="130" spans="1:26" hidden="1">
      <c r="A130" s="28">
        <v>100190</v>
      </c>
      <c r="B130" s="29" t="s">
        <v>326</v>
      </c>
      <c r="C130" s="29" t="s">
        <v>239</v>
      </c>
      <c r="D130" s="29" t="s">
        <v>82</v>
      </c>
      <c r="E130" s="31">
        <v>42713</v>
      </c>
      <c r="F130" s="29" t="s">
        <v>92</v>
      </c>
      <c r="G130" s="30">
        <v>155523</v>
      </c>
      <c r="H130" s="30">
        <v>0</v>
      </c>
      <c r="I130" s="30">
        <v>52535.16</v>
      </c>
      <c r="J130" s="30">
        <v>0</v>
      </c>
      <c r="K130" s="30">
        <v>0</v>
      </c>
      <c r="L130" s="30">
        <v>0</v>
      </c>
      <c r="M130" s="30">
        <v>86859.75</v>
      </c>
      <c r="N130" s="30">
        <v>294917.90999999997</v>
      </c>
      <c r="O130" s="30">
        <v>7800</v>
      </c>
      <c r="P130" s="30">
        <v>2949.18</v>
      </c>
      <c r="Q130" s="30">
        <v>2949.18</v>
      </c>
      <c r="R130" s="30">
        <v>0</v>
      </c>
      <c r="S130" s="30">
        <v>69.84</v>
      </c>
      <c r="T130" s="30">
        <v>89.39</v>
      </c>
      <c r="U130" s="30">
        <v>281200</v>
      </c>
      <c r="V130" s="29" t="s">
        <v>151</v>
      </c>
      <c r="W130" s="29" t="s">
        <v>98</v>
      </c>
      <c r="X130" s="29" t="s">
        <v>340</v>
      </c>
      <c r="Y130" s="29" t="s">
        <v>85</v>
      </c>
      <c r="Z130" s="39"/>
    </row>
    <row r="131" spans="1:26" hidden="1">
      <c r="A131" s="28">
        <v>100206</v>
      </c>
      <c r="B131" s="29" t="s">
        <v>321</v>
      </c>
      <c r="C131" s="29" t="s">
        <v>240</v>
      </c>
      <c r="D131" s="29" t="s">
        <v>82</v>
      </c>
      <c r="E131" s="31">
        <v>42913</v>
      </c>
      <c r="F131" s="29" t="s">
        <v>92</v>
      </c>
      <c r="G131" s="30">
        <v>155523</v>
      </c>
      <c r="H131" s="30">
        <v>0</v>
      </c>
      <c r="I131" s="30">
        <v>33091.32</v>
      </c>
      <c r="J131" s="30">
        <v>0</v>
      </c>
      <c r="K131" s="30">
        <v>0</v>
      </c>
      <c r="L131" s="30">
        <v>0</v>
      </c>
      <c r="M131" s="30">
        <v>0</v>
      </c>
      <c r="N131" s="30">
        <v>188614.32</v>
      </c>
      <c r="O131" s="30">
        <v>2000</v>
      </c>
      <c r="P131" s="30">
        <v>1886.14</v>
      </c>
      <c r="Q131" s="30">
        <v>1886.14</v>
      </c>
      <c r="R131" s="30">
        <v>0</v>
      </c>
      <c r="S131" s="30">
        <v>25.22</v>
      </c>
      <c r="T131" s="30">
        <v>67.260000000000005</v>
      </c>
      <c r="U131" s="30">
        <v>182800</v>
      </c>
      <c r="V131" s="29" t="s">
        <v>151</v>
      </c>
      <c r="W131" s="29" t="s">
        <v>98</v>
      </c>
      <c r="X131" s="29" t="s">
        <v>340</v>
      </c>
      <c r="Y131" s="29" t="s">
        <v>85</v>
      </c>
      <c r="Z131" s="39"/>
    </row>
    <row r="132" spans="1:26" hidden="1">
      <c r="A132" s="28">
        <v>100214</v>
      </c>
      <c r="B132" s="29" t="s">
        <v>327</v>
      </c>
      <c r="C132" s="29" t="s">
        <v>241</v>
      </c>
      <c r="D132" s="29" t="s">
        <v>82</v>
      </c>
      <c r="E132" s="31">
        <v>42913</v>
      </c>
      <c r="F132" s="29" t="s">
        <v>92</v>
      </c>
      <c r="G132" s="30">
        <v>155523</v>
      </c>
      <c r="H132" s="30">
        <v>0</v>
      </c>
      <c r="I132" s="30">
        <v>0</v>
      </c>
      <c r="J132" s="30">
        <v>0</v>
      </c>
      <c r="K132" s="30">
        <v>0</v>
      </c>
      <c r="L132" s="30">
        <v>0</v>
      </c>
      <c r="M132" s="30">
        <v>0</v>
      </c>
      <c r="N132" s="30">
        <v>155523</v>
      </c>
      <c r="O132" s="30">
        <v>2000</v>
      </c>
      <c r="P132" s="30">
        <v>1555.23</v>
      </c>
      <c r="Q132" s="30">
        <v>1555.23</v>
      </c>
      <c r="R132" s="30">
        <v>0</v>
      </c>
      <c r="S132" s="30">
        <v>46.69</v>
      </c>
      <c r="T132" s="30">
        <v>59.23</v>
      </c>
      <c r="U132" s="30">
        <v>150400</v>
      </c>
      <c r="V132" s="29" t="s">
        <v>151</v>
      </c>
      <c r="W132" s="29" t="s">
        <v>98</v>
      </c>
      <c r="X132" s="29" t="s">
        <v>340</v>
      </c>
      <c r="Y132" s="29" t="s">
        <v>85</v>
      </c>
      <c r="Z132" s="39"/>
    </row>
    <row r="133" spans="1:26" hidden="1">
      <c r="A133" s="28">
        <v>100225</v>
      </c>
      <c r="B133" s="29" t="s">
        <v>277</v>
      </c>
      <c r="C133" s="29" t="s">
        <v>242</v>
      </c>
      <c r="D133" s="29" t="s">
        <v>91</v>
      </c>
      <c r="E133" s="31">
        <v>42793</v>
      </c>
      <c r="F133" s="29" t="s">
        <v>92</v>
      </c>
      <c r="G133" s="30">
        <v>155523</v>
      </c>
      <c r="H133" s="30">
        <v>0</v>
      </c>
      <c r="I133" s="30">
        <v>13997.41</v>
      </c>
      <c r="J133" s="30">
        <v>0</v>
      </c>
      <c r="K133" s="30">
        <v>0</v>
      </c>
      <c r="L133" s="30">
        <v>0</v>
      </c>
      <c r="M133" s="30">
        <v>0</v>
      </c>
      <c r="N133" s="30">
        <v>169520.41</v>
      </c>
      <c r="O133" s="30">
        <v>2000</v>
      </c>
      <c r="P133" s="30">
        <v>1695.2</v>
      </c>
      <c r="Q133" s="30">
        <v>1695.2</v>
      </c>
      <c r="R133" s="30">
        <v>0</v>
      </c>
      <c r="S133" s="30">
        <v>12.54</v>
      </c>
      <c r="T133" s="30">
        <v>42.55</v>
      </c>
      <c r="U133" s="30">
        <v>164100</v>
      </c>
      <c r="V133" s="29" t="s">
        <v>151</v>
      </c>
      <c r="W133" s="29" t="s">
        <v>98</v>
      </c>
      <c r="X133" s="29" t="s">
        <v>340</v>
      </c>
      <c r="Y133" s="29" t="s">
        <v>85</v>
      </c>
      <c r="Z133" s="39"/>
    </row>
    <row r="134" spans="1:26" hidden="1">
      <c r="A134" s="28">
        <v>100241</v>
      </c>
      <c r="B134" s="29" t="s">
        <v>328</v>
      </c>
      <c r="C134" s="29" t="s">
        <v>243</v>
      </c>
      <c r="D134" s="29" t="s">
        <v>91</v>
      </c>
      <c r="E134" s="31">
        <v>43003</v>
      </c>
      <c r="F134" s="29" t="s">
        <v>92</v>
      </c>
      <c r="G134" s="30">
        <v>155523</v>
      </c>
      <c r="H134" s="30">
        <v>0</v>
      </c>
      <c r="I134" s="30">
        <v>74473.41</v>
      </c>
      <c r="J134" s="30">
        <v>0</v>
      </c>
      <c r="K134" s="30">
        <v>0</v>
      </c>
      <c r="L134" s="30">
        <v>0</v>
      </c>
      <c r="M134" s="30">
        <v>0</v>
      </c>
      <c r="N134" s="30">
        <v>229996.41</v>
      </c>
      <c r="O134" s="30">
        <v>2000</v>
      </c>
      <c r="P134" s="30">
        <v>2299.96</v>
      </c>
      <c r="Q134" s="30">
        <v>2299.96</v>
      </c>
      <c r="R134" s="30">
        <v>0</v>
      </c>
      <c r="S134" s="30">
        <v>12.54</v>
      </c>
      <c r="T134" s="30">
        <v>9.0299999999999994</v>
      </c>
      <c r="U134" s="30">
        <v>223400</v>
      </c>
      <c r="V134" s="29" t="s">
        <v>151</v>
      </c>
      <c r="W134" s="29" t="s">
        <v>98</v>
      </c>
      <c r="X134" s="29" t="s">
        <v>340</v>
      </c>
      <c r="Y134" s="29" t="s">
        <v>85</v>
      </c>
      <c r="Z134" s="39"/>
    </row>
    <row r="135" spans="1:26" hidden="1">
      <c r="A135" s="28">
        <v>100244</v>
      </c>
      <c r="B135" s="29" t="s">
        <v>329</v>
      </c>
      <c r="C135" s="29"/>
      <c r="D135" s="29" t="s">
        <v>91</v>
      </c>
      <c r="E135" s="31">
        <v>43003</v>
      </c>
      <c r="F135" s="29" t="s">
        <v>92</v>
      </c>
      <c r="G135" s="30">
        <v>155523</v>
      </c>
      <c r="H135" s="30">
        <v>0</v>
      </c>
      <c r="I135" s="30">
        <v>41498.74</v>
      </c>
      <c r="J135" s="30">
        <v>0</v>
      </c>
      <c r="K135" s="30">
        <v>0</v>
      </c>
      <c r="L135" s="30">
        <v>0</v>
      </c>
      <c r="M135" s="30">
        <v>0</v>
      </c>
      <c r="N135" s="30">
        <v>197021.74</v>
      </c>
      <c r="O135" s="30">
        <v>2000</v>
      </c>
      <c r="P135" s="30">
        <v>1970.22</v>
      </c>
      <c r="Q135" s="30">
        <v>1970.22</v>
      </c>
      <c r="R135" s="30">
        <v>0</v>
      </c>
      <c r="S135" s="30">
        <v>71.27</v>
      </c>
      <c r="T135" s="30">
        <v>52.57</v>
      </c>
      <c r="U135" s="30">
        <v>191100</v>
      </c>
      <c r="V135" s="29" t="s">
        <v>151</v>
      </c>
      <c r="W135" s="29" t="s">
        <v>98</v>
      </c>
      <c r="X135" s="29" t="s">
        <v>340</v>
      </c>
      <c r="Y135" s="29" t="s">
        <v>85</v>
      </c>
      <c r="Z135" s="39"/>
    </row>
    <row r="136" spans="1:26">
      <c r="E136" s="55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</row>
    <row r="137" spans="1:26">
      <c r="E137" s="55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</row>
    <row r="138" spans="1:26">
      <c r="A138" s="7" t="str">
        <f>""</f>
        <v/>
      </c>
      <c r="B138" s="1" t="str">
        <f>""</f>
        <v/>
      </c>
      <c r="C138" s="1" t="str">
        <f>""</f>
        <v/>
      </c>
      <c r="D138" s="1" t="str">
        <f>""</f>
        <v/>
      </c>
      <c r="E138" s="1">
        <v>129</v>
      </c>
      <c r="F138" s="1" t="str">
        <f>""</f>
        <v/>
      </c>
      <c r="G138" s="27">
        <f>SUM(G7:G135)</f>
        <v>18435311.490000002</v>
      </c>
      <c r="H138" s="27">
        <f t="shared" ref="H138:U138" si="3">SUM(H7:H135)</f>
        <v>521988.10000000003</v>
      </c>
      <c r="I138" s="27">
        <f t="shared" si="3"/>
        <v>853866.03</v>
      </c>
      <c r="J138" s="27">
        <f t="shared" si="3"/>
        <v>1723</v>
      </c>
      <c r="K138" s="27">
        <f t="shared" si="3"/>
        <v>521988.10000000003</v>
      </c>
      <c r="L138" s="27">
        <f t="shared" si="3"/>
        <v>0</v>
      </c>
      <c r="M138" s="27">
        <f t="shared" si="3"/>
        <v>497439</v>
      </c>
      <c r="N138" s="27">
        <f t="shared" si="3"/>
        <v>19786616.52</v>
      </c>
      <c r="O138" s="27">
        <f t="shared" si="3"/>
        <v>842360</v>
      </c>
      <c r="P138" s="27">
        <f t="shared" si="3"/>
        <v>130388.41999999995</v>
      </c>
      <c r="Q138" s="27">
        <f t="shared" si="3"/>
        <v>104030.96999999999</v>
      </c>
      <c r="R138" s="27">
        <f t="shared" si="3"/>
        <v>0</v>
      </c>
      <c r="S138" s="27">
        <f t="shared" si="3"/>
        <v>2550.8199999999997</v>
      </c>
      <c r="T138" s="27">
        <f t="shared" si="3"/>
        <v>2887.9500000000007</v>
      </c>
      <c r="U138" s="27">
        <f t="shared" si="3"/>
        <v>18709500</v>
      </c>
      <c r="V138" s="1" t="str">
        <f>""</f>
        <v/>
      </c>
      <c r="W138" s="1" t="str">
        <f>""</f>
        <v/>
      </c>
      <c r="X138" s="1" t="str">
        <f>""</f>
        <v/>
      </c>
      <c r="Y138" s="1" t="str">
        <f>""</f>
        <v/>
      </c>
    </row>
    <row r="139" spans="1:26">
      <c r="A139" s="79" t="s">
        <v>353</v>
      </c>
      <c r="E139" s="27">
        <f>+E5</f>
        <v>0</v>
      </c>
      <c r="G139" s="1159" t="s">
        <v>358</v>
      </c>
      <c r="H139" s="1159"/>
      <c r="L139" s="27">
        <f t="shared" ref="L139:U139" si="4">+L5</f>
        <v>0</v>
      </c>
      <c r="M139" s="27">
        <f t="shared" si="4"/>
        <v>0</v>
      </c>
      <c r="N139" s="27">
        <f t="shared" si="4"/>
        <v>321500</v>
      </c>
      <c r="O139" s="27">
        <f t="shared" si="4"/>
        <v>18000</v>
      </c>
      <c r="P139" s="27">
        <f t="shared" si="4"/>
        <v>0</v>
      </c>
      <c r="Q139" s="27">
        <f t="shared" si="4"/>
        <v>0</v>
      </c>
      <c r="R139" s="27">
        <f t="shared" si="4"/>
        <v>0</v>
      </c>
      <c r="S139" s="27">
        <f t="shared" si="4"/>
        <v>0</v>
      </c>
      <c r="T139" s="27">
        <f t="shared" si="4"/>
        <v>0</v>
      </c>
      <c r="U139" s="27">
        <f t="shared" si="4"/>
        <v>303500</v>
      </c>
    </row>
    <row r="140" spans="1:26">
      <c r="B140" s="74" t="s">
        <v>344</v>
      </c>
      <c r="C140" s="76" t="s">
        <v>21</v>
      </c>
      <c r="D140" s="76" t="s">
        <v>16</v>
      </c>
      <c r="E140" s="76" t="s">
        <v>345</v>
      </c>
      <c r="F140" s="76" t="s">
        <v>346</v>
      </c>
      <c r="G140" s="76" t="s">
        <v>356</v>
      </c>
      <c r="H140" s="76" t="s">
        <v>357</v>
      </c>
    </row>
    <row r="141" spans="1:26">
      <c r="B141" s="75" t="s">
        <v>175</v>
      </c>
      <c r="C141" s="77">
        <v>650000</v>
      </c>
      <c r="D141" s="77">
        <v>71400</v>
      </c>
      <c r="E141" s="77">
        <v>6500</v>
      </c>
      <c r="F141" s="77">
        <v>6500</v>
      </c>
      <c r="G141" s="27">
        <f>+E141*13</f>
        <v>84500</v>
      </c>
      <c r="H141" s="27">
        <f>+F141*5</f>
        <v>32500</v>
      </c>
    </row>
    <row r="142" spans="1:26">
      <c r="B142" s="75" t="s">
        <v>200</v>
      </c>
      <c r="C142" s="77">
        <v>500000</v>
      </c>
      <c r="D142" s="77">
        <v>44000</v>
      </c>
      <c r="E142" s="77">
        <v>5000</v>
      </c>
      <c r="F142" s="77">
        <v>5000</v>
      </c>
      <c r="G142" s="27">
        <f t="shared" ref="G142:G215" si="5">+E142*13</f>
        <v>65000</v>
      </c>
      <c r="H142" s="27">
        <f t="shared" ref="H142:H215" si="6">+F142*5</f>
        <v>25000</v>
      </c>
    </row>
    <row r="143" spans="1:26">
      <c r="B143" s="75" t="s">
        <v>206</v>
      </c>
      <c r="C143" s="77">
        <v>2194958.4900000002</v>
      </c>
      <c r="D143" s="77">
        <v>382500</v>
      </c>
      <c r="E143" s="77">
        <v>12441.84</v>
      </c>
      <c r="F143" s="77">
        <v>0</v>
      </c>
      <c r="G143" s="27">
        <f t="shared" si="5"/>
        <v>161743.92000000001</v>
      </c>
      <c r="H143" s="27">
        <f t="shared" si="6"/>
        <v>0</v>
      </c>
    </row>
    <row r="144" spans="1:26">
      <c r="B144" s="75" t="s">
        <v>211</v>
      </c>
      <c r="C144" s="77">
        <v>246051</v>
      </c>
      <c r="D144" s="77">
        <v>2000</v>
      </c>
      <c r="E144" s="77">
        <v>2460.5100000000002</v>
      </c>
      <c r="F144" s="77">
        <v>2460.5100000000002</v>
      </c>
      <c r="G144" s="27">
        <f t="shared" si="5"/>
        <v>31986.630000000005</v>
      </c>
      <c r="H144" s="27">
        <f t="shared" si="6"/>
        <v>12302.550000000001</v>
      </c>
    </row>
    <row r="145" spans="2:15">
      <c r="B145" s="75" t="s">
        <v>229</v>
      </c>
      <c r="C145" s="77">
        <v>213554</v>
      </c>
      <c r="D145" s="77">
        <v>2000</v>
      </c>
      <c r="E145" s="77">
        <v>2135.54</v>
      </c>
      <c r="F145" s="77">
        <v>2135.54</v>
      </c>
      <c r="G145" s="27">
        <f t="shared" si="5"/>
        <v>27762.02</v>
      </c>
      <c r="H145" s="27">
        <f t="shared" si="6"/>
        <v>10677.7</v>
      </c>
    </row>
    <row r="146" spans="2:15">
      <c r="B146" s="75" t="s">
        <v>231</v>
      </c>
      <c r="C146" s="77">
        <v>171771</v>
      </c>
      <c r="D146" s="77">
        <v>2000</v>
      </c>
      <c r="E146" s="77">
        <v>1717.71</v>
      </c>
      <c r="F146" s="77">
        <v>1717.71</v>
      </c>
      <c r="G146" s="27">
        <f t="shared" si="5"/>
        <v>22330.23</v>
      </c>
      <c r="H146" s="27">
        <f t="shared" si="6"/>
        <v>8588.5499999999993</v>
      </c>
    </row>
    <row r="147" spans="2:15">
      <c r="B147" s="74" t="s">
        <v>347</v>
      </c>
      <c r="C147" s="77"/>
      <c r="D147" s="77"/>
      <c r="E147" s="77"/>
      <c r="F147" s="77"/>
      <c r="G147" s="128">
        <f>SUBTOTAL(9,G141:G146)</f>
        <v>393322.80000000005</v>
      </c>
      <c r="H147" s="128">
        <f>SUBTOTAL(9,H141:H146)</f>
        <v>89068.800000000003</v>
      </c>
    </row>
    <row r="148" spans="2:15">
      <c r="B148" s="75" t="s">
        <v>82</v>
      </c>
      <c r="C148" s="77">
        <v>202296.05</v>
      </c>
      <c r="D148" s="77">
        <v>2000</v>
      </c>
      <c r="E148" s="77">
        <v>2022.96</v>
      </c>
      <c r="F148" s="77">
        <v>2022.96</v>
      </c>
      <c r="G148" s="27">
        <f t="shared" si="5"/>
        <v>26298.48</v>
      </c>
      <c r="H148" s="27">
        <f t="shared" si="6"/>
        <v>10114.799999999999</v>
      </c>
      <c r="I148" s="27" t="s">
        <v>124</v>
      </c>
      <c r="J148" s="27">
        <v>24</v>
      </c>
      <c r="K148" s="27">
        <v>3500</v>
      </c>
      <c r="L148" s="27">
        <f t="shared" ref="L148:L150" si="7">+J148*K148</f>
        <v>84000</v>
      </c>
      <c r="M148" s="27">
        <v>2000</v>
      </c>
      <c r="N148" s="27" t="s">
        <v>472</v>
      </c>
      <c r="O148" s="27">
        <v>1</v>
      </c>
    </row>
    <row r="149" spans="2:15">
      <c r="B149" s="75" t="s">
        <v>82</v>
      </c>
      <c r="C149" s="77">
        <v>182797</v>
      </c>
      <c r="D149" s="77">
        <v>2000</v>
      </c>
      <c r="E149" s="77">
        <v>1827.97</v>
      </c>
      <c r="F149" s="77">
        <v>1827.97</v>
      </c>
      <c r="G149" s="27">
        <f t="shared" si="5"/>
        <v>23763.61</v>
      </c>
      <c r="H149" s="27">
        <f t="shared" si="6"/>
        <v>9139.85</v>
      </c>
      <c r="I149" s="27" t="s">
        <v>124</v>
      </c>
      <c r="J149" s="27">
        <v>9</v>
      </c>
      <c r="K149" s="27">
        <v>3500</v>
      </c>
      <c r="L149" s="27">
        <f t="shared" si="7"/>
        <v>31500</v>
      </c>
      <c r="M149" s="27">
        <v>2000</v>
      </c>
      <c r="N149" s="27">
        <v>0</v>
      </c>
      <c r="O149" s="27">
        <v>0</v>
      </c>
    </row>
    <row r="150" spans="2:15">
      <c r="B150" s="75" t="s">
        <v>124</v>
      </c>
      <c r="C150" s="77">
        <v>164808</v>
      </c>
      <c r="D150" s="77">
        <v>2000</v>
      </c>
      <c r="E150" s="77">
        <v>1648.08</v>
      </c>
      <c r="F150" s="77">
        <v>1648.08</v>
      </c>
      <c r="G150" s="27">
        <f t="shared" si="5"/>
        <v>21425.040000000001</v>
      </c>
      <c r="H150" s="27">
        <f t="shared" si="6"/>
        <v>8240.4</v>
      </c>
      <c r="I150" s="27" t="s">
        <v>124</v>
      </c>
      <c r="J150" s="27">
        <v>5</v>
      </c>
      <c r="K150" s="27">
        <v>3500</v>
      </c>
      <c r="L150" s="27">
        <f t="shared" si="7"/>
        <v>17500</v>
      </c>
      <c r="M150" s="27">
        <v>2000</v>
      </c>
      <c r="N150" s="27">
        <v>0</v>
      </c>
      <c r="O150" s="27">
        <v>0</v>
      </c>
    </row>
    <row r="151" spans="2:15">
      <c r="B151" s="75" t="s">
        <v>178</v>
      </c>
      <c r="C151" s="77">
        <v>164808</v>
      </c>
      <c r="D151" s="77">
        <v>2000</v>
      </c>
      <c r="E151" s="77">
        <v>1648.08</v>
      </c>
      <c r="F151" s="77">
        <v>1648.08</v>
      </c>
      <c r="G151" s="27">
        <f t="shared" si="5"/>
        <v>21425.040000000001</v>
      </c>
      <c r="H151" s="27">
        <f t="shared" si="6"/>
        <v>8240.4</v>
      </c>
    </row>
    <row r="152" spans="2:15">
      <c r="B152" s="75" t="s">
        <v>180</v>
      </c>
      <c r="C152" s="77">
        <v>315108</v>
      </c>
      <c r="D152" s="77">
        <v>11760</v>
      </c>
      <c r="E152" s="77">
        <v>3151.08</v>
      </c>
      <c r="F152" s="77">
        <v>3151.08</v>
      </c>
      <c r="G152" s="27">
        <f t="shared" si="5"/>
        <v>40964.04</v>
      </c>
      <c r="H152" s="27">
        <f t="shared" si="6"/>
        <v>15755.4</v>
      </c>
    </row>
    <row r="153" spans="2:15">
      <c r="B153" s="75" t="s">
        <v>191</v>
      </c>
      <c r="C153" s="77">
        <v>371120.7</v>
      </c>
      <c r="D153" s="77">
        <v>22720</v>
      </c>
      <c r="E153" s="77">
        <v>3711.21</v>
      </c>
      <c r="F153" s="77">
        <v>3711.21</v>
      </c>
      <c r="G153" s="27">
        <f t="shared" si="5"/>
        <v>48245.73</v>
      </c>
      <c r="H153" s="27">
        <f t="shared" si="6"/>
        <v>18556.05</v>
      </c>
    </row>
    <row r="154" spans="2:15">
      <c r="B154" s="75" t="s">
        <v>197</v>
      </c>
      <c r="C154" s="77">
        <v>159585</v>
      </c>
      <c r="D154" s="77">
        <v>2000</v>
      </c>
      <c r="E154" s="77">
        <v>1595.85</v>
      </c>
      <c r="F154" s="77">
        <v>1595.85</v>
      </c>
      <c r="G154" s="27">
        <f t="shared" si="5"/>
        <v>20746.05</v>
      </c>
      <c r="H154" s="27">
        <f t="shared" si="6"/>
        <v>7979.25</v>
      </c>
    </row>
    <row r="155" spans="2:15">
      <c r="B155" s="74" t="s">
        <v>348</v>
      </c>
      <c r="C155" s="77"/>
      <c r="D155" s="77"/>
      <c r="E155" s="77"/>
      <c r="F155" s="77"/>
      <c r="G155" s="128">
        <f>SUBTOTAL(9,G148:G154)</f>
        <v>202867.99000000002</v>
      </c>
      <c r="H155" s="128">
        <f>SUBTOTAL(9,H148:H154)</f>
        <v>78026.150000000009</v>
      </c>
    </row>
    <row r="156" spans="2:15">
      <c r="B156" s="75" t="s">
        <v>156</v>
      </c>
      <c r="C156" s="77">
        <v>207408.4</v>
      </c>
      <c r="D156" s="77">
        <v>2000</v>
      </c>
      <c r="E156" s="77">
        <v>2074.08</v>
      </c>
      <c r="F156" s="77">
        <v>2074.08</v>
      </c>
      <c r="G156" s="27">
        <f t="shared" si="5"/>
        <v>26963.040000000001</v>
      </c>
      <c r="H156" s="27">
        <f t="shared" si="6"/>
        <v>10370.4</v>
      </c>
      <c r="I156" s="27" t="s">
        <v>82</v>
      </c>
      <c r="J156" s="27">
        <v>35</v>
      </c>
      <c r="K156" s="27">
        <v>3500</v>
      </c>
      <c r="L156" s="27">
        <f>+J156*K156</f>
        <v>122500</v>
      </c>
      <c r="M156" s="27">
        <v>2000</v>
      </c>
      <c r="N156" s="27" t="s">
        <v>472</v>
      </c>
      <c r="O156" s="27">
        <v>20</v>
      </c>
    </row>
    <row r="157" spans="2:15">
      <c r="B157" s="75" t="s">
        <v>204</v>
      </c>
      <c r="C157" s="77">
        <v>322778.14</v>
      </c>
      <c r="D157" s="77">
        <v>13260</v>
      </c>
      <c r="E157" s="77">
        <v>3227.78</v>
      </c>
      <c r="F157" s="77">
        <v>3227.78</v>
      </c>
      <c r="G157" s="27">
        <f t="shared" si="5"/>
        <v>41961.14</v>
      </c>
      <c r="H157" s="27">
        <f t="shared" si="6"/>
        <v>16138.900000000001</v>
      </c>
      <c r="I157" s="27" t="s">
        <v>82</v>
      </c>
      <c r="J157" s="27">
        <v>34</v>
      </c>
      <c r="K157" s="27">
        <v>3500</v>
      </c>
      <c r="L157" s="27">
        <f t="shared" ref="L157:L181" si="8">+J157*K157</f>
        <v>119000</v>
      </c>
      <c r="M157" s="27">
        <v>2000</v>
      </c>
      <c r="N157" s="27">
        <v>0</v>
      </c>
      <c r="O157" s="27">
        <v>0</v>
      </c>
    </row>
    <row r="158" spans="2:15">
      <c r="B158" s="75" t="s">
        <v>182</v>
      </c>
      <c r="C158" s="77">
        <v>295000</v>
      </c>
      <c r="D158" s="77">
        <v>5000</v>
      </c>
      <c r="E158" s="77">
        <v>0</v>
      </c>
      <c r="F158" s="77">
        <v>0</v>
      </c>
      <c r="G158" s="27">
        <f t="shared" si="5"/>
        <v>0</v>
      </c>
      <c r="H158" s="27">
        <f t="shared" si="6"/>
        <v>0</v>
      </c>
      <c r="I158" s="27" t="s">
        <v>82</v>
      </c>
      <c r="J158" s="27">
        <v>34</v>
      </c>
      <c r="K158" s="27">
        <v>3500</v>
      </c>
      <c r="L158" s="27">
        <f t="shared" si="8"/>
        <v>119000</v>
      </c>
      <c r="M158" s="27">
        <v>2000</v>
      </c>
      <c r="N158" s="27">
        <v>0</v>
      </c>
      <c r="O158" s="27">
        <v>0</v>
      </c>
    </row>
    <row r="159" spans="2:15">
      <c r="B159" s="75" t="s">
        <v>197</v>
      </c>
      <c r="C159" s="77">
        <v>159585</v>
      </c>
      <c r="D159" s="77">
        <v>2000</v>
      </c>
      <c r="E159" s="77">
        <v>1595.85</v>
      </c>
      <c r="F159" s="77">
        <v>1595.85</v>
      </c>
      <c r="G159" s="27">
        <f t="shared" si="5"/>
        <v>20746.05</v>
      </c>
      <c r="H159" s="27">
        <f t="shared" si="6"/>
        <v>7979.25</v>
      </c>
      <c r="I159" s="27" t="s">
        <v>82</v>
      </c>
      <c r="J159" s="27">
        <v>32</v>
      </c>
      <c r="K159" s="27">
        <v>3500</v>
      </c>
      <c r="L159" s="27">
        <f t="shared" si="8"/>
        <v>112000</v>
      </c>
      <c r="M159" s="27">
        <v>2000</v>
      </c>
      <c r="N159" s="27">
        <v>0</v>
      </c>
      <c r="O159" s="27">
        <v>0</v>
      </c>
    </row>
    <row r="160" spans="2:15">
      <c r="B160" s="75" t="s">
        <v>182</v>
      </c>
      <c r="C160" s="77">
        <v>388542.92</v>
      </c>
      <c r="D160" s="77">
        <v>26140</v>
      </c>
      <c r="E160" s="77">
        <v>3885.43</v>
      </c>
      <c r="F160" s="77">
        <v>3885.43</v>
      </c>
      <c r="G160" s="27">
        <f t="shared" si="5"/>
        <v>50510.59</v>
      </c>
      <c r="H160" s="27">
        <f t="shared" si="6"/>
        <v>19427.149999999998</v>
      </c>
      <c r="I160" s="27" t="s">
        <v>82</v>
      </c>
      <c r="J160" s="27">
        <v>31</v>
      </c>
      <c r="K160" s="27">
        <v>3500</v>
      </c>
      <c r="L160" s="27">
        <f t="shared" si="8"/>
        <v>108500</v>
      </c>
      <c r="M160" s="27">
        <v>2000</v>
      </c>
      <c r="N160" s="27">
        <v>0</v>
      </c>
      <c r="O160" s="27">
        <v>0</v>
      </c>
    </row>
    <row r="161" spans="2:15">
      <c r="B161" s="75" t="s">
        <v>215</v>
      </c>
      <c r="C161" s="77">
        <v>161906</v>
      </c>
      <c r="D161" s="77">
        <v>2000</v>
      </c>
      <c r="E161" s="77">
        <v>1619.06</v>
      </c>
      <c r="F161" s="77">
        <v>1619.06</v>
      </c>
      <c r="G161" s="27">
        <f t="shared" si="5"/>
        <v>21047.78</v>
      </c>
      <c r="H161" s="27">
        <f t="shared" si="6"/>
        <v>8095.2999999999993</v>
      </c>
      <c r="I161" s="27" t="s">
        <v>82</v>
      </c>
      <c r="J161" s="27">
        <v>31</v>
      </c>
      <c r="K161" s="27">
        <v>3500</v>
      </c>
      <c r="L161" s="27">
        <f t="shared" si="8"/>
        <v>108500</v>
      </c>
      <c r="M161" s="27">
        <v>2000</v>
      </c>
      <c r="N161" s="27">
        <v>0</v>
      </c>
      <c r="O161" s="27">
        <v>0</v>
      </c>
    </row>
    <row r="162" spans="2:15">
      <c r="B162" s="75" t="s">
        <v>197</v>
      </c>
      <c r="C162" s="77">
        <v>155523</v>
      </c>
      <c r="D162" s="77">
        <v>2000</v>
      </c>
      <c r="E162" s="77">
        <v>1555.23</v>
      </c>
      <c r="F162" s="77">
        <v>1555.23</v>
      </c>
      <c r="G162" s="27">
        <f t="shared" si="5"/>
        <v>20217.990000000002</v>
      </c>
      <c r="H162" s="27">
        <f t="shared" si="6"/>
        <v>7776.15</v>
      </c>
      <c r="I162" s="27" t="s">
        <v>82</v>
      </c>
      <c r="J162" s="27">
        <v>31</v>
      </c>
      <c r="K162" s="27">
        <v>3500</v>
      </c>
      <c r="L162" s="27">
        <f t="shared" si="8"/>
        <v>108500</v>
      </c>
      <c r="M162" s="27">
        <v>2000</v>
      </c>
      <c r="N162" s="27">
        <v>0</v>
      </c>
      <c r="O162" s="27">
        <v>0</v>
      </c>
    </row>
    <row r="163" spans="2:15">
      <c r="B163" s="75" t="s">
        <v>215</v>
      </c>
      <c r="C163" s="77">
        <v>157264</v>
      </c>
      <c r="D163" s="77">
        <v>2000</v>
      </c>
      <c r="E163" s="77">
        <v>1572.64</v>
      </c>
      <c r="F163" s="77">
        <v>1572.64</v>
      </c>
      <c r="G163" s="27">
        <f t="shared" si="5"/>
        <v>20444.32</v>
      </c>
      <c r="H163" s="27">
        <f t="shared" si="6"/>
        <v>7863.2000000000007</v>
      </c>
      <c r="I163" s="27" t="s">
        <v>82</v>
      </c>
      <c r="J163" s="27">
        <v>31</v>
      </c>
      <c r="K163" s="27">
        <v>3500</v>
      </c>
      <c r="L163" s="27">
        <f t="shared" si="8"/>
        <v>108500</v>
      </c>
      <c r="M163" s="27">
        <v>2000</v>
      </c>
      <c r="N163" s="27">
        <v>0</v>
      </c>
      <c r="O163" s="27">
        <v>0</v>
      </c>
    </row>
    <row r="164" spans="2:15">
      <c r="B164" s="75" t="s">
        <v>215</v>
      </c>
      <c r="C164" s="77">
        <v>155523</v>
      </c>
      <c r="D164" s="77">
        <v>2000</v>
      </c>
      <c r="E164" s="77">
        <v>1555.23</v>
      </c>
      <c r="F164" s="77">
        <v>1555.23</v>
      </c>
      <c r="G164" s="27">
        <f t="shared" si="5"/>
        <v>20217.990000000002</v>
      </c>
      <c r="H164" s="27">
        <f t="shared" si="6"/>
        <v>7776.15</v>
      </c>
      <c r="I164" s="27" t="s">
        <v>82</v>
      </c>
      <c r="J164" s="27">
        <v>30</v>
      </c>
      <c r="K164" s="27">
        <v>3500</v>
      </c>
      <c r="L164" s="27">
        <f t="shared" si="8"/>
        <v>105000</v>
      </c>
      <c r="M164" s="27">
        <v>2000</v>
      </c>
      <c r="N164" s="27">
        <v>0</v>
      </c>
      <c r="O164" s="27">
        <v>0</v>
      </c>
    </row>
    <row r="165" spans="2:15">
      <c r="B165" s="75" t="s">
        <v>82</v>
      </c>
      <c r="C165" s="77">
        <v>207205.75</v>
      </c>
      <c r="D165" s="77">
        <v>2000</v>
      </c>
      <c r="E165" s="77">
        <v>2072.06</v>
      </c>
      <c r="F165" s="77">
        <v>2072.06</v>
      </c>
      <c r="G165" s="27">
        <f t="shared" si="5"/>
        <v>26936.78</v>
      </c>
      <c r="H165" s="27">
        <f t="shared" si="6"/>
        <v>10360.299999999999</v>
      </c>
      <c r="I165" s="27" t="s">
        <v>82</v>
      </c>
      <c r="J165" s="27">
        <v>29</v>
      </c>
      <c r="K165" s="27">
        <v>3500</v>
      </c>
      <c r="L165" s="27">
        <f t="shared" si="8"/>
        <v>101500</v>
      </c>
      <c r="M165" s="27">
        <v>2000</v>
      </c>
      <c r="N165" s="27">
        <v>0</v>
      </c>
      <c r="O165" s="27">
        <v>0</v>
      </c>
    </row>
    <row r="166" spans="2:15">
      <c r="B166" s="75" t="s">
        <v>82</v>
      </c>
      <c r="C166" s="77">
        <v>167537.45000000001</v>
      </c>
      <c r="D166" s="77">
        <v>2000</v>
      </c>
      <c r="E166" s="77">
        <v>1675.37</v>
      </c>
      <c r="F166" s="77">
        <v>1675.37</v>
      </c>
      <c r="G166" s="27">
        <f t="shared" si="5"/>
        <v>21779.809999999998</v>
      </c>
      <c r="H166" s="27">
        <f t="shared" si="6"/>
        <v>8376.8499999999985</v>
      </c>
      <c r="I166" s="27" t="s">
        <v>82</v>
      </c>
      <c r="J166" s="27">
        <v>28</v>
      </c>
      <c r="K166" s="27">
        <v>3500</v>
      </c>
      <c r="L166" s="27">
        <f t="shared" si="8"/>
        <v>98000</v>
      </c>
      <c r="M166" s="27">
        <v>2000</v>
      </c>
      <c r="N166" s="27">
        <v>0</v>
      </c>
      <c r="O166" s="27">
        <v>0</v>
      </c>
    </row>
    <row r="167" spans="2:15">
      <c r="B167" s="75" t="s">
        <v>82</v>
      </c>
      <c r="C167" s="77">
        <v>200646.71</v>
      </c>
      <c r="D167" s="77">
        <v>2000</v>
      </c>
      <c r="E167" s="77">
        <v>2006.47</v>
      </c>
      <c r="F167" s="77">
        <v>2006.47</v>
      </c>
      <c r="G167" s="27">
        <f t="shared" si="5"/>
        <v>26084.11</v>
      </c>
      <c r="H167" s="27">
        <f t="shared" si="6"/>
        <v>10032.35</v>
      </c>
      <c r="I167" s="27" t="s">
        <v>82</v>
      </c>
      <c r="J167" s="27">
        <v>27</v>
      </c>
      <c r="K167" s="27">
        <v>3500</v>
      </c>
      <c r="L167" s="27">
        <f t="shared" si="8"/>
        <v>94500</v>
      </c>
      <c r="M167" s="27">
        <v>2000</v>
      </c>
      <c r="N167" s="27">
        <v>0</v>
      </c>
      <c r="O167" s="27">
        <v>0</v>
      </c>
    </row>
    <row r="168" spans="2:15">
      <c r="B168" s="75" t="s">
        <v>82</v>
      </c>
      <c r="C168" s="77">
        <v>221059.6</v>
      </c>
      <c r="D168" s="77">
        <v>2000</v>
      </c>
      <c r="E168" s="77">
        <v>2210.6</v>
      </c>
      <c r="F168" s="77">
        <v>2210.6</v>
      </c>
      <c r="G168" s="27">
        <f t="shared" si="5"/>
        <v>28737.8</v>
      </c>
      <c r="H168" s="27">
        <f t="shared" si="6"/>
        <v>11053</v>
      </c>
      <c r="I168" s="27" t="s">
        <v>82</v>
      </c>
      <c r="J168" s="27">
        <v>26</v>
      </c>
      <c r="K168" s="27">
        <v>3500</v>
      </c>
      <c r="L168" s="27">
        <f t="shared" si="8"/>
        <v>91000</v>
      </c>
      <c r="M168" s="27">
        <v>2000</v>
      </c>
      <c r="N168" s="27">
        <v>0</v>
      </c>
      <c r="O168" s="27">
        <v>0</v>
      </c>
    </row>
    <row r="169" spans="2:15">
      <c r="B169" s="75" t="s">
        <v>82</v>
      </c>
      <c r="C169" s="77">
        <v>214473.64</v>
      </c>
      <c r="D169" s="77">
        <v>2000</v>
      </c>
      <c r="E169" s="77">
        <v>2144.7399999999998</v>
      </c>
      <c r="F169" s="77">
        <v>2144.7399999999998</v>
      </c>
      <c r="G169" s="27">
        <f t="shared" si="5"/>
        <v>27881.619999999995</v>
      </c>
      <c r="H169" s="27">
        <f t="shared" si="6"/>
        <v>10723.699999999999</v>
      </c>
      <c r="I169" s="27" t="s">
        <v>82</v>
      </c>
      <c r="J169" s="27">
        <v>26</v>
      </c>
      <c r="K169" s="27">
        <v>3500</v>
      </c>
      <c r="L169" s="27">
        <f t="shared" si="8"/>
        <v>91000</v>
      </c>
      <c r="M169" s="27">
        <v>2000</v>
      </c>
      <c r="N169" s="27">
        <v>0</v>
      </c>
      <c r="O169" s="27">
        <v>0</v>
      </c>
    </row>
    <row r="170" spans="2:15">
      <c r="B170" s="75" t="s">
        <v>82</v>
      </c>
      <c r="C170" s="77">
        <v>235380.03</v>
      </c>
      <c r="D170" s="77">
        <v>2000</v>
      </c>
      <c r="E170" s="77">
        <v>2353.8000000000002</v>
      </c>
      <c r="F170" s="77">
        <v>2353.8000000000002</v>
      </c>
      <c r="G170" s="27">
        <f t="shared" si="5"/>
        <v>30599.4</v>
      </c>
      <c r="H170" s="27">
        <f t="shared" si="6"/>
        <v>11769</v>
      </c>
      <c r="I170" s="27" t="s">
        <v>82</v>
      </c>
      <c r="J170" s="27">
        <v>24</v>
      </c>
      <c r="K170" s="27">
        <v>3500</v>
      </c>
      <c r="L170" s="27">
        <f t="shared" si="8"/>
        <v>84000</v>
      </c>
      <c r="M170" s="27">
        <v>2000</v>
      </c>
      <c r="N170" s="27">
        <v>0</v>
      </c>
      <c r="O170" s="27">
        <v>0</v>
      </c>
    </row>
    <row r="171" spans="2:15">
      <c r="B171" s="75" t="s">
        <v>82</v>
      </c>
      <c r="C171" s="77">
        <v>155523</v>
      </c>
      <c r="D171" s="77">
        <v>2000</v>
      </c>
      <c r="E171" s="77">
        <v>1555.23</v>
      </c>
      <c r="F171" s="77">
        <v>1555.23</v>
      </c>
      <c r="G171" s="27">
        <f t="shared" si="5"/>
        <v>20217.990000000002</v>
      </c>
      <c r="H171" s="27">
        <f t="shared" si="6"/>
        <v>7776.15</v>
      </c>
      <c r="I171" s="27" t="s">
        <v>82</v>
      </c>
      <c r="J171" s="27">
        <v>22</v>
      </c>
      <c r="K171" s="27">
        <v>3500</v>
      </c>
      <c r="L171" s="27">
        <f t="shared" si="8"/>
        <v>77000</v>
      </c>
      <c r="M171" s="27">
        <v>2000</v>
      </c>
      <c r="N171" s="27">
        <v>0</v>
      </c>
      <c r="O171" s="27">
        <v>0</v>
      </c>
    </row>
    <row r="172" spans="2:15">
      <c r="B172" s="75" t="s">
        <v>82</v>
      </c>
      <c r="C172" s="77">
        <v>294917.90999999997</v>
      </c>
      <c r="D172" s="77">
        <v>7800</v>
      </c>
      <c r="E172" s="77">
        <v>2949.18</v>
      </c>
      <c r="F172" s="77">
        <v>2949.18</v>
      </c>
      <c r="G172" s="27">
        <f t="shared" si="5"/>
        <v>38339.339999999997</v>
      </c>
      <c r="H172" s="27">
        <f t="shared" si="6"/>
        <v>14745.9</v>
      </c>
      <c r="I172" s="27" t="s">
        <v>82</v>
      </c>
      <c r="J172" s="27">
        <v>20</v>
      </c>
      <c r="K172" s="27">
        <v>3500</v>
      </c>
      <c r="L172" s="27">
        <f t="shared" si="8"/>
        <v>70000</v>
      </c>
      <c r="M172" s="27">
        <v>2000</v>
      </c>
      <c r="N172" s="27">
        <v>0</v>
      </c>
      <c r="O172" s="27">
        <v>0</v>
      </c>
    </row>
    <row r="173" spans="2:15">
      <c r="B173" s="75" t="s">
        <v>82</v>
      </c>
      <c r="C173" s="77">
        <v>188614.32</v>
      </c>
      <c r="D173" s="77">
        <v>2000</v>
      </c>
      <c r="E173" s="77">
        <v>1886.14</v>
      </c>
      <c r="F173" s="77">
        <v>1886.14</v>
      </c>
      <c r="G173" s="27">
        <f t="shared" si="5"/>
        <v>24519.82</v>
      </c>
      <c r="H173" s="27">
        <f t="shared" si="6"/>
        <v>9430.7000000000007</v>
      </c>
      <c r="I173" s="27" t="s">
        <v>82</v>
      </c>
      <c r="J173" s="27">
        <v>20</v>
      </c>
      <c r="K173" s="27">
        <v>3500</v>
      </c>
      <c r="L173" s="27">
        <f t="shared" si="8"/>
        <v>70000</v>
      </c>
      <c r="M173" s="27">
        <v>2000</v>
      </c>
      <c r="N173" s="27">
        <v>0</v>
      </c>
      <c r="O173" s="27">
        <v>0</v>
      </c>
    </row>
    <row r="174" spans="2:15">
      <c r="B174" s="75" t="s">
        <v>82</v>
      </c>
      <c r="C174" s="77">
        <v>155523</v>
      </c>
      <c r="D174" s="77">
        <v>2000</v>
      </c>
      <c r="E174" s="77">
        <v>1555.23</v>
      </c>
      <c r="F174" s="77">
        <v>1555.23</v>
      </c>
      <c r="G174" s="27">
        <f t="shared" si="5"/>
        <v>20217.990000000002</v>
      </c>
      <c r="H174" s="27">
        <f t="shared" si="6"/>
        <v>7776.15</v>
      </c>
      <c r="I174" s="27" t="s">
        <v>82</v>
      </c>
      <c r="J174" s="27">
        <v>15</v>
      </c>
      <c r="K174" s="27">
        <v>3500</v>
      </c>
      <c r="L174" s="27">
        <f t="shared" si="8"/>
        <v>52500</v>
      </c>
      <c r="M174" s="27">
        <v>2000</v>
      </c>
      <c r="N174" s="27">
        <v>0</v>
      </c>
      <c r="O174" s="27">
        <v>0</v>
      </c>
    </row>
    <row r="175" spans="2:15">
      <c r="B175" s="75" t="s">
        <v>82</v>
      </c>
      <c r="C175" s="77">
        <v>169520.41</v>
      </c>
      <c r="D175" s="77">
        <v>2000</v>
      </c>
      <c r="E175" s="77">
        <v>1695.2</v>
      </c>
      <c r="F175" s="77">
        <v>1695.2</v>
      </c>
      <c r="G175" s="27">
        <f t="shared" si="5"/>
        <v>22037.600000000002</v>
      </c>
      <c r="H175" s="27">
        <f t="shared" si="6"/>
        <v>8476</v>
      </c>
      <c r="I175" s="27" t="s">
        <v>82</v>
      </c>
      <c r="J175" s="27">
        <v>12</v>
      </c>
      <c r="K175" s="27">
        <v>3500</v>
      </c>
      <c r="L175" s="27">
        <f t="shared" si="8"/>
        <v>42000</v>
      </c>
      <c r="M175" s="27">
        <v>2000</v>
      </c>
      <c r="N175" s="27">
        <v>0</v>
      </c>
      <c r="O175" s="27">
        <v>0</v>
      </c>
    </row>
    <row r="176" spans="2:15">
      <c r="B176" s="75" t="s">
        <v>82</v>
      </c>
      <c r="C176" s="77">
        <v>229996.41</v>
      </c>
      <c r="D176" s="77">
        <v>2000</v>
      </c>
      <c r="E176" s="77">
        <v>2299.96</v>
      </c>
      <c r="F176" s="77">
        <v>2299.96</v>
      </c>
      <c r="G176" s="27">
        <f t="shared" si="5"/>
        <v>29899.48</v>
      </c>
      <c r="H176" s="27">
        <f t="shared" si="6"/>
        <v>11499.8</v>
      </c>
      <c r="I176" s="27" t="s">
        <v>142</v>
      </c>
      <c r="J176" s="27">
        <v>5</v>
      </c>
      <c r="K176" s="27">
        <v>3500</v>
      </c>
      <c r="L176" s="27">
        <f t="shared" si="8"/>
        <v>17500</v>
      </c>
      <c r="M176" s="27">
        <v>2000</v>
      </c>
      <c r="N176" s="27">
        <v>0</v>
      </c>
      <c r="O176" s="27">
        <v>0</v>
      </c>
    </row>
    <row r="177" spans="2:15">
      <c r="B177" s="75" t="s">
        <v>82</v>
      </c>
      <c r="C177" s="77">
        <v>197021.74</v>
      </c>
      <c r="D177" s="77">
        <v>2000</v>
      </c>
      <c r="E177" s="77">
        <v>1970.22</v>
      </c>
      <c r="F177" s="77">
        <v>1970.22</v>
      </c>
      <c r="G177" s="27">
        <f t="shared" si="5"/>
        <v>25612.86</v>
      </c>
      <c r="H177" s="27">
        <f t="shared" si="6"/>
        <v>9851.1</v>
      </c>
      <c r="I177" s="27" t="s">
        <v>142</v>
      </c>
      <c r="J177" s="27">
        <v>5</v>
      </c>
      <c r="K177" s="27">
        <v>3500</v>
      </c>
      <c r="L177" s="27">
        <f t="shared" si="8"/>
        <v>17500</v>
      </c>
      <c r="M177" s="27">
        <v>2000</v>
      </c>
      <c r="N177" s="27">
        <v>0</v>
      </c>
      <c r="O177" s="27">
        <v>0</v>
      </c>
    </row>
    <row r="178" spans="2:15">
      <c r="B178" s="75"/>
      <c r="C178" s="77"/>
      <c r="D178" s="77"/>
      <c r="E178" s="77"/>
      <c r="F178" s="77"/>
      <c r="G178" s="128">
        <f>SUBTOTAL(9,G156:G177)</f>
        <v>564973.5</v>
      </c>
      <c r="H178" s="128">
        <f>SUBTOTAL(9,H156:H177)</f>
        <v>217297.5</v>
      </c>
      <c r="I178" s="27" t="s">
        <v>142</v>
      </c>
      <c r="J178" s="27">
        <v>5</v>
      </c>
      <c r="K178" s="27">
        <v>3500</v>
      </c>
      <c r="L178" s="27">
        <f t="shared" si="8"/>
        <v>17500</v>
      </c>
      <c r="M178" s="27">
        <v>2000</v>
      </c>
      <c r="N178" s="27">
        <v>0</v>
      </c>
      <c r="O178" s="27">
        <v>0</v>
      </c>
    </row>
    <row r="179" spans="2:15">
      <c r="B179" s="75"/>
      <c r="C179" s="77"/>
      <c r="D179" s="77"/>
      <c r="E179" s="77"/>
      <c r="F179" s="77"/>
      <c r="I179" s="27" t="s">
        <v>142</v>
      </c>
      <c r="J179" s="27">
        <v>5</v>
      </c>
      <c r="K179" s="27">
        <v>3500</v>
      </c>
      <c r="L179" s="27">
        <f t="shared" si="8"/>
        <v>17500</v>
      </c>
      <c r="M179" s="27">
        <v>2000</v>
      </c>
      <c r="N179" s="27">
        <v>0</v>
      </c>
      <c r="O179" s="27">
        <v>0</v>
      </c>
    </row>
    <row r="180" spans="2:15">
      <c r="B180" s="75"/>
      <c r="C180" s="77"/>
      <c r="D180" s="77"/>
      <c r="E180" s="77"/>
      <c r="F180" s="77"/>
      <c r="I180" s="27" t="s">
        <v>82</v>
      </c>
      <c r="J180" s="27">
        <v>4</v>
      </c>
      <c r="K180" s="27">
        <v>3500</v>
      </c>
      <c r="L180" s="27">
        <f t="shared" si="8"/>
        <v>14000</v>
      </c>
      <c r="M180" s="27">
        <v>2000</v>
      </c>
      <c r="N180" s="27">
        <v>0</v>
      </c>
      <c r="O180" s="27">
        <v>0</v>
      </c>
    </row>
    <row r="181" spans="2:15">
      <c r="B181" s="75"/>
      <c r="C181" s="77"/>
      <c r="D181" s="77"/>
      <c r="E181" s="77"/>
      <c r="F181" s="77"/>
      <c r="I181" s="27" t="s">
        <v>142</v>
      </c>
      <c r="J181" s="27">
        <v>1</v>
      </c>
      <c r="K181" s="27">
        <v>3500</v>
      </c>
      <c r="L181" s="27">
        <f t="shared" si="8"/>
        <v>3500</v>
      </c>
      <c r="M181" s="27">
        <v>2000</v>
      </c>
      <c r="N181" s="27">
        <v>0</v>
      </c>
      <c r="O181" s="27">
        <v>0</v>
      </c>
    </row>
    <row r="182" spans="2:15">
      <c r="B182" s="74" t="s">
        <v>350</v>
      </c>
      <c r="C182" s="77"/>
      <c r="D182" s="77"/>
      <c r="E182" s="77"/>
      <c r="F182" s="77"/>
      <c r="G182" s="27">
        <f t="shared" si="5"/>
        <v>0</v>
      </c>
      <c r="H182" s="27">
        <f t="shared" si="6"/>
        <v>0</v>
      </c>
    </row>
    <row r="183" spans="2:15">
      <c r="B183" s="75" t="s">
        <v>160</v>
      </c>
      <c r="C183" s="77">
        <v>185278.68</v>
      </c>
      <c r="D183" s="77">
        <v>2000</v>
      </c>
      <c r="E183" s="77">
        <v>1852.79</v>
      </c>
      <c r="F183" s="77">
        <v>1852.79</v>
      </c>
      <c r="G183" s="27">
        <f t="shared" si="5"/>
        <v>24086.27</v>
      </c>
      <c r="H183" s="27">
        <f t="shared" si="6"/>
        <v>9263.9500000000007</v>
      </c>
    </row>
    <row r="184" spans="2:15">
      <c r="B184" s="75" t="s">
        <v>160</v>
      </c>
      <c r="C184" s="77">
        <v>182693.34</v>
      </c>
      <c r="D184" s="77">
        <v>2000</v>
      </c>
      <c r="E184" s="77">
        <v>1826.93</v>
      </c>
      <c r="F184" s="77">
        <v>1826.93</v>
      </c>
      <c r="G184" s="27">
        <f t="shared" si="5"/>
        <v>23750.09</v>
      </c>
      <c r="H184" s="27">
        <f t="shared" si="6"/>
        <v>9134.65</v>
      </c>
    </row>
    <row r="185" spans="2:15">
      <c r="B185" s="75" t="s">
        <v>184</v>
      </c>
      <c r="C185" s="77">
        <v>159585</v>
      </c>
      <c r="D185" s="77">
        <v>2000</v>
      </c>
      <c r="E185" s="77">
        <v>1595.85</v>
      </c>
      <c r="F185" s="77">
        <v>1595.85</v>
      </c>
      <c r="G185" s="27">
        <f t="shared" si="5"/>
        <v>20746.05</v>
      </c>
      <c r="H185" s="27">
        <f t="shared" si="6"/>
        <v>7979.25</v>
      </c>
    </row>
    <row r="186" spans="2:15">
      <c r="B186" s="75" t="s">
        <v>184</v>
      </c>
      <c r="C186" s="77">
        <v>174306.99</v>
      </c>
      <c r="D186" s="77">
        <v>2000</v>
      </c>
      <c r="E186" s="77">
        <v>1743.07</v>
      </c>
      <c r="F186" s="77">
        <v>1743.07</v>
      </c>
      <c r="G186" s="27">
        <f t="shared" si="5"/>
        <v>22659.91</v>
      </c>
      <c r="H186" s="27">
        <f t="shared" si="6"/>
        <v>8715.35</v>
      </c>
    </row>
    <row r="187" spans="2:15">
      <c r="B187" s="75" t="s">
        <v>184</v>
      </c>
      <c r="C187" s="77">
        <v>172751.01</v>
      </c>
      <c r="D187" s="77">
        <v>2000</v>
      </c>
      <c r="E187" s="77">
        <v>1727.51</v>
      </c>
      <c r="F187" s="77">
        <v>1727.51</v>
      </c>
      <c r="G187" s="27">
        <f t="shared" si="5"/>
        <v>22457.63</v>
      </c>
      <c r="H187" s="27">
        <f t="shared" si="6"/>
        <v>8637.5499999999993</v>
      </c>
    </row>
    <row r="188" spans="2:15">
      <c r="B188" s="75" t="s">
        <v>184</v>
      </c>
      <c r="C188" s="77">
        <v>175144.83</v>
      </c>
      <c r="D188" s="77">
        <v>2000</v>
      </c>
      <c r="E188" s="77">
        <v>1751.45</v>
      </c>
      <c r="F188" s="77">
        <v>1751.45</v>
      </c>
      <c r="G188" s="27">
        <f t="shared" si="5"/>
        <v>22768.850000000002</v>
      </c>
      <c r="H188" s="27">
        <f t="shared" si="6"/>
        <v>8757.25</v>
      </c>
    </row>
    <row r="189" spans="2:15">
      <c r="B189" s="74" t="s">
        <v>351</v>
      </c>
      <c r="C189" s="77"/>
      <c r="D189" s="77"/>
      <c r="E189" s="77"/>
      <c r="F189" s="77"/>
      <c r="G189" s="128">
        <f>SUBTOTAL(9,G182:G188)</f>
        <v>136468.80000000002</v>
      </c>
      <c r="H189" s="128">
        <f>SUBTOTAL(9,H182:H188)</f>
        <v>52488</v>
      </c>
    </row>
    <row r="190" spans="2:15">
      <c r="B190" s="74"/>
      <c r="C190" s="77"/>
      <c r="D190" s="77"/>
      <c r="E190" s="77"/>
      <c r="F190" s="77"/>
    </row>
    <row r="191" spans="2:15">
      <c r="B191" s="75" t="s">
        <v>168</v>
      </c>
      <c r="C191" s="77">
        <v>240828</v>
      </c>
      <c r="D191" s="77">
        <v>2000</v>
      </c>
      <c r="E191" s="77">
        <v>2408.2800000000002</v>
      </c>
      <c r="F191" s="77">
        <v>2408.2800000000002</v>
      </c>
      <c r="G191" s="27">
        <f t="shared" si="5"/>
        <v>31307.640000000003</v>
      </c>
      <c r="H191" s="27">
        <f t="shared" si="6"/>
        <v>12041.400000000001</v>
      </c>
      <c r="I191" s="27" t="s">
        <v>112</v>
      </c>
      <c r="J191" s="27">
        <v>27</v>
      </c>
      <c r="K191" s="27">
        <v>3000</v>
      </c>
      <c r="L191" s="27">
        <f t="shared" ref="L191:L195" si="9">+J191*K191</f>
        <v>81000</v>
      </c>
      <c r="M191" s="27">
        <v>2000</v>
      </c>
      <c r="N191" s="27" t="s">
        <v>472</v>
      </c>
      <c r="O191" s="27">
        <v>4</v>
      </c>
    </row>
    <row r="192" spans="2:15">
      <c r="B192" s="75" t="s">
        <v>112</v>
      </c>
      <c r="C192" s="77">
        <v>159585</v>
      </c>
      <c r="D192" s="77">
        <v>2000</v>
      </c>
      <c r="E192" s="77">
        <v>1595.85</v>
      </c>
      <c r="F192" s="77">
        <v>1595.85</v>
      </c>
      <c r="G192" s="27">
        <f t="shared" si="5"/>
        <v>20746.05</v>
      </c>
      <c r="H192" s="27">
        <f t="shared" si="6"/>
        <v>7979.25</v>
      </c>
      <c r="I192" s="27" t="s">
        <v>112</v>
      </c>
      <c r="J192" s="27">
        <v>27</v>
      </c>
      <c r="K192" s="27">
        <v>3000</v>
      </c>
      <c r="L192" s="27">
        <f t="shared" si="9"/>
        <v>81000</v>
      </c>
      <c r="M192" s="27">
        <v>2000</v>
      </c>
    </row>
    <row r="193" spans="1:15">
      <c r="B193" s="75" t="s">
        <v>112</v>
      </c>
      <c r="C193" s="77">
        <v>159585</v>
      </c>
      <c r="D193" s="77">
        <v>2000</v>
      </c>
      <c r="E193" s="77">
        <v>1595.85</v>
      </c>
      <c r="F193" s="77">
        <v>1595.85</v>
      </c>
      <c r="G193" s="27">
        <f t="shared" si="5"/>
        <v>20746.05</v>
      </c>
      <c r="H193" s="27">
        <f t="shared" si="6"/>
        <v>7979.25</v>
      </c>
      <c r="I193" s="27" t="s">
        <v>112</v>
      </c>
      <c r="J193" s="27">
        <v>26</v>
      </c>
      <c r="K193" s="27">
        <v>3000</v>
      </c>
      <c r="L193" s="27">
        <f t="shared" si="9"/>
        <v>78000</v>
      </c>
      <c r="M193" s="27">
        <v>2000</v>
      </c>
    </row>
    <row r="194" spans="1:15">
      <c r="B194" s="75" t="s">
        <v>112</v>
      </c>
      <c r="C194" s="77">
        <v>159585</v>
      </c>
      <c r="D194" s="77">
        <v>2000</v>
      </c>
      <c r="E194" s="77">
        <v>1595.85</v>
      </c>
      <c r="F194" s="77">
        <v>1595.85</v>
      </c>
      <c r="G194" s="27">
        <f t="shared" si="5"/>
        <v>20746.05</v>
      </c>
      <c r="H194" s="27">
        <f t="shared" si="6"/>
        <v>7979.25</v>
      </c>
      <c r="I194" s="27" t="s">
        <v>112</v>
      </c>
      <c r="J194" s="27">
        <v>19</v>
      </c>
      <c r="K194" s="27">
        <v>3000</v>
      </c>
      <c r="L194" s="27">
        <f t="shared" si="9"/>
        <v>57000</v>
      </c>
      <c r="M194" s="27">
        <v>2000</v>
      </c>
    </row>
    <row r="195" spans="1:15">
      <c r="A195" s="1"/>
      <c r="B195" s="74" t="s">
        <v>352</v>
      </c>
      <c r="C195" s="78"/>
      <c r="D195" s="78"/>
      <c r="E195" s="78"/>
      <c r="F195" s="78"/>
      <c r="G195" s="128">
        <f>SUBTOTAL(9,G191:G194)</f>
        <v>93545.790000000008</v>
      </c>
      <c r="H195" s="128">
        <f>SUBTOTAL(9,H191:H194)</f>
        <v>35979.15</v>
      </c>
      <c r="I195" s="27" t="s">
        <v>112</v>
      </c>
      <c r="J195" s="27">
        <v>4</v>
      </c>
      <c r="K195" s="27">
        <v>3500</v>
      </c>
      <c r="L195" s="27">
        <f t="shared" si="9"/>
        <v>14000</v>
      </c>
      <c r="M195" s="27">
        <v>2000</v>
      </c>
    </row>
    <row r="196" spans="1:15">
      <c r="B196" s="74"/>
      <c r="C196" s="78"/>
      <c r="D196" s="78"/>
      <c r="E196" s="78"/>
      <c r="F196" s="78"/>
    </row>
    <row r="197" spans="1:15">
      <c r="B197" s="75" t="s">
        <v>220</v>
      </c>
      <c r="C197" s="77">
        <v>155523</v>
      </c>
      <c r="D197" s="77">
        <v>2000</v>
      </c>
      <c r="E197" s="77">
        <v>1555.23</v>
      </c>
      <c r="F197" s="77">
        <v>1555.23</v>
      </c>
      <c r="G197" s="27">
        <f t="shared" si="5"/>
        <v>20217.990000000002</v>
      </c>
      <c r="H197" s="27">
        <f t="shared" si="6"/>
        <v>7776.15</v>
      </c>
      <c r="I197" s="27" t="s">
        <v>359</v>
      </c>
      <c r="J197" s="27">
        <v>24</v>
      </c>
      <c r="K197" s="27">
        <v>3500</v>
      </c>
      <c r="L197" s="27">
        <f t="shared" ref="L197:L198" si="10">+J197*K197</f>
        <v>84000</v>
      </c>
      <c r="M197" s="27">
        <v>2000</v>
      </c>
      <c r="N197" s="27" t="s">
        <v>472</v>
      </c>
      <c r="O197" s="27">
        <v>2</v>
      </c>
    </row>
    <row r="198" spans="1:15">
      <c r="C198" s="78"/>
      <c r="D198" s="78"/>
      <c r="E198" s="78"/>
      <c r="F198" s="78"/>
      <c r="G198" s="128">
        <f>SUBTOTAL(9,G197)</f>
        <v>20217.990000000002</v>
      </c>
      <c r="H198" s="128">
        <f>SUBTOTAL(9,H197)</f>
        <v>7776.15</v>
      </c>
      <c r="I198" s="27" t="s">
        <v>122</v>
      </c>
      <c r="J198" s="27">
        <v>24</v>
      </c>
      <c r="K198" s="27">
        <v>3500</v>
      </c>
      <c r="L198" s="27">
        <f t="shared" si="10"/>
        <v>84000</v>
      </c>
      <c r="M198" s="27">
        <v>2000</v>
      </c>
    </row>
    <row r="199" spans="1:15">
      <c r="A199" s="79" t="s">
        <v>354</v>
      </c>
      <c r="G199" s="27">
        <f t="shared" si="5"/>
        <v>0</v>
      </c>
      <c r="H199" s="27">
        <f t="shared" si="6"/>
        <v>0</v>
      </c>
    </row>
    <row r="200" spans="1:15">
      <c r="B200" s="74" t="s">
        <v>344</v>
      </c>
      <c r="G200" s="27">
        <f t="shared" si="5"/>
        <v>0</v>
      </c>
      <c r="H200" s="27">
        <f t="shared" si="6"/>
        <v>0</v>
      </c>
    </row>
    <row r="201" spans="1:15">
      <c r="B201" s="75" t="s">
        <v>172</v>
      </c>
      <c r="C201" s="77">
        <v>300000</v>
      </c>
      <c r="D201" s="77">
        <v>9400</v>
      </c>
      <c r="E201" s="77">
        <v>3000</v>
      </c>
      <c r="F201" s="77">
        <v>0</v>
      </c>
      <c r="G201" s="27">
        <f t="shared" si="5"/>
        <v>39000</v>
      </c>
      <c r="H201" s="27">
        <f t="shared" si="6"/>
        <v>0</v>
      </c>
      <c r="I201" s="27" t="s">
        <v>82</v>
      </c>
      <c r="J201" s="27">
        <v>14</v>
      </c>
      <c r="K201" s="27">
        <v>3000</v>
      </c>
      <c r="L201" s="27">
        <f t="shared" ref="L201:L209" si="11">+J201*K201</f>
        <v>42000</v>
      </c>
      <c r="M201" s="27">
        <v>2000</v>
      </c>
      <c r="N201" s="27" t="s">
        <v>472</v>
      </c>
      <c r="O201" s="27">
        <v>4</v>
      </c>
    </row>
    <row r="202" spans="1:15">
      <c r="B202" s="75" t="s">
        <v>208</v>
      </c>
      <c r="C202" s="77">
        <v>246051</v>
      </c>
      <c r="D202" s="77">
        <v>2000</v>
      </c>
      <c r="E202" s="77">
        <v>2460.5100000000002</v>
      </c>
      <c r="F202" s="77">
        <v>0</v>
      </c>
      <c r="G202" s="27">
        <f t="shared" si="5"/>
        <v>31986.630000000005</v>
      </c>
      <c r="H202" s="27">
        <f t="shared" si="6"/>
        <v>0</v>
      </c>
      <c r="I202" s="27" t="s">
        <v>82</v>
      </c>
      <c r="J202" s="27">
        <v>14</v>
      </c>
      <c r="K202" s="27">
        <v>3000</v>
      </c>
      <c r="L202" s="27">
        <f t="shared" si="11"/>
        <v>42000</v>
      </c>
      <c r="M202" s="27">
        <v>2000</v>
      </c>
    </row>
    <row r="203" spans="1:15">
      <c r="B203" s="75"/>
      <c r="C203" s="77"/>
      <c r="D203" s="77"/>
      <c r="E203" s="77"/>
      <c r="F203" s="77"/>
      <c r="G203" s="128">
        <f>SUBTOTAL(9,G201:G202)</f>
        <v>70986.63</v>
      </c>
      <c r="H203" s="128">
        <f>SUBTOTAL(9,H201:H202)</f>
        <v>0</v>
      </c>
      <c r="I203" s="27" t="s">
        <v>82</v>
      </c>
      <c r="J203" s="27">
        <v>14</v>
      </c>
      <c r="K203" s="27">
        <v>3000</v>
      </c>
      <c r="L203" s="27">
        <f t="shared" si="11"/>
        <v>42000</v>
      </c>
      <c r="M203" s="27">
        <v>2000</v>
      </c>
    </row>
    <row r="204" spans="1:15">
      <c r="A204" s="1"/>
      <c r="B204" s="75"/>
      <c r="C204" s="77"/>
      <c r="D204" s="77"/>
      <c r="E204" s="77"/>
      <c r="F204" s="77"/>
      <c r="I204" s="27" t="s">
        <v>82</v>
      </c>
      <c r="J204" s="27">
        <v>13</v>
      </c>
      <c r="K204" s="27">
        <v>3500</v>
      </c>
      <c r="L204" s="27">
        <f t="shared" si="11"/>
        <v>45500</v>
      </c>
      <c r="M204" s="27">
        <v>2000</v>
      </c>
    </row>
    <row r="205" spans="1:15">
      <c r="A205" s="1"/>
      <c r="B205" s="75"/>
      <c r="C205" s="77"/>
      <c r="D205" s="77"/>
      <c r="E205" s="77"/>
      <c r="F205" s="77"/>
      <c r="I205" s="27" t="s">
        <v>82</v>
      </c>
      <c r="J205" s="27">
        <v>13</v>
      </c>
      <c r="K205" s="27">
        <v>3000</v>
      </c>
      <c r="L205" s="27">
        <f t="shared" si="11"/>
        <v>39000</v>
      </c>
      <c r="M205" s="27">
        <v>2000</v>
      </c>
    </row>
    <row r="206" spans="1:15">
      <c r="B206" s="75"/>
      <c r="C206" s="77"/>
      <c r="D206" s="77"/>
      <c r="E206" s="77"/>
      <c r="F206" s="77"/>
      <c r="I206" s="27" t="s">
        <v>82</v>
      </c>
      <c r="J206" s="27">
        <v>12.5</v>
      </c>
      <c r="K206" s="27">
        <v>3000</v>
      </c>
      <c r="L206" s="27">
        <f t="shared" si="11"/>
        <v>37500</v>
      </c>
      <c r="M206" s="27">
        <v>2000</v>
      </c>
    </row>
    <row r="207" spans="1:15">
      <c r="B207" s="75"/>
      <c r="C207" s="77"/>
      <c r="D207" s="77"/>
      <c r="E207" s="77"/>
      <c r="F207" s="77"/>
      <c r="I207" s="27" t="s">
        <v>82</v>
      </c>
      <c r="J207" s="27">
        <v>11.5</v>
      </c>
      <c r="K207" s="27">
        <v>3000</v>
      </c>
      <c r="L207" s="27">
        <f t="shared" si="11"/>
        <v>34500</v>
      </c>
      <c r="M207" s="27">
        <v>2000</v>
      </c>
    </row>
    <row r="208" spans="1:15">
      <c r="A208" s="79" t="s">
        <v>355</v>
      </c>
      <c r="B208" s="75"/>
      <c r="C208" s="77"/>
      <c r="D208" s="77"/>
      <c r="E208" s="77"/>
      <c r="F208" s="77"/>
      <c r="I208" s="27" t="s">
        <v>82</v>
      </c>
      <c r="J208" s="27">
        <v>8.5</v>
      </c>
      <c r="K208" s="27">
        <v>3000</v>
      </c>
      <c r="L208" s="27">
        <f t="shared" si="11"/>
        <v>25500</v>
      </c>
      <c r="M208" s="27">
        <v>2000</v>
      </c>
    </row>
    <row r="209" spans="1:15">
      <c r="A209" s="79"/>
      <c r="B209" s="74" t="s">
        <v>344</v>
      </c>
      <c r="G209" s="27">
        <f t="shared" si="5"/>
        <v>0</v>
      </c>
      <c r="H209" s="27">
        <f t="shared" si="6"/>
        <v>0</v>
      </c>
      <c r="I209" s="27" t="s">
        <v>82</v>
      </c>
      <c r="J209" s="27">
        <v>4.5</v>
      </c>
      <c r="K209" s="27">
        <v>3000</v>
      </c>
      <c r="L209" s="27">
        <f t="shared" si="11"/>
        <v>13500</v>
      </c>
      <c r="M209" s="27">
        <v>2000</v>
      </c>
    </row>
    <row r="210" spans="1:15">
      <c r="B210" s="75" t="s">
        <v>189</v>
      </c>
      <c r="C210" s="77">
        <v>164808</v>
      </c>
      <c r="D210" s="77">
        <v>2000</v>
      </c>
      <c r="E210" s="77">
        <v>1648.08</v>
      </c>
      <c r="F210" s="77">
        <v>1648.08</v>
      </c>
      <c r="G210" s="27">
        <f t="shared" si="5"/>
        <v>21425.040000000001</v>
      </c>
      <c r="H210" s="27">
        <f t="shared" si="6"/>
        <v>8240.4</v>
      </c>
    </row>
    <row r="211" spans="1:15">
      <c r="C211" s="77"/>
      <c r="D211" s="77"/>
      <c r="E211" s="77"/>
      <c r="F211" s="77"/>
      <c r="G211" s="128">
        <f>SUBTOTAL(9,G210)</f>
        <v>21425.040000000001</v>
      </c>
      <c r="H211" s="128">
        <f>SUBTOTAL(9,H210)</f>
        <v>8240.4</v>
      </c>
    </row>
    <row r="212" spans="1:15">
      <c r="A212" s="79" t="s">
        <v>166</v>
      </c>
      <c r="C212" s="77"/>
      <c r="D212" s="77"/>
      <c r="E212" s="77"/>
      <c r="F212" s="77"/>
      <c r="G212" s="27">
        <f t="shared" si="5"/>
        <v>0</v>
      </c>
      <c r="H212" s="27">
        <f t="shared" si="6"/>
        <v>0</v>
      </c>
    </row>
    <row r="213" spans="1:15">
      <c r="A213" s="79"/>
      <c r="B213" s="75" t="s">
        <v>344</v>
      </c>
      <c r="C213" s="77"/>
      <c r="D213" s="77"/>
      <c r="E213" s="77"/>
      <c r="F213" s="77"/>
      <c r="G213" s="27">
        <f t="shared" si="5"/>
        <v>0</v>
      </c>
      <c r="H213" s="27">
        <f t="shared" si="6"/>
        <v>0</v>
      </c>
    </row>
    <row r="214" spans="1:15">
      <c r="B214" s="75" t="s">
        <v>164</v>
      </c>
      <c r="C214" s="77">
        <v>182797</v>
      </c>
      <c r="D214" s="77">
        <v>2000</v>
      </c>
      <c r="E214" s="77">
        <v>1827.97</v>
      </c>
      <c r="F214" s="77">
        <v>0</v>
      </c>
      <c r="G214" s="27">
        <f t="shared" si="5"/>
        <v>23763.61</v>
      </c>
      <c r="H214" s="27">
        <f t="shared" si="6"/>
        <v>0</v>
      </c>
    </row>
    <row r="215" spans="1:15">
      <c r="B215" s="75" t="s">
        <v>172</v>
      </c>
      <c r="C215" s="77">
        <v>315108</v>
      </c>
      <c r="D215" s="77">
        <v>12380</v>
      </c>
      <c r="E215" s="77">
        <v>3151.08</v>
      </c>
      <c r="F215" s="77">
        <v>0</v>
      </c>
      <c r="G215" s="27">
        <f t="shared" si="5"/>
        <v>40964.04</v>
      </c>
      <c r="H215" s="27">
        <f t="shared" si="6"/>
        <v>0</v>
      </c>
    </row>
    <row r="216" spans="1:15">
      <c r="A216" s="79" t="s">
        <v>84</v>
      </c>
      <c r="B216" s="75"/>
      <c r="C216" s="77"/>
      <c r="D216" s="77"/>
      <c r="E216" s="77"/>
      <c r="F216" s="77"/>
      <c r="G216" s="128">
        <f>SUBTOTAL(9,G214:G215)</f>
        <v>64727.65</v>
      </c>
      <c r="H216" s="128">
        <f>SUBTOTAL(9,H214:H215)</f>
        <v>0</v>
      </c>
    </row>
    <row r="217" spans="1:15">
      <c r="B217" s="74" t="s">
        <v>344</v>
      </c>
      <c r="C217" s="77"/>
      <c r="D217" s="77"/>
      <c r="E217" s="77"/>
      <c r="F217" s="77"/>
      <c r="G217" s="27">
        <f t="shared" ref="G217:G223" si="12">+E217*13</f>
        <v>0</v>
      </c>
      <c r="H217" s="27">
        <f t="shared" ref="H217:H223" si="13">+F217*5</f>
        <v>0</v>
      </c>
    </row>
    <row r="218" spans="1:15">
      <c r="B218" s="75" t="s">
        <v>172</v>
      </c>
      <c r="C218" s="77">
        <v>182797</v>
      </c>
      <c r="D218" s="77">
        <v>2000</v>
      </c>
      <c r="E218" s="77">
        <v>1827.97</v>
      </c>
      <c r="F218" s="77">
        <v>0</v>
      </c>
      <c r="G218" s="27">
        <f t="shared" si="12"/>
        <v>23763.61</v>
      </c>
      <c r="H218" s="27">
        <f t="shared" si="13"/>
        <v>0</v>
      </c>
      <c r="I218" s="27" t="s">
        <v>82</v>
      </c>
      <c r="J218" s="27">
        <v>39</v>
      </c>
      <c r="K218" s="27">
        <v>3000</v>
      </c>
      <c r="L218" s="27">
        <f t="shared" ref="L218:L244" si="14">+J218*K218</f>
        <v>117000</v>
      </c>
      <c r="M218" s="27">
        <v>2000</v>
      </c>
      <c r="N218" s="27" t="s">
        <v>472</v>
      </c>
      <c r="O218" s="27">
        <v>27</v>
      </c>
    </row>
    <row r="219" spans="1:15">
      <c r="B219" s="75" t="s">
        <v>202</v>
      </c>
      <c r="C219" s="77">
        <v>164808</v>
      </c>
      <c r="D219" s="77">
        <v>2000</v>
      </c>
      <c r="E219" s="77">
        <v>1648.08</v>
      </c>
      <c r="F219" s="77">
        <v>0</v>
      </c>
      <c r="G219" s="27">
        <f t="shared" si="12"/>
        <v>21425.040000000001</v>
      </c>
      <c r="H219" s="27">
        <f t="shared" si="13"/>
        <v>0</v>
      </c>
      <c r="I219" s="27" t="s">
        <v>82</v>
      </c>
      <c r="J219" s="27">
        <v>39</v>
      </c>
      <c r="K219" s="27">
        <v>3000</v>
      </c>
      <c r="L219" s="27">
        <f t="shared" si="14"/>
        <v>117000</v>
      </c>
      <c r="M219" s="27">
        <v>2000</v>
      </c>
    </row>
    <row r="220" spans="1:15">
      <c r="B220" s="75" t="s">
        <v>202</v>
      </c>
      <c r="C220" s="77">
        <v>155523</v>
      </c>
      <c r="D220" s="77">
        <v>2000</v>
      </c>
      <c r="E220" s="77">
        <v>1555.23</v>
      </c>
      <c r="F220" s="77">
        <v>1555.23</v>
      </c>
      <c r="G220" s="27">
        <f t="shared" si="12"/>
        <v>20217.990000000002</v>
      </c>
      <c r="H220" s="27">
        <f t="shared" si="13"/>
        <v>7776.15</v>
      </c>
      <c r="I220" s="27" t="s">
        <v>82</v>
      </c>
      <c r="J220" s="27">
        <v>39</v>
      </c>
      <c r="K220" s="27">
        <v>3000</v>
      </c>
      <c r="L220" s="27">
        <f t="shared" si="14"/>
        <v>117000</v>
      </c>
      <c r="M220" s="27">
        <v>2000</v>
      </c>
    </row>
    <row r="221" spans="1:15">
      <c r="B221" s="75" t="s">
        <v>217</v>
      </c>
      <c r="C221" s="77">
        <v>155523</v>
      </c>
      <c r="D221" s="77">
        <v>2000</v>
      </c>
      <c r="E221" s="77">
        <v>1555.23</v>
      </c>
      <c r="F221" s="77">
        <v>1555.23</v>
      </c>
      <c r="G221" s="27">
        <f t="shared" si="12"/>
        <v>20217.990000000002</v>
      </c>
      <c r="H221" s="27">
        <f t="shared" si="13"/>
        <v>7776.15</v>
      </c>
      <c r="I221" s="27" t="s">
        <v>82</v>
      </c>
      <c r="J221" s="27">
        <v>39</v>
      </c>
      <c r="K221" s="27">
        <v>3000</v>
      </c>
      <c r="L221" s="27">
        <f t="shared" si="14"/>
        <v>117000</v>
      </c>
      <c r="M221" s="27">
        <v>2000</v>
      </c>
    </row>
    <row r="222" spans="1:15">
      <c r="B222" s="75" t="s">
        <v>223</v>
      </c>
      <c r="C222" s="77">
        <v>157264</v>
      </c>
      <c r="D222" s="77">
        <v>2000</v>
      </c>
      <c r="E222" s="77">
        <v>1572.64</v>
      </c>
      <c r="F222" s="77">
        <v>1572.64</v>
      </c>
      <c r="G222" s="27">
        <f t="shared" si="12"/>
        <v>20444.32</v>
      </c>
      <c r="H222" s="27">
        <f t="shared" si="13"/>
        <v>7863.2000000000007</v>
      </c>
      <c r="I222" s="27" t="s">
        <v>82</v>
      </c>
      <c r="J222" s="27">
        <v>39</v>
      </c>
      <c r="K222" s="27">
        <v>3000</v>
      </c>
      <c r="L222" s="27">
        <f t="shared" si="14"/>
        <v>117000</v>
      </c>
      <c r="M222" s="27">
        <v>2000</v>
      </c>
    </row>
    <row r="223" spans="1:15">
      <c r="B223" s="75" t="s">
        <v>202</v>
      </c>
      <c r="C223" s="77">
        <v>157264</v>
      </c>
      <c r="D223" s="77">
        <v>2000</v>
      </c>
      <c r="E223" s="77">
        <v>1572.64</v>
      </c>
      <c r="F223" s="77">
        <v>1572.64</v>
      </c>
      <c r="G223" s="27">
        <f t="shared" si="12"/>
        <v>20444.32</v>
      </c>
      <c r="H223" s="27">
        <f t="shared" si="13"/>
        <v>7863.2000000000007</v>
      </c>
      <c r="I223" s="27" t="s">
        <v>82</v>
      </c>
      <c r="J223" s="27">
        <v>39</v>
      </c>
      <c r="K223" s="27">
        <v>3000</v>
      </c>
      <c r="L223" s="27">
        <f t="shared" si="14"/>
        <v>117000</v>
      </c>
      <c r="M223" s="27">
        <v>2000</v>
      </c>
    </row>
    <row r="224" spans="1:15">
      <c r="C224" s="77"/>
      <c r="D224" s="77"/>
      <c r="E224" s="77"/>
      <c r="F224" s="77"/>
      <c r="G224" s="128">
        <f>SUBTOTAL(9,G217:G223)</f>
        <v>126513.27000000002</v>
      </c>
      <c r="H224" s="128">
        <f>SUBTOTAL(9,H217:H223)</f>
        <v>31278.7</v>
      </c>
      <c r="I224" s="27" t="s">
        <v>82</v>
      </c>
      <c r="J224" s="27">
        <v>39</v>
      </c>
      <c r="K224" s="27">
        <v>3000</v>
      </c>
      <c r="L224" s="27">
        <f t="shared" si="14"/>
        <v>117000</v>
      </c>
      <c r="M224" s="27">
        <v>2000</v>
      </c>
    </row>
    <row r="225" spans="3:13">
      <c r="C225" s="78"/>
      <c r="D225" s="78"/>
      <c r="E225" s="78"/>
      <c r="F225" s="78"/>
      <c r="I225" s="27" t="s">
        <v>82</v>
      </c>
      <c r="J225" s="27">
        <v>39</v>
      </c>
      <c r="K225" s="27">
        <v>3000</v>
      </c>
      <c r="L225" s="27">
        <f t="shared" si="14"/>
        <v>117000</v>
      </c>
      <c r="M225" s="27">
        <v>2000</v>
      </c>
    </row>
    <row r="226" spans="3:13">
      <c r="I226" s="27" t="s">
        <v>82</v>
      </c>
      <c r="J226" s="27">
        <v>39</v>
      </c>
      <c r="K226" s="27">
        <v>3000</v>
      </c>
      <c r="L226" s="27">
        <f t="shared" si="14"/>
        <v>117000</v>
      </c>
      <c r="M226" s="27">
        <v>2000</v>
      </c>
    </row>
    <row r="227" spans="3:13">
      <c r="I227" s="27" t="s">
        <v>82</v>
      </c>
      <c r="J227" s="27">
        <v>39</v>
      </c>
      <c r="K227" s="27">
        <v>3000</v>
      </c>
      <c r="L227" s="27">
        <f t="shared" si="14"/>
        <v>117000</v>
      </c>
      <c r="M227" s="27">
        <v>2000</v>
      </c>
    </row>
    <row r="228" spans="3:13">
      <c r="I228" s="27" t="s">
        <v>82</v>
      </c>
      <c r="J228" s="27">
        <v>39</v>
      </c>
      <c r="K228" s="27">
        <v>3000</v>
      </c>
      <c r="L228" s="27">
        <f t="shared" si="14"/>
        <v>117000</v>
      </c>
      <c r="M228" s="27">
        <v>2000</v>
      </c>
    </row>
    <row r="229" spans="3:13">
      <c r="I229" s="27" t="s">
        <v>82</v>
      </c>
      <c r="J229" s="27">
        <v>38</v>
      </c>
      <c r="K229" s="27">
        <v>3000</v>
      </c>
      <c r="L229" s="27">
        <f t="shared" si="14"/>
        <v>114000</v>
      </c>
      <c r="M229" s="27">
        <v>2000</v>
      </c>
    </row>
    <row r="230" spans="3:13">
      <c r="I230" s="27" t="s">
        <v>82</v>
      </c>
      <c r="J230" s="27">
        <v>37</v>
      </c>
      <c r="K230" s="27">
        <v>3000</v>
      </c>
      <c r="L230" s="27">
        <f t="shared" si="14"/>
        <v>111000</v>
      </c>
      <c r="M230" s="27">
        <v>2000</v>
      </c>
    </row>
    <row r="231" spans="3:13">
      <c r="I231" s="27" t="s">
        <v>82</v>
      </c>
      <c r="J231" s="27">
        <v>37</v>
      </c>
      <c r="K231" s="27">
        <v>3000</v>
      </c>
      <c r="L231" s="27">
        <f t="shared" si="14"/>
        <v>111000</v>
      </c>
      <c r="M231" s="27">
        <v>2000</v>
      </c>
    </row>
    <row r="232" spans="3:13">
      <c r="I232" s="27" t="s">
        <v>82</v>
      </c>
      <c r="J232" s="27">
        <v>36</v>
      </c>
      <c r="K232" s="27">
        <v>3000</v>
      </c>
      <c r="L232" s="27">
        <f t="shared" si="14"/>
        <v>108000</v>
      </c>
      <c r="M232" s="27">
        <v>2000</v>
      </c>
    </row>
    <row r="233" spans="3:13">
      <c r="I233" s="27" t="s">
        <v>82</v>
      </c>
      <c r="J233" s="27">
        <v>35</v>
      </c>
      <c r="K233" s="27">
        <v>3000</v>
      </c>
      <c r="L233" s="27">
        <f t="shared" si="14"/>
        <v>105000</v>
      </c>
      <c r="M233" s="27">
        <v>2000</v>
      </c>
    </row>
    <row r="234" spans="3:13">
      <c r="I234" s="27" t="s">
        <v>82</v>
      </c>
      <c r="J234" s="27">
        <v>32</v>
      </c>
      <c r="K234" s="27">
        <v>3000</v>
      </c>
      <c r="L234" s="27">
        <f t="shared" si="14"/>
        <v>96000</v>
      </c>
      <c r="M234" s="27">
        <v>2000</v>
      </c>
    </row>
    <row r="235" spans="3:13">
      <c r="I235" s="27" t="s">
        <v>82</v>
      </c>
      <c r="J235" s="27">
        <v>32</v>
      </c>
      <c r="K235" s="27">
        <v>3000</v>
      </c>
      <c r="L235" s="27">
        <f t="shared" si="14"/>
        <v>96000</v>
      </c>
      <c r="M235" s="27">
        <v>2000</v>
      </c>
    </row>
    <row r="236" spans="3:13">
      <c r="I236" s="27" t="s">
        <v>82</v>
      </c>
      <c r="J236" s="27">
        <v>31</v>
      </c>
      <c r="K236" s="27">
        <v>3000</v>
      </c>
      <c r="L236" s="27">
        <f t="shared" si="14"/>
        <v>93000</v>
      </c>
      <c r="M236" s="27">
        <v>2000</v>
      </c>
    </row>
    <row r="237" spans="3:13">
      <c r="I237" s="27" t="s">
        <v>82</v>
      </c>
      <c r="J237" s="27">
        <v>28</v>
      </c>
      <c r="K237" s="27">
        <v>3000</v>
      </c>
      <c r="L237" s="27">
        <f t="shared" si="14"/>
        <v>84000</v>
      </c>
      <c r="M237" s="27">
        <v>2000</v>
      </c>
    </row>
    <row r="238" spans="3:13">
      <c r="I238" s="27" t="s">
        <v>82</v>
      </c>
      <c r="J238" s="27">
        <v>26</v>
      </c>
      <c r="K238" s="27">
        <v>3000</v>
      </c>
      <c r="L238" s="27">
        <f t="shared" si="14"/>
        <v>78000</v>
      </c>
      <c r="M238" s="27">
        <v>2000</v>
      </c>
    </row>
    <row r="239" spans="3:13">
      <c r="I239" s="27" t="s">
        <v>82</v>
      </c>
      <c r="J239" s="27">
        <v>26</v>
      </c>
      <c r="K239" s="27">
        <v>3000</v>
      </c>
      <c r="L239" s="27">
        <f t="shared" si="14"/>
        <v>78000</v>
      </c>
      <c r="M239" s="27">
        <v>2000</v>
      </c>
    </row>
    <row r="240" spans="3:13">
      <c r="I240" s="27" t="s">
        <v>82</v>
      </c>
      <c r="J240" s="27">
        <v>25</v>
      </c>
      <c r="K240" s="27">
        <v>3000</v>
      </c>
      <c r="L240" s="27">
        <f t="shared" si="14"/>
        <v>75000</v>
      </c>
      <c r="M240" s="27">
        <v>2000</v>
      </c>
    </row>
    <row r="241" spans="3:13">
      <c r="I241" s="27" t="s">
        <v>82</v>
      </c>
      <c r="J241" s="27">
        <v>21</v>
      </c>
      <c r="K241" s="27">
        <v>3000</v>
      </c>
      <c r="L241" s="27">
        <f t="shared" si="14"/>
        <v>63000</v>
      </c>
      <c r="M241" s="27">
        <v>2000</v>
      </c>
    </row>
    <row r="242" spans="3:13">
      <c r="I242" s="27" t="s">
        <v>82</v>
      </c>
      <c r="J242" s="27">
        <v>15</v>
      </c>
      <c r="K242" s="27">
        <v>3000</v>
      </c>
      <c r="L242" s="27">
        <f t="shared" si="14"/>
        <v>45000</v>
      </c>
      <c r="M242" s="27">
        <v>2000</v>
      </c>
    </row>
    <row r="243" spans="3:13">
      <c r="I243" s="27" t="s">
        <v>82</v>
      </c>
      <c r="J243" s="27">
        <v>12</v>
      </c>
      <c r="K243" s="27">
        <v>3000</v>
      </c>
      <c r="L243" s="27">
        <f t="shared" si="14"/>
        <v>36000</v>
      </c>
      <c r="M243" s="27">
        <v>2000</v>
      </c>
    </row>
    <row r="244" spans="3:13">
      <c r="I244" s="27" t="s">
        <v>82</v>
      </c>
      <c r="J244" s="27">
        <v>6</v>
      </c>
      <c r="K244" s="27">
        <v>3000</v>
      </c>
      <c r="L244" s="27">
        <f t="shared" si="14"/>
        <v>18000</v>
      </c>
      <c r="M244" s="27">
        <v>2000</v>
      </c>
    </row>
    <row r="245" spans="3:13">
      <c r="J245" s="27">
        <v>24</v>
      </c>
    </row>
    <row r="246" spans="3:13">
      <c r="C246" s="27">
        <f>SUBTOTAL(9,C140:C245)</f>
        <v>14284616.52</v>
      </c>
      <c r="D246" s="27">
        <f t="shared" ref="D246:F246" si="15">SUBTOTAL(9,D140:D245)</f>
        <v>698360</v>
      </c>
      <c r="E246" s="27">
        <f t="shared" si="15"/>
        <v>130388.42</v>
      </c>
      <c r="F246" s="27">
        <f t="shared" si="15"/>
        <v>104030.97</v>
      </c>
      <c r="G246" s="27">
        <f>SUBTOTAL(9,G141:G245)</f>
        <v>1695049.4600000009</v>
      </c>
      <c r="H246" s="27">
        <f>SUBTOTAL(9,H141:H245)</f>
        <v>520154.85000000009</v>
      </c>
      <c r="L246" s="27">
        <f>SUBTOTAL(9,L140:L245)</f>
        <v>5502000</v>
      </c>
    </row>
    <row r="247" spans="3:13">
      <c r="C247" s="39">
        <f>+C246+L246</f>
        <v>19786616.52</v>
      </c>
      <c r="G247" s="27">
        <f>+G246/2</f>
        <v>847524.73000000045</v>
      </c>
      <c r="H247" s="27">
        <f>+H246/2</f>
        <v>260077.42500000005</v>
      </c>
      <c r="I247" s="27">
        <f>COUNTA(I218:I244)</f>
        <v>27</v>
      </c>
    </row>
    <row r="248" spans="3:13">
      <c r="C248" s="39">
        <f>+'Recap coupeuses FD'!M11</f>
        <v>36502810</v>
      </c>
    </row>
    <row r="249" spans="3:13">
      <c r="C249" s="39">
        <f>+C247+C248</f>
        <v>56289426.519999996</v>
      </c>
    </row>
  </sheetData>
  <autoFilter ref="A6:Z135" xr:uid="{00000000-0009-0000-0000-000000000000}">
    <filterColumn colId="22">
      <filters>
        <filter val="SOMIDA AMBOASARY"/>
      </filters>
    </filterColumn>
    <filterColumn colId="25">
      <customFilters>
        <customFilter operator="notEqual" val=" "/>
      </customFilters>
    </filterColumn>
    <sortState xmlns:xlrd2="http://schemas.microsoft.com/office/spreadsheetml/2017/richdata2" ref="A79:Z135">
      <sortCondition descending="1" ref="Z6:Z135"/>
    </sortState>
  </autoFilter>
  <mergeCells count="1">
    <mergeCell ref="G139:H139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7C6D7-5541-4D0F-84D0-271BF2186F0A}">
  <sheetPr codeName="Feuil11" filterMode="1"/>
  <dimension ref="A1:U202"/>
  <sheetViews>
    <sheetView showGridLines="0" zoomScale="108" workbookViewId="0">
      <selection activeCell="F205" sqref="F205"/>
    </sheetView>
  </sheetViews>
  <sheetFormatPr baseColWidth="10" defaultRowHeight="11.25"/>
  <cols>
    <col min="1" max="1" width="6.140625" style="842" bestFit="1" customWidth="1"/>
    <col min="2" max="3" width="2.85546875" style="842" bestFit="1" customWidth="1"/>
    <col min="4" max="4" width="3.5703125" style="842" bestFit="1" customWidth="1"/>
    <col min="5" max="5" width="4.42578125" style="842" bestFit="1" customWidth="1"/>
    <col min="6" max="6" width="4.42578125" style="842" customWidth="1"/>
    <col min="7" max="7" width="41" style="842" bestFit="1" customWidth="1"/>
    <col min="8" max="8" width="14.5703125" style="842" bestFit="1" customWidth="1"/>
    <col min="9" max="20" width="14.140625" style="842" bestFit="1" customWidth="1"/>
    <col min="21" max="21" width="15.85546875" style="842" bestFit="1" customWidth="1"/>
    <col min="22" max="16384" width="11.42578125" style="842"/>
  </cols>
  <sheetData>
    <row r="1" spans="1:21">
      <c r="H1" s="846">
        <v>3.2782554626464844E-7</v>
      </c>
      <c r="I1" s="846">
        <v>130884159.08999997</v>
      </c>
      <c r="J1" s="846">
        <v>107865540.41000001</v>
      </c>
      <c r="K1" s="846">
        <v>119064471.06999999</v>
      </c>
      <c r="L1" s="846">
        <v>-8079266.2299999967</v>
      </c>
      <c r="M1" s="846">
        <v>235064511.11000001</v>
      </c>
      <c r="N1" s="846">
        <v>52534241.930000037</v>
      </c>
      <c r="O1" s="846">
        <v>62263690.199999958</v>
      </c>
      <c r="P1" s="846">
        <v>335593528.8499999</v>
      </c>
      <c r="Q1" s="846">
        <v>-508156527.53999996</v>
      </c>
      <c r="R1" s="846">
        <v>-236496581.69999993</v>
      </c>
      <c r="S1" s="846">
        <v>-14671750.919999987</v>
      </c>
      <c r="T1" s="846">
        <v>-78522085.240000069</v>
      </c>
      <c r="U1" s="846">
        <v>197343931.03000033</v>
      </c>
    </row>
    <row r="3" spans="1:21">
      <c r="H3" s="843">
        <f t="shared" ref="H3:U3" si="0">+SUBTOTAL(9,H5:H201)</f>
        <v>-602283772.31999946</v>
      </c>
      <c r="I3" s="843">
        <f t="shared" si="0"/>
        <v>39457276.330000013</v>
      </c>
      <c r="J3" s="843">
        <f t="shared" si="0"/>
        <v>104706284.7</v>
      </c>
      <c r="K3" s="843">
        <f t="shared" si="0"/>
        <v>62651066.920000017</v>
      </c>
      <c r="L3" s="843">
        <f t="shared" si="0"/>
        <v>-26334783.959999986</v>
      </c>
      <c r="M3" s="843">
        <f t="shared" si="0"/>
        <v>198606314.44</v>
      </c>
      <c r="N3" s="843">
        <f t="shared" si="0"/>
        <v>133540206.58000004</v>
      </c>
      <c r="O3" s="843">
        <f t="shared" si="0"/>
        <v>11139376.469999954</v>
      </c>
      <c r="P3" s="843">
        <f t="shared" si="0"/>
        <v>176100461.92999998</v>
      </c>
      <c r="Q3" s="843">
        <f t="shared" si="0"/>
        <v>-56329032.089999981</v>
      </c>
      <c r="R3" s="843">
        <f t="shared" si="0"/>
        <v>-581746946.46999991</v>
      </c>
      <c r="S3" s="843">
        <f t="shared" si="0"/>
        <v>-55519460.04999999</v>
      </c>
      <c r="T3" s="843">
        <f t="shared" si="0"/>
        <v>-88998052.420000017</v>
      </c>
      <c r="U3" s="843">
        <f t="shared" si="0"/>
        <v>-685011059.93999958</v>
      </c>
    </row>
    <row r="4" spans="1:21">
      <c r="A4" s="844" t="s">
        <v>1476</v>
      </c>
      <c r="B4" s="844" t="s">
        <v>1329</v>
      </c>
      <c r="C4" s="844" t="s">
        <v>1330</v>
      </c>
      <c r="D4" s="844" t="s">
        <v>1331</v>
      </c>
      <c r="E4" s="844" t="s">
        <v>1726</v>
      </c>
      <c r="F4" s="844"/>
      <c r="G4" s="844" t="s">
        <v>1477</v>
      </c>
      <c r="H4" s="845" t="s">
        <v>613</v>
      </c>
      <c r="I4" s="845" t="s">
        <v>473</v>
      </c>
      <c r="J4" s="845" t="s">
        <v>474</v>
      </c>
      <c r="K4" s="845" t="s">
        <v>475</v>
      </c>
      <c r="L4" s="845" t="s">
        <v>476</v>
      </c>
      <c r="M4" s="845" t="s">
        <v>477</v>
      </c>
      <c r="N4" s="845" t="s">
        <v>478</v>
      </c>
      <c r="O4" s="845" t="s">
        <v>479</v>
      </c>
      <c r="P4" s="845" t="s">
        <v>480</v>
      </c>
      <c r="Q4" s="845" t="s">
        <v>481</v>
      </c>
      <c r="R4" s="845" t="s">
        <v>482</v>
      </c>
      <c r="S4" s="845" t="s">
        <v>483</v>
      </c>
      <c r="T4" s="845" t="s">
        <v>484</v>
      </c>
      <c r="U4" s="845" t="s">
        <v>517</v>
      </c>
    </row>
    <row r="5" spans="1:21">
      <c r="A5" s="842" t="s">
        <v>1332</v>
      </c>
      <c r="B5" s="842" t="str">
        <f>+LEFT(A5,1)</f>
        <v>1</v>
      </c>
      <c r="C5" s="842" t="str">
        <f>+LEFT(A5,2)</f>
        <v>10</v>
      </c>
      <c r="D5" s="842" t="str">
        <f>+LEFT(A5,3)</f>
        <v>101</v>
      </c>
      <c r="E5" s="842" t="str">
        <f>+LEFT(A5,4)</f>
        <v>1011</v>
      </c>
      <c r="F5" s="842" t="str">
        <f>RIGHT(A5,3)</f>
        <v>100</v>
      </c>
      <c r="G5" s="842" t="s">
        <v>1478</v>
      </c>
      <c r="H5" s="846">
        <v>2476801800</v>
      </c>
      <c r="I5" s="846"/>
      <c r="J5" s="846"/>
      <c r="K5" s="846"/>
      <c r="L5" s="846"/>
      <c r="M5" s="846"/>
      <c r="N5" s="846"/>
      <c r="O5" s="846"/>
      <c r="P5" s="846"/>
      <c r="Q5" s="846"/>
      <c r="R5" s="846"/>
      <c r="S5" s="846"/>
      <c r="T5" s="846"/>
      <c r="U5" s="846">
        <f t="shared" ref="U5:U36" si="1">SUM(H5:T5)</f>
        <v>2476801800</v>
      </c>
    </row>
    <row r="6" spans="1:21" hidden="1">
      <c r="A6" s="842" t="s">
        <v>1333</v>
      </c>
      <c r="B6" s="842" t="str">
        <f t="shared" ref="B6:B69" si="2">+LEFT(A6,1)</f>
        <v>1</v>
      </c>
      <c r="C6" s="842" t="str">
        <f t="shared" ref="C6:C69" si="3">+LEFT(A6,2)</f>
        <v>10</v>
      </c>
      <c r="D6" s="842" t="str">
        <f t="shared" ref="D6:D69" si="4">+LEFT(A6,3)</f>
        <v>104</v>
      </c>
      <c r="E6" s="842" t="str">
        <f t="shared" ref="E6:E69" si="5">+LEFT(A6,4)</f>
        <v>1042</v>
      </c>
      <c r="F6" s="842" t="str">
        <f t="shared" ref="F6:F69" si="6">RIGHT(A6,3)</f>
        <v>200</v>
      </c>
      <c r="G6" s="842" t="s">
        <v>1479</v>
      </c>
      <c r="H6" s="846">
        <v>174771</v>
      </c>
      <c r="I6" s="846"/>
      <c r="J6" s="846"/>
      <c r="K6" s="846"/>
      <c r="L6" s="846"/>
      <c r="M6" s="846"/>
      <c r="N6" s="846"/>
      <c r="O6" s="846"/>
      <c r="P6" s="846"/>
      <c r="Q6" s="846"/>
      <c r="R6" s="846"/>
      <c r="S6" s="846"/>
      <c r="T6" s="846"/>
      <c r="U6" s="846">
        <f t="shared" si="1"/>
        <v>174771</v>
      </c>
    </row>
    <row r="7" spans="1:21">
      <c r="A7" s="842" t="s">
        <v>1334</v>
      </c>
      <c r="B7" s="842" t="str">
        <f t="shared" si="2"/>
        <v>1</v>
      </c>
      <c r="C7" s="842" t="str">
        <f t="shared" si="3"/>
        <v>10</v>
      </c>
      <c r="D7" s="842" t="str">
        <f t="shared" si="4"/>
        <v>106</v>
      </c>
      <c r="E7" s="842" t="str">
        <f t="shared" si="5"/>
        <v>1061</v>
      </c>
      <c r="F7" s="842" t="str">
        <f t="shared" si="6"/>
        <v>100</v>
      </c>
      <c r="G7" s="842" t="s">
        <v>1480</v>
      </c>
      <c r="H7" s="846">
        <v>3265789.59</v>
      </c>
      <c r="I7" s="846"/>
      <c r="J7" s="846"/>
      <c r="K7" s="846"/>
      <c r="L7" s="846"/>
      <c r="M7" s="846"/>
      <c r="N7" s="846"/>
      <c r="O7" s="846"/>
      <c r="P7" s="846"/>
      <c r="Q7" s="846"/>
      <c r="R7" s="846"/>
      <c r="S7" s="846"/>
      <c r="T7" s="846"/>
      <c r="U7" s="846">
        <f t="shared" si="1"/>
        <v>3265789.59</v>
      </c>
    </row>
    <row r="8" spans="1:21" hidden="1">
      <c r="A8" s="842" t="s">
        <v>1335</v>
      </c>
      <c r="B8" s="842" t="str">
        <f t="shared" si="2"/>
        <v>1</v>
      </c>
      <c r="C8" s="842" t="str">
        <f t="shared" si="3"/>
        <v>10</v>
      </c>
      <c r="D8" s="842" t="str">
        <f t="shared" si="4"/>
        <v>106</v>
      </c>
      <c r="E8" s="842" t="str">
        <f t="shared" si="5"/>
        <v>1062</v>
      </c>
      <c r="F8" s="842" t="str">
        <f t="shared" si="6"/>
        <v>200</v>
      </c>
      <c r="G8" s="842" t="s">
        <v>1481</v>
      </c>
      <c r="H8" s="846">
        <v>268672</v>
      </c>
      <c r="I8" s="846"/>
      <c r="J8" s="846"/>
      <c r="K8" s="846"/>
      <c r="L8" s="846"/>
      <c r="M8" s="846"/>
      <c r="N8" s="846"/>
      <c r="O8" s="846"/>
      <c r="P8" s="846"/>
      <c r="Q8" s="846"/>
      <c r="R8" s="846"/>
      <c r="S8" s="846"/>
      <c r="T8" s="846"/>
      <c r="U8" s="846">
        <f t="shared" si="1"/>
        <v>268672</v>
      </c>
    </row>
    <row r="9" spans="1:21">
      <c r="A9" s="842" t="s">
        <v>1336</v>
      </c>
      <c r="B9" s="842" t="str">
        <f t="shared" si="2"/>
        <v>1</v>
      </c>
      <c r="C9" s="842" t="str">
        <f t="shared" si="3"/>
        <v>11</v>
      </c>
      <c r="D9" s="842" t="str">
        <f t="shared" si="4"/>
        <v>119</v>
      </c>
      <c r="E9" s="842" t="str">
        <f t="shared" si="5"/>
        <v>1190</v>
      </c>
      <c r="F9" s="842" t="str">
        <f t="shared" si="6"/>
        <v>000</v>
      </c>
      <c r="G9" s="842" t="s">
        <v>1482</v>
      </c>
      <c r="H9" s="846">
        <v>-2010147112.02</v>
      </c>
      <c r="I9" s="846"/>
      <c r="J9" s="846"/>
      <c r="K9" s="846"/>
      <c r="L9" s="846"/>
      <c r="M9" s="846"/>
      <c r="N9" s="846"/>
      <c r="O9" s="846"/>
      <c r="P9" s="846"/>
      <c r="Q9" s="846"/>
      <c r="R9" s="846">
        <v>-636323191.07000005</v>
      </c>
      <c r="S9" s="846"/>
      <c r="T9" s="846"/>
      <c r="U9" s="846">
        <f t="shared" si="1"/>
        <v>-2646470303.0900002</v>
      </c>
    </row>
    <row r="10" spans="1:21">
      <c r="A10" s="842" t="s">
        <v>1337</v>
      </c>
      <c r="B10" s="842" t="str">
        <f t="shared" si="2"/>
        <v>1</v>
      </c>
      <c r="C10" s="842" t="str">
        <f t="shared" si="3"/>
        <v>11</v>
      </c>
      <c r="D10" s="842" t="str">
        <f t="shared" si="4"/>
        <v>119</v>
      </c>
      <c r="E10" s="842" t="str">
        <f t="shared" si="5"/>
        <v>1191</v>
      </c>
      <c r="F10" s="842" t="str">
        <f t="shared" si="6"/>
        <v>100</v>
      </c>
      <c r="G10" s="842" t="s">
        <v>1483</v>
      </c>
      <c r="H10" s="846"/>
      <c r="I10" s="846"/>
      <c r="J10" s="846"/>
      <c r="K10" s="846"/>
      <c r="L10" s="846"/>
      <c r="M10" s="846"/>
      <c r="N10" s="846"/>
      <c r="O10" s="846"/>
      <c r="P10" s="846"/>
      <c r="Q10" s="846"/>
      <c r="R10" s="846"/>
      <c r="S10" s="846"/>
      <c r="T10" s="846">
        <v>-13500000</v>
      </c>
      <c r="U10" s="846">
        <f t="shared" si="1"/>
        <v>-13500000</v>
      </c>
    </row>
    <row r="11" spans="1:21">
      <c r="A11" s="842" t="s">
        <v>1338</v>
      </c>
      <c r="B11" s="842" t="str">
        <f t="shared" si="2"/>
        <v>1</v>
      </c>
      <c r="C11" s="842" t="str">
        <f t="shared" si="3"/>
        <v>12</v>
      </c>
      <c r="D11" s="842" t="str">
        <f t="shared" si="4"/>
        <v>129</v>
      </c>
      <c r="E11" s="842" t="str">
        <f t="shared" si="5"/>
        <v>1290</v>
      </c>
      <c r="F11" s="842" t="str">
        <f t="shared" si="6"/>
        <v>000</v>
      </c>
      <c r="G11" s="842" t="s">
        <v>1484</v>
      </c>
      <c r="H11" s="846">
        <v>-636323191.07000005</v>
      </c>
      <c r="I11" s="846"/>
      <c r="J11" s="846"/>
      <c r="K11" s="846"/>
      <c r="L11" s="846"/>
      <c r="M11" s="846"/>
      <c r="N11" s="846"/>
      <c r="O11" s="846"/>
      <c r="P11" s="846"/>
      <c r="Q11" s="846"/>
      <c r="R11" s="846">
        <v>636323191.07000005</v>
      </c>
      <c r="S11" s="846"/>
      <c r="T11" s="846"/>
      <c r="U11" s="846">
        <f t="shared" si="1"/>
        <v>0</v>
      </c>
    </row>
    <row r="12" spans="1:21">
      <c r="A12" s="842" t="s">
        <v>1339</v>
      </c>
      <c r="B12" s="842" t="str">
        <f t="shared" si="2"/>
        <v>1</v>
      </c>
      <c r="C12" s="842" t="str">
        <f t="shared" si="3"/>
        <v>16</v>
      </c>
      <c r="D12" s="842" t="str">
        <f t="shared" si="4"/>
        <v>165</v>
      </c>
      <c r="E12" s="842" t="str">
        <f t="shared" si="5"/>
        <v>1650</v>
      </c>
      <c r="F12" s="842" t="str">
        <f t="shared" si="6"/>
        <v>000</v>
      </c>
      <c r="G12" s="842" t="s">
        <v>1485</v>
      </c>
      <c r="H12" s="846">
        <v>28749484.149999999</v>
      </c>
      <c r="I12" s="846"/>
      <c r="J12" s="846"/>
      <c r="K12" s="846"/>
      <c r="L12" s="846"/>
      <c r="M12" s="846"/>
      <c r="N12" s="846"/>
      <c r="O12" s="846"/>
      <c r="P12" s="846"/>
      <c r="Q12" s="846">
        <v>-1200000</v>
      </c>
      <c r="R12" s="846"/>
      <c r="S12" s="846"/>
      <c r="T12" s="846"/>
      <c r="U12" s="846">
        <f t="shared" si="1"/>
        <v>27549484.149999999</v>
      </c>
    </row>
    <row r="13" spans="1:21">
      <c r="A13" s="842" t="s">
        <v>1340</v>
      </c>
      <c r="B13" s="842" t="str">
        <f t="shared" si="2"/>
        <v>2</v>
      </c>
      <c r="C13" s="842" t="str">
        <f t="shared" si="3"/>
        <v>21</v>
      </c>
      <c r="D13" s="842" t="str">
        <f t="shared" si="4"/>
        <v>211</v>
      </c>
      <c r="E13" s="842" t="str">
        <f t="shared" si="5"/>
        <v>2111</v>
      </c>
      <c r="F13" s="842" t="str">
        <f t="shared" si="6"/>
        <v>100</v>
      </c>
      <c r="G13" s="842" t="s">
        <v>1486</v>
      </c>
      <c r="H13" s="846">
        <v>-1252317391.8</v>
      </c>
      <c r="I13" s="846"/>
      <c r="J13" s="846"/>
      <c r="K13" s="846"/>
      <c r="L13" s="846"/>
      <c r="M13" s="846"/>
      <c r="N13" s="846"/>
      <c r="O13" s="846"/>
      <c r="P13" s="846"/>
      <c r="Q13" s="846"/>
      <c r="R13" s="846"/>
      <c r="S13" s="846"/>
      <c r="T13" s="846"/>
      <c r="U13" s="846">
        <f t="shared" si="1"/>
        <v>-1252317391.8</v>
      </c>
    </row>
    <row r="14" spans="1:21">
      <c r="A14" s="842" t="s">
        <v>1341</v>
      </c>
      <c r="B14" s="842" t="str">
        <f t="shared" si="2"/>
        <v>2</v>
      </c>
      <c r="C14" s="842" t="str">
        <f t="shared" si="3"/>
        <v>21</v>
      </c>
      <c r="D14" s="842" t="str">
        <f t="shared" si="4"/>
        <v>213</v>
      </c>
      <c r="E14" s="842" t="str">
        <f t="shared" si="5"/>
        <v>2130</v>
      </c>
      <c r="F14" s="842" t="str">
        <f t="shared" si="6"/>
        <v>000</v>
      </c>
      <c r="G14" s="842" t="s">
        <v>1487</v>
      </c>
      <c r="H14" s="846">
        <v>-26206611.199999999</v>
      </c>
      <c r="I14" s="846"/>
      <c r="J14" s="846"/>
      <c r="K14" s="846"/>
      <c r="L14" s="846"/>
      <c r="M14" s="846"/>
      <c r="N14" s="846"/>
      <c r="O14" s="846"/>
      <c r="P14" s="846"/>
      <c r="Q14" s="846"/>
      <c r="R14" s="846"/>
      <c r="S14" s="846"/>
      <c r="T14" s="846"/>
      <c r="U14" s="846">
        <f t="shared" si="1"/>
        <v>-26206611.199999999</v>
      </c>
    </row>
    <row r="15" spans="1:21">
      <c r="A15" s="842" t="s">
        <v>1342</v>
      </c>
      <c r="B15" s="842" t="str">
        <f t="shared" si="2"/>
        <v>2</v>
      </c>
      <c r="C15" s="842" t="str">
        <f t="shared" si="3"/>
        <v>21</v>
      </c>
      <c r="D15" s="842" t="str">
        <f t="shared" si="4"/>
        <v>218</v>
      </c>
      <c r="E15" s="842" t="str">
        <f t="shared" si="5"/>
        <v>2180</v>
      </c>
      <c r="F15" s="842" t="str">
        <f t="shared" si="6"/>
        <v>000</v>
      </c>
      <c r="G15" s="842" t="s">
        <v>1488</v>
      </c>
      <c r="H15" s="846">
        <v>-254318593.77000001</v>
      </c>
      <c r="I15" s="846"/>
      <c r="J15" s="846"/>
      <c r="K15" s="846"/>
      <c r="L15" s="846"/>
      <c r="M15" s="846"/>
      <c r="N15" s="846">
        <v>-41636854.509999998</v>
      </c>
      <c r="O15" s="846">
        <v>-4515000</v>
      </c>
      <c r="P15" s="846"/>
      <c r="Q15" s="846"/>
      <c r="R15" s="846"/>
      <c r="S15" s="846"/>
      <c r="T15" s="846"/>
      <c r="U15" s="846">
        <f t="shared" si="1"/>
        <v>-300470448.28000003</v>
      </c>
    </row>
    <row r="16" spans="1:21">
      <c r="A16" s="842" t="s">
        <v>1343</v>
      </c>
      <c r="B16" s="842" t="str">
        <f t="shared" si="2"/>
        <v>2</v>
      </c>
      <c r="C16" s="842" t="str">
        <f t="shared" si="3"/>
        <v>21</v>
      </c>
      <c r="D16" s="842" t="str">
        <f t="shared" si="4"/>
        <v>218</v>
      </c>
      <c r="E16" s="842" t="str">
        <f t="shared" si="5"/>
        <v>2181</v>
      </c>
      <c r="F16" s="842" t="str">
        <f t="shared" si="6"/>
        <v>100</v>
      </c>
      <c r="G16" s="842" t="s">
        <v>1489</v>
      </c>
      <c r="H16" s="846">
        <v>-651105783.20000005</v>
      </c>
      <c r="I16" s="846"/>
      <c r="J16" s="846"/>
      <c r="K16" s="846"/>
      <c r="L16" s="846"/>
      <c r="M16" s="846"/>
      <c r="N16" s="846"/>
      <c r="O16" s="846"/>
      <c r="P16" s="846"/>
      <c r="Q16" s="846"/>
      <c r="R16" s="846"/>
      <c r="S16" s="846"/>
      <c r="T16" s="846"/>
      <c r="U16" s="846">
        <f t="shared" si="1"/>
        <v>-651105783.20000005</v>
      </c>
    </row>
    <row r="17" spans="1:21" hidden="1">
      <c r="A17" s="842" t="s">
        <v>1344</v>
      </c>
      <c r="B17" s="842" t="str">
        <f t="shared" si="2"/>
        <v>2</v>
      </c>
      <c r="C17" s="842" t="str">
        <f t="shared" si="3"/>
        <v>21</v>
      </c>
      <c r="D17" s="842" t="str">
        <f t="shared" si="4"/>
        <v>218</v>
      </c>
      <c r="E17" s="842" t="str">
        <f t="shared" si="5"/>
        <v>2182</v>
      </c>
      <c r="F17" s="842" t="str">
        <f t="shared" si="6"/>
        <v>200</v>
      </c>
      <c r="G17" s="842" t="s">
        <v>1490</v>
      </c>
      <c r="H17" s="846">
        <v>-1549205</v>
      </c>
      <c r="I17" s="846"/>
      <c r="J17" s="846"/>
      <c r="K17" s="846"/>
      <c r="L17" s="846"/>
      <c r="M17" s="846"/>
      <c r="N17" s="846"/>
      <c r="O17" s="846"/>
      <c r="P17" s="846"/>
      <c r="Q17" s="846"/>
      <c r="R17" s="846"/>
      <c r="S17" s="846"/>
      <c r="T17" s="846"/>
      <c r="U17" s="846">
        <f t="shared" si="1"/>
        <v>-1549205</v>
      </c>
    </row>
    <row r="18" spans="1:21" hidden="1">
      <c r="A18" s="842" t="s">
        <v>1345</v>
      </c>
      <c r="B18" s="842" t="str">
        <f t="shared" si="2"/>
        <v>2</v>
      </c>
      <c r="C18" s="842" t="str">
        <f t="shared" si="3"/>
        <v>21</v>
      </c>
      <c r="D18" s="842" t="str">
        <f t="shared" si="4"/>
        <v>218</v>
      </c>
      <c r="E18" s="842" t="str">
        <f t="shared" si="5"/>
        <v>2183</v>
      </c>
      <c r="F18" s="842" t="str">
        <f t="shared" si="6"/>
        <v>300</v>
      </c>
      <c r="G18" s="842" t="s">
        <v>1491</v>
      </c>
      <c r="H18" s="846">
        <v>-30332247.629999999</v>
      </c>
      <c r="I18" s="846"/>
      <c r="J18" s="846"/>
      <c r="K18" s="846"/>
      <c r="L18" s="846"/>
      <c r="M18" s="846"/>
      <c r="N18" s="846"/>
      <c r="O18" s="846"/>
      <c r="P18" s="846"/>
      <c r="Q18" s="846"/>
      <c r="R18" s="846"/>
      <c r="S18" s="846"/>
      <c r="T18" s="846">
        <v>-14517590</v>
      </c>
      <c r="U18" s="846">
        <f t="shared" si="1"/>
        <v>-44849837.629999995</v>
      </c>
    </row>
    <row r="19" spans="1:21" hidden="1">
      <c r="A19" s="842" t="s">
        <v>1346</v>
      </c>
      <c r="B19" s="842" t="str">
        <f t="shared" si="2"/>
        <v>2</v>
      </c>
      <c r="C19" s="842" t="str">
        <f t="shared" si="3"/>
        <v>21</v>
      </c>
      <c r="D19" s="842" t="str">
        <f t="shared" si="4"/>
        <v>218</v>
      </c>
      <c r="E19" s="842" t="str">
        <f t="shared" si="5"/>
        <v>2184</v>
      </c>
      <c r="F19" s="842" t="str">
        <f t="shared" si="6"/>
        <v>430</v>
      </c>
      <c r="G19" s="842" t="s">
        <v>1492</v>
      </c>
      <c r="H19" s="846">
        <v>-12275857.6</v>
      </c>
      <c r="I19" s="846"/>
      <c r="J19" s="846"/>
      <c r="K19" s="846"/>
      <c r="L19" s="846"/>
      <c r="M19" s="846"/>
      <c r="N19" s="846"/>
      <c r="O19" s="846"/>
      <c r="P19" s="846"/>
      <c r="Q19" s="846"/>
      <c r="R19" s="846"/>
      <c r="S19" s="846"/>
      <c r="T19" s="846"/>
      <c r="U19" s="846">
        <f t="shared" si="1"/>
        <v>-12275857.6</v>
      </c>
    </row>
    <row r="20" spans="1:21" hidden="1">
      <c r="A20" s="842" t="s">
        <v>1347</v>
      </c>
      <c r="B20" s="842" t="str">
        <f t="shared" si="2"/>
        <v>2</v>
      </c>
      <c r="C20" s="842" t="str">
        <f t="shared" si="3"/>
        <v>21</v>
      </c>
      <c r="D20" s="842" t="str">
        <f t="shared" si="4"/>
        <v>218</v>
      </c>
      <c r="E20" s="842" t="str">
        <f t="shared" si="5"/>
        <v>2184</v>
      </c>
      <c r="F20" s="842" t="str">
        <f t="shared" si="6"/>
        <v>440</v>
      </c>
      <c r="G20" s="842" t="s">
        <v>1493</v>
      </c>
      <c r="H20" s="846">
        <v>-17510636</v>
      </c>
      <c r="I20" s="846"/>
      <c r="J20" s="846"/>
      <c r="K20" s="846"/>
      <c r="L20" s="846"/>
      <c r="M20" s="846"/>
      <c r="N20" s="846"/>
      <c r="O20" s="846"/>
      <c r="P20" s="846"/>
      <c r="Q20" s="846"/>
      <c r="R20" s="846"/>
      <c r="S20" s="846"/>
      <c r="T20" s="846"/>
      <c r="U20" s="846">
        <f t="shared" si="1"/>
        <v>-17510636</v>
      </c>
    </row>
    <row r="21" spans="1:21" hidden="1">
      <c r="A21" s="842" t="s">
        <v>1348</v>
      </c>
      <c r="B21" s="842" t="str">
        <f t="shared" si="2"/>
        <v>2</v>
      </c>
      <c r="C21" s="842" t="str">
        <f t="shared" si="3"/>
        <v>21</v>
      </c>
      <c r="D21" s="842" t="str">
        <f t="shared" si="4"/>
        <v>218</v>
      </c>
      <c r="E21" s="842" t="str">
        <f t="shared" si="5"/>
        <v>2184</v>
      </c>
      <c r="F21" s="842" t="str">
        <f t="shared" si="6"/>
        <v>450</v>
      </c>
      <c r="G21" s="842" t="s">
        <v>1494</v>
      </c>
      <c r="H21" s="846">
        <v>-24266555.199999999</v>
      </c>
      <c r="I21" s="846"/>
      <c r="J21" s="846"/>
      <c r="K21" s="846"/>
      <c r="L21" s="846"/>
      <c r="M21" s="846"/>
      <c r="N21" s="846"/>
      <c r="O21" s="846"/>
      <c r="P21" s="846"/>
      <c r="Q21" s="846"/>
      <c r="R21" s="846"/>
      <c r="S21" s="846"/>
      <c r="T21" s="846"/>
      <c r="U21" s="846">
        <f t="shared" si="1"/>
        <v>-24266555.199999999</v>
      </c>
    </row>
    <row r="22" spans="1:21">
      <c r="A22" s="842" t="s">
        <v>1349</v>
      </c>
      <c r="B22" s="842" t="str">
        <f t="shared" si="2"/>
        <v>2</v>
      </c>
      <c r="C22" s="842" t="str">
        <f t="shared" si="3"/>
        <v>23</v>
      </c>
      <c r="D22" s="842" t="str">
        <f t="shared" si="4"/>
        <v>232</v>
      </c>
      <c r="E22" s="842" t="str">
        <f t="shared" si="5"/>
        <v>2321</v>
      </c>
      <c r="F22" s="842" t="str">
        <f t="shared" si="6"/>
        <v>100</v>
      </c>
      <c r="G22" s="842" t="s">
        <v>1495</v>
      </c>
      <c r="H22" s="846">
        <v>-31035000</v>
      </c>
      <c r="I22" s="846"/>
      <c r="J22" s="846"/>
      <c r="K22" s="846"/>
      <c r="L22" s="846"/>
      <c r="M22" s="846"/>
      <c r="N22" s="846"/>
      <c r="O22" s="846"/>
      <c r="P22" s="846"/>
      <c r="Q22" s="846"/>
      <c r="R22" s="846"/>
      <c r="S22" s="846"/>
      <c r="T22" s="846"/>
      <c r="U22" s="846">
        <f t="shared" si="1"/>
        <v>-31035000</v>
      </c>
    </row>
    <row r="23" spans="1:21">
      <c r="A23" s="842" t="s">
        <v>1350</v>
      </c>
      <c r="B23" s="842" t="str">
        <f t="shared" si="2"/>
        <v>2</v>
      </c>
      <c r="C23" s="842" t="str">
        <f t="shared" si="3"/>
        <v>26</v>
      </c>
      <c r="D23" s="842" t="str">
        <f t="shared" si="4"/>
        <v>261</v>
      </c>
      <c r="E23" s="842" t="str">
        <f t="shared" si="5"/>
        <v>2610</v>
      </c>
      <c r="F23" s="842" t="str">
        <f t="shared" si="6"/>
        <v>000</v>
      </c>
      <c r="G23" s="842" t="s">
        <v>1496</v>
      </c>
      <c r="H23" s="846">
        <v>-4272.2</v>
      </c>
      <c r="I23" s="846"/>
      <c r="J23" s="846"/>
      <c r="K23" s="846"/>
      <c r="L23" s="846"/>
      <c r="M23" s="846"/>
      <c r="N23" s="846"/>
      <c r="O23" s="846"/>
      <c r="P23" s="846"/>
      <c r="Q23" s="846"/>
      <c r="R23" s="846"/>
      <c r="S23" s="846"/>
      <c r="T23" s="846"/>
      <c r="U23" s="846">
        <f t="shared" si="1"/>
        <v>-4272.2</v>
      </c>
    </row>
    <row r="24" spans="1:21" hidden="1">
      <c r="A24" s="842" t="s">
        <v>1351</v>
      </c>
      <c r="B24" s="842" t="str">
        <f t="shared" si="2"/>
        <v>2</v>
      </c>
      <c r="C24" s="842" t="str">
        <f t="shared" si="3"/>
        <v>26</v>
      </c>
      <c r="D24" s="842" t="str">
        <f t="shared" si="4"/>
        <v>261</v>
      </c>
      <c r="E24" s="842" t="str">
        <f t="shared" si="5"/>
        <v>2610</v>
      </c>
      <c r="F24" s="842" t="str">
        <f t="shared" si="6"/>
        <v>003</v>
      </c>
      <c r="G24" s="842" t="s">
        <v>1497</v>
      </c>
      <c r="H24" s="846">
        <v>-130109.16</v>
      </c>
      <c r="I24" s="846"/>
      <c r="J24" s="846"/>
      <c r="K24" s="846"/>
      <c r="L24" s="846"/>
      <c r="M24" s="846"/>
      <c r="N24" s="846"/>
      <c r="O24" s="846"/>
      <c r="P24" s="846"/>
      <c r="Q24" s="846"/>
      <c r="R24" s="846"/>
      <c r="S24" s="846"/>
      <c r="T24" s="846"/>
      <c r="U24" s="846">
        <f t="shared" si="1"/>
        <v>-130109.16</v>
      </c>
    </row>
    <row r="25" spans="1:21" hidden="1">
      <c r="A25" s="842" t="s">
        <v>1352</v>
      </c>
      <c r="B25" s="842" t="str">
        <f t="shared" si="2"/>
        <v>2</v>
      </c>
      <c r="C25" s="842" t="str">
        <f t="shared" si="3"/>
        <v>26</v>
      </c>
      <c r="D25" s="842" t="str">
        <f t="shared" si="4"/>
        <v>261</v>
      </c>
      <c r="E25" s="842" t="str">
        <f t="shared" si="5"/>
        <v>2610</v>
      </c>
      <c r="F25" s="842" t="str">
        <f t="shared" si="6"/>
        <v>004</v>
      </c>
      <c r="G25" s="842" t="s">
        <v>1498</v>
      </c>
      <c r="H25" s="846">
        <v>-17440000</v>
      </c>
      <c r="I25" s="846"/>
      <c r="J25" s="846"/>
      <c r="K25" s="846"/>
      <c r="L25" s="846"/>
      <c r="M25" s="846"/>
      <c r="N25" s="846"/>
      <c r="O25" s="846"/>
      <c r="P25" s="846"/>
      <c r="Q25" s="846"/>
      <c r="R25" s="846"/>
      <c r="S25" s="846"/>
      <c r="T25" s="846"/>
      <c r="U25" s="846">
        <f t="shared" si="1"/>
        <v>-17440000</v>
      </c>
    </row>
    <row r="26" spans="1:21" hidden="1">
      <c r="A26" s="842" t="s">
        <v>1353</v>
      </c>
      <c r="B26" s="842" t="str">
        <f t="shared" si="2"/>
        <v>2</v>
      </c>
      <c r="C26" s="842" t="str">
        <f t="shared" si="3"/>
        <v>26</v>
      </c>
      <c r="D26" s="842" t="str">
        <f t="shared" si="4"/>
        <v>261</v>
      </c>
      <c r="E26" s="842" t="str">
        <f t="shared" si="5"/>
        <v>2610</v>
      </c>
      <c r="F26" s="842" t="str">
        <f t="shared" si="6"/>
        <v>010</v>
      </c>
      <c r="G26" s="842" t="s">
        <v>1499</v>
      </c>
      <c r="H26" s="846">
        <v>-48511.09</v>
      </c>
      <c r="I26" s="846"/>
      <c r="J26" s="846"/>
      <c r="K26" s="846"/>
      <c r="L26" s="846"/>
      <c r="M26" s="846"/>
      <c r="N26" s="846"/>
      <c r="O26" s="846"/>
      <c r="P26" s="846"/>
      <c r="Q26" s="846"/>
      <c r="R26" s="846"/>
      <c r="S26" s="846"/>
      <c r="T26" s="846"/>
      <c r="U26" s="846">
        <f t="shared" si="1"/>
        <v>-48511.09</v>
      </c>
    </row>
    <row r="27" spans="1:21" hidden="1">
      <c r="A27" s="842" t="s">
        <v>1354</v>
      </c>
      <c r="B27" s="842" t="str">
        <f t="shared" si="2"/>
        <v>2</v>
      </c>
      <c r="C27" s="842" t="str">
        <f t="shared" si="3"/>
        <v>27</v>
      </c>
      <c r="D27" s="842" t="str">
        <f t="shared" si="4"/>
        <v>275</v>
      </c>
      <c r="E27" s="842" t="str">
        <f t="shared" si="5"/>
        <v>2750</v>
      </c>
      <c r="F27" s="842" t="str">
        <f t="shared" si="6"/>
        <v>001</v>
      </c>
      <c r="G27" s="842" t="s">
        <v>1500</v>
      </c>
      <c r="H27" s="846">
        <v>-407200</v>
      </c>
      <c r="I27" s="846"/>
      <c r="J27" s="846"/>
      <c r="K27" s="846"/>
      <c r="L27" s="846"/>
      <c r="M27" s="846"/>
      <c r="N27" s="846"/>
      <c r="O27" s="846"/>
      <c r="P27" s="846"/>
      <c r="Q27" s="846"/>
      <c r="R27" s="846"/>
      <c r="S27" s="846"/>
      <c r="T27" s="846"/>
      <c r="U27" s="846">
        <f t="shared" si="1"/>
        <v>-407200</v>
      </c>
    </row>
    <row r="28" spans="1:21" hidden="1">
      <c r="A28" s="842" t="s">
        <v>1355</v>
      </c>
      <c r="B28" s="842" t="str">
        <f t="shared" si="2"/>
        <v>2</v>
      </c>
      <c r="C28" s="842" t="str">
        <f t="shared" si="3"/>
        <v>27</v>
      </c>
      <c r="D28" s="842" t="str">
        <f t="shared" si="4"/>
        <v>275</v>
      </c>
      <c r="E28" s="842" t="str">
        <f t="shared" si="5"/>
        <v>2750</v>
      </c>
      <c r="F28" s="842" t="str">
        <f t="shared" si="6"/>
        <v>002</v>
      </c>
      <c r="G28" s="842" t="s">
        <v>1501</v>
      </c>
      <c r="H28" s="846">
        <v>-1457200</v>
      </c>
      <c r="I28" s="846"/>
      <c r="J28" s="846"/>
      <c r="K28" s="846"/>
      <c r="L28" s="846"/>
      <c r="M28" s="846"/>
      <c r="N28" s="846"/>
      <c r="O28" s="846"/>
      <c r="P28" s="846"/>
      <c r="Q28" s="846"/>
      <c r="R28" s="846"/>
      <c r="S28" s="846"/>
      <c r="T28" s="846"/>
      <c r="U28" s="846">
        <f t="shared" si="1"/>
        <v>-1457200</v>
      </c>
    </row>
    <row r="29" spans="1:21">
      <c r="A29" s="842" t="s">
        <v>1356</v>
      </c>
      <c r="B29" s="842" t="str">
        <f t="shared" si="2"/>
        <v>2</v>
      </c>
      <c r="C29" s="842" t="str">
        <f t="shared" si="3"/>
        <v>28</v>
      </c>
      <c r="D29" s="842" t="str">
        <f t="shared" si="4"/>
        <v>281</v>
      </c>
      <c r="E29" s="842" t="str">
        <f t="shared" si="5"/>
        <v>2810</v>
      </c>
      <c r="F29" s="842" t="str">
        <f t="shared" si="6"/>
        <v>000</v>
      </c>
      <c r="G29" s="842" t="s">
        <v>1502</v>
      </c>
      <c r="H29" s="846">
        <v>667396.80000000005</v>
      </c>
      <c r="I29" s="846"/>
      <c r="J29" s="846"/>
      <c r="K29" s="846"/>
      <c r="L29" s="846"/>
      <c r="M29" s="846"/>
      <c r="N29" s="846"/>
      <c r="O29" s="846"/>
      <c r="P29" s="846"/>
      <c r="Q29" s="846"/>
      <c r="R29" s="846"/>
      <c r="S29" s="846"/>
      <c r="T29" s="846"/>
      <c r="U29" s="846">
        <f t="shared" si="1"/>
        <v>667396.80000000005</v>
      </c>
    </row>
    <row r="30" spans="1:21" hidden="1">
      <c r="A30" s="842" t="s">
        <v>1357</v>
      </c>
      <c r="B30" s="842" t="str">
        <f t="shared" si="2"/>
        <v>2</v>
      </c>
      <c r="C30" s="842" t="str">
        <f t="shared" si="3"/>
        <v>28</v>
      </c>
      <c r="D30" s="842" t="str">
        <f t="shared" si="4"/>
        <v>281</v>
      </c>
      <c r="E30" s="842" t="str">
        <f t="shared" si="5"/>
        <v>2813</v>
      </c>
      <c r="F30" s="842" t="str">
        <f t="shared" si="6"/>
        <v>300</v>
      </c>
      <c r="G30" s="842" t="s">
        <v>1503</v>
      </c>
      <c r="H30" s="846">
        <v>26206611.199999999</v>
      </c>
      <c r="I30" s="846"/>
      <c r="J30" s="846"/>
      <c r="K30" s="846"/>
      <c r="L30" s="846"/>
      <c r="M30" s="846"/>
      <c r="N30" s="846"/>
      <c r="O30" s="846"/>
      <c r="P30" s="846"/>
      <c r="Q30" s="846"/>
      <c r="R30" s="846"/>
      <c r="S30" s="846"/>
      <c r="T30" s="846"/>
      <c r="U30" s="846">
        <f t="shared" si="1"/>
        <v>26206611.199999999</v>
      </c>
    </row>
    <row r="31" spans="1:21" hidden="1">
      <c r="A31" s="842" t="s">
        <v>1358</v>
      </c>
      <c r="B31" s="842" t="str">
        <f t="shared" si="2"/>
        <v>2</v>
      </c>
      <c r="C31" s="842" t="str">
        <f t="shared" si="3"/>
        <v>28</v>
      </c>
      <c r="D31" s="842" t="str">
        <f t="shared" si="4"/>
        <v>281</v>
      </c>
      <c r="E31" s="842" t="str">
        <f t="shared" si="5"/>
        <v>2818</v>
      </c>
      <c r="F31" s="842" t="str">
        <f t="shared" si="6"/>
        <v>800</v>
      </c>
      <c r="G31" s="842" t="s">
        <v>1504</v>
      </c>
      <c r="H31" s="846">
        <v>234677515.81</v>
      </c>
      <c r="I31" s="846">
        <v>228556.33</v>
      </c>
      <c r="J31" s="846">
        <v>228556.33</v>
      </c>
      <c r="K31" s="846">
        <v>228556.33</v>
      </c>
      <c r="L31" s="846">
        <v>228556.33</v>
      </c>
      <c r="M31" s="846">
        <v>228556.33</v>
      </c>
      <c r="N31" s="846">
        <v>228556.33</v>
      </c>
      <c r="O31" s="846">
        <v>228556.33</v>
      </c>
      <c r="P31" s="846">
        <v>228556.33</v>
      </c>
      <c r="Q31" s="846">
        <v>228556.33</v>
      </c>
      <c r="R31" s="846">
        <v>228556.33</v>
      </c>
      <c r="S31" s="846">
        <v>228556.33</v>
      </c>
      <c r="T31" s="846">
        <v>3683755.98</v>
      </c>
      <c r="U31" s="846">
        <f t="shared" si="1"/>
        <v>240875391.42000014</v>
      </c>
    </row>
    <row r="32" spans="1:21" hidden="1">
      <c r="A32" s="842" t="s">
        <v>1359</v>
      </c>
      <c r="B32" s="842" t="str">
        <f t="shared" si="2"/>
        <v>2</v>
      </c>
      <c r="C32" s="842" t="str">
        <f t="shared" si="3"/>
        <v>28</v>
      </c>
      <c r="D32" s="842" t="str">
        <f t="shared" si="4"/>
        <v>281</v>
      </c>
      <c r="E32" s="842" t="str">
        <f t="shared" si="5"/>
        <v>2818</v>
      </c>
      <c r="F32" s="842" t="str">
        <f t="shared" si="6"/>
        <v>810</v>
      </c>
      <c r="G32" s="842" t="s">
        <v>1505</v>
      </c>
      <c r="H32" s="846">
        <v>512378544.02999997</v>
      </c>
      <c r="I32" s="846">
        <v>5480619.1699999999</v>
      </c>
      <c r="J32" s="846">
        <v>5480619.1699999999</v>
      </c>
      <c r="K32" s="846">
        <v>5480619.1699999999</v>
      </c>
      <c r="L32" s="846">
        <v>5480619.1699999999</v>
      </c>
      <c r="M32" s="846">
        <v>5480619.1699999999</v>
      </c>
      <c r="N32" s="846">
        <v>5480619.1699999999</v>
      </c>
      <c r="O32" s="846">
        <v>5480619.1699999999</v>
      </c>
      <c r="P32" s="846">
        <v>5480619.1699999999</v>
      </c>
      <c r="Q32" s="846">
        <v>5480619.1699999999</v>
      </c>
      <c r="R32" s="846">
        <v>5480619.1699999999</v>
      </c>
      <c r="S32" s="846">
        <v>5480619.1699999999</v>
      </c>
      <c r="T32" s="846">
        <v>3095723.3</v>
      </c>
      <c r="U32" s="846">
        <f t="shared" si="1"/>
        <v>575761078.19999969</v>
      </c>
    </row>
    <row r="33" spans="1:21" hidden="1">
      <c r="A33" s="842" t="s">
        <v>1360</v>
      </c>
      <c r="B33" s="842" t="str">
        <f t="shared" si="2"/>
        <v>2</v>
      </c>
      <c r="C33" s="842" t="str">
        <f t="shared" si="3"/>
        <v>28</v>
      </c>
      <c r="D33" s="842" t="str">
        <f t="shared" si="4"/>
        <v>281</v>
      </c>
      <c r="E33" s="842" t="str">
        <f t="shared" si="5"/>
        <v>2818</v>
      </c>
      <c r="F33" s="842" t="str">
        <f t="shared" si="6"/>
        <v>820</v>
      </c>
      <c r="G33" s="842" t="s">
        <v>1506</v>
      </c>
      <c r="H33" s="846">
        <v>1549205</v>
      </c>
      <c r="I33" s="846">
        <v>12910.08</v>
      </c>
      <c r="J33" s="846">
        <v>12910.08</v>
      </c>
      <c r="K33" s="846">
        <v>12910.08</v>
      </c>
      <c r="L33" s="846">
        <v>12910.08</v>
      </c>
      <c r="M33" s="846">
        <v>12910.08</v>
      </c>
      <c r="N33" s="846">
        <v>12910.08</v>
      </c>
      <c r="O33" s="846">
        <v>12910.08</v>
      </c>
      <c r="P33" s="846">
        <v>12910.08</v>
      </c>
      <c r="Q33" s="846">
        <v>12910.08</v>
      </c>
      <c r="R33" s="846">
        <v>12910.08</v>
      </c>
      <c r="S33" s="846">
        <v>12910.08</v>
      </c>
      <c r="T33" s="846">
        <v>-142010.88</v>
      </c>
      <c r="U33" s="846">
        <f t="shared" si="1"/>
        <v>1549205.0000000009</v>
      </c>
    </row>
    <row r="34" spans="1:21" hidden="1">
      <c r="A34" s="842" t="s">
        <v>1361</v>
      </c>
      <c r="B34" s="842" t="str">
        <f t="shared" si="2"/>
        <v>2</v>
      </c>
      <c r="C34" s="842" t="str">
        <f t="shared" si="3"/>
        <v>28</v>
      </c>
      <c r="D34" s="842" t="str">
        <f t="shared" si="4"/>
        <v>281</v>
      </c>
      <c r="E34" s="842" t="str">
        <f t="shared" si="5"/>
        <v>2818</v>
      </c>
      <c r="F34" s="842" t="str">
        <f t="shared" si="6"/>
        <v>830</v>
      </c>
      <c r="G34" s="842" t="s">
        <v>1507</v>
      </c>
      <c r="H34" s="846">
        <v>14270060.949999999</v>
      </c>
      <c r="I34" s="846">
        <v>339530.58</v>
      </c>
      <c r="J34" s="846">
        <v>339530.58</v>
      </c>
      <c r="K34" s="846">
        <v>339530.58</v>
      </c>
      <c r="L34" s="846">
        <v>339530.58</v>
      </c>
      <c r="M34" s="846">
        <v>339530.58</v>
      </c>
      <c r="N34" s="846">
        <v>339530.58</v>
      </c>
      <c r="O34" s="846">
        <v>339530.58</v>
      </c>
      <c r="P34" s="846">
        <v>339530.58</v>
      </c>
      <c r="Q34" s="846">
        <v>339530.58</v>
      </c>
      <c r="R34" s="846">
        <v>339530.58</v>
      </c>
      <c r="S34" s="846">
        <v>339530.58</v>
      </c>
      <c r="T34" s="846">
        <v>-1626059.42</v>
      </c>
      <c r="U34" s="846">
        <f t="shared" si="1"/>
        <v>16378837.909999995</v>
      </c>
    </row>
    <row r="35" spans="1:21" hidden="1">
      <c r="A35" s="842" t="s">
        <v>1362</v>
      </c>
      <c r="B35" s="842" t="str">
        <f t="shared" si="2"/>
        <v>2</v>
      </c>
      <c r="C35" s="842" t="str">
        <f t="shared" si="3"/>
        <v>28</v>
      </c>
      <c r="D35" s="842" t="str">
        <f t="shared" si="4"/>
        <v>281</v>
      </c>
      <c r="E35" s="842" t="str">
        <f t="shared" si="5"/>
        <v>2818</v>
      </c>
      <c r="F35" s="842" t="str">
        <f t="shared" si="6"/>
        <v>843</v>
      </c>
      <c r="G35" s="842" t="s">
        <v>1508</v>
      </c>
      <c r="H35" s="846">
        <v>12197857.6</v>
      </c>
      <c r="I35" s="846">
        <v>5666.67</v>
      </c>
      <c r="J35" s="846">
        <v>5666.67</v>
      </c>
      <c r="K35" s="846">
        <v>5666.67</v>
      </c>
      <c r="L35" s="846">
        <v>5666.67</v>
      </c>
      <c r="M35" s="846">
        <v>5666.67</v>
      </c>
      <c r="N35" s="846">
        <v>5666.67</v>
      </c>
      <c r="O35" s="846">
        <v>5666.67</v>
      </c>
      <c r="P35" s="846">
        <v>5666.67</v>
      </c>
      <c r="Q35" s="846">
        <v>5666.67</v>
      </c>
      <c r="R35" s="846">
        <v>5666.67</v>
      </c>
      <c r="S35" s="846">
        <v>5666.67</v>
      </c>
      <c r="T35" s="846">
        <v>-38333.370000000003</v>
      </c>
      <c r="U35" s="846">
        <f t="shared" si="1"/>
        <v>12221857.6</v>
      </c>
    </row>
    <row r="36" spans="1:21" hidden="1">
      <c r="A36" s="842" t="s">
        <v>1363</v>
      </c>
      <c r="B36" s="842" t="str">
        <f t="shared" si="2"/>
        <v>2</v>
      </c>
      <c r="C36" s="842" t="str">
        <f t="shared" si="3"/>
        <v>28</v>
      </c>
      <c r="D36" s="842" t="str">
        <f t="shared" si="4"/>
        <v>281</v>
      </c>
      <c r="E36" s="842" t="str">
        <f t="shared" si="5"/>
        <v>2818</v>
      </c>
      <c r="F36" s="842" t="str">
        <f t="shared" si="6"/>
        <v>844</v>
      </c>
      <c r="G36" s="842" t="s">
        <v>1509</v>
      </c>
      <c r="H36" s="846">
        <v>13003541.300000001</v>
      </c>
      <c r="I36" s="846">
        <v>191718.75</v>
      </c>
      <c r="J36" s="846">
        <v>191718.75</v>
      </c>
      <c r="K36" s="846">
        <v>191718.75</v>
      </c>
      <c r="L36" s="846">
        <v>191718.75</v>
      </c>
      <c r="M36" s="846">
        <v>191718.75</v>
      </c>
      <c r="N36" s="846">
        <v>191718.75</v>
      </c>
      <c r="O36" s="846">
        <v>191718.75</v>
      </c>
      <c r="P36" s="846">
        <v>191718.75</v>
      </c>
      <c r="Q36" s="846">
        <v>191718.75</v>
      </c>
      <c r="R36" s="846">
        <v>191718.75</v>
      </c>
      <c r="S36" s="846">
        <v>191718.75</v>
      </c>
      <c r="T36" s="846">
        <v>-248486.25</v>
      </c>
      <c r="U36" s="846">
        <f t="shared" si="1"/>
        <v>14863961.300000001</v>
      </c>
    </row>
    <row r="37" spans="1:21" hidden="1">
      <c r="A37" s="842" t="s">
        <v>1364</v>
      </c>
      <c r="B37" s="842" t="str">
        <f t="shared" si="2"/>
        <v>2</v>
      </c>
      <c r="C37" s="842" t="str">
        <f t="shared" si="3"/>
        <v>28</v>
      </c>
      <c r="D37" s="842" t="str">
        <f t="shared" si="4"/>
        <v>281</v>
      </c>
      <c r="E37" s="842" t="str">
        <f t="shared" si="5"/>
        <v>2818</v>
      </c>
      <c r="F37" s="842" t="str">
        <f t="shared" si="6"/>
        <v>845</v>
      </c>
      <c r="G37" s="842" t="s">
        <v>1510</v>
      </c>
      <c r="H37" s="846">
        <v>20280535.52</v>
      </c>
      <c r="I37" s="846">
        <v>98189.5</v>
      </c>
      <c r="J37" s="846">
        <v>98189.5</v>
      </c>
      <c r="K37" s="846">
        <v>98189.5</v>
      </c>
      <c r="L37" s="846">
        <v>98189.5</v>
      </c>
      <c r="M37" s="846">
        <v>98189.5</v>
      </c>
      <c r="N37" s="846">
        <v>98189.5</v>
      </c>
      <c r="O37" s="846">
        <v>98189.5</v>
      </c>
      <c r="P37" s="846">
        <v>98189.5</v>
      </c>
      <c r="Q37" s="846">
        <v>98189.5</v>
      </c>
      <c r="R37" s="846">
        <v>98189.5</v>
      </c>
      <c r="S37" s="846">
        <v>98189.5</v>
      </c>
      <c r="T37" s="846">
        <v>-490947.54</v>
      </c>
      <c r="U37" s="846">
        <f t="shared" ref="U37:U68" si="7">SUM(H37:T37)</f>
        <v>20869672.48</v>
      </c>
    </row>
    <row r="38" spans="1:21" hidden="1">
      <c r="A38" s="842" t="s">
        <v>1365</v>
      </c>
      <c r="B38" s="842" t="str">
        <f t="shared" si="2"/>
        <v>2</v>
      </c>
      <c r="C38" s="842" t="str">
        <f t="shared" si="3"/>
        <v>29</v>
      </c>
      <c r="D38" s="842" t="str">
        <f t="shared" si="4"/>
        <v>296</v>
      </c>
      <c r="E38" s="842" t="str">
        <f t="shared" si="5"/>
        <v>2961</v>
      </c>
      <c r="F38" s="842" t="str">
        <f t="shared" si="6"/>
        <v>104</v>
      </c>
      <c r="G38" s="842" t="s">
        <v>1511</v>
      </c>
      <c r="H38" s="846">
        <v>8720000</v>
      </c>
      <c r="I38" s="846"/>
      <c r="J38" s="846"/>
      <c r="K38" s="846"/>
      <c r="L38" s="846"/>
      <c r="M38" s="846"/>
      <c r="N38" s="846"/>
      <c r="O38" s="846"/>
      <c r="P38" s="846"/>
      <c r="Q38" s="846"/>
      <c r="R38" s="846"/>
      <c r="S38" s="846"/>
      <c r="T38" s="846"/>
      <c r="U38" s="846">
        <f t="shared" si="7"/>
        <v>8720000</v>
      </c>
    </row>
    <row r="39" spans="1:21" hidden="1">
      <c r="A39" s="842" t="s">
        <v>1512</v>
      </c>
      <c r="B39" s="842" t="str">
        <f t="shared" si="2"/>
        <v>3</v>
      </c>
      <c r="C39" s="842" t="str">
        <f t="shared" si="3"/>
        <v>32</v>
      </c>
      <c r="D39" s="842" t="str">
        <f t="shared" si="4"/>
        <v>321</v>
      </c>
      <c r="E39" s="842" t="str">
        <f t="shared" si="5"/>
        <v>3213</v>
      </c>
      <c r="F39" s="842" t="str">
        <f t="shared" si="6"/>
        <v>300</v>
      </c>
      <c r="G39" s="842" t="s">
        <v>1513</v>
      </c>
      <c r="H39" s="846">
        <v>-1279175.97</v>
      </c>
      <c r="I39" s="846"/>
      <c r="J39" s="846"/>
      <c r="K39" s="846"/>
      <c r="L39" s="846"/>
      <c r="M39" s="846"/>
      <c r="N39" s="846"/>
      <c r="O39" s="846"/>
      <c r="P39" s="846"/>
      <c r="Q39" s="846"/>
      <c r="R39" s="846"/>
      <c r="S39" s="846"/>
      <c r="T39" s="846">
        <v>-436227.01</v>
      </c>
      <c r="U39" s="846">
        <f t="shared" si="7"/>
        <v>-1715402.98</v>
      </c>
    </row>
    <row r="40" spans="1:21">
      <c r="A40" s="842" t="s">
        <v>1514</v>
      </c>
      <c r="B40" s="842" t="str">
        <f t="shared" si="2"/>
        <v>3</v>
      </c>
      <c r="C40" s="842" t="str">
        <f t="shared" si="3"/>
        <v>32</v>
      </c>
      <c r="D40" s="842" t="str">
        <f t="shared" si="4"/>
        <v>322</v>
      </c>
      <c r="E40" s="842" t="str">
        <f t="shared" si="5"/>
        <v>3221</v>
      </c>
      <c r="F40" s="842" t="str">
        <f t="shared" si="6"/>
        <v>100</v>
      </c>
      <c r="G40" s="842" t="s">
        <v>1515</v>
      </c>
      <c r="H40" s="846">
        <v>-109204938.40000001</v>
      </c>
      <c r="I40" s="846"/>
      <c r="J40" s="846"/>
      <c r="K40" s="846"/>
      <c r="L40" s="846"/>
      <c r="M40" s="846"/>
      <c r="N40" s="846"/>
      <c r="O40" s="846"/>
      <c r="P40" s="846"/>
      <c r="Q40" s="846"/>
      <c r="R40" s="846"/>
      <c r="S40" s="846"/>
      <c r="T40" s="846">
        <v>8880484.0800000131</v>
      </c>
      <c r="U40" s="846">
        <f t="shared" si="7"/>
        <v>-100324454.31999999</v>
      </c>
    </row>
    <row r="41" spans="1:21" hidden="1">
      <c r="A41" s="842" t="s">
        <v>1516</v>
      </c>
      <c r="B41" s="842" t="str">
        <f t="shared" si="2"/>
        <v>3</v>
      </c>
      <c r="C41" s="842" t="str">
        <f t="shared" si="3"/>
        <v>32</v>
      </c>
      <c r="D41" s="842" t="str">
        <f t="shared" si="4"/>
        <v>322</v>
      </c>
      <c r="E41" s="842" t="str">
        <f t="shared" si="5"/>
        <v>3228</v>
      </c>
      <c r="F41" s="842" t="str">
        <f t="shared" si="6"/>
        <v>888</v>
      </c>
      <c r="G41" s="842" t="s">
        <v>1517</v>
      </c>
      <c r="H41" s="846">
        <v>-2239004.75</v>
      </c>
      <c r="I41" s="846"/>
      <c r="J41" s="846"/>
      <c r="K41" s="846"/>
      <c r="L41" s="846"/>
      <c r="M41" s="846"/>
      <c r="N41" s="846"/>
      <c r="O41" s="846"/>
      <c r="P41" s="846"/>
      <c r="Q41" s="846"/>
      <c r="R41" s="846"/>
      <c r="S41" s="846"/>
      <c r="T41" s="846">
        <v>-5500723.3899999997</v>
      </c>
      <c r="U41" s="846">
        <f t="shared" si="7"/>
        <v>-7739728.1399999997</v>
      </c>
    </row>
    <row r="42" spans="1:21" hidden="1">
      <c r="A42" s="842" t="s">
        <v>1518</v>
      </c>
      <c r="B42" s="842" t="str">
        <f t="shared" si="2"/>
        <v>3</v>
      </c>
      <c r="C42" s="842" t="str">
        <f t="shared" si="3"/>
        <v>32</v>
      </c>
      <c r="D42" s="842" t="str">
        <f t="shared" si="4"/>
        <v>322</v>
      </c>
      <c r="E42" s="842" t="str">
        <f t="shared" si="5"/>
        <v>3229</v>
      </c>
      <c r="F42" s="842" t="str">
        <f t="shared" si="6"/>
        <v>999</v>
      </c>
      <c r="G42" s="842" t="s">
        <v>1519</v>
      </c>
      <c r="H42" s="846">
        <v>-13355750</v>
      </c>
      <c r="I42" s="846"/>
      <c r="J42" s="846"/>
      <c r="K42" s="846"/>
      <c r="L42" s="846"/>
      <c r="M42" s="846"/>
      <c r="N42" s="846"/>
      <c r="O42" s="846"/>
      <c r="P42" s="846"/>
      <c r="Q42" s="846"/>
      <c r="R42" s="846"/>
      <c r="S42" s="846"/>
      <c r="T42" s="846">
        <v>-8637430</v>
      </c>
      <c r="U42" s="846">
        <f t="shared" si="7"/>
        <v>-21993180</v>
      </c>
    </row>
    <row r="43" spans="1:21">
      <c r="A43" s="842" t="s">
        <v>1520</v>
      </c>
      <c r="B43" s="842" t="str">
        <f t="shared" si="2"/>
        <v>3</v>
      </c>
      <c r="C43" s="842" t="str">
        <f t="shared" si="3"/>
        <v>32</v>
      </c>
      <c r="D43" s="842" t="str">
        <f t="shared" si="4"/>
        <v>326</v>
      </c>
      <c r="E43" s="842" t="str">
        <f t="shared" si="5"/>
        <v>3260</v>
      </c>
      <c r="F43" s="842" t="str">
        <f t="shared" si="6"/>
        <v>000</v>
      </c>
      <c r="G43" s="842" t="s">
        <v>1521</v>
      </c>
      <c r="H43" s="846">
        <v>-8631600</v>
      </c>
      <c r="I43" s="846"/>
      <c r="J43" s="846"/>
      <c r="K43" s="846"/>
      <c r="L43" s="846"/>
      <c r="M43" s="846"/>
      <c r="N43" s="846"/>
      <c r="O43" s="846"/>
      <c r="P43" s="846"/>
      <c r="Q43" s="846"/>
      <c r="R43" s="846"/>
      <c r="S43" s="846"/>
      <c r="T43" s="846">
        <v>-41692060</v>
      </c>
      <c r="U43" s="846">
        <f t="shared" si="7"/>
        <v>-50323660</v>
      </c>
    </row>
    <row r="44" spans="1:21">
      <c r="A44" s="842" t="s">
        <v>1522</v>
      </c>
      <c r="B44" s="842" t="str">
        <f t="shared" si="2"/>
        <v>3</v>
      </c>
      <c r="C44" s="842" t="str">
        <f t="shared" si="3"/>
        <v>35</v>
      </c>
      <c r="D44" s="842" t="str">
        <f t="shared" si="4"/>
        <v>355</v>
      </c>
      <c r="E44" s="842" t="str">
        <f t="shared" si="5"/>
        <v>3551</v>
      </c>
      <c r="F44" s="842" t="str">
        <f t="shared" si="6"/>
        <v>100</v>
      </c>
      <c r="G44" s="842" t="s">
        <v>1523</v>
      </c>
      <c r="H44" s="846">
        <v>-24719200</v>
      </c>
      <c r="I44" s="846"/>
      <c r="J44" s="846"/>
      <c r="K44" s="846"/>
      <c r="L44" s="846"/>
      <c r="M44" s="846"/>
      <c r="N44" s="846"/>
      <c r="O44" s="846"/>
      <c r="P44" s="846"/>
      <c r="Q44" s="846"/>
      <c r="R44" s="846"/>
      <c r="S44" s="846"/>
      <c r="T44" s="846">
        <v>-177092430.02000001</v>
      </c>
      <c r="U44" s="846">
        <f t="shared" si="7"/>
        <v>-201811630.02000001</v>
      </c>
    </row>
    <row r="45" spans="1:21">
      <c r="A45" s="842" t="s">
        <v>1366</v>
      </c>
      <c r="B45" s="842" t="str">
        <f t="shared" si="2"/>
        <v>4</v>
      </c>
      <c r="C45" s="842" t="str">
        <f t="shared" si="3"/>
        <v>40</v>
      </c>
      <c r="D45" s="842" t="str">
        <f t="shared" si="4"/>
        <v>401</v>
      </c>
      <c r="E45" s="842" t="str">
        <f t="shared" si="5"/>
        <v>4011</v>
      </c>
      <c r="F45" s="842" t="str">
        <f t="shared" si="6"/>
        <v>100</v>
      </c>
      <c r="G45" s="842" t="s">
        <v>1524</v>
      </c>
      <c r="H45" s="846">
        <v>311291100.59000009</v>
      </c>
      <c r="I45" s="846">
        <v>-153879085.11999997</v>
      </c>
      <c r="J45" s="846">
        <v>-12247098.399999999</v>
      </c>
      <c r="K45" s="846">
        <v>-47489321.50999999</v>
      </c>
      <c r="L45" s="846">
        <v>-8726200.3999999855</v>
      </c>
      <c r="M45" s="846">
        <v>259824670.66999999</v>
      </c>
      <c r="N45" s="846">
        <v>54186927.120000049</v>
      </c>
      <c r="O45" s="846">
        <v>75167069.789999977</v>
      </c>
      <c r="P45" s="846">
        <v>306448784.44</v>
      </c>
      <c r="Q45" s="846">
        <v>75741540.060000017</v>
      </c>
      <c r="R45" s="846">
        <v>-233138242.81</v>
      </c>
      <c r="S45" s="846">
        <v>388502.1400000006</v>
      </c>
      <c r="T45" s="846">
        <v>10123515.999999989</v>
      </c>
      <c r="U45" s="846">
        <f t="shared" si="7"/>
        <v>637692162.57000005</v>
      </c>
    </row>
    <row r="46" spans="1:21" hidden="1">
      <c r="A46" s="842" t="s">
        <v>1367</v>
      </c>
      <c r="B46" s="842" t="str">
        <f t="shared" si="2"/>
        <v>4</v>
      </c>
      <c r="C46" s="842" t="str">
        <f t="shared" si="3"/>
        <v>40</v>
      </c>
      <c r="D46" s="842" t="str">
        <f t="shared" si="4"/>
        <v>401</v>
      </c>
      <c r="E46" s="842" t="str">
        <f t="shared" si="5"/>
        <v>4012</v>
      </c>
      <c r="F46" s="842" t="str">
        <f t="shared" si="6"/>
        <v>200</v>
      </c>
      <c r="G46" s="842" t="s">
        <v>1526</v>
      </c>
      <c r="H46" s="846"/>
      <c r="I46" s="846">
        <v>5788001.4800000004</v>
      </c>
      <c r="J46" s="846"/>
      <c r="K46" s="846"/>
      <c r="L46" s="846"/>
      <c r="M46" s="846"/>
      <c r="N46" s="846"/>
      <c r="O46" s="846"/>
      <c r="P46" s="846"/>
      <c r="Q46" s="846"/>
      <c r="R46" s="846"/>
      <c r="S46" s="846"/>
      <c r="T46" s="846"/>
      <c r="U46" s="846">
        <f t="shared" si="7"/>
        <v>5788001.4800000004</v>
      </c>
    </row>
    <row r="47" spans="1:21">
      <c r="A47" s="842" t="s">
        <v>1368</v>
      </c>
      <c r="B47" s="842" t="str">
        <f t="shared" si="2"/>
        <v>4</v>
      </c>
      <c r="C47" s="842" t="str">
        <f t="shared" si="3"/>
        <v>40</v>
      </c>
      <c r="D47" s="842" t="str">
        <f t="shared" si="4"/>
        <v>403</v>
      </c>
      <c r="E47" s="842" t="str">
        <f t="shared" si="5"/>
        <v>4031</v>
      </c>
      <c r="F47" s="842" t="str">
        <f t="shared" si="6"/>
        <v>100</v>
      </c>
      <c r="G47" s="842" t="s">
        <v>1527</v>
      </c>
      <c r="H47" s="846">
        <v>22742400</v>
      </c>
      <c r="I47" s="846">
        <v>-12635400</v>
      </c>
      <c r="J47" s="846">
        <v>18277355.079999998</v>
      </c>
      <c r="K47" s="846">
        <v>-14310995.08</v>
      </c>
      <c r="L47" s="846">
        <v>1804080</v>
      </c>
      <c r="M47" s="846">
        <v>-379440</v>
      </c>
      <c r="N47" s="846">
        <v>264600</v>
      </c>
      <c r="O47" s="846">
        <v>19512000</v>
      </c>
      <c r="P47" s="846">
        <v>49595475</v>
      </c>
      <c r="Q47" s="846">
        <v>-15401495.199999999</v>
      </c>
      <c r="R47" s="846">
        <v>12457898.800000003</v>
      </c>
      <c r="S47" s="846">
        <v>-7300371.5999999996</v>
      </c>
      <c r="T47" s="846">
        <v>-39827588.950000003</v>
      </c>
      <c r="U47" s="846">
        <f t="shared" si="7"/>
        <v>34798518.049999997</v>
      </c>
    </row>
    <row r="48" spans="1:21">
      <c r="A48" s="842" t="s">
        <v>1369</v>
      </c>
      <c r="B48" s="842" t="str">
        <f t="shared" si="2"/>
        <v>4</v>
      </c>
      <c r="C48" s="842" t="str">
        <f t="shared" si="3"/>
        <v>40</v>
      </c>
      <c r="D48" s="842" t="str">
        <f t="shared" si="4"/>
        <v>404</v>
      </c>
      <c r="E48" s="842" t="str">
        <f t="shared" si="5"/>
        <v>4041</v>
      </c>
      <c r="F48" s="842" t="str">
        <f t="shared" si="6"/>
        <v>100</v>
      </c>
      <c r="G48" s="842" t="s">
        <v>1528</v>
      </c>
      <c r="H48" s="846"/>
      <c r="I48" s="846"/>
      <c r="J48" s="846"/>
      <c r="K48" s="846"/>
      <c r="L48" s="846"/>
      <c r="M48" s="846"/>
      <c r="N48" s="846"/>
      <c r="O48" s="846">
        <v>0</v>
      </c>
      <c r="P48" s="846"/>
      <c r="Q48" s="846"/>
      <c r="R48" s="846"/>
      <c r="S48" s="846"/>
      <c r="T48" s="846">
        <v>17421108</v>
      </c>
      <c r="U48" s="846">
        <f t="shared" si="7"/>
        <v>17421108</v>
      </c>
    </row>
    <row r="49" spans="1:21">
      <c r="A49" s="842" t="s">
        <v>1370</v>
      </c>
      <c r="B49" s="842" t="str">
        <f t="shared" si="2"/>
        <v>4</v>
      </c>
      <c r="C49" s="842" t="str">
        <f t="shared" si="3"/>
        <v>40</v>
      </c>
      <c r="D49" s="842" t="str">
        <f t="shared" si="4"/>
        <v>408</v>
      </c>
      <c r="E49" s="842" t="str">
        <f t="shared" si="5"/>
        <v>4081</v>
      </c>
      <c r="F49" s="842" t="str">
        <f t="shared" si="6"/>
        <v>100</v>
      </c>
      <c r="G49" s="842" t="s">
        <v>1529</v>
      </c>
      <c r="H49" s="846">
        <v>12408583</v>
      </c>
      <c r="I49" s="846">
        <v>-323638.8599999994</v>
      </c>
      <c r="J49" s="846">
        <v>-96300</v>
      </c>
      <c r="K49" s="846">
        <v>2552300</v>
      </c>
      <c r="L49" s="846">
        <v>-2453361.14</v>
      </c>
      <c r="M49" s="846">
        <v>-1760000</v>
      </c>
      <c r="N49" s="846">
        <v>95291666.989999995</v>
      </c>
      <c r="O49" s="846">
        <v>-55753659.989999995</v>
      </c>
      <c r="P49" s="846">
        <v>87898833.340000004</v>
      </c>
      <c r="Q49" s="846">
        <v>-86166986.560000002</v>
      </c>
      <c r="R49" s="846">
        <v>-5941346.7799999993</v>
      </c>
      <c r="S49" s="846">
        <v>-2328250</v>
      </c>
      <c r="T49" s="846">
        <v>-3477006.33</v>
      </c>
      <c r="U49" s="846">
        <f t="shared" si="7"/>
        <v>39850833.670000002</v>
      </c>
    </row>
    <row r="50" spans="1:21">
      <c r="A50" s="842" t="s">
        <v>1371</v>
      </c>
      <c r="B50" s="842" t="str">
        <f t="shared" si="2"/>
        <v>4</v>
      </c>
      <c r="C50" s="842" t="str">
        <f t="shared" si="3"/>
        <v>40</v>
      </c>
      <c r="D50" s="842" t="str">
        <f t="shared" si="4"/>
        <v>409</v>
      </c>
      <c r="E50" s="842" t="str">
        <f t="shared" si="5"/>
        <v>4091</v>
      </c>
      <c r="F50" s="842" t="str">
        <f t="shared" si="6"/>
        <v>100</v>
      </c>
      <c r="G50" s="842" t="s">
        <v>1525</v>
      </c>
      <c r="H50" s="846">
        <v>-127600</v>
      </c>
      <c r="I50" s="846">
        <v>127600</v>
      </c>
      <c r="J50" s="846"/>
      <c r="K50" s="846"/>
      <c r="L50" s="846">
        <v>-1650000</v>
      </c>
      <c r="M50" s="846">
        <v>-500000</v>
      </c>
      <c r="N50" s="846">
        <v>-98350000</v>
      </c>
      <c r="O50" s="846">
        <v>-1320000</v>
      </c>
      <c r="P50" s="846"/>
      <c r="Q50" s="846">
        <v>19500000</v>
      </c>
      <c r="R50" s="846">
        <v>-3000000</v>
      </c>
      <c r="S50" s="846"/>
      <c r="T50" s="846">
        <v>73514125</v>
      </c>
      <c r="U50" s="846">
        <f t="shared" si="7"/>
        <v>-11805875</v>
      </c>
    </row>
    <row r="51" spans="1:21">
      <c r="A51" s="842" t="s">
        <v>1372</v>
      </c>
      <c r="B51" s="842" t="str">
        <f t="shared" si="2"/>
        <v>4</v>
      </c>
      <c r="C51" s="842" t="str">
        <f t="shared" si="3"/>
        <v>41</v>
      </c>
      <c r="D51" s="842" t="str">
        <f t="shared" si="4"/>
        <v>411</v>
      </c>
      <c r="E51" s="842" t="str">
        <f t="shared" si="5"/>
        <v>4111</v>
      </c>
      <c r="F51" s="842" t="str">
        <f t="shared" si="6"/>
        <v>100</v>
      </c>
      <c r="G51" s="842" t="s">
        <v>1530</v>
      </c>
      <c r="H51" s="846">
        <v>-27705000</v>
      </c>
      <c r="I51" s="846">
        <v>2565000</v>
      </c>
      <c r="J51" s="846">
        <v>0</v>
      </c>
      <c r="K51" s="846">
        <v>-2362500</v>
      </c>
      <c r="L51" s="846">
        <v>2362500</v>
      </c>
      <c r="M51" s="846">
        <v>0</v>
      </c>
      <c r="N51" s="846">
        <v>0</v>
      </c>
      <c r="O51" s="846">
        <v>0</v>
      </c>
      <c r="P51" s="846">
        <v>0</v>
      </c>
      <c r="Q51" s="846">
        <v>0</v>
      </c>
      <c r="R51" s="846">
        <v>0</v>
      </c>
      <c r="S51" s="846">
        <v>0</v>
      </c>
      <c r="T51" s="846">
        <v>0</v>
      </c>
      <c r="U51" s="846">
        <f t="shared" si="7"/>
        <v>-25140000</v>
      </c>
    </row>
    <row r="52" spans="1:21" hidden="1">
      <c r="A52" s="842" t="s">
        <v>1373</v>
      </c>
      <c r="B52" s="842" t="str">
        <f t="shared" si="2"/>
        <v>4</v>
      </c>
      <c r="C52" s="842" t="str">
        <f t="shared" si="3"/>
        <v>41</v>
      </c>
      <c r="D52" s="842" t="str">
        <f t="shared" si="4"/>
        <v>411</v>
      </c>
      <c r="E52" s="842" t="str">
        <f t="shared" si="5"/>
        <v>4112</v>
      </c>
      <c r="F52" s="842" t="str">
        <f t="shared" si="6"/>
        <v>200</v>
      </c>
      <c r="G52" s="842" t="s">
        <v>1531</v>
      </c>
      <c r="H52" s="846"/>
      <c r="I52" s="846">
        <v>4879872</v>
      </c>
      <c r="J52" s="846">
        <v>-2324352</v>
      </c>
      <c r="K52" s="846">
        <v>27018135</v>
      </c>
      <c r="L52" s="846">
        <v>30979353</v>
      </c>
      <c r="M52" s="846">
        <v>-56973360</v>
      </c>
      <c r="N52" s="846">
        <v>-56826864</v>
      </c>
      <c r="O52" s="846">
        <v>56826864</v>
      </c>
      <c r="P52" s="846">
        <v>109889280</v>
      </c>
      <c r="Q52" s="846">
        <v>-471835634</v>
      </c>
      <c r="R52" s="846">
        <v>314873254</v>
      </c>
      <c r="S52" s="846">
        <v>47073100</v>
      </c>
      <c r="T52" s="846">
        <v>-67075148</v>
      </c>
      <c r="U52" s="846">
        <f t="shared" si="7"/>
        <v>-63495500</v>
      </c>
    </row>
    <row r="53" spans="1:21" hidden="1">
      <c r="A53" s="842" t="s">
        <v>1374</v>
      </c>
      <c r="B53" s="842" t="str">
        <f t="shared" si="2"/>
        <v>4</v>
      </c>
      <c r="C53" s="842" t="str">
        <f t="shared" si="3"/>
        <v>42</v>
      </c>
      <c r="D53" s="842" t="str">
        <f t="shared" si="4"/>
        <v>421</v>
      </c>
      <c r="E53" s="842" t="str">
        <f t="shared" si="5"/>
        <v>4212</v>
      </c>
      <c r="F53" s="842" t="str">
        <f t="shared" si="6"/>
        <v>200</v>
      </c>
      <c r="G53" s="842" t="s">
        <v>1532</v>
      </c>
      <c r="H53" s="846">
        <v>4677080</v>
      </c>
      <c r="I53" s="846">
        <v>34347243.890000001</v>
      </c>
      <c r="J53" s="846">
        <v>-7301054</v>
      </c>
      <c r="K53" s="846">
        <v>-1836610</v>
      </c>
      <c r="L53" s="846">
        <v>3254880</v>
      </c>
      <c r="M53" s="846">
        <v>-12943940</v>
      </c>
      <c r="N53" s="846">
        <v>2956880</v>
      </c>
      <c r="O53" s="846">
        <v>-2379980</v>
      </c>
      <c r="P53" s="846">
        <v>36290829.18</v>
      </c>
      <c r="Q53" s="846">
        <v>-4887218.18</v>
      </c>
      <c r="R53" s="846">
        <v>-30900312</v>
      </c>
      <c r="S53" s="846">
        <v>-20592808</v>
      </c>
      <c r="T53" s="846">
        <v>18986240</v>
      </c>
      <c r="U53" s="846">
        <f t="shared" si="7"/>
        <v>19671230.890000001</v>
      </c>
    </row>
    <row r="54" spans="1:21" hidden="1">
      <c r="A54" s="842" t="s">
        <v>1375</v>
      </c>
      <c r="B54" s="842" t="str">
        <f t="shared" si="2"/>
        <v>4</v>
      </c>
      <c r="C54" s="842" t="str">
        <f t="shared" si="3"/>
        <v>42</v>
      </c>
      <c r="D54" s="842" t="str">
        <f t="shared" si="4"/>
        <v>421</v>
      </c>
      <c r="E54" s="842" t="str">
        <f t="shared" si="5"/>
        <v>4213</v>
      </c>
      <c r="F54" s="842" t="str">
        <f t="shared" si="6"/>
        <v>300</v>
      </c>
      <c r="G54" s="842" t="s">
        <v>1533</v>
      </c>
      <c r="H54" s="846">
        <v>14038142.810000001</v>
      </c>
      <c r="I54" s="846">
        <v>-2867542.8100000005</v>
      </c>
      <c r="J54" s="846">
        <v>-8006800</v>
      </c>
      <c r="K54" s="846">
        <v>-1239000</v>
      </c>
      <c r="L54" s="846">
        <v>1990100</v>
      </c>
      <c r="M54" s="846">
        <v>-1643700</v>
      </c>
      <c r="N54" s="846">
        <v>2227700</v>
      </c>
      <c r="O54" s="846">
        <v>2000900</v>
      </c>
      <c r="P54" s="846">
        <v>-4137000</v>
      </c>
      <c r="Q54" s="846">
        <v>2156900</v>
      </c>
      <c r="R54" s="846">
        <v>137200</v>
      </c>
      <c r="S54" s="846">
        <v>-2309700</v>
      </c>
      <c r="T54" s="846">
        <v>2373800</v>
      </c>
      <c r="U54" s="846">
        <f t="shared" si="7"/>
        <v>4721000</v>
      </c>
    </row>
    <row r="55" spans="1:21" hidden="1">
      <c r="A55" s="842" t="s">
        <v>1534</v>
      </c>
      <c r="B55" s="842" t="str">
        <f t="shared" si="2"/>
        <v>4</v>
      </c>
      <c r="C55" s="842" t="str">
        <f t="shared" si="3"/>
        <v>42</v>
      </c>
      <c r="D55" s="842" t="str">
        <f t="shared" si="4"/>
        <v>425</v>
      </c>
      <c r="E55" s="842" t="str">
        <f t="shared" si="5"/>
        <v>4251</v>
      </c>
      <c r="F55" s="842" t="str">
        <f t="shared" si="6"/>
        <v>120</v>
      </c>
      <c r="G55" s="842" t="s">
        <v>1535</v>
      </c>
      <c r="H55" s="846"/>
      <c r="I55" s="846"/>
      <c r="J55" s="846"/>
      <c r="K55" s="846"/>
      <c r="L55" s="846"/>
      <c r="M55" s="846"/>
      <c r="N55" s="846"/>
      <c r="O55" s="846">
        <v>50000</v>
      </c>
      <c r="P55" s="846"/>
      <c r="Q55" s="846">
        <v>250000</v>
      </c>
      <c r="R55" s="846"/>
      <c r="S55" s="846"/>
      <c r="T55" s="846"/>
      <c r="U55" s="846">
        <f t="shared" si="7"/>
        <v>300000</v>
      </c>
    </row>
    <row r="56" spans="1:21" hidden="1">
      <c r="A56" s="842" t="s">
        <v>1536</v>
      </c>
      <c r="B56" s="842" t="str">
        <f t="shared" si="2"/>
        <v>4</v>
      </c>
      <c r="C56" s="842" t="str">
        <f t="shared" si="3"/>
        <v>42</v>
      </c>
      <c r="D56" s="842" t="str">
        <f t="shared" si="4"/>
        <v>425</v>
      </c>
      <c r="E56" s="842" t="str">
        <f t="shared" si="5"/>
        <v>4251</v>
      </c>
      <c r="F56" s="842" t="str">
        <f t="shared" si="6"/>
        <v>130</v>
      </c>
      <c r="G56" s="842" t="s">
        <v>1537</v>
      </c>
      <c r="H56" s="846"/>
      <c r="I56" s="846"/>
      <c r="J56" s="846"/>
      <c r="K56" s="846">
        <v>0</v>
      </c>
      <c r="L56" s="846"/>
      <c r="M56" s="846"/>
      <c r="N56" s="846"/>
      <c r="O56" s="846"/>
      <c r="P56" s="846"/>
      <c r="Q56" s="846"/>
      <c r="R56" s="846"/>
      <c r="S56" s="846"/>
      <c r="T56" s="846"/>
      <c r="U56" s="846">
        <f t="shared" si="7"/>
        <v>0</v>
      </c>
    </row>
    <row r="57" spans="1:21" hidden="1">
      <c r="A57" s="842" t="s">
        <v>1538</v>
      </c>
      <c r="B57" s="842" t="str">
        <f t="shared" si="2"/>
        <v>4</v>
      </c>
      <c r="C57" s="842" t="str">
        <f t="shared" si="3"/>
        <v>42</v>
      </c>
      <c r="D57" s="842" t="str">
        <f t="shared" si="4"/>
        <v>425</v>
      </c>
      <c r="E57" s="842" t="str">
        <f t="shared" si="5"/>
        <v>4252</v>
      </c>
      <c r="F57" s="842" t="str">
        <f t="shared" si="6"/>
        <v>220</v>
      </c>
      <c r="G57" s="842" t="s">
        <v>1539</v>
      </c>
      <c r="H57" s="846">
        <v>139100</v>
      </c>
      <c r="I57" s="846"/>
      <c r="J57" s="846"/>
      <c r="K57" s="846"/>
      <c r="L57" s="846"/>
      <c r="M57" s="846"/>
      <c r="N57" s="846"/>
      <c r="O57" s="846"/>
      <c r="P57" s="846">
        <v>-50000</v>
      </c>
      <c r="Q57" s="846"/>
      <c r="R57" s="846"/>
      <c r="S57" s="846"/>
      <c r="T57" s="846"/>
      <c r="U57" s="846">
        <f t="shared" si="7"/>
        <v>89100</v>
      </c>
    </row>
    <row r="58" spans="1:21" hidden="1">
      <c r="A58" s="842" t="s">
        <v>1540</v>
      </c>
      <c r="B58" s="842" t="str">
        <f t="shared" si="2"/>
        <v>4</v>
      </c>
      <c r="C58" s="842" t="str">
        <f t="shared" si="3"/>
        <v>42</v>
      </c>
      <c r="D58" s="842" t="str">
        <f t="shared" si="4"/>
        <v>425</v>
      </c>
      <c r="E58" s="842" t="str">
        <f t="shared" si="5"/>
        <v>4253</v>
      </c>
      <c r="F58" s="842" t="str">
        <f t="shared" si="6"/>
        <v>300</v>
      </c>
      <c r="G58" s="842" t="s">
        <v>1541</v>
      </c>
      <c r="H58" s="846"/>
      <c r="I58" s="846"/>
      <c r="J58" s="846"/>
      <c r="K58" s="846"/>
      <c r="L58" s="846"/>
      <c r="M58" s="846"/>
      <c r="N58" s="846">
        <v>0</v>
      </c>
      <c r="O58" s="846"/>
      <c r="P58" s="846"/>
      <c r="Q58" s="846"/>
      <c r="R58" s="846"/>
      <c r="S58" s="846"/>
      <c r="T58" s="846"/>
      <c r="U58" s="846">
        <f t="shared" si="7"/>
        <v>0</v>
      </c>
    </row>
    <row r="59" spans="1:21" hidden="1">
      <c r="A59" s="842" t="s">
        <v>1376</v>
      </c>
      <c r="B59" s="842" t="str">
        <f t="shared" si="2"/>
        <v>4</v>
      </c>
      <c r="C59" s="842" t="str">
        <f t="shared" si="3"/>
        <v>42</v>
      </c>
      <c r="D59" s="842" t="str">
        <f t="shared" si="4"/>
        <v>425</v>
      </c>
      <c r="E59" s="842" t="str">
        <f t="shared" si="5"/>
        <v>4253</v>
      </c>
      <c r="F59" s="842" t="str">
        <f t="shared" si="6"/>
        <v>310</v>
      </c>
      <c r="G59" s="842" t="s">
        <v>1542</v>
      </c>
      <c r="H59" s="846">
        <v>-128200</v>
      </c>
      <c r="I59" s="846"/>
      <c r="J59" s="846"/>
      <c r="K59" s="846"/>
      <c r="L59" s="846"/>
      <c r="M59" s="846"/>
      <c r="N59" s="846"/>
      <c r="O59" s="846"/>
      <c r="P59" s="846"/>
      <c r="Q59" s="846"/>
      <c r="R59" s="846"/>
      <c r="S59" s="846"/>
      <c r="T59" s="846"/>
      <c r="U59" s="846">
        <f t="shared" si="7"/>
        <v>-128200</v>
      </c>
    </row>
    <row r="60" spans="1:21" hidden="1">
      <c r="A60" s="842" t="s">
        <v>1377</v>
      </c>
      <c r="B60" s="842" t="str">
        <f t="shared" si="2"/>
        <v>4</v>
      </c>
      <c r="C60" s="842" t="str">
        <f t="shared" si="3"/>
        <v>42</v>
      </c>
      <c r="D60" s="842" t="str">
        <f t="shared" si="4"/>
        <v>425</v>
      </c>
      <c r="E60" s="842" t="str">
        <f t="shared" si="5"/>
        <v>4254</v>
      </c>
      <c r="F60" s="842" t="str">
        <f t="shared" si="6"/>
        <v>420</v>
      </c>
      <c r="G60" s="842" t="s">
        <v>1543</v>
      </c>
      <c r="H60" s="846">
        <v>-1000000</v>
      </c>
      <c r="I60" s="846"/>
      <c r="J60" s="846"/>
      <c r="K60" s="846"/>
      <c r="L60" s="846">
        <v>-650000</v>
      </c>
      <c r="M60" s="846">
        <v>25000</v>
      </c>
      <c r="N60" s="846">
        <v>110000</v>
      </c>
      <c r="O60" s="846">
        <v>105000</v>
      </c>
      <c r="P60" s="846">
        <v>-330000</v>
      </c>
      <c r="Q60" s="846">
        <v>-450000</v>
      </c>
      <c r="R60" s="846"/>
      <c r="S60" s="846">
        <v>70000</v>
      </c>
      <c r="T60" s="846">
        <v>130000</v>
      </c>
      <c r="U60" s="846">
        <f t="shared" si="7"/>
        <v>-1990000</v>
      </c>
    </row>
    <row r="61" spans="1:21" hidden="1">
      <c r="A61" s="842" t="s">
        <v>1378</v>
      </c>
      <c r="B61" s="842" t="str">
        <f t="shared" si="2"/>
        <v>4</v>
      </c>
      <c r="C61" s="842" t="str">
        <f t="shared" si="3"/>
        <v>42</v>
      </c>
      <c r="D61" s="842" t="str">
        <f t="shared" si="4"/>
        <v>428</v>
      </c>
      <c r="E61" s="842" t="str">
        <f t="shared" si="5"/>
        <v>4286</v>
      </c>
      <c r="F61" s="842" t="str">
        <f t="shared" si="6"/>
        <v>610</v>
      </c>
      <c r="G61" s="842" t="s">
        <v>1544</v>
      </c>
      <c r="H61" s="846">
        <v>36178110.140000008</v>
      </c>
      <c r="I61" s="846"/>
      <c r="J61" s="846"/>
      <c r="K61" s="846"/>
      <c r="L61" s="846"/>
      <c r="M61" s="846"/>
      <c r="N61" s="846"/>
      <c r="O61" s="846"/>
      <c r="P61" s="846">
        <v>-155166.5</v>
      </c>
      <c r="Q61" s="846"/>
      <c r="R61" s="846"/>
      <c r="S61" s="846"/>
      <c r="T61" s="846">
        <v>977056.3599999994</v>
      </c>
      <c r="U61" s="846">
        <f t="shared" si="7"/>
        <v>37000000.000000007</v>
      </c>
    </row>
    <row r="62" spans="1:21" hidden="1">
      <c r="A62" s="842" t="s">
        <v>1379</v>
      </c>
      <c r="B62" s="842" t="str">
        <f t="shared" si="2"/>
        <v>4</v>
      </c>
      <c r="C62" s="842" t="str">
        <f t="shared" si="3"/>
        <v>43</v>
      </c>
      <c r="D62" s="842" t="str">
        <f t="shared" si="4"/>
        <v>431</v>
      </c>
      <c r="E62" s="842" t="str">
        <f t="shared" si="5"/>
        <v>4312</v>
      </c>
      <c r="F62" s="842" t="str">
        <f t="shared" si="6"/>
        <v>200</v>
      </c>
      <c r="G62" s="842" t="s">
        <v>1545</v>
      </c>
      <c r="H62" s="846">
        <v>6547900.8200000003</v>
      </c>
      <c r="I62" s="846">
        <v>-4677775.6900000004</v>
      </c>
      <c r="J62" s="846">
        <v>1728126.33</v>
      </c>
      <c r="K62" s="846">
        <v>1888864.98</v>
      </c>
      <c r="L62" s="846">
        <v>-4144184.1</v>
      </c>
      <c r="M62" s="846">
        <v>2079465.09</v>
      </c>
      <c r="N62" s="846">
        <v>2059934.1099999999</v>
      </c>
      <c r="O62" s="846">
        <v>-4761707.2499999991</v>
      </c>
      <c r="P62" s="846">
        <v>2288427.66</v>
      </c>
      <c r="Q62" s="846">
        <v>2087850.7</v>
      </c>
      <c r="R62" s="846">
        <v>-5982895.5099999998</v>
      </c>
      <c r="S62" s="846">
        <v>1906219.3</v>
      </c>
      <c r="T62" s="846">
        <v>2065535.95</v>
      </c>
      <c r="U62" s="846">
        <f t="shared" si="7"/>
        <v>3085762.3900000006</v>
      </c>
    </row>
    <row r="63" spans="1:21" hidden="1">
      <c r="A63" s="842" t="s">
        <v>1546</v>
      </c>
      <c r="B63" s="842" t="str">
        <f t="shared" si="2"/>
        <v>4</v>
      </c>
      <c r="C63" s="842" t="str">
        <f t="shared" si="3"/>
        <v>43</v>
      </c>
      <c r="D63" s="842" t="str">
        <f t="shared" si="4"/>
        <v>431</v>
      </c>
      <c r="E63" s="842" t="str">
        <f t="shared" si="5"/>
        <v>4313</v>
      </c>
      <c r="F63" s="842" t="str">
        <f t="shared" si="6"/>
        <v>300</v>
      </c>
      <c r="G63" s="842" t="s">
        <v>1547</v>
      </c>
      <c r="H63" s="846">
        <v>2409766.5</v>
      </c>
      <c r="I63" s="846">
        <v>-2055335.44</v>
      </c>
      <c r="J63" s="846">
        <v>251933.49</v>
      </c>
      <c r="K63" s="846">
        <v>278802.28999999998</v>
      </c>
      <c r="L63" s="846">
        <v>-956844.64999999991</v>
      </c>
      <c r="M63" s="846">
        <v>299599.70999999996</v>
      </c>
      <c r="N63" s="846">
        <v>320585.95999999996</v>
      </c>
      <c r="O63" s="846">
        <v>-619699.74</v>
      </c>
      <c r="P63" s="846">
        <v>304384.67000000004</v>
      </c>
      <c r="Q63" s="846">
        <v>305407.98000000004</v>
      </c>
      <c r="R63" s="846">
        <v>-578793.12</v>
      </c>
      <c r="S63" s="846">
        <v>306703.94</v>
      </c>
      <c r="T63" s="846">
        <v>627515.94000000006</v>
      </c>
      <c r="U63" s="846">
        <f t="shared" si="7"/>
        <v>894027.53000000026</v>
      </c>
    </row>
    <row r="64" spans="1:21" hidden="1">
      <c r="A64" s="842" t="s">
        <v>1380</v>
      </c>
      <c r="B64" s="842" t="str">
        <f t="shared" si="2"/>
        <v>4</v>
      </c>
      <c r="C64" s="842" t="str">
        <f t="shared" si="3"/>
        <v>43</v>
      </c>
      <c r="D64" s="842" t="str">
        <f t="shared" si="4"/>
        <v>432</v>
      </c>
      <c r="E64" s="842" t="str">
        <f t="shared" si="5"/>
        <v>4322</v>
      </c>
      <c r="F64" s="842" t="str">
        <f t="shared" si="6"/>
        <v>200</v>
      </c>
      <c r="G64" s="842" t="s">
        <v>1548</v>
      </c>
      <c r="H64" s="846">
        <v>1892334.38</v>
      </c>
      <c r="I64" s="846">
        <v>607047.63</v>
      </c>
      <c r="J64" s="846">
        <v>-1290947.0599999998</v>
      </c>
      <c r="K64" s="846">
        <v>670275.33000000007</v>
      </c>
      <c r="L64" s="846">
        <v>713503.7300000001</v>
      </c>
      <c r="M64" s="846">
        <v>-1137110.75</v>
      </c>
      <c r="N64" s="846">
        <v>728866.02</v>
      </c>
      <c r="O64" s="846">
        <v>716097.3600000001</v>
      </c>
      <c r="P64" s="846">
        <v>-1362124.1599999997</v>
      </c>
      <c r="Q64" s="846">
        <v>763813.6</v>
      </c>
      <c r="R64" s="846">
        <v>638954.65</v>
      </c>
      <c r="S64" s="846">
        <v>-1634404.66</v>
      </c>
      <c r="T64" s="846">
        <v>734919.14</v>
      </c>
      <c r="U64" s="846">
        <f t="shared" si="7"/>
        <v>2041225.2100000009</v>
      </c>
    </row>
    <row r="65" spans="1:21" hidden="1">
      <c r="A65" s="842" t="s">
        <v>1381</v>
      </c>
      <c r="B65" s="842" t="str">
        <f t="shared" si="2"/>
        <v>4</v>
      </c>
      <c r="C65" s="842" t="str">
        <f t="shared" si="3"/>
        <v>43</v>
      </c>
      <c r="D65" s="842" t="str">
        <f t="shared" si="4"/>
        <v>438</v>
      </c>
      <c r="E65" s="842" t="str">
        <f t="shared" si="5"/>
        <v>4386</v>
      </c>
      <c r="F65" s="842" t="str">
        <f t="shared" si="6"/>
        <v>610</v>
      </c>
      <c r="G65" s="842" t="s">
        <v>1549</v>
      </c>
      <c r="H65" s="846">
        <v>131847213.59999999</v>
      </c>
      <c r="I65" s="846"/>
      <c r="J65" s="846"/>
      <c r="K65" s="846"/>
      <c r="L65" s="846"/>
      <c r="M65" s="846"/>
      <c r="N65" s="846"/>
      <c r="O65" s="846"/>
      <c r="P65" s="846"/>
      <c r="Q65" s="846"/>
      <c r="R65" s="846"/>
      <c r="S65" s="846"/>
      <c r="T65" s="846"/>
      <c r="U65" s="846">
        <f t="shared" si="7"/>
        <v>131847213.59999999</v>
      </c>
    </row>
    <row r="66" spans="1:21">
      <c r="A66" s="842" t="s">
        <v>1382</v>
      </c>
      <c r="B66" s="842" t="str">
        <f t="shared" si="2"/>
        <v>4</v>
      </c>
      <c r="C66" s="842" t="str">
        <f t="shared" si="3"/>
        <v>44</v>
      </c>
      <c r="D66" s="842" t="str">
        <f t="shared" si="4"/>
        <v>442</v>
      </c>
      <c r="E66" s="842" t="str">
        <f t="shared" si="5"/>
        <v>4420</v>
      </c>
      <c r="F66" s="842" t="str">
        <f t="shared" si="6"/>
        <v>000</v>
      </c>
      <c r="G66" s="842" t="s">
        <v>1550</v>
      </c>
      <c r="H66" s="846">
        <v>2434600</v>
      </c>
      <c r="I66" s="846">
        <v>-619040</v>
      </c>
      <c r="J66" s="846">
        <v>-367320</v>
      </c>
      <c r="K66" s="846">
        <v>-80260</v>
      </c>
      <c r="L66" s="846">
        <v>-4920</v>
      </c>
      <c r="M66" s="846">
        <v>-413940</v>
      </c>
      <c r="N66" s="846">
        <v>41480</v>
      </c>
      <c r="O66" s="846">
        <v>-133880</v>
      </c>
      <c r="P66" s="846">
        <v>1298060</v>
      </c>
      <c r="Q66" s="846">
        <v>-175550</v>
      </c>
      <c r="R66" s="846">
        <v>-529720</v>
      </c>
      <c r="S66" s="846">
        <v>-874330</v>
      </c>
      <c r="T66" s="846">
        <v>546360</v>
      </c>
      <c r="U66" s="846">
        <f t="shared" si="7"/>
        <v>1121540</v>
      </c>
    </row>
    <row r="67" spans="1:21">
      <c r="A67" s="842" t="s">
        <v>1383</v>
      </c>
      <c r="B67" s="842" t="str">
        <f t="shared" si="2"/>
        <v>4</v>
      </c>
      <c r="C67" s="842" t="str">
        <f t="shared" si="3"/>
        <v>44</v>
      </c>
      <c r="D67" s="842" t="str">
        <f t="shared" si="4"/>
        <v>444</v>
      </c>
      <c r="E67" s="842" t="str">
        <f t="shared" si="5"/>
        <v>4441</v>
      </c>
      <c r="F67" s="842" t="str">
        <f t="shared" si="6"/>
        <v>100</v>
      </c>
      <c r="G67" s="842" t="s">
        <v>1551</v>
      </c>
      <c r="H67" s="846">
        <v>11363033.17</v>
      </c>
      <c r="I67" s="846"/>
      <c r="J67" s="846"/>
      <c r="K67" s="846"/>
      <c r="L67" s="846"/>
      <c r="M67" s="846">
        <v>-11363033.17</v>
      </c>
      <c r="N67" s="846"/>
      <c r="O67" s="846"/>
      <c r="P67" s="846"/>
      <c r="Q67" s="846"/>
      <c r="R67" s="846"/>
      <c r="S67" s="846"/>
      <c r="T67" s="846"/>
      <c r="U67" s="846">
        <f t="shared" si="7"/>
        <v>0</v>
      </c>
    </row>
    <row r="68" spans="1:21" hidden="1">
      <c r="A68" s="842" t="s">
        <v>1384</v>
      </c>
      <c r="B68" s="842" t="str">
        <f t="shared" si="2"/>
        <v>4</v>
      </c>
      <c r="C68" s="842" t="str">
        <f t="shared" si="3"/>
        <v>44</v>
      </c>
      <c r="D68" s="842" t="str">
        <f t="shared" si="4"/>
        <v>444</v>
      </c>
      <c r="E68" s="842" t="str">
        <f t="shared" si="5"/>
        <v>4442</v>
      </c>
      <c r="F68" s="842" t="str">
        <f t="shared" si="6"/>
        <v>200</v>
      </c>
      <c r="G68" s="842" t="s">
        <v>1552</v>
      </c>
      <c r="H68" s="846">
        <v>-7438908.7199999997</v>
      </c>
      <c r="I68" s="846"/>
      <c r="J68" s="846">
        <v>-1580815.22</v>
      </c>
      <c r="K68" s="846"/>
      <c r="L68" s="846">
        <v>-1580815.22</v>
      </c>
      <c r="M68" s="846">
        <v>7438908.7199999997</v>
      </c>
      <c r="N68" s="846">
        <v>-1580815.22</v>
      </c>
      <c r="O68" s="846"/>
      <c r="P68" s="846">
        <v>-1893838.86</v>
      </c>
      <c r="Q68" s="846"/>
      <c r="R68" s="846">
        <v>-1893838.86</v>
      </c>
      <c r="S68" s="846"/>
      <c r="T68" s="846">
        <v>-1893838.86</v>
      </c>
      <c r="U68" s="846">
        <f t="shared" si="7"/>
        <v>-10423962.24</v>
      </c>
    </row>
    <row r="69" spans="1:21" hidden="1">
      <c r="A69" s="842" t="s">
        <v>1553</v>
      </c>
      <c r="B69" s="842" t="str">
        <f t="shared" si="2"/>
        <v>4</v>
      </c>
      <c r="C69" s="842" t="str">
        <f t="shared" si="3"/>
        <v>44</v>
      </c>
      <c r="D69" s="842" t="str">
        <f t="shared" si="4"/>
        <v>444</v>
      </c>
      <c r="E69" s="842" t="str">
        <f t="shared" si="5"/>
        <v>4443</v>
      </c>
      <c r="F69" s="842" t="str">
        <f t="shared" si="6"/>
        <v>300</v>
      </c>
      <c r="G69" s="842" t="s">
        <v>1554</v>
      </c>
      <c r="H69" s="846"/>
      <c r="I69" s="846">
        <v>1725000</v>
      </c>
      <c r="J69" s="846">
        <v>1725000</v>
      </c>
      <c r="K69" s="846">
        <v>1725000</v>
      </c>
      <c r="L69" s="846">
        <v>1725000</v>
      </c>
      <c r="M69" s="846">
        <v>1725000</v>
      </c>
      <c r="N69" s="846">
        <v>1725000</v>
      </c>
      <c r="O69" s="846">
        <v>1725000</v>
      </c>
      <c r="P69" s="846"/>
      <c r="Q69" s="846"/>
      <c r="R69" s="846"/>
      <c r="S69" s="846"/>
      <c r="T69" s="846">
        <v>-12075000</v>
      </c>
      <c r="U69" s="846">
        <f t="shared" ref="U69:U100" si="8">SUM(H69:T69)</f>
        <v>0</v>
      </c>
    </row>
    <row r="70" spans="1:21" hidden="1">
      <c r="A70" s="842" t="s">
        <v>1385</v>
      </c>
      <c r="B70" s="842" t="str">
        <f t="shared" ref="B70:B124" si="9">+LEFT(A70,1)</f>
        <v>4</v>
      </c>
      <c r="C70" s="842" t="str">
        <f t="shared" ref="C70:C124" si="10">+LEFT(A70,2)</f>
        <v>44</v>
      </c>
      <c r="D70" s="842" t="str">
        <f t="shared" ref="D70:D124" si="11">+LEFT(A70,3)</f>
        <v>445</v>
      </c>
      <c r="E70" s="842" t="str">
        <f t="shared" ref="E70:E124" si="12">+LEFT(A70,4)</f>
        <v>4456</v>
      </c>
      <c r="F70" s="842" t="str">
        <f t="shared" ref="F70:F91" si="13">RIGHT(A70,3)</f>
        <v>600</v>
      </c>
      <c r="G70" s="842" t="s">
        <v>1555</v>
      </c>
      <c r="H70" s="846">
        <v>-12033914.880000001</v>
      </c>
      <c r="I70" s="846">
        <v>168780</v>
      </c>
      <c r="J70" s="846">
        <v>-2502620</v>
      </c>
      <c r="K70" s="846">
        <v>-38574.349999999977</v>
      </c>
      <c r="L70" s="846">
        <v>-55005.649999999907</v>
      </c>
      <c r="M70" s="846">
        <v>-327186.39999999991</v>
      </c>
      <c r="N70" s="846">
        <v>1054140</v>
      </c>
      <c r="O70" s="846">
        <v>-3215000</v>
      </c>
      <c r="P70" s="846">
        <v>-719200</v>
      </c>
      <c r="Q70" s="846">
        <v>1919927.71</v>
      </c>
      <c r="R70" s="846">
        <v>5302833.33</v>
      </c>
      <c r="S70" s="846">
        <v>217200</v>
      </c>
      <c r="T70" s="846">
        <v>9788620.2400000002</v>
      </c>
      <c r="U70" s="846">
        <f t="shared" si="8"/>
        <v>-440000</v>
      </c>
    </row>
    <row r="71" spans="1:21" hidden="1">
      <c r="A71" s="842" t="s">
        <v>1386</v>
      </c>
      <c r="B71" s="842" t="str">
        <f t="shared" si="9"/>
        <v>4</v>
      </c>
      <c r="C71" s="842" t="str">
        <f t="shared" si="10"/>
        <v>44</v>
      </c>
      <c r="D71" s="842" t="str">
        <f t="shared" si="11"/>
        <v>445</v>
      </c>
      <c r="E71" s="842" t="str">
        <f t="shared" si="12"/>
        <v>4456</v>
      </c>
      <c r="F71" s="842" t="str">
        <f t="shared" si="13"/>
        <v>601</v>
      </c>
      <c r="G71" s="842" t="s">
        <v>1556</v>
      </c>
      <c r="H71" s="846">
        <v>-2775718.24</v>
      </c>
      <c r="I71" s="846">
        <v>4254706.1300000008</v>
      </c>
      <c r="J71" s="846">
        <v>-637228.15999999992</v>
      </c>
      <c r="K71" s="846">
        <v>-10221998.73</v>
      </c>
      <c r="L71" s="846">
        <v>9224431.4600000009</v>
      </c>
      <c r="M71" s="846">
        <v>-3974305.54</v>
      </c>
      <c r="N71" s="846">
        <v>1393471.47</v>
      </c>
      <c r="O71" s="846">
        <v>-561996.49999999977</v>
      </c>
      <c r="P71" s="846">
        <v>-1019178.5000000002</v>
      </c>
      <c r="Q71" s="846">
        <v>74683.909999999683</v>
      </c>
      <c r="R71" s="846">
        <v>3610769.0900000003</v>
      </c>
      <c r="S71" s="846">
        <v>1138538.3800000001</v>
      </c>
      <c r="T71" s="846">
        <v>-510174.77</v>
      </c>
      <c r="U71" s="846">
        <f t="shared" si="8"/>
        <v>-3999.9999999988358</v>
      </c>
    </row>
    <row r="72" spans="1:21" hidden="1">
      <c r="A72" s="842" t="s">
        <v>1557</v>
      </c>
      <c r="B72" s="842" t="str">
        <f t="shared" si="9"/>
        <v>4</v>
      </c>
      <c r="C72" s="842" t="str">
        <f t="shared" si="10"/>
        <v>44</v>
      </c>
      <c r="D72" s="842" t="str">
        <f t="shared" si="11"/>
        <v>445</v>
      </c>
      <c r="E72" s="842" t="str">
        <f t="shared" si="12"/>
        <v>4456</v>
      </c>
      <c r="F72" s="842" t="str">
        <f t="shared" si="13"/>
        <v>610</v>
      </c>
      <c r="G72" s="842" t="s">
        <v>1558</v>
      </c>
      <c r="H72" s="846">
        <v>-4464439.87</v>
      </c>
      <c r="I72" s="846"/>
      <c r="J72" s="846">
        <v>4464439.87</v>
      </c>
      <c r="K72" s="846"/>
      <c r="L72" s="846"/>
      <c r="M72" s="846"/>
      <c r="N72" s="846"/>
      <c r="O72" s="846"/>
      <c r="P72" s="846"/>
      <c r="Q72" s="846"/>
      <c r="R72" s="846">
        <v>-2052667</v>
      </c>
      <c r="S72" s="846">
        <v>-1772984.52</v>
      </c>
      <c r="T72" s="846">
        <v>-5439400</v>
      </c>
      <c r="U72" s="846">
        <f t="shared" si="8"/>
        <v>-9265051.5199999996</v>
      </c>
    </row>
    <row r="73" spans="1:21" hidden="1">
      <c r="A73" s="842" t="s">
        <v>1387</v>
      </c>
      <c r="B73" s="842" t="str">
        <f t="shared" si="9"/>
        <v>4</v>
      </c>
      <c r="C73" s="842" t="str">
        <f t="shared" si="10"/>
        <v>44</v>
      </c>
      <c r="D73" s="842" t="str">
        <f t="shared" si="11"/>
        <v>445</v>
      </c>
      <c r="E73" s="842" t="str">
        <f t="shared" si="12"/>
        <v>4456</v>
      </c>
      <c r="F73" s="842" t="str">
        <f t="shared" si="13"/>
        <v>611</v>
      </c>
      <c r="G73" s="842" t="s">
        <v>1559</v>
      </c>
      <c r="H73" s="846">
        <v>-5509705.96</v>
      </c>
      <c r="I73" s="846"/>
      <c r="J73" s="846">
        <v>1580497</v>
      </c>
      <c r="K73" s="846">
        <v>3267452</v>
      </c>
      <c r="L73" s="846">
        <v>661756.96</v>
      </c>
      <c r="M73" s="846"/>
      <c r="N73" s="846"/>
      <c r="O73" s="846">
        <v>-4000</v>
      </c>
      <c r="P73" s="846"/>
      <c r="Q73" s="846"/>
      <c r="R73" s="846"/>
      <c r="S73" s="846">
        <v>-518651.54000000004</v>
      </c>
      <c r="T73" s="846">
        <v>-6117924.5999999996</v>
      </c>
      <c r="U73" s="846">
        <f t="shared" si="8"/>
        <v>-6640576.1399999997</v>
      </c>
    </row>
    <row r="74" spans="1:21" hidden="1">
      <c r="A74" s="842" t="s">
        <v>1388</v>
      </c>
      <c r="B74" s="842" t="str">
        <f t="shared" si="9"/>
        <v>4</v>
      </c>
      <c r="C74" s="842" t="str">
        <f t="shared" si="10"/>
        <v>44</v>
      </c>
      <c r="D74" s="842" t="str">
        <f t="shared" si="11"/>
        <v>445</v>
      </c>
      <c r="E74" s="842" t="str">
        <f t="shared" si="12"/>
        <v>4456</v>
      </c>
      <c r="F74" s="842" t="str">
        <f t="shared" si="13"/>
        <v>699</v>
      </c>
      <c r="G74" s="842" t="s">
        <v>1560</v>
      </c>
      <c r="H74" s="846">
        <v>-81040407.540000007</v>
      </c>
      <c r="I74" s="846">
        <v>-1991366.5300000003</v>
      </c>
      <c r="J74" s="846">
        <v>-5724103.4699999997</v>
      </c>
      <c r="K74" s="846">
        <v>-3225516.4000000004</v>
      </c>
      <c r="L74" s="846">
        <v>-6379162.8300000001</v>
      </c>
      <c r="M74" s="846">
        <v>-2323731.0299999998</v>
      </c>
      <c r="N74" s="846">
        <v>-124176.10999999987</v>
      </c>
      <c r="O74" s="846">
        <v>-1939112.03</v>
      </c>
      <c r="P74" s="846">
        <v>8652157.8900000006</v>
      </c>
      <c r="Q74" s="846">
        <v>4760965.4100000011</v>
      </c>
      <c r="R74" s="846">
        <v>28007982.43</v>
      </c>
      <c r="S74" s="846">
        <v>3158251.8</v>
      </c>
      <c r="T74" s="846">
        <v>132966.60000000009</v>
      </c>
      <c r="U74" s="846">
        <f t="shared" si="8"/>
        <v>-58035251.810000017</v>
      </c>
    </row>
    <row r="75" spans="1:21" hidden="1">
      <c r="A75" s="842" t="s">
        <v>1389</v>
      </c>
      <c r="B75" s="842" t="str">
        <f t="shared" si="9"/>
        <v>4</v>
      </c>
      <c r="C75" s="842" t="str">
        <f t="shared" si="10"/>
        <v>44</v>
      </c>
      <c r="D75" s="842" t="str">
        <f t="shared" si="11"/>
        <v>445</v>
      </c>
      <c r="E75" s="842" t="str">
        <f t="shared" si="12"/>
        <v>4457</v>
      </c>
      <c r="F75" s="842" t="str">
        <f t="shared" si="13"/>
        <v>700</v>
      </c>
      <c r="G75" s="842" t="s">
        <v>1561</v>
      </c>
      <c r="H75" s="846">
        <v>1595775</v>
      </c>
      <c r="I75" s="846">
        <v>-231525</v>
      </c>
      <c r="J75" s="846">
        <v>0</v>
      </c>
      <c r="K75" s="846">
        <v>0</v>
      </c>
      <c r="L75" s="846">
        <v>0</v>
      </c>
      <c r="M75" s="846">
        <v>0</v>
      </c>
      <c r="N75" s="846">
        <v>0</v>
      </c>
      <c r="O75" s="846">
        <v>0</v>
      </c>
      <c r="P75" s="846">
        <v>0</v>
      </c>
      <c r="Q75" s="846">
        <v>0</v>
      </c>
      <c r="R75" s="846">
        <v>0</v>
      </c>
      <c r="S75" s="846">
        <v>0</v>
      </c>
      <c r="T75" s="846">
        <v>-970500</v>
      </c>
      <c r="U75" s="846">
        <f t="shared" si="8"/>
        <v>393750</v>
      </c>
    </row>
    <row r="76" spans="1:21" hidden="1">
      <c r="A76" s="842" t="s">
        <v>1390</v>
      </c>
      <c r="B76" s="842" t="str">
        <f t="shared" si="9"/>
        <v>4</v>
      </c>
      <c r="C76" s="842" t="str">
        <f t="shared" si="10"/>
        <v>44</v>
      </c>
      <c r="D76" s="842" t="str">
        <f t="shared" si="11"/>
        <v>445</v>
      </c>
      <c r="E76" s="842" t="str">
        <f t="shared" si="12"/>
        <v>4458</v>
      </c>
      <c r="F76" s="842" t="str">
        <f t="shared" si="13"/>
        <v>800</v>
      </c>
      <c r="G76" s="842" t="s">
        <v>1562</v>
      </c>
      <c r="H76" s="846">
        <v>-4030580.44</v>
      </c>
      <c r="I76" s="846"/>
      <c r="J76" s="846"/>
      <c r="K76" s="846"/>
      <c r="L76" s="846"/>
      <c r="M76" s="846"/>
      <c r="N76" s="846"/>
      <c r="O76" s="846"/>
      <c r="P76" s="846"/>
      <c r="Q76" s="846"/>
      <c r="R76" s="846"/>
      <c r="S76" s="846"/>
      <c r="T76" s="846"/>
      <c r="U76" s="846">
        <f t="shared" si="8"/>
        <v>-4030580.44</v>
      </c>
    </row>
    <row r="77" spans="1:21" hidden="1">
      <c r="A77" s="842" t="s">
        <v>1391</v>
      </c>
      <c r="B77" s="842" t="str">
        <f t="shared" si="9"/>
        <v>4</v>
      </c>
      <c r="C77" s="842" t="str">
        <f t="shared" si="10"/>
        <v>44</v>
      </c>
      <c r="D77" s="842" t="str">
        <f t="shared" si="11"/>
        <v>448</v>
      </c>
      <c r="E77" s="842" t="str">
        <f t="shared" si="12"/>
        <v>4486</v>
      </c>
      <c r="F77" s="842" t="str">
        <f t="shared" si="13"/>
        <v>600</v>
      </c>
      <c r="G77" s="842" t="s">
        <v>1563</v>
      </c>
      <c r="H77" s="846">
        <v>-2263496</v>
      </c>
      <c r="I77" s="846"/>
      <c r="J77" s="846"/>
      <c r="K77" s="846"/>
      <c r="L77" s="846"/>
      <c r="M77" s="846"/>
      <c r="N77" s="846"/>
      <c r="O77" s="846">
        <v>4194960</v>
      </c>
      <c r="P77" s="846"/>
      <c r="Q77" s="846"/>
      <c r="R77" s="846"/>
      <c r="S77" s="846"/>
      <c r="T77" s="846">
        <v>168536</v>
      </c>
      <c r="U77" s="846">
        <f t="shared" si="8"/>
        <v>2100000</v>
      </c>
    </row>
    <row r="78" spans="1:21">
      <c r="A78" s="842" t="s">
        <v>1392</v>
      </c>
      <c r="B78" s="842" t="str">
        <f t="shared" si="9"/>
        <v>4</v>
      </c>
      <c r="C78" s="842" t="str">
        <f t="shared" si="10"/>
        <v>45</v>
      </c>
      <c r="D78" s="842" t="str">
        <f t="shared" si="11"/>
        <v>451</v>
      </c>
      <c r="E78" s="842" t="str">
        <f t="shared" si="12"/>
        <v>4510</v>
      </c>
      <c r="F78" s="842" t="str">
        <f t="shared" si="13"/>
        <v>000</v>
      </c>
      <c r="G78" s="842" t="s">
        <v>1564</v>
      </c>
      <c r="H78" s="846">
        <v>1748009517.4099998</v>
      </c>
      <c r="I78" s="846">
        <v>0</v>
      </c>
      <c r="J78" s="846">
        <v>99973300</v>
      </c>
      <c r="K78" s="846">
        <v>-1140000</v>
      </c>
      <c r="L78" s="846">
        <v>32709000</v>
      </c>
      <c r="M78" s="846">
        <v>8254486</v>
      </c>
      <c r="N78" s="846">
        <v>43955854.509999998</v>
      </c>
      <c r="O78" s="846">
        <v>-2911863.3200000003</v>
      </c>
      <c r="P78" s="846">
        <v>-206429960</v>
      </c>
      <c r="Q78" s="846">
        <v>-63312904.799999997</v>
      </c>
      <c r="R78" s="846">
        <v>-193030600</v>
      </c>
      <c r="S78" s="846">
        <v>14762144.26</v>
      </c>
      <c r="T78" s="846">
        <v>75373900</v>
      </c>
      <c r="U78" s="846">
        <f t="shared" si="8"/>
        <v>1556212874.0599999</v>
      </c>
    </row>
    <row r="79" spans="1:21">
      <c r="A79" s="842" t="s">
        <v>1393</v>
      </c>
      <c r="B79" s="842" t="str">
        <f t="shared" si="9"/>
        <v>4</v>
      </c>
      <c r="C79" s="842" t="str">
        <f t="shared" si="10"/>
        <v>46</v>
      </c>
      <c r="D79" s="842" t="str">
        <f t="shared" si="11"/>
        <v>467</v>
      </c>
      <c r="E79" s="842" t="str">
        <f t="shared" si="12"/>
        <v>4670</v>
      </c>
      <c r="F79" s="842" t="str">
        <f t="shared" si="13"/>
        <v>000</v>
      </c>
      <c r="G79" s="842" t="s">
        <v>1565</v>
      </c>
      <c r="H79" s="846">
        <v>-260479810.22</v>
      </c>
      <c r="I79" s="846">
        <v>185440</v>
      </c>
      <c r="J79" s="846"/>
      <c r="K79" s="846"/>
      <c r="L79" s="846"/>
      <c r="M79" s="846"/>
      <c r="N79" s="846">
        <v>-16000000</v>
      </c>
      <c r="O79" s="846">
        <v>-15085600</v>
      </c>
      <c r="P79" s="846">
        <v>-62743413.649999999</v>
      </c>
      <c r="Q79" s="846"/>
      <c r="R79" s="846">
        <v>-53074100</v>
      </c>
      <c r="S79" s="846">
        <v>-49767477.5</v>
      </c>
      <c r="T79" s="846"/>
      <c r="U79" s="846">
        <f t="shared" si="8"/>
        <v>-456964961.37</v>
      </c>
    </row>
    <row r="80" spans="1:21">
      <c r="A80" s="842" t="s">
        <v>1394</v>
      </c>
      <c r="B80" s="842" t="str">
        <f t="shared" si="9"/>
        <v>4</v>
      </c>
      <c r="C80" s="842" t="str">
        <f t="shared" si="10"/>
        <v>46</v>
      </c>
      <c r="D80" s="842" t="str">
        <f t="shared" si="11"/>
        <v>467</v>
      </c>
      <c r="E80" s="842" t="str">
        <f t="shared" si="12"/>
        <v>4671</v>
      </c>
      <c r="F80" s="842" t="str">
        <f t="shared" si="13"/>
        <v>100</v>
      </c>
      <c r="G80" s="842" t="s">
        <v>1566</v>
      </c>
      <c r="H80" s="846">
        <v>-7195700</v>
      </c>
      <c r="I80" s="846"/>
      <c r="J80" s="846"/>
      <c r="K80" s="846"/>
      <c r="L80" s="846"/>
      <c r="M80" s="846"/>
      <c r="N80" s="846"/>
      <c r="O80" s="846">
        <v>-2000000</v>
      </c>
      <c r="P80" s="846">
        <v>-2020000</v>
      </c>
      <c r="Q80" s="846"/>
      <c r="R80" s="846">
        <v>-7961300</v>
      </c>
      <c r="S80" s="846"/>
      <c r="T80" s="846"/>
      <c r="U80" s="846">
        <f t="shared" si="8"/>
        <v>-19177000</v>
      </c>
    </row>
    <row r="81" spans="1:21" hidden="1">
      <c r="A81" s="842" t="s">
        <v>1395</v>
      </c>
      <c r="B81" s="842" t="str">
        <f t="shared" si="9"/>
        <v>4</v>
      </c>
      <c r="C81" s="842" t="str">
        <f t="shared" si="10"/>
        <v>46</v>
      </c>
      <c r="D81" s="842" t="str">
        <f t="shared" si="11"/>
        <v>467</v>
      </c>
      <c r="E81" s="842" t="str">
        <f t="shared" si="12"/>
        <v>4672</v>
      </c>
      <c r="F81" s="842" t="str">
        <f t="shared" si="13"/>
        <v>200</v>
      </c>
      <c r="G81" s="842" t="s">
        <v>1567</v>
      </c>
      <c r="H81" s="846">
        <v>-103113960.98</v>
      </c>
      <c r="I81" s="846"/>
      <c r="J81" s="846"/>
      <c r="K81" s="846"/>
      <c r="L81" s="846">
        <v>-5080762</v>
      </c>
      <c r="M81" s="846"/>
      <c r="N81" s="846">
        <v>-729650</v>
      </c>
      <c r="O81" s="846">
        <v>-30000</v>
      </c>
      <c r="P81" s="846">
        <v>-3548416</v>
      </c>
      <c r="Q81" s="846">
        <v>-2804600</v>
      </c>
      <c r="R81" s="846">
        <v>-2034120</v>
      </c>
      <c r="S81" s="846">
        <v>-3757493</v>
      </c>
      <c r="T81" s="846">
        <v>-1092736</v>
      </c>
      <c r="U81" s="846">
        <f t="shared" si="8"/>
        <v>-122191737.98</v>
      </c>
    </row>
    <row r="82" spans="1:21" hidden="1">
      <c r="A82" s="842" t="s">
        <v>1568</v>
      </c>
      <c r="B82" s="842" t="str">
        <f t="shared" si="9"/>
        <v>4</v>
      </c>
      <c r="C82" s="842" t="str">
        <f t="shared" si="10"/>
        <v>46</v>
      </c>
      <c r="D82" s="842" t="str">
        <f t="shared" si="11"/>
        <v>467</v>
      </c>
      <c r="E82" s="842" t="str">
        <f t="shared" si="12"/>
        <v>4675</v>
      </c>
      <c r="F82" s="842" t="str">
        <f t="shared" si="13"/>
        <v>500</v>
      </c>
      <c r="G82" s="842" t="s">
        <v>1569</v>
      </c>
      <c r="H82" s="846">
        <v>-250000</v>
      </c>
      <c r="I82" s="846"/>
      <c r="J82" s="846"/>
      <c r="K82" s="846"/>
      <c r="L82" s="846"/>
      <c r="M82" s="846"/>
      <c r="N82" s="846">
        <v>250000</v>
      </c>
      <c r="O82" s="846"/>
      <c r="P82" s="846"/>
      <c r="Q82" s="846"/>
      <c r="R82" s="846"/>
      <c r="S82" s="846"/>
      <c r="T82" s="846"/>
      <c r="U82" s="846">
        <f t="shared" si="8"/>
        <v>0</v>
      </c>
    </row>
    <row r="83" spans="1:21" hidden="1">
      <c r="A83" s="842" t="s">
        <v>1396</v>
      </c>
      <c r="B83" s="842" t="str">
        <f t="shared" si="9"/>
        <v>4</v>
      </c>
      <c r="C83" s="842" t="str">
        <f t="shared" si="10"/>
        <v>46</v>
      </c>
      <c r="D83" s="842" t="str">
        <f t="shared" si="11"/>
        <v>468</v>
      </c>
      <c r="E83" s="842" t="str">
        <f t="shared" si="12"/>
        <v>4686</v>
      </c>
      <c r="F83" s="842" t="str">
        <f t="shared" si="13"/>
        <v>600</v>
      </c>
      <c r="G83" s="842" t="s">
        <v>1570</v>
      </c>
      <c r="H83" s="846"/>
      <c r="I83" s="846"/>
      <c r="J83" s="846"/>
      <c r="K83" s="846"/>
      <c r="L83" s="846"/>
      <c r="M83" s="846">
        <v>37192160</v>
      </c>
      <c r="N83" s="846">
        <v>-18469360</v>
      </c>
      <c r="O83" s="846"/>
      <c r="P83" s="846"/>
      <c r="Q83" s="846"/>
      <c r="R83" s="846"/>
      <c r="S83" s="846"/>
      <c r="T83" s="846">
        <v>36524999</v>
      </c>
      <c r="U83" s="846">
        <f t="shared" si="8"/>
        <v>55247799</v>
      </c>
    </row>
    <row r="84" spans="1:21">
      <c r="A84" s="842" t="s">
        <v>1397</v>
      </c>
      <c r="B84" s="842" t="str">
        <f t="shared" si="9"/>
        <v>4</v>
      </c>
      <c r="C84" s="842" t="str">
        <f t="shared" si="10"/>
        <v>48</v>
      </c>
      <c r="D84" s="842" t="str">
        <f t="shared" si="11"/>
        <v>486</v>
      </c>
      <c r="E84" s="842" t="str">
        <f t="shared" si="12"/>
        <v>4861</v>
      </c>
      <c r="F84" s="842" t="str">
        <f t="shared" si="13"/>
        <v>100</v>
      </c>
      <c r="G84" s="842" t="s">
        <v>1571</v>
      </c>
      <c r="H84" s="846">
        <v>-38116.19</v>
      </c>
      <c r="I84" s="846"/>
      <c r="J84" s="846"/>
      <c r="K84" s="846"/>
      <c r="L84" s="846"/>
      <c r="M84" s="846"/>
      <c r="N84" s="846"/>
      <c r="O84" s="846"/>
      <c r="P84" s="846"/>
      <c r="Q84" s="846"/>
      <c r="R84" s="846"/>
      <c r="S84" s="846"/>
      <c r="T84" s="846">
        <v>-2300000</v>
      </c>
      <c r="U84" s="846">
        <f t="shared" si="8"/>
        <v>-2338116.19</v>
      </c>
    </row>
    <row r="85" spans="1:21">
      <c r="A85" s="842" t="s">
        <v>1398</v>
      </c>
      <c r="B85" s="842" t="str">
        <f t="shared" si="9"/>
        <v>5</v>
      </c>
      <c r="C85" s="842" t="str">
        <f t="shared" si="10"/>
        <v>51</v>
      </c>
      <c r="D85" s="842" t="str">
        <f t="shared" si="11"/>
        <v>512</v>
      </c>
      <c r="E85" s="842" t="str">
        <f t="shared" si="12"/>
        <v>5121</v>
      </c>
      <c r="F85" s="842" t="str">
        <f t="shared" si="13"/>
        <v>100</v>
      </c>
      <c r="G85" s="842" t="s">
        <v>1572</v>
      </c>
      <c r="H85" s="846">
        <v>79542443.040000007</v>
      </c>
      <c r="I85" s="846">
        <v>204036400.30999997</v>
      </c>
      <c r="J85" s="846">
        <v>-833651.98000000243</v>
      </c>
      <c r="K85" s="846">
        <v>125481843.51000001</v>
      </c>
      <c r="L85" s="846">
        <v>-50375882.420000002</v>
      </c>
      <c r="M85" s="846">
        <v>-55056429.060000002</v>
      </c>
      <c r="N85" s="846">
        <v>95786532.469999999</v>
      </c>
      <c r="O85" s="846">
        <v>-1819690.0100000268</v>
      </c>
      <c r="P85" s="846">
        <v>2052682.800000025</v>
      </c>
      <c r="Q85" s="846">
        <v>14686364.410000002</v>
      </c>
      <c r="R85" s="846">
        <v>-97529535.679999948</v>
      </c>
      <c r="S85" s="846">
        <v>-10399677.349999988</v>
      </c>
      <c r="T85" s="846">
        <v>3031539.7999999849</v>
      </c>
      <c r="U85" s="846">
        <f t="shared" si="8"/>
        <v>308602939.83999997</v>
      </c>
    </row>
    <row r="86" spans="1:21" hidden="1">
      <c r="A86" s="842" t="s">
        <v>1399</v>
      </c>
      <c r="B86" s="842" t="str">
        <f t="shared" si="9"/>
        <v>5</v>
      </c>
      <c r="C86" s="842" t="str">
        <f t="shared" si="10"/>
        <v>51</v>
      </c>
      <c r="D86" s="842" t="str">
        <f t="shared" si="11"/>
        <v>512</v>
      </c>
      <c r="E86" s="842" t="str">
        <f t="shared" si="12"/>
        <v>5122</v>
      </c>
      <c r="F86" s="842" t="str">
        <f t="shared" si="13"/>
        <v>200</v>
      </c>
      <c r="G86" s="842" t="s">
        <v>1573</v>
      </c>
      <c r="H86" s="846">
        <v>-90254885.310000002</v>
      </c>
      <c r="I86" s="846">
        <v>42605156.019999981</v>
      </c>
      <c r="J86" s="846">
        <v>16484587.850000009</v>
      </c>
      <c r="K86" s="846">
        <v>30851580.949999996</v>
      </c>
      <c r="L86" s="846">
        <v>-14925622.050000012</v>
      </c>
      <c r="M86" s="846">
        <v>53075115.789999999</v>
      </c>
      <c r="N86" s="846">
        <v>-12779067.959999997</v>
      </c>
      <c r="O86" s="846">
        <v>-8082403.1899999985</v>
      </c>
      <c r="P86" s="846">
        <v>6762370.4600000083</v>
      </c>
      <c r="Q86" s="846">
        <v>11233416.339999974</v>
      </c>
      <c r="R86" s="846">
        <v>30800713.679999992</v>
      </c>
      <c r="S86" s="846">
        <v>9155246.349999994</v>
      </c>
      <c r="T86" s="846">
        <v>59497573.759999998</v>
      </c>
      <c r="U86" s="846">
        <f t="shared" si="8"/>
        <v>134423782.68999994</v>
      </c>
    </row>
    <row r="87" spans="1:21" hidden="1">
      <c r="A87" s="842" t="s">
        <v>1400</v>
      </c>
      <c r="B87" s="842" t="str">
        <f t="shared" si="9"/>
        <v>5</v>
      </c>
      <c r="C87" s="842" t="str">
        <f t="shared" si="10"/>
        <v>53</v>
      </c>
      <c r="D87" s="842" t="str">
        <f t="shared" si="11"/>
        <v>530</v>
      </c>
      <c r="E87" s="842" t="str">
        <f t="shared" si="12"/>
        <v>5302</v>
      </c>
      <c r="F87" s="842" t="str">
        <f t="shared" si="13"/>
        <v>200</v>
      </c>
      <c r="G87" s="842" t="s">
        <v>1574</v>
      </c>
      <c r="H87" s="846">
        <v>-470</v>
      </c>
      <c r="I87" s="846">
        <v>-620670</v>
      </c>
      <c r="J87" s="846">
        <v>68050</v>
      </c>
      <c r="K87" s="846">
        <v>2925952</v>
      </c>
      <c r="L87" s="846">
        <v>-3547052</v>
      </c>
      <c r="M87" s="846">
        <v>6232340</v>
      </c>
      <c r="N87" s="846">
        <v>-9679800</v>
      </c>
      <c r="O87" s="846">
        <v>534400</v>
      </c>
      <c r="P87" s="846">
        <v>60350</v>
      </c>
      <c r="Q87" s="846">
        <v>-599600</v>
      </c>
      <c r="R87" s="846">
        <v>-1035907</v>
      </c>
      <c r="S87" s="846">
        <v>2051300</v>
      </c>
      <c r="T87" s="846">
        <v>-1498745</v>
      </c>
      <c r="U87" s="846">
        <f t="shared" si="8"/>
        <v>-5109852</v>
      </c>
    </row>
    <row r="88" spans="1:21" hidden="1">
      <c r="A88" s="842" t="s">
        <v>1401</v>
      </c>
      <c r="B88" s="842" t="str">
        <f t="shared" si="9"/>
        <v>5</v>
      </c>
      <c r="C88" s="842" t="str">
        <f t="shared" si="10"/>
        <v>53</v>
      </c>
      <c r="D88" s="842" t="str">
        <f t="shared" si="11"/>
        <v>530</v>
      </c>
      <c r="E88" s="842" t="str">
        <f t="shared" si="12"/>
        <v>5304</v>
      </c>
      <c r="F88" s="842" t="str">
        <f t="shared" si="13"/>
        <v>400</v>
      </c>
      <c r="G88" s="842" t="s">
        <v>1575</v>
      </c>
      <c r="H88" s="846">
        <v>-420000</v>
      </c>
      <c r="I88" s="846">
        <v>66900</v>
      </c>
      <c r="J88" s="846">
        <v>126000</v>
      </c>
      <c r="K88" s="846">
        <v>105200</v>
      </c>
      <c r="L88" s="846"/>
      <c r="M88" s="846">
        <v>121900</v>
      </c>
      <c r="N88" s="846"/>
      <c r="O88" s="846"/>
      <c r="P88" s="846">
        <v>0</v>
      </c>
      <c r="Q88" s="846"/>
      <c r="R88" s="846">
        <v>0</v>
      </c>
      <c r="S88" s="846">
        <v>0</v>
      </c>
      <c r="T88" s="846">
        <v>0</v>
      </c>
      <c r="U88" s="846">
        <f t="shared" si="8"/>
        <v>0</v>
      </c>
    </row>
    <row r="89" spans="1:21" hidden="1">
      <c r="A89" s="842" t="s">
        <v>1402</v>
      </c>
      <c r="B89" s="842" t="str">
        <f t="shared" si="9"/>
        <v>5</v>
      </c>
      <c r="C89" s="842" t="str">
        <f t="shared" si="10"/>
        <v>53</v>
      </c>
      <c r="D89" s="842" t="str">
        <f t="shared" si="11"/>
        <v>530</v>
      </c>
      <c r="E89" s="842" t="str">
        <f t="shared" si="12"/>
        <v>5306</v>
      </c>
      <c r="F89" s="842" t="str">
        <f t="shared" si="13"/>
        <v>600</v>
      </c>
      <c r="G89" s="842" t="s">
        <v>1576</v>
      </c>
      <c r="H89" s="846">
        <v>-3739065</v>
      </c>
      <c r="I89" s="846">
        <v>3071200</v>
      </c>
      <c r="J89" s="846">
        <v>-258650</v>
      </c>
      <c r="K89" s="846">
        <v>-685550</v>
      </c>
      <c r="L89" s="846">
        <v>514150</v>
      </c>
      <c r="M89" s="846">
        <v>1097650</v>
      </c>
      <c r="N89" s="846"/>
      <c r="O89" s="846">
        <v>-200</v>
      </c>
      <c r="P89" s="846">
        <v>200</v>
      </c>
      <c r="Q89" s="846">
        <v>0</v>
      </c>
      <c r="R89" s="846"/>
      <c r="S89" s="846">
        <v>0</v>
      </c>
      <c r="T89" s="846">
        <v>0</v>
      </c>
      <c r="U89" s="846">
        <f t="shared" si="8"/>
        <v>-265</v>
      </c>
    </row>
    <row r="90" spans="1:21" hidden="1">
      <c r="A90" s="842" t="s">
        <v>1577</v>
      </c>
      <c r="B90" s="842" t="str">
        <f t="shared" si="9"/>
        <v>5</v>
      </c>
      <c r="C90" s="842" t="str">
        <f t="shared" si="10"/>
        <v>53</v>
      </c>
      <c r="D90" s="842" t="str">
        <f t="shared" si="11"/>
        <v>530</v>
      </c>
      <c r="E90" s="842" t="str">
        <f t="shared" si="12"/>
        <v>5307</v>
      </c>
      <c r="F90" s="842" t="str">
        <f t="shared" si="13"/>
        <v>700</v>
      </c>
      <c r="G90" s="842" t="s">
        <v>1578</v>
      </c>
      <c r="H90" s="846">
        <v>-860</v>
      </c>
      <c r="I90" s="846"/>
      <c r="J90" s="846"/>
      <c r="K90" s="846">
        <v>-1427800</v>
      </c>
      <c r="L90" s="846">
        <v>154600</v>
      </c>
      <c r="M90" s="846">
        <v>137200</v>
      </c>
      <c r="N90" s="846"/>
      <c r="O90" s="846">
        <v>208000</v>
      </c>
      <c r="P90" s="846">
        <v>853600</v>
      </c>
      <c r="Q90" s="846">
        <v>76600</v>
      </c>
      <c r="R90" s="846"/>
      <c r="S90" s="846"/>
      <c r="T90" s="846"/>
      <c r="U90" s="846">
        <f t="shared" si="8"/>
        <v>1340</v>
      </c>
    </row>
    <row r="91" spans="1:21" hidden="1">
      <c r="A91" s="842" t="s">
        <v>1579</v>
      </c>
      <c r="B91" s="842" t="str">
        <f t="shared" si="9"/>
        <v>5</v>
      </c>
      <c r="C91" s="842" t="str">
        <f t="shared" si="10"/>
        <v>53</v>
      </c>
      <c r="D91" s="842" t="str">
        <f t="shared" si="11"/>
        <v>530</v>
      </c>
      <c r="E91" s="842" t="str">
        <f t="shared" si="12"/>
        <v>5308</v>
      </c>
      <c r="F91" s="842" t="str">
        <f t="shared" si="13"/>
        <v>800</v>
      </c>
      <c r="G91" s="842" t="s">
        <v>1580</v>
      </c>
      <c r="H91" s="846">
        <v>-12900</v>
      </c>
      <c r="I91" s="846"/>
      <c r="J91" s="846"/>
      <c r="K91" s="846"/>
      <c r="L91" s="846"/>
      <c r="M91" s="846"/>
      <c r="N91" s="846"/>
      <c r="O91" s="846"/>
      <c r="P91" s="846">
        <v>12000</v>
      </c>
      <c r="Q91" s="846"/>
      <c r="R91" s="846"/>
      <c r="S91" s="846">
        <v>0</v>
      </c>
      <c r="T91" s="846"/>
      <c r="U91" s="846">
        <f t="shared" si="8"/>
        <v>-900</v>
      </c>
    </row>
    <row r="92" spans="1:21" hidden="1">
      <c r="A92" s="842" t="s">
        <v>1403</v>
      </c>
      <c r="B92" s="842" t="str">
        <f t="shared" si="9"/>
        <v>6</v>
      </c>
      <c r="C92" s="842" t="str">
        <f t="shared" si="10"/>
        <v>60</v>
      </c>
      <c r="D92" s="842" t="str">
        <f t="shared" si="11"/>
        <v>601</v>
      </c>
      <c r="E92" s="842" t="str">
        <f t="shared" si="12"/>
        <v>6011</v>
      </c>
      <c r="G92" s="842" t="s">
        <v>1581</v>
      </c>
      <c r="H92" s="846"/>
      <c r="I92" s="846">
        <v>-22807000</v>
      </c>
      <c r="J92" s="846">
        <v>-53677050</v>
      </c>
      <c r="K92" s="846">
        <v>-47539750</v>
      </c>
      <c r="L92" s="846">
        <v>-45489500</v>
      </c>
      <c r="M92" s="846">
        <v>-188031600</v>
      </c>
      <c r="N92" s="846">
        <v>-163306550</v>
      </c>
      <c r="O92" s="846">
        <v>-82005400</v>
      </c>
      <c r="P92" s="846">
        <v>-514201325</v>
      </c>
      <c r="Q92" s="846">
        <v>-154349850</v>
      </c>
      <c r="R92" s="846"/>
      <c r="S92" s="846"/>
      <c r="T92" s="846">
        <v>-41369500</v>
      </c>
      <c r="U92" s="846">
        <f t="shared" si="8"/>
        <v>-1312777525</v>
      </c>
    </row>
    <row r="93" spans="1:21" hidden="1">
      <c r="A93" s="842" t="s">
        <v>1582</v>
      </c>
      <c r="B93" s="842" t="str">
        <f t="shared" si="9"/>
        <v>6</v>
      </c>
      <c r="C93" s="842" t="str">
        <f t="shared" si="10"/>
        <v>60</v>
      </c>
      <c r="D93" s="842" t="str">
        <f t="shared" si="11"/>
        <v>602</v>
      </c>
      <c r="E93" s="842" t="str">
        <f t="shared" si="12"/>
        <v>6021</v>
      </c>
      <c r="G93" s="842" t="s">
        <v>1583</v>
      </c>
      <c r="H93" s="846"/>
      <c r="I93" s="846"/>
      <c r="J93" s="846"/>
      <c r="K93" s="846"/>
      <c r="L93" s="846"/>
      <c r="M93" s="846"/>
      <c r="N93" s="846"/>
      <c r="O93" s="846"/>
      <c r="P93" s="846"/>
      <c r="Q93" s="846"/>
      <c r="R93" s="846"/>
      <c r="S93" s="846"/>
      <c r="T93" s="846">
        <v>-12201280</v>
      </c>
      <c r="U93" s="846">
        <f t="shared" si="8"/>
        <v>-12201280</v>
      </c>
    </row>
    <row r="94" spans="1:21" hidden="1">
      <c r="A94" s="842" t="s">
        <v>1584</v>
      </c>
      <c r="B94" s="842" t="str">
        <f t="shared" si="9"/>
        <v>6</v>
      </c>
      <c r="C94" s="842" t="str">
        <f t="shared" si="10"/>
        <v>60</v>
      </c>
      <c r="D94" s="842" t="str">
        <f t="shared" si="11"/>
        <v>602</v>
      </c>
      <c r="E94" s="842" t="str">
        <f t="shared" si="12"/>
        <v>6021</v>
      </c>
      <c r="G94" s="842" t="s">
        <v>1585</v>
      </c>
      <c r="H94" s="846"/>
      <c r="I94" s="846"/>
      <c r="J94" s="846"/>
      <c r="K94" s="846"/>
      <c r="L94" s="846"/>
      <c r="M94" s="846"/>
      <c r="N94" s="846"/>
      <c r="O94" s="846"/>
      <c r="P94" s="846"/>
      <c r="Q94" s="846">
        <v>-712694.8</v>
      </c>
      <c r="R94" s="846"/>
      <c r="S94" s="846"/>
      <c r="T94" s="846"/>
      <c r="U94" s="846">
        <f t="shared" si="8"/>
        <v>-712694.8</v>
      </c>
    </row>
    <row r="95" spans="1:21" hidden="1">
      <c r="A95" s="842" t="s">
        <v>1586</v>
      </c>
      <c r="B95" s="842" t="str">
        <f t="shared" si="9"/>
        <v>6</v>
      </c>
      <c r="C95" s="842" t="str">
        <f t="shared" si="10"/>
        <v>60</v>
      </c>
      <c r="D95" s="842" t="str">
        <f t="shared" si="11"/>
        <v>602</v>
      </c>
      <c r="E95" s="842" t="str">
        <f t="shared" si="12"/>
        <v>6022</v>
      </c>
      <c r="G95" s="842" t="s">
        <v>1587</v>
      </c>
      <c r="H95" s="846"/>
      <c r="I95" s="846"/>
      <c r="J95" s="846"/>
      <c r="K95" s="846">
        <v>-2565000</v>
      </c>
      <c r="L95" s="846"/>
      <c r="M95" s="846">
        <v>-2565000</v>
      </c>
      <c r="N95" s="846"/>
      <c r="O95" s="846"/>
      <c r="P95" s="846"/>
      <c r="Q95" s="846"/>
      <c r="R95" s="846"/>
      <c r="S95" s="846">
        <v>-1566000</v>
      </c>
      <c r="T95" s="846"/>
      <c r="U95" s="846">
        <f t="shared" si="8"/>
        <v>-6696000</v>
      </c>
    </row>
    <row r="96" spans="1:21" hidden="1">
      <c r="A96" s="842" t="s">
        <v>1588</v>
      </c>
      <c r="B96" s="842" t="str">
        <f t="shared" si="9"/>
        <v>6</v>
      </c>
      <c r="C96" s="842" t="str">
        <f t="shared" si="10"/>
        <v>60</v>
      </c>
      <c r="D96" s="842" t="str">
        <f t="shared" si="11"/>
        <v>602</v>
      </c>
      <c r="E96" s="842" t="str">
        <f t="shared" si="12"/>
        <v>6026</v>
      </c>
      <c r="G96" s="842" t="s">
        <v>1589</v>
      </c>
      <c r="H96" s="846"/>
      <c r="I96" s="846">
        <v>-9832500</v>
      </c>
      <c r="J96" s="846">
        <v>-12513100</v>
      </c>
      <c r="K96" s="846"/>
      <c r="L96" s="846">
        <v>-10350000</v>
      </c>
      <c r="M96" s="846">
        <v>-13100000</v>
      </c>
      <c r="N96" s="846"/>
      <c r="O96" s="846">
        <v>-20500000</v>
      </c>
      <c r="P96" s="846">
        <v>-10250000</v>
      </c>
      <c r="Q96" s="846">
        <v>-2200000</v>
      </c>
      <c r="R96" s="846">
        <v>-10200000</v>
      </c>
      <c r="S96" s="846"/>
      <c r="T96" s="846">
        <v>-626800</v>
      </c>
      <c r="U96" s="846">
        <f t="shared" si="8"/>
        <v>-89572400</v>
      </c>
    </row>
    <row r="97" spans="1:21" hidden="1">
      <c r="A97" s="842" t="s">
        <v>1590</v>
      </c>
      <c r="B97" s="842" t="str">
        <f t="shared" si="9"/>
        <v>6</v>
      </c>
      <c r="C97" s="842" t="str">
        <f t="shared" si="10"/>
        <v>60</v>
      </c>
      <c r="D97" s="842" t="str">
        <f t="shared" si="11"/>
        <v>603</v>
      </c>
      <c r="E97" s="842" t="str">
        <f t="shared" si="12"/>
        <v>6030</v>
      </c>
      <c r="G97" s="842" t="s">
        <v>1591</v>
      </c>
      <c r="H97" s="846"/>
      <c r="I97" s="846"/>
      <c r="J97" s="846"/>
      <c r="K97" s="846"/>
      <c r="L97" s="846"/>
      <c r="M97" s="846"/>
      <c r="N97" s="846"/>
      <c r="O97" s="846"/>
      <c r="P97" s="846"/>
      <c r="Q97" s="846"/>
      <c r="R97" s="846"/>
      <c r="S97" s="846"/>
      <c r="T97" s="846">
        <v>47385956.319999993</v>
      </c>
      <c r="U97" s="846">
        <f t="shared" si="8"/>
        <v>47385956.319999993</v>
      </c>
    </row>
    <row r="98" spans="1:21" hidden="1">
      <c r="A98" s="842" t="s">
        <v>1592</v>
      </c>
      <c r="B98" s="842" t="str">
        <f t="shared" si="9"/>
        <v>6</v>
      </c>
      <c r="C98" s="842" t="str">
        <f t="shared" si="10"/>
        <v>60</v>
      </c>
      <c r="D98" s="842" t="str">
        <f t="shared" si="11"/>
        <v>605</v>
      </c>
      <c r="E98" s="842" t="str">
        <f t="shared" si="12"/>
        <v>6051</v>
      </c>
      <c r="G98" s="842" t="s">
        <v>1593</v>
      </c>
      <c r="H98" s="846"/>
      <c r="I98" s="846"/>
      <c r="J98" s="846"/>
      <c r="K98" s="846"/>
      <c r="L98" s="846"/>
      <c r="M98" s="846">
        <v>-130000</v>
      </c>
      <c r="N98" s="846"/>
      <c r="O98" s="846"/>
      <c r="P98" s="846">
        <v>-130000</v>
      </c>
      <c r="Q98" s="846">
        <v>38333.33</v>
      </c>
      <c r="R98" s="846"/>
      <c r="S98" s="846"/>
      <c r="T98" s="846"/>
      <c r="U98" s="846">
        <f t="shared" si="8"/>
        <v>-221666.66999999998</v>
      </c>
    </row>
    <row r="99" spans="1:21" hidden="1">
      <c r="A99" s="842" t="s">
        <v>1594</v>
      </c>
      <c r="B99" s="842" t="str">
        <f t="shared" si="9"/>
        <v>6</v>
      </c>
      <c r="C99" s="842" t="str">
        <f t="shared" si="10"/>
        <v>60</v>
      </c>
      <c r="D99" s="842" t="str">
        <f t="shared" si="11"/>
        <v>605</v>
      </c>
      <c r="E99" s="842" t="str">
        <f t="shared" si="12"/>
        <v>6051</v>
      </c>
      <c r="G99" s="842" t="s">
        <v>1595</v>
      </c>
      <c r="H99" s="846"/>
      <c r="I99" s="846"/>
      <c r="J99" s="846">
        <v>-800000</v>
      </c>
      <c r="K99" s="846"/>
      <c r="L99" s="846"/>
      <c r="M99" s="846"/>
      <c r="N99" s="846"/>
      <c r="O99" s="846"/>
      <c r="P99" s="846"/>
      <c r="Q99" s="846"/>
      <c r="R99" s="846"/>
      <c r="S99" s="846"/>
      <c r="T99" s="846"/>
      <c r="U99" s="846">
        <f t="shared" si="8"/>
        <v>-800000</v>
      </c>
    </row>
    <row r="100" spans="1:21" hidden="1">
      <c r="A100" s="842" t="s">
        <v>1404</v>
      </c>
      <c r="B100" s="842" t="str">
        <f t="shared" si="9"/>
        <v>6</v>
      </c>
      <c r="C100" s="842" t="str">
        <f t="shared" si="10"/>
        <v>60</v>
      </c>
      <c r="D100" s="842" t="str">
        <f t="shared" si="11"/>
        <v>606</v>
      </c>
      <c r="E100" s="842" t="str">
        <f t="shared" si="12"/>
        <v>6061</v>
      </c>
      <c r="G100" s="842" t="s">
        <v>1596</v>
      </c>
      <c r="H100" s="846"/>
      <c r="I100" s="846">
        <v>-244000</v>
      </c>
      <c r="J100" s="846">
        <v>-1817662</v>
      </c>
      <c r="K100" s="846">
        <v>-2100000</v>
      </c>
      <c r="L100" s="846">
        <v>-1119620</v>
      </c>
      <c r="M100" s="846">
        <v>-126190</v>
      </c>
      <c r="N100" s="846">
        <v>-2289591</v>
      </c>
      <c r="O100" s="846">
        <v>-3830355</v>
      </c>
      <c r="P100" s="846">
        <v>-1800000</v>
      </c>
      <c r="Q100" s="846">
        <v>261020</v>
      </c>
      <c r="R100" s="846">
        <v>-2727438</v>
      </c>
      <c r="S100" s="846">
        <v>622827</v>
      </c>
      <c r="T100" s="846">
        <v>-2834306.42</v>
      </c>
      <c r="U100" s="846">
        <f t="shared" si="8"/>
        <v>-18005315.420000002</v>
      </c>
    </row>
    <row r="101" spans="1:21" hidden="1">
      <c r="A101" s="842" t="s">
        <v>1405</v>
      </c>
      <c r="B101" s="842" t="str">
        <f t="shared" si="9"/>
        <v>6</v>
      </c>
      <c r="C101" s="842" t="str">
        <f t="shared" si="10"/>
        <v>60</v>
      </c>
      <c r="D101" s="842" t="str">
        <f t="shared" si="11"/>
        <v>606</v>
      </c>
      <c r="E101" s="842" t="str">
        <f t="shared" si="12"/>
        <v>6061</v>
      </c>
      <c r="G101" s="842" t="s">
        <v>1597</v>
      </c>
      <c r="H101" s="846"/>
      <c r="I101" s="846"/>
      <c r="J101" s="846"/>
      <c r="K101" s="846"/>
      <c r="L101" s="846"/>
      <c r="M101" s="846"/>
      <c r="N101" s="846"/>
      <c r="O101" s="846"/>
      <c r="P101" s="846">
        <v>-1750000</v>
      </c>
      <c r="Q101" s="846"/>
      <c r="R101" s="846">
        <v>1750000</v>
      </c>
      <c r="S101" s="846"/>
      <c r="T101" s="846"/>
      <c r="U101" s="846">
        <f t="shared" ref="U101:U132" si="14">SUM(H101:T101)</f>
        <v>0</v>
      </c>
    </row>
    <row r="102" spans="1:21" hidden="1">
      <c r="A102" s="842" t="s">
        <v>1406</v>
      </c>
      <c r="B102" s="842" t="str">
        <f t="shared" si="9"/>
        <v>6</v>
      </c>
      <c r="C102" s="842" t="str">
        <f t="shared" si="10"/>
        <v>60</v>
      </c>
      <c r="D102" s="842" t="str">
        <f t="shared" si="11"/>
        <v>606</v>
      </c>
      <c r="E102" s="842" t="str">
        <f t="shared" si="12"/>
        <v>6061</v>
      </c>
      <c r="G102" s="842" t="s">
        <v>1598</v>
      </c>
      <c r="H102" s="846"/>
      <c r="I102" s="846">
        <v>99474</v>
      </c>
      <c r="J102" s="846">
        <v>-887343</v>
      </c>
      <c r="K102" s="846">
        <v>-494352</v>
      </c>
      <c r="L102" s="846">
        <v>780222</v>
      </c>
      <c r="M102" s="846">
        <v>-8214</v>
      </c>
      <c r="N102" s="846">
        <v>-245572</v>
      </c>
      <c r="O102" s="846">
        <v>-976272</v>
      </c>
      <c r="P102" s="846">
        <v>-365000</v>
      </c>
      <c r="Q102" s="846">
        <v>434960</v>
      </c>
      <c r="R102" s="846">
        <v>-166237</v>
      </c>
      <c r="S102" s="846">
        <v>-70720</v>
      </c>
      <c r="T102" s="846">
        <v>-209399.3</v>
      </c>
      <c r="U102" s="846">
        <f t="shared" si="14"/>
        <v>-2108453.2999999998</v>
      </c>
    </row>
    <row r="103" spans="1:21" hidden="1">
      <c r="A103" s="842" t="s">
        <v>1407</v>
      </c>
      <c r="B103" s="842" t="str">
        <f t="shared" si="9"/>
        <v>6</v>
      </c>
      <c r="C103" s="842" t="str">
        <f t="shared" si="10"/>
        <v>60</v>
      </c>
      <c r="D103" s="842" t="str">
        <f t="shared" si="11"/>
        <v>606</v>
      </c>
      <c r="E103" s="842" t="str">
        <f t="shared" si="12"/>
        <v>6062</v>
      </c>
      <c r="G103" s="842" t="s">
        <v>1599</v>
      </c>
      <c r="H103" s="846"/>
      <c r="I103" s="846">
        <v>-10000</v>
      </c>
      <c r="J103" s="846">
        <v>-5000</v>
      </c>
      <c r="K103" s="846"/>
      <c r="L103" s="846"/>
      <c r="M103" s="846">
        <v>-5000</v>
      </c>
      <c r="N103" s="846"/>
      <c r="O103" s="846"/>
      <c r="P103" s="846">
        <v>-57500</v>
      </c>
      <c r="Q103" s="846"/>
      <c r="R103" s="846"/>
      <c r="S103" s="846"/>
      <c r="T103" s="846"/>
      <c r="U103" s="846">
        <f t="shared" si="14"/>
        <v>-77500</v>
      </c>
    </row>
    <row r="104" spans="1:21" hidden="1">
      <c r="A104" s="842" t="s">
        <v>1408</v>
      </c>
      <c r="B104" s="842" t="str">
        <f t="shared" si="9"/>
        <v>6</v>
      </c>
      <c r="C104" s="842" t="str">
        <f t="shared" si="10"/>
        <v>60</v>
      </c>
      <c r="D104" s="842" t="str">
        <f t="shared" si="11"/>
        <v>606</v>
      </c>
      <c r="E104" s="842" t="str">
        <f t="shared" si="12"/>
        <v>6062</v>
      </c>
      <c r="G104" s="842" t="s">
        <v>1600</v>
      </c>
      <c r="H104" s="846"/>
      <c r="I104" s="846">
        <v>-634700</v>
      </c>
      <c r="J104" s="846">
        <v>-2149900</v>
      </c>
      <c r="K104" s="846">
        <v>-805500</v>
      </c>
      <c r="L104" s="846">
        <v>-472100</v>
      </c>
      <c r="M104" s="846">
        <v>-2029760</v>
      </c>
      <c r="N104" s="846">
        <v>-1758670</v>
      </c>
      <c r="O104" s="846">
        <v>-416682</v>
      </c>
      <c r="P104" s="846">
        <v>-1973300</v>
      </c>
      <c r="Q104" s="846">
        <v>356320</v>
      </c>
      <c r="R104" s="846">
        <v>-376000</v>
      </c>
      <c r="S104" s="846">
        <v>-1100000</v>
      </c>
      <c r="T104" s="846">
        <v>-2215695</v>
      </c>
      <c r="U104" s="846">
        <f t="shared" si="14"/>
        <v>-13575987</v>
      </c>
    </row>
    <row r="105" spans="1:21" hidden="1">
      <c r="A105" s="842" t="s">
        <v>1409</v>
      </c>
      <c r="B105" s="842" t="str">
        <f t="shared" si="9"/>
        <v>6</v>
      </c>
      <c r="C105" s="842" t="str">
        <f t="shared" si="10"/>
        <v>60</v>
      </c>
      <c r="D105" s="842" t="str">
        <f t="shared" si="11"/>
        <v>606</v>
      </c>
      <c r="E105" s="842" t="str">
        <f t="shared" si="12"/>
        <v>6062</v>
      </c>
      <c r="G105" s="842" t="s">
        <v>1601</v>
      </c>
      <c r="H105" s="846"/>
      <c r="I105" s="846"/>
      <c r="J105" s="846"/>
      <c r="K105" s="846">
        <v>0</v>
      </c>
      <c r="L105" s="846">
        <v>-180000</v>
      </c>
      <c r="M105" s="846">
        <v>-180000</v>
      </c>
      <c r="N105" s="846">
        <v>176000</v>
      </c>
      <c r="O105" s="846"/>
      <c r="P105" s="846"/>
      <c r="Q105" s="846"/>
      <c r="R105" s="846"/>
      <c r="S105" s="846"/>
      <c r="T105" s="846"/>
      <c r="U105" s="846">
        <f t="shared" si="14"/>
        <v>-184000</v>
      </c>
    </row>
    <row r="106" spans="1:21" hidden="1">
      <c r="A106" s="842" t="s">
        <v>1602</v>
      </c>
      <c r="B106" s="842" t="str">
        <f t="shared" si="9"/>
        <v>6</v>
      </c>
      <c r="C106" s="842" t="str">
        <f t="shared" si="10"/>
        <v>60</v>
      </c>
      <c r="D106" s="842" t="str">
        <f t="shared" si="11"/>
        <v>606</v>
      </c>
      <c r="E106" s="842" t="str">
        <f t="shared" si="12"/>
        <v>6062</v>
      </c>
      <c r="G106" s="842" t="s">
        <v>1603</v>
      </c>
      <c r="H106" s="846"/>
      <c r="I106" s="846"/>
      <c r="J106" s="846"/>
      <c r="K106" s="846"/>
      <c r="L106" s="846"/>
      <c r="M106" s="846"/>
      <c r="N106" s="846"/>
      <c r="O106" s="846"/>
      <c r="P106" s="846">
        <v>-67500</v>
      </c>
      <c r="Q106" s="846"/>
      <c r="R106" s="846"/>
      <c r="S106" s="846"/>
      <c r="T106" s="846"/>
      <c r="U106" s="846">
        <f t="shared" si="14"/>
        <v>-67500</v>
      </c>
    </row>
    <row r="107" spans="1:21" hidden="1">
      <c r="A107" s="842" t="s">
        <v>1410</v>
      </c>
      <c r="B107" s="842" t="str">
        <f t="shared" si="9"/>
        <v>6</v>
      </c>
      <c r="C107" s="842" t="str">
        <f t="shared" si="10"/>
        <v>60</v>
      </c>
      <c r="D107" s="842" t="str">
        <f t="shared" si="11"/>
        <v>606</v>
      </c>
      <c r="E107" s="842" t="str">
        <f t="shared" si="12"/>
        <v>6063</v>
      </c>
      <c r="G107" s="842" t="s">
        <v>1604</v>
      </c>
      <c r="H107" s="846"/>
      <c r="I107" s="846">
        <v>-8000</v>
      </c>
      <c r="J107" s="846">
        <v>-72000</v>
      </c>
      <c r="K107" s="846">
        <v>-1860971.75</v>
      </c>
      <c r="L107" s="846"/>
      <c r="M107" s="846">
        <v>-4400</v>
      </c>
      <c r="N107" s="846"/>
      <c r="O107" s="846"/>
      <c r="P107" s="846">
        <v>-5000</v>
      </c>
      <c r="Q107" s="846">
        <v>-80000</v>
      </c>
      <c r="R107" s="846"/>
      <c r="S107" s="846"/>
      <c r="T107" s="846">
        <v>-83332</v>
      </c>
      <c r="U107" s="846">
        <f t="shared" si="14"/>
        <v>-2113703.75</v>
      </c>
    </row>
    <row r="108" spans="1:21" hidden="1">
      <c r="A108" s="842" t="s">
        <v>1411</v>
      </c>
      <c r="B108" s="842" t="str">
        <f t="shared" si="9"/>
        <v>6</v>
      </c>
      <c r="C108" s="842" t="str">
        <f t="shared" si="10"/>
        <v>60</v>
      </c>
      <c r="D108" s="842" t="str">
        <f t="shared" si="11"/>
        <v>606</v>
      </c>
      <c r="E108" s="842" t="str">
        <f t="shared" si="12"/>
        <v>6064</v>
      </c>
      <c r="G108" s="842" t="s">
        <v>1605</v>
      </c>
      <c r="H108" s="846"/>
      <c r="I108" s="846">
        <v>-462300</v>
      </c>
      <c r="J108" s="846">
        <v>350000</v>
      </c>
      <c r="K108" s="846">
        <v>-20000</v>
      </c>
      <c r="L108" s="846">
        <v>-71000</v>
      </c>
      <c r="M108" s="846">
        <v>-556000</v>
      </c>
      <c r="N108" s="846">
        <v>-571000</v>
      </c>
      <c r="O108" s="846">
        <v>-326000</v>
      </c>
      <c r="P108" s="846">
        <v>-35000</v>
      </c>
      <c r="Q108" s="846">
        <v>-27500</v>
      </c>
      <c r="R108" s="846">
        <v>-69000</v>
      </c>
      <c r="S108" s="846">
        <v>-44000</v>
      </c>
      <c r="T108" s="846">
        <v>-241000</v>
      </c>
      <c r="U108" s="846">
        <f t="shared" si="14"/>
        <v>-2072800</v>
      </c>
    </row>
    <row r="109" spans="1:21" hidden="1">
      <c r="A109" s="842" t="s">
        <v>1412</v>
      </c>
      <c r="B109" s="842" t="str">
        <f t="shared" si="9"/>
        <v>6</v>
      </c>
      <c r="C109" s="842" t="str">
        <f t="shared" si="10"/>
        <v>60</v>
      </c>
      <c r="D109" s="842" t="str">
        <f t="shared" si="11"/>
        <v>606</v>
      </c>
      <c r="E109" s="842" t="str">
        <f t="shared" si="12"/>
        <v>6064</v>
      </c>
      <c r="G109" s="842" t="s">
        <v>1606</v>
      </c>
      <c r="H109" s="846"/>
      <c r="I109" s="846"/>
      <c r="J109" s="846">
        <v>-242000</v>
      </c>
      <c r="K109" s="846"/>
      <c r="L109" s="846">
        <v>-316200</v>
      </c>
      <c r="M109" s="846"/>
      <c r="N109" s="846"/>
      <c r="O109" s="846"/>
      <c r="P109" s="846">
        <v>-40000</v>
      </c>
      <c r="Q109" s="846">
        <v>40000</v>
      </c>
      <c r="R109" s="846"/>
      <c r="S109" s="846"/>
      <c r="T109" s="846">
        <v>-203000</v>
      </c>
      <c r="U109" s="846">
        <f t="shared" si="14"/>
        <v>-761200</v>
      </c>
    </row>
    <row r="110" spans="1:21" hidden="1">
      <c r="A110" s="842" t="s">
        <v>1413</v>
      </c>
      <c r="B110" s="842" t="str">
        <f t="shared" si="9"/>
        <v>6</v>
      </c>
      <c r="C110" s="842" t="str">
        <f t="shared" si="10"/>
        <v>60</v>
      </c>
      <c r="D110" s="842" t="str">
        <f t="shared" si="11"/>
        <v>606</v>
      </c>
      <c r="E110" s="842" t="str">
        <f t="shared" si="12"/>
        <v>6064</v>
      </c>
      <c r="G110" s="842" t="s">
        <v>1607</v>
      </c>
      <c r="H110" s="846"/>
      <c r="I110" s="846">
        <v>-25000</v>
      </c>
      <c r="J110" s="846">
        <v>-89000</v>
      </c>
      <c r="K110" s="846">
        <v>-315000</v>
      </c>
      <c r="L110" s="846">
        <v>-116000</v>
      </c>
      <c r="M110" s="846">
        <v>-196000</v>
      </c>
      <c r="N110" s="846">
        <v>191000</v>
      </c>
      <c r="O110" s="846">
        <v>-39500</v>
      </c>
      <c r="P110" s="846">
        <v>-35000</v>
      </c>
      <c r="Q110" s="846">
        <v>-90000</v>
      </c>
      <c r="R110" s="846"/>
      <c r="S110" s="846"/>
      <c r="T110" s="846"/>
      <c r="U110" s="846">
        <f t="shared" si="14"/>
        <v>-714500</v>
      </c>
    </row>
    <row r="111" spans="1:21" hidden="1">
      <c r="A111" s="842" t="s">
        <v>1414</v>
      </c>
      <c r="B111" s="842" t="str">
        <f t="shared" si="9"/>
        <v>6</v>
      </c>
      <c r="C111" s="842" t="str">
        <f t="shared" si="10"/>
        <v>60</v>
      </c>
      <c r="D111" s="842" t="str">
        <f t="shared" si="11"/>
        <v>606</v>
      </c>
      <c r="E111" s="842" t="str">
        <f t="shared" si="12"/>
        <v>6064</v>
      </c>
      <c r="G111" s="842" t="s">
        <v>1608</v>
      </c>
      <c r="H111" s="846"/>
      <c r="I111" s="846">
        <v>-77000</v>
      </c>
      <c r="J111" s="846">
        <v>-70000</v>
      </c>
      <c r="K111" s="846">
        <v>-74000</v>
      </c>
      <c r="L111" s="846">
        <v>66000</v>
      </c>
      <c r="M111" s="846">
        <v>-80000</v>
      </c>
      <c r="N111" s="846">
        <v>8000</v>
      </c>
      <c r="O111" s="846">
        <v>-85000</v>
      </c>
      <c r="P111" s="846"/>
      <c r="Q111" s="846">
        <v>-20000</v>
      </c>
      <c r="R111" s="846"/>
      <c r="S111" s="846">
        <v>-45000</v>
      </c>
      <c r="T111" s="846">
        <v>-30000</v>
      </c>
      <c r="U111" s="846">
        <f t="shared" si="14"/>
        <v>-407000</v>
      </c>
    </row>
    <row r="112" spans="1:21" hidden="1">
      <c r="A112" s="842" t="s">
        <v>1415</v>
      </c>
      <c r="B112" s="842" t="str">
        <f t="shared" si="9"/>
        <v>6</v>
      </c>
      <c r="C112" s="842" t="str">
        <f t="shared" si="10"/>
        <v>60</v>
      </c>
      <c r="D112" s="842" t="str">
        <f t="shared" si="11"/>
        <v>606</v>
      </c>
      <c r="E112" s="842" t="str">
        <f t="shared" si="12"/>
        <v>6064</v>
      </c>
      <c r="G112" s="842" t="s">
        <v>1609</v>
      </c>
      <c r="H112" s="846"/>
      <c r="I112" s="846">
        <v>-61000</v>
      </c>
      <c r="J112" s="846">
        <v>-151900</v>
      </c>
      <c r="K112" s="846">
        <v>-6000</v>
      </c>
      <c r="L112" s="846">
        <v>-97000</v>
      </c>
      <c r="M112" s="846">
        <v>-103000</v>
      </c>
      <c r="N112" s="846">
        <v>86000</v>
      </c>
      <c r="O112" s="846"/>
      <c r="P112" s="846">
        <v>-317800</v>
      </c>
      <c r="Q112" s="846">
        <v>-24300</v>
      </c>
      <c r="R112" s="846">
        <v>-177000</v>
      </c>
      <c r="S112" s="846">
        <v>-67000</v>
      </c>
      <c r="T112" s="846"/>
      <c r="U112" s="846">
        <f t="shared" si="14"/>
        <v>-919000</v>
      </c>
    </row>
    <row r="113" spans="1:21" hidden="1">
      <c r="A113" s="842" t="s">
        <v>1416</v>
      </c>
      <c r="B113" s="842" t="str">
        <f t="shared" si="9"/>
        <v>6</v>
      </c>
      <c r="C113" s="842" t="str">
        <f t="shared" si="10"/>
        <v>60</v>
      </c>
      <c r="D113" s="842" t="str">
        <f t="shared" si="11"/>
        <v>606</v>
      </c>
      <c r="E113" s="842" t="str">
        <f t="shared" si="12"/>
        <v>6064</v>
      </c>
      <c r="G113" s="842" t="s">
        <v>1610</v>
      </c>
      <c r="H113" s="846"/>
      <c r="I113" s="846">
        <v>-23400</v>
      </c>
      <c r="J113" s="846">
        <v>-14250</v>
      </c>
      <c r="K113" s="846">
        <v>-32000</v>
      </c>
      <c r="L113" s="846">
        <v>11000</v>
      </c>
      <c r="M113" s="846">
        <v>-27300</v>
      </c>
      <c r="N113" s="846">
        <v>15000</v>
      </c>
      <c r="O113" s="846"/>
      <c r="P113" s="846">
        <v>-121150</v>
      </c>
      <c r="Q113" s="846"/>
      <c r="R113" s="846">
        <v>-3500</v>
      </c>
      <c r="S113" s="846">
        <v>-9300</v>
      </c>
      <c r="T113" s="846"/>
      <c r="U113" s="846">
        <f t="shared" si="14"/>
        <v>-204900</v>
      </c>
    </row>
    <row r="114" spans="1:21" hidden="1">
      <c r="A114" s="842" t="s">
        <v>1611</v>
      </c>
      <c r="B114" s="842" t="str">
        <f t="shared" si="9"/>
        <v>6</v>
      </c>
      <c r="C114" s="842" t="str">
        <f t="shared" si="10"/>
        <v>60</v>
      </c>
      <c r="D114" s="842" t="str">
        <f t="shared" si="11"/>
        <v>606</v>
      </c>
      <c r="E114" s="842" t="str">
        <f t="shared" si="12"/>
        <v>6064</v>
      </c>
      <c r="G114" s="842" t="s">
        <v>1612</v>
      </c>
      <c r="H114" s="846"/>
      <c r="I114" s="846">
        <v>-111000</v>
      </c>
      <c r="J114" s="846"/>
      <c r="K114" s="846">
        <v>-5000</v>
      </c>
      <c r="L114" s="846"/>
      <c r="M114" s="846"/>
      <c r="N114" s="846"/>
      <c r="O114" s="846"/>
      <c r="P114" s="846"/>
      <c r="Q114" s="846"/>
      <c r="R114" s="846">
        <v>-68000</v>
      </c>
      <c r="S114" s="846">
        <v>-965000</v>
      </c>
      <c r="T114" s="846"/>
      <c r="U114" s="846">
        <f t="shared" si="14"/>
        <v>-1149000</v>
      </c>
    </row>
    <row r="115" spans="1:21" hidden="1">
      <c r="A115" s="842" t="s">
        <v>1613</v>
      </c>
      <c r="B115" s="842" t="str">
        <f t="shared" si="9"/>
        <v>6</v>
      </c>
      <c r="C115" s="842" t="str">
        <f t="shared" si="10"/>
        <v>60</v>
      </c>
      <c r="D115" s="842" t="str">
        <f t="shared" si="11"/>
        <v>606</v>
      </c>
      <c r="E115" s="842" t="str">
        <f t="shared" si="12"/>
        <v>6064</v>
      </c>
      <c r="G115" s="842" t="s">
        <v>1614</v>
      </c>
      <c r="H115" s="846"/>
      <c r="I115" s="846">
        <v>-4000</v>
      </c>
      <c r="J115" s="846"/>
      <c r="K115" s="846"/>
      <c r="L115" s="846"/>
      <c r="M115" s="846"/>
      <c r="N115" s="846"/>
      <c r="O115" s="846"/>
      <c r="P115" s="846"/>
      <c r="Q115" s="846"/>
      <c r="R115" s="846"/>
      <c r="S115" s="846"/>
      <c r="T115" s="846"/>
      <c r="U115" s="846">
        <f t="shared" si="14"/>
        <v>-4000</v>
      </c>
    </row>
    <row r="116" spans="1:21" hidden="1">
      <c r="A116" s="842" t="s">
        <v>1615</v>
      </c>
      <c r="B116" s="842" t="str">
        <f t="shared" si="9"/>
        <v>6</v>
      </c>
      <c r="C116" s="842" t="str">
        <f t="shared" si="10"/>
        <v>60</v>
      </c>
      <c r="D116" s="842" t="str">
        <f t="shared" si="11"/>
        <v>606</v>
      </c>
      <c r="E116" s="842" t="str">
        <f t="shared" si="12"/>
        <v>6064</v>
      </c>
      <c r="G116" s="842" t="s">
        <v>1616</v>
      </c>
      <c r="H116" s="846"/>
      <c r="I116" s="846">
        <v>-10000</v>
      </c>
      <c r="J116" s="846">
        <v>-581000</v>
      </c>
      <c r="K116" s="846"/>
      <c r="L116" s="846"/>
      <c r="M116" s="846">
        <v>-114000</v>
      </c>
      <c r="N116" s="846"/>
      <c r="O116" s="846">
        <v>-129000</v>
      </c>
      <c r="P116" s="846"/>
      <c r="Q116" s="846">
        <v>-205000</v>
      </c>
      <c r="R116" s="846">
        <v>-92333</v>
      </c>
      <c r="S116" s="846">
        <v>-5537922.5800000001</v>
      </c>
      <c r="T116" s="846">
        <v>-394800</v>
      </c>
      <c r="U116" s="846">
        <f t="shared" si="14"/>
        <v>-7064055.5800000001</v>
      </c>
    </row>
    <row r="117" spans="1:21" hidden="1">
      <c r="A117" s="842" t="s">
        <v>1417</v>
      </c>
      <c r="B117" s="842" t="str">
        <f t="shared" si="9"/>
        <v>6</v>
      </c>
      <c r="C117" s="842" t="str">
        <f t="shared" si="10"/>
        <v>60</v>
      </c>
      <c r="D117" s="842" t="str">
        <f t="shared" si="11"/>
        <v>606</v>
      </c>
      <c r="E117" s="842" t="str">
        <f t="shared" si="12"/>
        <v>6064</v>
      </c>
      <c r="G117" s="842" t="s">
        <v>1617</v>
      </c>
      <c r="H117" s="846"/>
      <c r="I117" s="846">
        <v>-223500</v>
      </c>
      <c r="J117" s="846">
        <v>-5594000</v>
      </c>
      <c r="K117" s="846">
        <v>-8777000</v>
      </c>
      <c r="L117" s="846">
        <v>-7081000</v>
      </c>
      <c r="M117" s="846">
        <v>-5062000</v>
      </c>
      <c r="N117" s="846">
        <v>1666500</v>
      </c>
      <c r="O117" s="846">
        <v>-270000</v>
      </c>
      <c r="P117" s="846">
        <v>-10459840</v>
      </c>
      <c r="Q117" s="846">
        <v>-319000</v>
      </c>
      <c r="R117" s="846">
        <v>-636000</v>
      </c>
      <c r="S117" s="846">
        <v>-1634000</v>
      </c>
      <c r="T117" s="846"/>
      <c r="U117" s="846">
        <f t="shared" si="14"/>
        <v>-38389840</v>
      </c>
    </row>
    <row r="118" spans="1:21" hidden="1">
      <c r="A118" s="842" t="s">
        <v>1618</v>
      </c>
      <c r="B118" s="842" t="str">
        <f t="shared" si="9"/>
        <v>6</v>
      </c>
      <c r="C118" s="842" t="str">
        <f t="shared" si="10"/>
        <v>60</v>
      </c>
      <c r="D118" s="842" t="str">
        <f t="shared" si="11"/>
        <v>606</v>
      </c>
      <c r="E118" s="842" t="str">
        <f t="shared" si="12"/>
        <v>6064</v>
      </c>
      <c r="G118" s="842" t="s">
        <v>1619</v>
      </c>
      <c r="H118" s="846"/>
      <c r="I118" s="846"/>
      <c r="J118" s="846">
        <v>-40000</v>
      </c>
      <c r="K118" s="846"/>
      <c r="L118" s="846">
        <v>-419500</v>
      </c>
      <c r="M118" s="846">
        <v>-300000</v>
      </c>
      <c r="N118" s="846"/>
      <c r="O118" s="846"/>
      <c r="P118" s="846">
        <v>-50000</v>
      </c>
      <c r="Q118" s="846">
        <v>50000</v>
      </c>
      <c r="R118" s="846"/>
      <c r="S118" s="846">
        <v>-1761000</v>
      </c>
      <c r="T118" s="846"/>
      <c r="U118" s="846">
        <f t="shared" si="14"/>
        <v>-2520500</v>
      </c>
    </row>
    <row r="119" spans="1:21" hidden="1">
      <c r="A119" s="842" t="s">
        <v>1418</v>
      </c>
      <c r="B119" s="842" t="str">
        <f t="shared" si="9"/>
        <v>6</v>
      </c>
      <c r="C119" s="842" t="str">
        <f t="shared" si="10"/>
        <v>60</v>
      </c>
      <c r="D119" s="842" t="str">
        <f t="shared" si="11"/>
        <v>606</v>
      </c>
      <c r="E119" s="842" t="str">
        <f t="shared" si="12"/>
        <v>6065</v>
      </c>
      <c r="G119" s="842" t="s">
        <v>1620</v>
      </c>
      <c r="H119" s="846"/>
      <c r="I119" s="846"/>
      <c r="J119" s="846"/>
      <c r="K119" s="846"/>
      <c r="L119" s="846"/>
      <c r="M119" s="846"/>
      <c r="N119" s="846"/>
      <c r="O119" s="846"/>
      <c r="P119" s="846"/>
      <c r="Q119" s="846">
        <v>-60000</v>
      </c>
      <c r="R119" s="846"/>
      <c r="S119" s="846">
        <v>-2000</v>
      </c>
      <c r="T119" s="846"/>
      <c r="U119" s="846">
        <f t="shared" si="14"/>
        <v>-62000</v>
      </c>
    </row>
    <row r="120" spans="1:21" hidden="1">
      <c r="A120" s="842" t="s">
        <v>1621</v>
      </c>
      <c r="B120" s="842" t="str">
        <f t="shared" si="9"/>
        <v>6</v>
      </c>
      <c r="C120" s="842" t="str">
        <f t="shared" si="10"/>
        <v>60</v>
      </c>
      <c r="D120" s="842" t="str">
        <f t="shared" si="11"/>
        <v>606</v>
      </c>
      <c r="E120" s="842" t="str">
        <f t="shared" si="12"/>
        <v>6069</v>
      </c>
      <c r="G120" s="842" t="s">
        <v>1622</v>
      </c>
      <c r="H120" s="846"/>
      <c r="I120" s="846">
        <v>-7000</v>
      </c>
      <c r="J120" s="846">
        <v>-2000</v>
      </c>
      <c r="K120" s="846">
        <v>-73100</v>
      </c>
      <c r="L120" s="846">
        <v>73100</v>
      </c>
      <c r="M120" s="846"/>
      <c r="N120" s="846"/>
      <c r="O120" s="846">
        <v>-13200</v>
      </c>
      <c r="P120" s="846">
        <v>-102800</v>
      </c>
      <c r="Q120" s="846"/>
      <c r="R120" s="846"/>
      <c r="S120" s="846"/>
      <c r="T120" s="846">
        <v>-20800</v>
      </c>
      <c r="U120" s="846">
        <f t="shared" si="14"/>
        <v>-145800</v>
      </c>
    </row>
    <row r="121" spans="1:21" hidden="1">
      <c r="A121" s="842" t="s">
        <v>1419</v>
      </c>
      <c r="B121" s="842" t="str">
        <f t="shared" si="9"/>
        <v>6</v>
      </c>
      <c r="C121" s="842" t="str">
        <f t="shared" si="10"/>
        <v>61</v>
      </c>
      <c r="D121" s="842" t="str">
        <f t="shared" si="11"/>
        <v>613</v>
      </c>
      <c r="E121" s="842" t="str">
        <f t="shared" si="12"/>
        <v>6133</v>
      </c>
      <c r="G121" s="842" t="s">
        <v>1623</v>
      </c>
      <c r="H121" s="846"/>
      <c r="I121" s="846">
        <v>-96000</v>
      </c>
      <c r="J121" s="846">
        <v>-96000</v>
      </c>
      <c r="K121" s="846">
        <v>-366000</v>
      </c>
      <c r="L121" s="846">
        <v>-126000</v>
      </c>
      <c r="M121" s="846">
        <v>-126000</v>
      </c>
      <c r="N121" s="846">
        <v>-96000</v>
      </c>
      <c r="O121" s="846">
        <v>-126000</v>
      </c>
      <c r="P121" s="846">
        <v>-156000</v>
      </c>
      <c r="Q121" s="846">
        <v>-126000</v>
      </c>
      <c r="R121" s="846">
        <v>-96000</v>
      </c>
      <c r="S121" s="846">
        <v>-96000</v>
      </c>
      <c r="T121" s="846">
        <v>-96000</v>
      </c>
      <c r="U121" s="846">
        <f t="shared" si="14"/>
        <v>-1602000</v>
      </c>
    </row>
    <row r="122" spans="1:21" hidden="1">
      <c r="A122" s="842" t="s">
        <v>1624</v>
      </c>
      <c r="B122" s="842" t="str">
        <f t="shared" si="9"/>
        <v>6</v>
      </c>
      <c r="C122" s="842" t="str">
        <f t="shared" si="10"/>
        <v>61</v>
      </c>
      <c r="D122" s="842" t="str">
        <f t="shared" si="11"/>
        <v>613</v>
      </c>
      <c r="E122" s="842" t="str">
        <f t="shared" si="12"/>
        <v>6133</v>
      </c>
      <c r="G122" s="842" t="s">
        <v>1625</v>
      </c>
      <c r="H122" s="846"/>
      <c r="I122" s="846"/>
      <c r="J122" s="846"/>
      <c r="K122" s="846"/>
      <c r="L122" s="846">
        <v>-20000</v>
      </c>
      <c r="M122" s="846"/>
      <c r="N122" s="846"/>
      <c r="O122" s="846"/>
      <c r="P122" s="846"/>
      <c r="Q122" s="846"/>
      <c r="R122" s="846"/>
      <c r="S122" s="846"/>
      <c r="T122" s="846"/>
      <c r="U122" s="846">
        <f t="shared" si="14"/>
        <v>-20000</v>
      </c>
    </row>
    <row r="123" spans="1:21" hidden="1">
      <c r="A123" s="842" t="s">
        <v>1626</v>
      </c>
      <c r="B123" s="842" t="str">
        <f t="shared" si="9"/>
        <v>6</v>
      </c>
      <c r="C123" s="842" t="str">
        <f t="shared" si="10"/>
        <v>61</v>
      </c>
      <c r="D123" s="842" t="str">
        <f t="shared" si="11"/>
        <v>613</v>
      </c>
      <c r="E123" s="842" t="str">
        <f t="shared" si="12"/>
        <v>6135</v>
      </c>
      <c r="G123" s="842" t="s">
        <v>1627</v>
      </c>
      <c r="H123" s="846"/>
      <c r="I123" s="846"/>
      <c r="J123" s="846"/>
      <c r="K123" s="846"/>
      <c r="L123" s="846"/>
      <c r="M123" s="846"/>
      <c r="N123" s="846">
        <v>-500000</v>
      </c>
      <c r="O123" s="846"/>
      <c r="P123" s="846">
        <v>-80000</v>
      </c>
      <c r="Q123" s="846">
        <v>80000</v>
      </c>
      <c r="R123" s="846"/>
      <c r="S123" s="846"/>
      <c r="T123" s="846"/>
      <c r="U123" s="846">
        <f t="shared" si="14"/>
        <v>-500000</v>
      </c>
    </row>
    <row r="124" spans="1:21" hidden="1">
      <c r="A124" s="842" t="s">
        <v>1628</v>
      </c>
      <c r="B124" s="842" t="str">
        <f t="shared" si="9"/>
        <v>6</v>
      </c>
      <c r="C124" s="842" t="str">
        <f t="shared" si="10"/>
        <v>61</v>
      </c>
      <c r="D124" s="842" t="str">
        <f t="shared" si="11"/>
        <v>613</v>
      </c>
      <c r="E124" s="842" t="str">
        <f t="shared" si="12"/>
        <v>6136</v>
      </c>
      <c r="G124" s="842" t="s">
        <v>1629</v>
      </c>
      <c r="H124" s="846"/>
      <c r="I124" s="846"/>
      <c r="J124" s="846"/>
      <c r="K124" s="846">
        <v>-19000</v>
      </c>
      <c r="L124" s="846">
        <v>-30000</v>
      </c>
      <c r="M124" s="846">
        <v>-30000</v>
      </c>
      <c r="N124" s="846"/>
      <c r="O124" s="846">
        <v>-60000</v>
      </c>
      <c r="P124" s="846">
        <v>-60000</v>
      </c>
      <c r="Q124" s="846"/>
      <c r="R124" s="846"/>
      <c r="S124" s="846"/>
      <c r="T124" s="846"/>
      <c r="U124" s="846">
        <f t="shared" si="14"/>
        <v>-199000</v>
      </c>
    </row>
    <row r="125" spans="1:21" hidden="1">
      <c r="A125" s="842" t="s">
        <v>1420</v>
      </c>
      <c r="B125" s="842" t="str">
        <f t="shared" ref="B125:B188" si="15">+LEFT(A125,1)</f>
        <v>6</v>
      </c>
      <c r="C125" s="842" t="str">
        <f t="shared" ref="C125:C188" si="16">+LEFT(A125,2)</f>
        <v>61</v>
      </c>
      <c r="D125" s="842" t="str">
        <f t="shared" ref="D125:D188" si="17">+LEFT(A125,3)</f>
        <v>615</v>
      </c>
      <c r="E125" s="842" t="str">
        <f t="shared" ref="E125:E188" si="18">+LEFT(A125,4)</f>
        <v>6151</v>
      </c>
      <c r="G125" s="842" t="s">
        <v>1630</v>
      </c>
      <c r="H125" s="846"/>
      <c r="I125" s="846"/>
      <c r="J125" s="846"/>
      <c r="K125" s="846"/>
      <c r="L125" s="846"/>
      <c r="M125" s="846"/>
      <c r="N125" s="846"/>
      <c r="O125" s="846">
        <v>-70000</v>
      </c>
      <c r="P125" s="846"/>
      <c r="Q125" s="846"/>
      <c r="R125" s="846"/>
      <c r="S125" s="846"/>
      <c r="T125" s="846"/>
      <c r="U125" s="846">
        <f t="shared" si="14"/>
        <v>-70000</v>
      </c>
    </row>
    <row r="126" spans="1:21" hidden="1">
      <c r="A126" s="842" t="s">
        <v>1631</v>
      </c>
      <c r="B126" s="842" t="str">
        <f t="shared" si="15"/>
        <v>6</v>
      </c>
      <c r="C126" s="842" t="str">
        <f t="shared" si="16"/>
        <v>61</v>
      </c>
      <c r="D126" s="842" t="str">
        <f t="shared" si="17"/>
        <v>615</v>
      </c>
      <c r="E126" s="842" t="str">
        <f t="shared" si="18"/>
        <v>6151</v>
      </c>
      <c r="G126" s="842" t="s">
        <v>1632</v>
      </c>
      <c r="H126" s="846"/>
      <c r="I126" s="846"/>
      <c r="J126" s="846"/>
      <c r="K126" s="846"/>
      <c r="L126" s="846"/>
      <c r="M126" s="846"/>
      <c r="N126" s="846"/>
      <c r="O126" s="846"/>
      <c r="P126" s="846"/>
      <c r="Q126" s="846">
        <v>-40000</v>
      </c>
      <c r="R126" s="846"/>
      <c r="S126" s="846"/>
      <c r="T126" s="846"/>
      <c r="U126" s="846">
        <f t="shared" si="14"/>
        <v>-40000</v>
      </c>
    </row>
    <row r="127" spans="1:21" hidden="1">
      <c r="A127" s="842" t="s">
        <v>1421</v>
      </c>
      <c r="B127" s="842" t="str">
        <f t="shared" si="15"/>
        <v>6</v>
      </c>
      <c r="C127" s="842" t="str">
        <f t="shared" si="16"/>
        <v>61</v>
      </c>
      <c r="D127" s="842" t="str">
        <f t="shared" si="17"/>
        <v>615</v>
      </c>
      <c r="E127" s="842" t="str">
        <f t="shared" si="18"/>
        <v>6155</v>
      </c>
      <c r="G127" s="842" t="s">
        <v>1633</v>
      </c>
      <c r="H127" s="846"/>
      <c r="I127" s="846"/>
      <c r="J127" s="846"/>
      <c r="K127" s="846"/>
      <c r="L127" s="846"/>
      <c r="M127" s="846"/>
      <c r="N127" s="846"/>
      <c r="O127" s="846"/>
      <c r="P127" s="846"/>
      <c r="Q127" s="846"/>
      <c r="R127" s="846"/>
      <c r="S127" s="846">
        <v>-30000</v>
      </c>
      <c r="T127" s="846"/>
      <c r="U127" s="846">
        <f t="shared" si="14"/>
        <v>-30000</v>
      </c>
    </row>
    <row r="128" spans="1:21" hidden="1">
      <c r="A128" s="842" t="s">
        <v>1422</v>
      </c>
      <c r="B128" s="842" t="str">
        <f t="shared" si="15"/>
        <v>6</v>
      </c>
      <c r="C128" s="842" t="str">
        <f t="shared" si="16"/>
        <v>61</v>
      </c>
      <c r="D128" s="842" t="str">
        <f t="shared" si="17"/>
        <v>615</v>
      </c>
      <c r="E128" s="842" t="str">
        <f t="shared" si="18"/>
        <v>6155</v>
      </c>
      <c r="G128" s="842" t="s">
        <v>1634</v>
      </c>
      <c r="H128" s="846"/>
      <c r="I128" s="846">
        <v>-225000</v>
      </c>
      <c r="J128" s="846">
        <v>-300000</v>
      </c>
      <c r="K128" s="846">
        <v>-15000</v>
      </c>
      <c r="L128" s="846">
        <v>-35000</v>
      </c>
      <c r="M128" s="846">
        <v>-200000</v>
      </c>
      <c r="N128" s="846">
        <v>50000</v>
      </c>
      <c r="O128" s="846"/>
      <c r="P128" s="846">
        <v>-115000</v>
      </c>
      <c r="Q128" s="846">
        <v>-2000</v>
      </c>
      <c r="R128" s="846">
        <v>-37000</v>
      </c>
      <c r="S128" s="846">
        <v>-305000</v>
      </c>
      <c r="T128" s="846">
        <v>-50000</v>
      </c>
      <c r="U128" s="846">
        <f t="shared" si="14"/>
        <v>-1234000</v>
      </c>
    </row>
    <row r="129" spans="1:21" hidden="1">
      <c r="A129" s="842" t="s">
        <v>1635</v>
      </c>
      <c r="B129" s="842" t="str">
        <f t="shared" si="15"/>
        <v>6</v>
      </c>
      <c r="C129" s="842" t="str">
        <f t="shared" si="16"/>
        <v>61</v>
      </c>
      <c r="D129" s="842" t="str">
        <f t="shared" si="17"/>
        <v>615</v>
      </c>
      <c r="E129" s="842" t="str">
        <f t="shared" si="18"/>
        <v>6155</v>
      </c>
      <c r="G129" s="842" t="s">
        <v>1636</v>
      </c>
      <c r="H129" s="846"/>
      <c r="I129" s="846"/>
      <c r="J129" s="846"/>
      <c r="K129" s="846"/>
      <c r="L129" s="846"/>
      <c r="M129" s="846"/>
      <c r="N129" s="846">
        <v>-21000</v>
      </c>
      <c r="O129" s="846"/>
      <c r="P129" s="846"/>
      <c r="Q129" s="846"/>
      <c r="R129" s="846"/>
      <c r="S129" s="846"/>
      <c r="T129" s="846"/>
      <c r="U129" s="846">
        <f t="shared" si="14"/>
        <v>-21000</v>
      </c>
    </row>
    <row r="130" spans="1:21" hidden="1">
      <c r="A130" s="842" t="s">
        <v>1637</v>
      </c>
      <c r="B130" s="842" t="str">
        <f t="shared" si="15"/>
        <v>6</v>
      </c>
      <c r="C130" s="842" t="str">
        <f t="shared" si="16"/>
        <v>61</v>
      </c>
      <c r="D130" s="842" t="str">
        <f t="shared" si="17"/>
        <v>618</v>
      </c>
      <c r="E130" s="842" t="str">
        <f t="shared" si="18"/>
        <v>6181</v>
      </c>
      <c r="G130" s="842" t="s">
        <v>1638</v>
      </c>
      <c r="H130" s="846"/>
      <c r="I130" s="846">
        <v>-80000</v>
      </c>
      <c r="J130" s="846">
        <v>-6300</v>
      </c>
      <c r="K130" s="846"/>
      <c r="L130" s="846">
        <v>-66000</v>
      </c>
      <c r="M130" s="846">
        <v>-6000</v>
      </c>
      <c r="N130" s="846">
        <v>6000</v>
      </c>
      <c r="O130" s="846"/>
      <c r="P130" s="846">
        <v>-246300</v>
      </c>
      <c r="Q130" s="846">
        <v>-39900</v>
      </c>
      <c r="R130" s="846"/>
      <c r="S130" s="846">
        <v>2800</v>
      </c>
      <c r="T130" s="846"/>
      <c r="U130" s="846">
        <f t="shared" si="14"/>
        <v>-435700</v>
      </c>
    </row>
    <row r="131" spans="1:21" hidden="1">
      <c r="A131" s="842" t="s">
        <v>1423</v>
      </c>
      <c r="B131" s="842" t="str">
        <f t="shared" si="15"/>
        <v>6</v>
      </c>
      <c r="C131" s="842" t="str">
        <f t="shared" si="16"/>
        <v>61</v>
      </c>
      <c r="D131" s="842" t="str">
        <f t="shared" si="17"/>
        <v>618</v>
      </c>
      <c r="E131" s="842" t="str">
        <f t="shared" si="18"/>
        <v>6182</v>
      </c>
      <c r="G131" s="842" t="s">
        <v>1639</v>
      </c>
      <c r="H131" s="846"/>
      <c r="I131" s="846"/>
      <c r="J131" s="846">
        <v>-114000</v>
      </c>
      <c r="K131" s="846">
        <v>-60000</v>
      </c>
      <c r="L131" s="846">
        <v>-37000</v>
      </c>
      <c r="M131" s="846">
        <v>-38200</v>
      </c>
      <c r="N131" s="846">
        <v>-104000</v>
      </c>
      <c r="O131" s="846">
        <v>-43000</v>
      </c>
      <c r="P131" s="846">
        <v>-51500</v>
      </c>
      <c r="Q131" s="846">
        <v>-65000</v>
      </c>
      <c r="R131" s="846">
        <v>-66000</v>
      </c>
      <c r="S131" s="846">
        <v>-51500</v>
      </c>
      <c r="T131" s="846">
        <v>-39800</v>
      </c>
      <c r="U131" s="846">
        <f t="shared" si="14"/>
        <v>-670000</v>
      </c>
    </row>
    <row r="132" spans="1:21" hidden="1">
      <c r="A132" s="842" t="s">
        <v>1424</v>
      </c>
      <c r="B132" s="842" t="str">
        <f t="shared" si="15"/>
        <v>6</v>
      </c>
      <c r="C132" s="842" t="str">
        <f t="shared" si="16"/>
        <v>62</v>
      </c>
      <c r="D132" s="842" t="str">
        <f t="shared" si="17"/>
        <v>621</v>
      </c>
      <c r="E132" s="842" t="str">
        <f t="shared" si="18"/>
        <v>6212</v>
      </c>
      <c r="G132" s="842" t="s">
        <v>1640</v>
      </c>
      <c r="H132" s="846"/>
      <c r="I132" s="846">
        <v>-31800</v>
      </c>
      <c r="J132" s="846">
        <v>-760000</v>
      </c>
      <c r="K132" s="846">
        <v>-75000</v>
      </c>
      <c r="L132" s="846">
        <v>-12000</v>
      </c>
      <c r="M132" s="846">
        <v>-67000</v>
      </c>
      <c r="N132" s="846">
        <v>-19000</v>
      </c>
      <c r="O132" s="846"/>
      <c r="P132" s="846">
        <v>-10000</v>
      </c>
      <c r="Q132" s="846"/>
      <c r="R132" s="846">
        <v>-136200</v>
      </c>
      <c r="S132" s="846">
        <v>40000</v>
      </c>
      <c r="T132" s="846"/>
      <c r="U132" s="846">
        <f t="shared" si="14"/>
        <v>-1071000</v>
      </c>
    </row>
    <row r="133" spans="1:21" hidden="1">
      <c r="A133" s="842" t="s">
        <v>1425</v>
      </c>
      <c r="B133" s="842" t="str">
        <f t="shared" si="15"/>
        <v>6</v>
      </c>
      <c r="C133" s="842" t="str">
        <f t="shared" si="16"/>
        <v>62</v>
      </c>
      <c r="D133" s="842" t="str">
        <f t="shared" si="17"/>
        <v>621</v>
      </c>
      <c r="E133" s="842" t="str">
        <f t="shared" si="18"/>
        <v>6212</v>
      </c>
      <c r="G133" s="842" t="s">
        <v>1641</v>
      </c>
      <c r="H133" s="846"/>
      <c r="I133" s="846">
        <v>-36000</v>
      </c>
      <c r="J133" s="846"/>
      <c r="K133" s="846"/>
      <c r="L133" s="846"/>
      <c r="M133" s="846"/>
      <c r="N133" s="846"/>
      <c r="O133" s="846"/>
      <c r="P133" s="846"/>
      <c r="Q133" s="846"/>
      <c r="R133" s="846"/>
      <c r="S133" s="846"/>
      <c r="T133" s="846">
        <v>-100000</v>
      </c>
      <c r="U133" s="846">
        <f t="shared" ref="U133:U164" si="19">SUM(H133:T133)</f>
        <v>-136000</v>
      </c>
    </row>
    <row r="134" spans="1:21" hidden="1">
      <c r="A134" s="842" t="s">
        <v>1642</v>
      </c>
      <c r="B134" s="842" t="str">
        <f t="shared" si="15"/>
        <v>6</v>
      </c>
      <c r="C134" s="842" t="str">
        <f t="shared" si="16"/>
        <v>62</v>
      </c>
      <c r="D134" s="842" t="str">
        <f t="shared" si="17"/>
        <v>621</v>
      </c>
      <c r="E134" s="842" t="str">
        <f t="shared" si="18"/>
        <v>6212</v>
      </c>
      <c r="G134" s="842" t="s">
        <v>1643</v>
      </c>
      <c r="H134" s="846"/>
      <c r="I134" s="846"/>
      <c r="J134" s="846">
        <v>-150000</v>
      </c>
      <c r="K134" s="846"/>
      <c r="L134" s="846"/>
      <c r="M134" s="846"/>
      <c r="N134" s="846"/>
      <c r="O134" s="846"/>
      <c r="P134" s="846"/>
      <c r="Q134" s="846"/>
      <c r="R134" s="846"/>
      <c r="S134" s="846"/>
      <c r="T134" s="846">
        <v>-170000</v>
      </c>
      <c r="U134" s="846">
        <f t="shared" si="19"/>
        <v>-320000</v>
      </c>
    </row>
    <row r="135" spans="1:21" hidden="1">
      <c r="A135" s="842" t="s">
        <v>1426</v>
      </c>
      <c r="B135" s="842" t="str">
        <f t="shared" si="15"/>
        <v>6</v>
      </c>
      <c r="C135" s="842" t="str">
        <f t="shared" si="16"/>
        <v>62</v>
      </c>
      <c r="D135" s="842" t="str">
        <f t="shared" si="17"/>
        <v>622</v>
      </c>
      <c r="E135" s="842" t="str">
        <f t="shared" si="18"/>
        <v>6223</v>
      </c>
      <c r="G135" s="842" t="s">
        <v>1644</v>
      </c>
      <c r="H135" s="846"/>
      <c r="I135" s="846"/>
      <c r="J135" s="846"/>
      <c r="K135" s="846"/>
      <c r="L135" s="846">
        <v>-1750000</v>
      </c>
      <c r="M135" s="846">
        <v>-2625000</v>
      </c>
      <c r="N135" s="846">
        <v>-250000</v>
      </c>
      <c r="O135" s="846"/>
      <c r="P135" s="846">
        <v>-750000</v>
      </c>
      <c r="Q135" s="846">
        <v>750000</v>
      </c>
      <c r="R135" s="846">
        <v>-2125000</v>
      </c>
      <c r="S135" s="846"/>
      <c r="T135" s="846">
        <v>-2750000</v>
      </c>
      <c r="U135" s="846">
        <f t="shared" si="19"/>
        <v>-9500000</v>
      </c>
    </row>
    <row r="136" spans="1:21" hidden="1">
      <c r="A136" s="842" t="s">
        <v>1645</v>
      </c>
      <c r="B136" s="842" t="str">
        <f t="shared" si="15"/>
        <v>6</v>
      </c>
      <c r="C136" s="842" t="str">
        <f t="shared" si="16"/>
        <v>62</v>
      </c>
      <c r="D136" s="842" t="str">
        <f t="shared" si="17"/>
        <v>622</v>
      </c>
      <c r="E136" s="842" t="str">
        <f t="shared" si="18"/>
        <v>6226</v>
      </c>
      <c r="G136" s="842" t="s">
        <v>1646</v>
      </c>
      <c r="H136" s="846"/>
      <c r="I136" s="846"/>
      <c r="J136" s="846"/>
      <c r="K136" s="846"/>
      <c r="L136" s="846"/>
      <c r="M136" s="846"/>
      <c r="N136" s="846"/>
      <c r="O136" s="846">
        <v>-8000000</v>
      </c>
      <c r="P136" s="846">
        <v>8000000</v>
      </c>
      <c r="Q136" s="846"/>
      <c r="R136" s="846"/>
      <c r="S136" s="846"/>
      <c r="T136" s="846">
        <v>-13000000</v>
      </c>
      <c r="U136" s="846">
        <f t="shared" si="19"/>
        <v>-13000000</v>
      </c>
    </row>
    <row r="137" spans="1:21" hidden="1">
      <c r="A137" s="842" t="s">
        <v>1427</v>
      </c>
      <c r="B137" s="842" t="str">
        <f t="shared" si="15"/>
        <v>6</v>
      </c>
      <c r="C137" s="842" t="str">
        <f t="shared" si="16"/>
        <v>62</v>
      </c>
      <c r="D137" s="842" t="str">
        <f t="shared" si="17"/>
        <v>622</v>
      </c>
      <c r="E137" s="842" t="str">
        <f t="shared" si="18"/>
        <v>6226</v>
      </c>
      <c r="G137" s="842" t="s">
        <v>1647</v>
      </c>
      <c r="H137" s="846"/>
      <c r="I137" s="846"/>
      <c r="J137" s="846"/>
      <c r="K137" s="846"/>
      <c r="L137" s="846"/>
      <c r="M137" s="846"/>
      <c r="N137" s="846"/>
      <c r="O137" s="846"/>
      <c r="P137" s="846"/>
      <c r="Q137" s="846">
        <v>-11844453.199999999</v>
      </c>
      <c r="R137" s="846">
        <v>11103996.4</v>
      </c>
      <c r="S137" s="846">
        <v>4206.9699999988079</v>
      </c>
      <c r="T137" s="846">
        <v>-4202.8499999996275</v>
      </c>
      <c r="U137" s="846">
        <f t="shared" si="19"/>
        <v>-740452.6799999997</v>
      </c>
    </row>
    <row r="138" spans="1:21" hidden="1">
      <c r="A138" s="842" t="s">
        <v>1428</v>
      </c>
      <c r="B138" s="842" t="str">
        <f t="shared" si="15"/>
        <v>6</v>
      </c>
      <c r="C138" s="842" t="str">
        <f t="shared" si="16"/>
        <v>62</v>
      </c>
      <c r="D138" s="842" t="str">
        <f t="shared" si="17"/>
        <v>622</v>
      </c>
      <c r="E138" s="842" t="str">
        <f t="shared" si="18"/>
        <v>6226</v>
      </c>
      <c r="G138" s="842" t="s">
        <v>1648</v>
      </c>
      <c r="H138" s="846"/>
      <c r="I138" s="846">
        <v>-4298194.32</v>
      </c>
      <c r="J138" s="846">
        <v>-3050796.62</v>
      </c>
      <c r="K138" s="846">
        <v>-5045992.18</v>
      </c>
      <c r="L138" s="846">
        <v>-6260034.9500000002</v>
      </c>
      <c r="M138" s="846">
        <v>-5046781.7299999995</v>
      </c>
      <c r="N138" s="846">
        <v>-5596185.4700000007</v>
      </c>
      <c r="O138" s="846">
        <v>-8517450.3000000007</v>
      </c>
      <c r="P138" s="846">
        <v>-19684498.880000003</v>
      </c>
      <c r="Q138" s="846">
        <v>-14680944.34</v>
      </c>
      <c r="R138" s="846"/>
      <c r="S138" s="846">
        <v>-2804401.06</v>
      </c>
      <c r="T138" s="846">
        <v>-813833.67</v>
      </c>
      <c r="U138" s="846">
        <f t="shared" si="19"/>
        <v>-75799113.520000011</v>
      </c>
    </row>
    <row r="139" spans="1:21" hidden="1">
      <c r="A139" s="842" t="s">
        <v>1429</v>
      </c>
      <c r="B139" s="842" t="str">
        <f t="shared" si="15"/>
        <v>6</v>
      </c>
      <c r="C139" s="842" t="str">
        <f t="shared" si="16"/>
        <v>62</v>
      </c>
      <c r="D139" s="842" t="str">
        <f t="shared" si="17"/>
        <v>622</v>
      </c>
      <c r="E139" s="842" t="str">
        <f t="shared" si="18"/>
        <v>6226</v>
      </c>
      <c r="G139" s="842" t="s">
        <v>1649</v>
      </c>
      <c r="H139" s="846"/>
      <c r="I139" s="846">
        <v>-329511.30000000005</v>
      </c>
      <c r="J139" s="846">
        <v>-6649355.0800000001</v>
      </c>
      <c r="K139" s="846">
        <v>-319987</v>
      </c>
      <c r="L139" s="846">
        <v>-430412.1</v>
      </c>
      <c r="M139" s="846">
        <v>-518849.85</v>
      </c>
      <c r="N139" s="846">
        <v>-849704.99999999988</v>
      </c>
      <c r="O139" s="846">
        <v>-229987.6</v>
      </c>
      <c r="P139" s="846">
        <v>-533149.65</v>
      </c>
      <c r="Q139" s="846">
        <v>-647452.39999999991</v>
      </c>
      <c r="R139" s="846">
        <v>-261658.5</v>
      </c>
      <c r="S139" s="846"/>
      <c r="T139" s="846">
        <v>-117212.1</v>
      </c>
      <c r="U139" s="846">
        <f t="shared" si="19"/>
        <v>-10887280.579999998</v>
      </c>
    </row>
    <row r="140" spans="1:21" hidden="1">
      <c r="A140" s="842" t="s">
        <v>1430</v>
      </c>
      <c r="B140" s="842" t="str">
        <f t="shared" si="15"/>
        <v>6</v>
      </c>
      <c r="C140" s="842" t="str">
        <f t="shared" si="16"/>
        <v>62</v>
      </c>
      <c r="D140" s="842" t="str">
        <f t="shared" si="17"/>
        <v>622</v>
      </c>
      <c r="E140" s="842" t="str">
        <f t="shared" si="18"/>
        <v>6226</v>
      </c>
      <c r="G140" s="842" t="s">
        <v>1650</v>
      </c>
      <c r="H140" s="846"/>
      <c r="I140" s="846"/>
      <c r="J140" s="846"/>
      <c r="K140" s="846"/>
      <c r="L140" s="846">
        <v>-5685460.0700000003</v>
      </c>
      <c r="M140" s="846">
        <v>-8679701.209999999</v>
      </c>
      <c r="N140" s="846">
        <v>-2456945.8099999996</v>
      </c>
      <c r="O140" s="846"/>
      <c r="P140" s="846">
        <v>-2600000</v>
      </c>
      <c r="Q140" s="846">
        <v>2600000</v>
      </c>
      <c r="R140" s="846">
        <v>-7322058.3600000003</v>
      </c>
      <c r="S140" s="846"/>
      <c r="T140" s="846">
        <v>-24610021.389999997</v>
      </c>
      <c r="U140" s="846">
        <f t="shared" si="19"/>
        <v>-48754186.839999996</v>
      </c>
    </row>
    <row r="141" spans="1:21" hidden="1">
      <c r="A141" s="842" t="s">
        <v>1431</v>
      </c>
      <c r="B141" s="842" t="str">
        <f t="shared" si="15"/>
        <v>6</v>
      </c>
      <c r="C141" s="842" t="str">
        <f t="shared" si="16"/>
        <v>62</v>
      </c>
      <c r="D141" s="842" t="str">
        <f t="shared" si="17"/>
        <v>622</v>
      </c>
      <c r="E141" s="842" t="str">
        <f t="shared" si="18"/>
        <v>6226</v>
      </c>
      <c r="G141" s="842" t="s">
        <v>1651</v>
      </c>
      <c r="H141" s="846"/>
      <c r="I141" s="846">
        <v>-460000</v>
      </c>
      <c r="J141" s="846">
        <v>-890000</v>
      </c>
      <c r="K141" s="846">
        <v>-480000</v>
      </c>
      <c r="L141" s="846">
        <v>-2260000</v>
      </c>
      <c r="M141" s="846">
        <v>-3390000</v>
      </c>
      <c r="N141" s="846">
        <v>-950000</v>
      </c>
      <c r="O141" s="846">
        <v>-2320000</v>
      </c>
      <c r="P141" s="846">
        <v>-1700000</v>
      </c>
      <c r="Q141" s="846">
        <v>-4336000</v>
      </c>
      <c r="R141" s="846">
        <v>-8190000</v>
      </c>
      <c r="S141" s="846">
        <v>-1580000</v>
      </c>
      <c r="T141" s="846">
        <v>-1780000</v>
      </c>
      <c r="U141" s="846">
        <f t="shared" si="19"/>
        <v>-28336000</v>
      </c>
    </row>
    <row r="142" spans="1:21" hidden="1">
      <c r="A142" s="842" t="s">
        <v>1652</v>
      </c>
      <c r="B142" s="842" t="str">
        <f t="shared" si="15"/>
        <v>6</v>
      </c>
      <c r="C142" s="842" t="str">
        <f t="shared" si="16"/>
        <v>62</v>
      </c>
      <c r="D142" s="842" t="str">
        <f t="shared" si="17"/>
        <v>623</v>
      </c>
      <c r="E142" s="842" t="str">
        <f t="shared" si="18"/>
        <v>6231</v>
      </c>
      <c r="G142" s="842" t="s">
        <v>1653</v>
      </c>
      <c r="H142" s="846"/>
      <c r="I142" s="846"/>
      <c r="J142" s="846"/>
      <c r="K142" s="846"/>
      <c r="L142" s="846">
        <v>-467200</v>
      </c>
      <c r="M142" s="846">
        <v>-2023099</v>
      </c>
      <c r="N142" s="846"/>
      <c r="O142" s="846"/>
      <c r="P142" s="846"/>
      <c r="Q142" s="846"/>
      <c r="R142" s="846"/>
      <c r="S142" s="846"/>
      <c r="T142" s="846"/>
      <c r="U142" s="846">
        <f t="shared" si="19"/>
        <v>-2490299</v>
      </c>
    </row>
    <row r="143" spans="1:21" hidden="1">
      <c r="A143" s="842" t="s">
        <v>1432</v>
      </c>
      <c r="B143" s="842" t="str">
        <f t="shared" si="15"/>
        <v>6</v>
      </c>
      <c r="C143" s="842" t="str">
        <f t="shared" si="16"/>
        <v>62</v>
      </c>
      <c r="D143" s="842" t="str">
        <f t="shared" si="17"/>
        <v>624</v>
      </c>
      <c r="E143" s="842" t="str">
        <f t="shared" si="18"/>
        <v>6240</v>
      </c>
      <c r="G143" s="842" t="s">
        <v>1654</v>
      </c>
      <c r="H143" s="846"/>
      <c r="I143" s="846">
        <v>-653381.1</v>
      </c>
      <c r="J143" s="846">
        <v>-412721.6</v>
      </c>
      <c r="K143" s="846">
        <v>-588465.80000000005</v>
      </c>
      <c r="L143" s="846">
        <v>-130160.8</v>
      </c>
      <c r="M143" s="846">
        <v>-306121.59999999998</v>
      </c>
      <c r="N143" s="846">
        <v>-407293.27</v>
      </c>
      <c r="O143" s="846">
        <v>-906044.8</v>
      </c>
      <c r="P143" s="846">
        <v>-304984.59999999998</v>
      </c>
      <c r="Q143" s="846">
        <v>-149782.40000000002</v>
      </c>
      <c r="R143" s="846">
        <v>-351898.6</v>
      </c>
      <c r="S143" s="846">
        <v>-327182.02999999997</v>
      </c>
      <c r="T143" s="846">
        <v>-48543</v>
      </c>
      <c r="U143" s="846">
        <f t="shared" si="19"/>
        <v>-4586579.5999999996</v>
      </c>
    </row>
    <row r="144" spans="1:21" hidden="1">
      <c r="A144" s="842" t="s">
        <v>1655</v>
      </c>
      <c r="B144" s="842" t="str">
        <f t="shared" si="15"/>
        <v>6</v>
      </c>
      <c r="C144" s="842" t="str">
        <f t="shared" si="16"/>
        <v>62</v>
      </c>
      <c r="D144" s="842" t="str">
        <f t="shared" si="17"/>
        <v>624</v>
      </c>
      <c r="E144" s="842" t="str">
        <f t="shared" si="18"/>
        <v>6241</v>
      </c>
      <c r="G144" s="842" t="s">
        <v>1656</v>
      </c>
      <c r="H144" s="846"/>
      <c r="I144" s="846">
        <v>-3550000</v>
      </c>
      <c r="J144" s="846">
        <v>-2820000</v>
      </c>
      <c r="K144" s="846"/>
      <c r="L144" s="846"/>
      <c r="M144" s="846"/>
      <c r="N144" s="846"/>
      <c r="O144" s="846"/>
      <c r="P144" s="846">
        <v>-5550000</v>
      </c>
      <c r="Q144" s="846"/>
      <c r="R144" s="846"/>
      <c r="S144" s="846"/>
      <c r="T144" s="846"/>
      <c r="U144" s="846">
        <f t="shared" si="19"/>
        <v>-11920000</v>
      </c>
    </row>
    <row r="145" spans="1:21" hidden="1">
      <c r="A145" s="842" t="s">
        <v>1433</v>
      </c>
      <c r="B145" s="842" t="str">
        <f t="shared" si="15"/>
        <v>6</v>
      </c>
      <c r="C145" s="842" t="str">
        <f t="shared" si="16"/>
        <v>62</v>
      </c>
      <c r="D145" s="842" t="str">
        <f t="shared" si="17"/>
        <v>624</v>
      </c>
      <c r="E145" s="842" t="str">
        <f t="shared" si="18"/>
        <v>6242</v>
      </c>
      <c r="G145" s="842" t="s">
        <v>1657</v>
      </c>
      <c r="H145" s="846"/>
      <c r="I145" s="846">
        <v>-13722800</v>
      </c>
      <c r="J145" s="846">
        <v>-5500000</v>
      </c>
      <c r="K145" s="846">
        <v>-3894666.67</v>
      </c>
      <c r="L145" s="846">
        <v>-4065250</v>
      </c>
      <c r="M145" s="846">
        <v>-89290760.020000011</v>
      </c>
      <c r="N145" s="846">
        <v>-46526175</v>
      </c>
      <c r="O145" s="846">
        <v>13896226.66</v>
      </c>
      <c r="P145" s="846">
        <v>-17346666.66</v>
      </c>
      <c r="Q145" s="846">
        <v>16033333.33</v>
      </c>
      <c r="R145" s="846"/>
      <c r="S145" s="846"/>
      <c r="T145" s="846">
        <v>-14733333.329999998</v>
      </c>
      <c r="U145" s="846">
        <f t="shared" si="19"/>
        <v>-165150091.69</v>
      </c>
    </row>
    <row r="146" spans="1:21" hidden="1">
      <c r="A146" s="842" t="s">
        <v>1658</v>
      </c>
      <c r="B146" s="842" t="str">
        <f t="shared" si="15"/>
        <v>6</v>
      </c>
      <c r="C146" s="842" t="str">
        <f t="shared" si="16"/>
        <v>62</v>
      </c>
      <c r="D146" s="842" t="str">
        <f t="shared" si="17"/>
        <v>624</v>
      </c>
      <c r="E146" s="842" t="str">
        <f t="shared" si="18"/>
        <v>6242</v>
      </c>
      <c r="G146" s="842" t="s">
        <v>1659</v>
      </c>
      <c r="H146" s="846"/>
      <c r="I146" s="846"/>
      <c r="J146" s="846"/>
      <c r="K146" s="846">
        <v>-416666.67</v>
      </c>
      <c r="L146" s="846"/>
      <c r="M146" s="846"/>
      <c r="N146" s="846"/>
      <c r="O146" s="846"/>
      <c r="P146" s="846">
        <v>-65000</v>
      </c>
      <c r="Q146" s="846">
        <v>65000</v>
      </c>
      <c r="R146" s="846"/>
      <c r="S146" s="846"/>
      <c r="T146" s="846"/>
      <c r="U146" s="846">
        <f t="shared" si="19"/>
        <v>-416666.67</v>
      </c>
    </row>
    <row r="147" spans="1:21" hidden="1">
      <c r="A147" s="842" t="s">
        <v>1434</v>
      </c>
      <c r="B147" s="842" t="str">
        <f t="shared" si="15"/>
        <v>6</v>
      </c>
      <c r="C147" s="842" t="str">
        <f t="shared" si="16"/>
        <v>62</v>
      </c>
      <c r="D147" s="842" t="str">
        <f t="shared" si="17"/>
        <v>624</v>
      </c>
      <c r="E147" s="842" t="str">
        <f t="shared" si="18"/>
        <v>6245</v>
      </c>
      <c r="G147" s="842" t="s">
        <v>1660</v>
      </c>
      <c r="H147" s="846"/>
      <c r="I147" s="846"/>
      <c r="J147" s="846"/>
      <c r="K147" s="846"/>
      <c r="L147" s="846">
        <v>-1800000</v>
      </c>
      <c r="M147" s="846"/>
      <c r="N147" s="846"/>
      <c r="O147" s="846"/>
      <c r="P147" s="846"/>
      <c r="Q147" s="846"/>
      <c r="R147" s="846">
        <v>-1760000</v>
      </c>
      <c r="S147" s="846">
        <v>-131918.03</v>
      </c>
      <c r="T147" s="846"/>
      <c r="U147" s="846">
        <f t="shared" si="19"/>
        <v>-3691918.03</v>
      </c>
    </row>
    <row r="148" spans="1:21" hidden="1">
      <c r="A148" s="842" t="s">
        <v>1661</v>
      </c>
      <c r="B148" s="842" t="str">
        <f t="shared" si="15"/>
        <v>6</v>
      </c>
      <c r="C148" s="842" t="str">
        <f t="shared" si="16"/>
        <v>62</v>
      </c>
      <c r="D148" s="842" t="str">
        <f t="shared" si="17"/>
        <v>624</v>
      </c>
      <c r="E148" s="842" t="str">
        <f t="shared" si="18"/>
        <v>6246</v>
      </c>
      <c r="G148" s="842" t="s">
        <v>1662</v>
      </c>
      <c r="H148" s="846"/>
      <c r="I148" s="846"/>
      <c r="J148" s="846">
        <v>-40000</v>
      </c>
      <c r="K148" s="846"/>
      <c r="L148" s="846">
        <v>-60000</v>
      </c>
      <c r="M148" s="846"/>
      <c r="N148" s="846"/>
      <c r="O148" s="846"/>
      <c r="P148" s="846"/>
      <c r="Q148" s="846"/>
      <c r="R148" s="846"/>
      <c r="S148" s="846"/>
      <c r="T148" s="846"/>
      <c r="U148" s="846">
        <f t="shared" si="19"/>
        <v>-100000</v>
      </c>
    </row>
    <row r="149" spans="1:21" hidden="1">
      <c r="A149" s="842" t="s">
        <v>1435</v>
      </c>
      <c r="B149" s="842" t="str">
        <f t="shared" si="15"/>
        <v>6</v>
      </c>
      <c r="C149" s="842" t="str">
        <f t="shared" si="16"/>
        <v>62</v>
      </c>
      <c r="D149" s="842" t="str">
        <f t="shared" si="17"/>
        <v>625</v>
      </c>
      <c r="E149" s="842" t="str">
        <f t="shared" si="18"/>
        <v>6251</v>
      </c>
      <c r="G149" s="842" t="s">
        <v>1663</v>
      </c>
      <c r="H149" s="846"/>
      <c r="I149" s="846">
        <v>-75000</v>
      </c>
      <c r="J149" s="846">
        <v>-161200</v>
      </c>
      <c r="K149" s="846">
        <v>-146000</v>
      </c>
      <c r="L149" s="846">
        <v>-166000</v>
      </c>
      <c r="M149" s="846">
        <v>-387700</v>
      </c>
      <c r="N149" s="846">
        <v>33000</v>
      </c>
      <c r="O149" s="846">
        <v>-230600</v>
      </c>
      <c r="P149" s="846">
        <v>-359800</v>
      </c>
      <c r="Q149" s="846">
        <v>-194200</v>
      </c>
      <c r="R149" s="846">
        <v>-62000</v>
      </c>
      <c r="S149" s="846">
        <v>-46300</v>
      </c>
      <c r="T149" s="846">
        <v>-76000</v>
      </c>
      <c r="U149" s="846">
        <f t="shared" si="19"/>
        <v>-1871800</v>
      </c>
    </row>
    <row r="150" spans="1:21" hidden="1">
      <c r="A150" s="842" t="s">
        <v>1436</v>
      </c>
      <c r="B150" s="842" t="str">
        <f t="shared" si="15"/>
        <v>6</v>
      </c>
      <c r="C150" s="842" t="str">
        <f t="shared" si="16"/>
        <v>62</v>
      </c>
      <c r="D150" s="842" t="str">
        <f t="shared" si="17"/>
        <v>625</v>
      </c>
      <c r="E150" s="842" t="str">
        <f t="shared" si="18"/>
        <v>6251</v>
      </c>
      <c r="G150" s="842" t="s">
        <v>1664</v>
      </c>
      <c r="H150" s="846"/>
      <c r="I150" s="846"/>
      <c r="J150" s="846">
        <v>-560000</v>
      </c>
      <c r="K150" s="846">
        <v>-110000</v>
      </c>
      <c r="L150" s="846">
        <v>3000</v>
      </c>
      <c r="M150" s="846">
        <v>-99000</v>
      </c>
      <c r="N150" s="846">
        <v>67000</v>
      </c>
      <c r="O150" s="846">
        <v>-172000</v>
      </c>
      <c r="P150" s="846">
        <v>-1336500</v>
      </c>
      <c r="Q150" s="846">
        <v>-353700</v>
      </c>
      <c r="R150" s="846">
        <v>-180000</v>
      </c>
      <c r="S150" s="846">
        <v>-720500</v>
      </c>
      <c r="T150" s="846"/>
      <c r="U150" s="846">
        <f t="shared" si="19"/>
        <v>-3461700</v>
      </c>
    </row>
    <row r="151" spans="1:21" hidden="1">
      <c r="A151" s="842" t="s">
        <v>1437</v>
      </c>
      <c r="B151" s="842" t="str">
        <f t="shared" si="15"/>
        <v>6</v>
      </c>
      <c r="C151" s="842" t="str">
        <f t="shared" si="16"/>
        <v>62</v>
      </c>
      <c r="D151" s="842" t="str">
        <f t="shared" si="17"/>
        <v>625</v>
      </c>
      <c r="E151" s="842" t="str">
        <f t="shared" si="18"/>
        <v>6252</v>
      </c>
      <c r="G151" s="842" t="s">
        <v>1665</v>
      </c>
      <c r="H151" s="846"/>
      <c r="I151" s="846">
        <v>-2110500</v>
      </c>
      <c r="J151" s="846">
        <v>-2169000</v>
      </c>
      <c r="K151" s="846">
        <v>-2457000</v>
      </c>
      <c r="L151" s="846">
        <v>-331000</v>
      </c>
      <c r="M151" s="846">
        <v>-2690500</v>
      </c>
      <c r="N151" s="846">
        <v>-759000</v>
      </c>
      <c r="O151" s="846">
        <v>-2202000</v>
      </c>
      <c r="P151" s="846">
        <v>-1850000</v>
      </c>
      <c r="Q151" s="846">
        <v>-753000</v>
      </c>
      <c r="R151" s="846">
        <v>-1298000</v>
      </c>
      <c r="S151" s="846">
        <v>-1776000</v>
      </c>
      <c r="T151" s="846">
        <v>-3075500</v>
      </c>
      <c r="U151" s="846">
        <f t="shared" si="19"/>
        <v>-21471500</v>
      </c>
    </row>
    <row r="152" spans="1:21" hidden="1">
      <c r="A152" s="842" t="s">
        <v>1666</v>
      </c>
      <c r="B152" s="842" t="str">
        <f t="shared" si="15"/>
        <v>6</v>
      </c>
      <c r="C152" s="842" t="str">
        <f t="shared" si="16"/>
        <v>62</v>
      </c>
      <c r="D152" s="842" t="str">
        <f t="shared" si="17"/>
        <v>625</v>
      </c>
      <c r="E152" s="842" t="str">
        <f t="shared" si="18"/>
        <v>6253</v>
      </c>
      <c r="G152" s="842" t="s">
        <v>1667</v>
      </c>
      <c r="H152" s="846"/>
      <c r="I152" s="846">
        <v>-200000</v>
      </c>
      <c r="J152" s="846">
        <v>-94000</v>
      </c>
      <c r="K152" s="846"/>
      <c r="L152" s="846"/>
      <c r="M152" s="846">
        <v>-150000</v>
      </c>
      <c r="N152" s="846">
        <v>-2000</v>
      </c>
      <c r="O152" s="846"/>
      <c r="P152" s="846"/>
      <c r="Q152" s="846"/>
      <c r="R152" s="846"/>
      <c r="S152" s="846"/>
      <c r="T152" s="846"/>
      <c r="U152" s="846">
        <f t="shared" si="19"/>
        <v>-446000</v>
      </c>
    </row>
    <row r="153" spans="1:21" hidden="1">
      <c r="A153" s="842" t="s">
        <v>1668</v>
      </c>
      <c r="B153" s="842" t="str">
        <f t="shared" si="15"/>
        <v>6</v>
      </c>
      <c r="C153" s="842" t="str">
        <f t="shared" si="16"/>
        <v>62</v>
      </c>
      <c r="D153" s="842" t="str">
        <f t="shared" si="17"/>
        <v>626</v>
      </c>
      <c r="E153" s="842" t="str">
        <f t="shared" si="18"/>
        <v>6262</v>
      </c>
      <c r="G153" s="842" t="s">
        <v>1669</v>
      </c>
      <c r="H153" s="846"/>
      <c r="I153" s="846">
        <v>-26345</v>
      </c>
      <c r="J153" s="846">
        <v>-99345</v>
      </c>
      <c r="K153" s="846">
        <v>-146000</v>
      </c>
      <c r="L153" s="846">
        <v>-73000</v>
      </c>
      <c r="M153" s="846">
        <v>-73000</v>
      </c>
      <c r="N153" s="846">
        <v>-73000</v>
      </c>
      <c r="O153" s="846">
        <v>-73000</v>
      </c>
      <c r="P153" s="846">
        <v>-242000</v>
      </c>
      <c r="Q153" s="846">
        <v>37000</v>
      </c>
      <c r="R153" s="846">
        <v>-73000</v>
      </c>
      <c r="S153" s="846">
        <v>-73000</v>
      </c>
      <c r="T153" s="846">
        <v>-73000</v>
      </c>
      <c r="U153" s="846">
        <f t="shared" si="19"/>
        <v>-987690</v>
      </c>
    </row>
    <row r="154" spans="1:21" hidden="1">
      <c r="A154" s="842" t="s">
        <v>1670</v>
      </c>
      <c r="B154" s="842" t="str">
        <f t="shared" si="15"/>
        <v>6</v>
      </c>
      <c r="C154" s="842" t="str">
        <f t="shared" si="16"/>
        <v>62</v>
      </c>
      <c r="D154" s="842" t="str">
        <f t="shared" si="17"/>
        <v>626</v>
      </c>
      <c r="E154" s="842" t="str">
        <f t="shared" si="18"/>
        <v>6262</v>
      </c>
      <c r="G154" s="842" t="s">
        <v>1671</v>
      </c>
      <c r="H154" s="846"/>
      <c r="I154" s="846">
        <v>-10000</v>
      </c>
      <c r="J154" s="846">
        <v>-9000</v>
      </c>
      <c r="K154" s="846">
        <v>-6800</v>
      </c>
      <c r="L154" s="846">
        <v>-9000</v>
      </c>
      <c r="M154" s="846">
        <v>-17000</v>
      </c>
      <c r="N154" s="846">
        <v>7000</v>
      </c>
      <c r="O154" s="846">
        <v>-12000</v>
      </c>
      <c r="P154" s="846">
        <v>-16000</v>
      </c>
      <c r="Q154" s="846">
        <v>-14000</v>
      </c>
      <c r="R154" s="846">
        <v>-8000</v>
      </c>
      <c r="S154" s="846">
        <v>-54000</v>
      </c>
      <c r="T154" s="846">
        <v>-2000</v>
      </c>
      <c r="U154" s="846">
        <f t="shared" si="19"/>
        <v>-150800</v>
      </c>
    </row>
    <row r="155" spans="1:21" hidden="1">
      <c r="A155" s="842" t="s">
        <v>1672</v>
      </c>
      <c r="B155" s="842" t="str">
        <f t="shared" si="15"/>
        <v>6</v>
      </c>
      <c r="C155" s="842" t="str">
        <f t="shared" si="16"/>
        <v>62</v>
      </c>
      <c r="D155" s="842" t="str">
        <f t="shared" si="17"/>
        <v>626</v>
      </c>
      <c r="E155" s="842" t="str">
        <f t="shared" si="18"/>
        <v>6266</v>
      </c>
      <c r="G155" s="842" t="s">
        <v>1673</v>
      </c>
      <c r="H155" s="846"/>
      <c r="I155" s="846"/>
      <c r="J155" s="846"/>
      <c r="K155" s="846"/>
      <c r="L155" s="846">
        <v>-10000</v>
      </c>
      <c r="M155" s="846">
        <v>-10000</v>
      </c>
      <c r="N155" s="846">
        <v>10000</v>
      </c>
      <c r="O155" s="846"/>
      <c r="P155" s="846"/>
      <c r="Q155" s="846"/>
      <c r="R155" s="846"/>
      <c r="S155" s="846"/>
      <c r="T155" s="846"/>
      <c r="U155" s="846">
        <f t="shared" si="19"/>
        <v>-10000</v>
      </c>
    </row>
    <row r="156" spans="1:21" hidden="1">
      <c r="A156" s="842" t="s">
        <v>1674</v>
      </c>
      <c r="B156" s="842" t="str">
        <f t="shared" si="15"/>
        <v>6</v>
      </c>
      <c r="C156" s="842" t="str">
        <f t="shared" si="16"/>
        <v>62</v>
      </c>
      <c r="D156" s="842" t="str">
        <f t="shared" si="17"/>
        <v>626</v>
      </c>
      <c r="E156" s="842" t="str">
        <f t="shared" si="18"/>
        <v>6266</v>
      </c>
      <c r="G156" s="842" t="s">
        <v>1675</v>
      </c>
      <c r="H156" s="846"/>
      <c r="I156" s="846"/>
      <c r="J156" s="846">
        <v>-1500</v>
      </c>
      <c r="K156" s="846"/>
      <c r="L156" s="846">
        <v>-5500</v>
      </c>
      <c r="M156" s="846">
        <v>-5000</v>
      </c>
      <c r="N156" s="846">
        <v>5000</v>
      </c>
      <c r="O156" s="846"/>
      <c r="P156" s="846"/>
      <c r="Q156" s="846"/>
      <c r="R156" s="846"/>
      <c r="S156" s="846"/>
      <c r="T156" s="846"/>
      <c r="U156" s="846">
        <f t="shared" si="19"/>
        <v>-7000</v>
      </c>
    </row>
    <row r="157" spans="1:21" hidden="1">
      <c r="A157" s="842" t="s">
        <v>1438</v>
      </c>
      <c r="B157" s="842" t="str">
        <f t="shared" si="15"/>
        <v>6</v>
      </c>
      <c r="C157" s="842" t="str">
        <f t="shared" si="16"/>
        <v>62</v>
      </c>
      <c r="D157" s="842" t="str">
        <f t="shared" si="17"/>
        <v>626</v>
      </c>
      <c r="E157" s="842" t="str">
        <f t="shared" si="18"/>
        <v>6266</v>
      </c>
      <c r="G157" s="842" t="s">
        <v>1676</v>
      </c>
      <c r="H157" s="846"/>
      <c r="I157" s="846"/>
      <c r="J157" s="846"/>
      <c r="K157" s="846"/>
      <c r="L157" s="846"/>
      <c r="M157" s="846">
        <v>-500</v>
      </c>
      <c r="N157" s="846">
        <v>500</v>
      </c>
      <c r="O157" s="846"/>
      <c r="P157" s="846"/>
      <c r="Q157" s="846"/>
      <c r="R157" s="846"/>
      <c r="S157" s="846"/>
      <c r="T157" s="846"/>
      <c r="U157" s="846">
        <f t="shared" si="19"/>
        <v>0</v>
      </c>
    </row>
    <row r="158" spans="1:21" hidden="1">
      <c r="A158" s="842" t="s">
        <v>1677</v>
      </c>
      <c r="B158" s="842" t="str">
        <f t="shared" si="15"/>
        <v>6</v>
      </c>
      <c r="C158" s="842" t="str">
        <f t="shared" si="16"/>
        <v>62</v>
      </c>
      <c r="D158" s="842" t="str">
        <f t="shared" si="17"/>
        <v>626</v>
      </c>
      <c r="E158" s="842" t="str">
        <f t="shared" si="18"/>
        <v>6267</v>
      </c>
      <c r="G158" s="842" t="s">
        <v>1678</v>
      </c>
      <c r="H158" s="846"/>
      <c r="I158" s="846">
        <v>-71250</v>
      </c>
      <c r="J158" s="846">
        <v>-156750</v>
      </c>
      <c r="K158" s="846">
        <v>0</v>
      </c>
      <c r="L158" s="846">
        <v>-156750</v>
      </c>
      <c r="M158" s="846">
        <v>0</v>
      </c>
      <c r="N158" s="846">
        <v>-71250</v>
      </c>
      <c r="O158" s="846">
        <v>-71250</v>
      </c>
      <c r="P158" s="846">
        <v>-71250</v>
      </c>
      <c r="Q158" s="846">
        <v>-71250</v>
      </c>
      <c r="R158" s="846">
        <v>-71250</v>
      </c>
      <c r="S158" s="846">
        <v>0</v>
      </c>
      <c r="T158" s="846">
        <v>-142500</v>
      </c>
      <c r="U158" s="846">
        <f t="shared" si="19"/>
        <v>-883500</v>
      </c>
    </row>
    <row r="159" spans="1:21" hidden="1">
      <c r="A159" s="842" t="s">
        <v>1439</v>
      </c>
      <c r="B159" s="842" t="str">
        <f t="shared" si="15"/>
        <v>6</v>
      </c>
      <c r="C159" s="842" t="str">
        <f t="shared" si="16"/>
        <v>62</v>
      </c>
      <c r="D159" s="842" t="str">
        <f t="shared" si="17"/>
        <v>626</v>
      </c>
      <c r="E159" s="842" t="str">
        <f t="shared" si="18"/>
        <v>6267</v>
      </c>
      <c r="G159" s="842" t="s">
        <v>1679</v>
      </c>
      <c r="H159" s="846"/>
      <c r="I159" s="846">
        <v>-9600</v>
      </c>
      <c r="J159" s="846">
        <v>-12000</v>
      </c>
      <c r="K159" s="846">
        <v>-7200</v>
      </c>
      <c r="L159" s="846"/>
      <c r="M159" s="846">
        <v>-1000</v>
      </c>
      <c r="N159" s="846"/>
      <c r="O159" s="846"/>
      <c r="P159" s="846"/>
      <c r="Q159" s="846"/>
      <c r="R159" s="846"/>
      <c r="S159" s="846"/>
      <c r="T159" s="846"/>
      <c r="U159" s="846">
        <f t="shared" si="19"/>
        <v>-29800</v>
      </c>
    </row>
    <row r="160" spans="1:21" hidden="1">
      <c r="A160" s="842" t="s">
        <v>1440</v>
      </c>
      <c r="B160" s="842" t="str">
        <f t="shared" si="15"/>
        <v>6</v>
      </c>
      <c r="C160" s="842" t="str">
        <f t="shared" si="16"/>
        <v>62</v>
      </c>
      <c r="D160" s="842" t="str">
        <f t="shared" si="17"/>
        <v>626</v>
      </c>
      <c r="E160" s="842" t="str">
        <f t="shared" si="18"/>
        <v>6268</v>
      </c>
      <c r="G160" s="842" t="s">
        <v>1680</v>
      </c>
      <c r="H160" s="846"/>
      <c r="I160" s="846">
        <v>-183333</v>
      </c>
      <c r="J160" s="846">
        <v>-183333</v>
      </c>
      <c r="K160" s="846">
        <v>-183333</v>
      </c>
      <c r="L160" s="846">
        <v>-183333</v>
      </c>
      <c r="M160" s="846">
        <v>-357916.81</v>
      </c>
      <c r="N160" s="846">
        <v>-766666.98</v>
      </c>
      <c r="O160" s="846">
        <v>-184000.01</v>
      </c>
      <c r="P160" s="846">
        <v>-887166.67999999993</v>
      </c>
      <c r="Q160" s="846">
        <v>-241666.66000000003</v>
      </c>
      <c r="R160" s="846">
        <v>-363333.33</v>
      </c>
      <c r="S160" s="846">
        <v>96666.669999999984</v>
      </c>
      <c r="T160" s="846">
        <v>-724999.66</v>
      </c>
      <c r="U160" s="846">
        <f t="shared" si="19"/>
        <v>-4162415.4600000004</v>
      </c>
    </row>
    <row r="161" spans="1:21" hidden="1">
      <c r="A161" s="842" t="s">
        <v>1441</v>
      </c>
      <c r="B161" s="842" t="str">
        <f t="shared" si="15"/>
        <v>6</v>
      </c>
      <c r="C161" s="842" t="str">
        <f t="shared" si="16"/>
        <v>62</v>
      </c>
      <c r="D161" s="842" t="str">
        <f t="shared" si="17"/>
        <v>627</v>
      </c>
      <c r="E161" s="842" t="str">
        <f t="shared" si="18"/>
        <v>6274</v>
      </c>
      <c r="G161" s="842" t="s">
        <v>1681</v>
      </c>
      <c r="H161" s="846"/>
      <c r="I161" s="846">
        <v>-942803.51</v>
      </c>
      <c r="J161" s="846">
        <v>-837028.75</v>
      </c>
      <c r="K161" s="846">
        <v>-1531604.1300000001</v>
      </c>
      <c r="L161" s="846">
        <v>-1165716.6299999999</v>
      </c>
      <c r="M161" s="846">
        <v>-2103650.0100000002</v>
      </c>
      <c r="N161" s="846">
        <v>-1870255.1799999995</v>
      </c>
      <c r="O161" s="846">
        <v>-1186255.49</v>
      </c>
      <c r="P161" s="846">
        <v>-2661969.1700000004</v>
      </c>
      <c r="Q161" s="846">
        <v>-2214399.2200000002</v>
      </c>
      <c r="R161" s="846">
        <v>-1697894.0699999998</v>
      </c>
      <c r="S161" s="846">
        <v>-592754.98</v>
      </c>
      <c r="T161" s="846">
        <v>-941414.65</v>
      </c>
      <c r="U161" s="846">
        <f t="shared" si="19"/>
        <v>-17745745.789999999</v>
      </c>
    </row>
    <row r="162" spans="1:21" hidden="1">
      <c r="A162" s="842" t="s">
        <v>1442</v>
      </c>
      <c r="B162" s="842" t="str">
        <f t="shared" si="15"/>
        <v>6</v>
      </c>
      <c r="C162" s="842" t="str">
        <f t="shared" si="16"/>
        <v>62</v>
      </c>
      <c r="D162" s="842" t="str">
        <f t="shared" si="17"/>
        <v>627</v>
      </c>
      <c r="E162" s="842" t="str">
        <f t="shared" si="18"/>
        <v>6276</v>
      </c>
      <c r="G162" s="842" t="s">
        <v>1682</v>
      </c>
      <c r="H162" s="846"/>
      <c r="I162" s="846"/>
      <c r="J162" s="846">
        <v>-193499.22</v>
      </c>
      <c r="K162" s="846"/>
      <c r="L162" s="846">
        <v>-885836.72999999986</v>
      </c>
      <c r="M162" s="846">
        <v>-656696.15999999992</v>
      </c>
      <c r="N162" s="846">
        <v>-470729.37</v>
      </c>
      <c r="O162" s="846">
        <v>-831058.9</v>
      </c>
      <c r="P162" s="846">
        <v>-2312692.6</v>
      </c>
      <c r="Q162" s="846">
        <v>-1531183.21</v>
      </c>
      <c r="R162" s="846">
        <v>-3150557.4299999997</v>
      </c>
      <c r="S162" s="846">
        <v>-583966.32000000007</v>
      </c>
      <c r="T162" s="846"/>
      <c r="U162" s="846">
        <f t="shared" si="19"/>
        <v>-10616219.940000001</v>
      </c>
    </row>
    <row r="163" spans="1:21" hidden="1">
      <c r="A163" s="842" t="s">
        <v>1443</v>
      </c>
      <c r="B163" s="842" t="str">
        <f t="shared" si="15"/>
        <v>6</v>
      </c>
      <c r="C163" s="842" t="str">
        <f t="shared" si="16"/>
        <v>62</v>
      </c>
      <c r="D163" s="842" t="str">
        <f t="shared" si="17"/>
        <v>627</v>
      </c>
      <c r="E163" s="842" t="str">
        <f t="shared" si="18"/>
        <v>6279</v>
      </c>
      <c r="G163" s="842" t="s">
        <v>1683</v>
      </c>
      <c r="H163" s="846"/>
      <c r="I163" s="846"/>
      <c r="J163" s="846"/>
      <c r="K163" s="846"/>
      <c r="L163" s="846"/>
      <c r="M163" s="846"/>
      <c r="N163" s="846"/>
      <c r="O163" s="846"/>
      <c r="P163" s="846"/>
      <c r="Q163" s="846"/>
      <c r="R163" s="846"/>
      <c r="S163" s="846">
        <v>-16500</v>
      </c>
      <c r="T163" s="846"/>
      <c r="U163" s="846">
        <f t="shared" si="19"/>
        <v>-16500</v>
      </c>
    </row>
    <row r="164" spans="1:21" hidden="1">
      <c r="A164" s="842" t="s">
        <v>1444</v>
      </c>
      <c r="B164" s="842" t="str">
        <f t="shared" si="15"/>
        <v>6</v>
      </c>
      <c r="C164" s="842" t="str">
        <f t="shared" si="16"/>
        <v>62</v>
      </c>
      <c r="D164" s="842" t="str">
        <f t="shared" si="17"/>
        <v>628</v>
      </c>
      <c r="E164" s="842" t="str">
        <f t="shared" si="18"/>
        <v>6281</v>
      </c>
      <c r="G164" s="842" t="s">
        <v>1684</v>
      </c>
      <c r="H164" s="846"/>
      <c r="I164" s="846">
        <v>-887040</v>
      </c>
      <c r="J164" s="846"/>
      <c r="K164" s="846"/>
      <c r="L164" s="846"/>
      <c r="M164" s="846">
        <v>-26034512</v>
      </c>
      <c r="N164" s="846"/>
      <c r="O164" s="846"/>
      <c r="P164" s="846"/>
      <c r="Q164" s="846"/>
      <c r="R164" s="846">
        <v>-2553600</v>
      </c>
      <c r="S164" s="846"/>
      <c r="T164" s="846">
        <v>-25553499</v>
      </c>
      <c r="U164" s="846">
        <f t="shared" si="19"/>
        <v>-55028651</v>
      </c>
    </row>
    <row r="165" spans="1:21" hidden="1">
      <c r="A165" s="842" t="s">
        <v>1685</v>
      </c>
      <c r="B165" s="842" t="str">
        <f t="shared" si="15"/>
        <v>6</v>
      </c>
      <c r="C165" s="842" t="str">
        <f t="shared" si="16"/>
        <v>62</v>
      </c>
      <c r="D165" s="842" t="str">
        <f t="shared" si="17"/>
        <v>628</v>
      </c>
      <c r="E165" s="842" t="str">
        <f t="shared" si="18"/>
        <v>6281</v>
      </c>
      <c r="G165" s="842" t="s">
        <v>1686</v>
      </c>
      <c r="H165" s="846"/>
      <c r="I165" s="846">
        <v>-380160</v>
      </c>
      <c r="J165" s="846"/>
      <c r="K165" s="846"/>
      <c r="L165" s="846"/>
      <c r="M165" s="846">
        <v>-11157648</v>
      </c>
      <c r="N165" s="846">
        <v>-2112000</v>
      </c>
      <c r="O165" s="846"/>
      <c r="P165" s="846"/>
      <c r="Q165" s="846"/>
      <c r="R165" s="846">
        <v>-1094400</v>
      </c>
      <c r="S165" s="846"/>
      <c r="T165" s="846">
        <v>-10951500</v>
      </c>
      <c r="U165" s="846">
        <f t="shared" ref="U165:U196" si="20">SUM(H165:T165)</f>
        <v>-25695708</v>
      </c>
    </row>
    <row r="166" spans="1:21" hidden="1">
      <c r="A166" s="842" t="s">
        <v>1687</v>
      </c>
      <c r="B166" s="842" t="str">
        <f t="shared" si="15"/>
        <v>6</v>
      </c>
      <c r="C166" s="842" t="str">
        <f t="shared" si="16"/>
        <v>62</v>
      </c>
      <c r="D166" s="842" t="str">
        <f t="shared" si="17"/>
        <v>628</v>
      </c>
      <c r="E166" s="842" t="str">
        <f t="shared" si="18"/>
        <v>6281</v>
      </c>
      <c r="G166" s="842" t="s">
        <v>1688</v>
      </c>
      <c r="H166" s="846"/>
      <c r="I166" s="846"/>
      <c r="J166" s="846"/>
      <c r="K166" s="846">
        <v>-110000</v>
      </c>
      <c r="L166" s="846"/>
      <c r="M166" s="846"/>
      <c r="N166" s="846">
        <v>-470000</v>
      </c>
      <c r="O166" s="846"/>
      <c r="P166" s="846"/>
      <c r="Q166" s="846"/>
      <c r="R166" s="846"/>
      <c r="S166" s="846"/>
      <c r="T166" s="846">
        <v>-20000</v>
      </c>
      <c r="U166" s="846">
        <f t="shared" si="20"/>
        <v>-600000</v>
      </c>
    </row>
    <row r="167" spans="1:21" hidden="1">
      <c r="A167" s="842" t="s">
        <v>1689</v>
      </c>
      <c r="B167" s="842" t="str">
        <f t="shared" si="15"/>
        <v>6</v>
      </c>
      <c r="C167" s="842" t="str">
        <f t="shared" si="16"/>
        <v>62</v>
      </c>
      <c r="D167" s="842" t="str">
        <f t="shared" si="17"/>
        <v>628</v>
      </c>
      <c r="E167" s="842" t="str">
        <f t="shared" si="18"/>
        <v>6288</v>
      </c>
      <c r="G167" s="842" t="s">
        <v>1690</v>
      </c>
      <c r="H167" s="846"/>
      <c r="I167" s="846">
        <v>-210000</v>
      </c>
      <c r="J167" s="846">
        <v>-510000</v>
      </c>
      <c r="K167" s="846">
        <v>-30000</v>
      </c>
      <c r="L167" s="846"/>
      <c r="M167" s="846"/>
      <c r="N167" s="846">
        <v>-6600</v>
      </c>
      <c r="O167" s="846">
        <v>-11200</v>
      </c>
      <c r="P167" s="846">
        <v>-4200</v>
      </c>
      <c r="Q167" s="846"/>
      <c r="R167" s="846"/>
      <c r="S167" s="846"/>
      <c r="T167" s="846">
        <v>-152100</v>
      </c>
      <c r="U167" s="846">
        <f t="shared" si="20"/>
        <v>-924100</v>
      </c>
    </row>
    <row r="168" spans="1:21" hidden="1">
      <c r="A168" s="842" t="s">
        <v>1691</v>
      </c>
      <c r="B168" s="842" t="str">
        <f t="shared" si="15"/>
        <v>6</v>
      </c>
      <c r="C168" s="842" t="str">
        <f t="shared" si="16"/>
        <v>63</v>
      </c>
      <c r="D168" s="842" t="str">
        <f t="shared" si="17"/>
        <v>631</v>
      </c>
      <c r="E168" s="842" t="str">
        <f t="shared" si="18"/>
        <v>6313</v>
      </c>
      <c r="G168" s="842" t="s">
        <v>1692</v>
      </c>
      <c r="H168" s="846"/>
      <c r="I168" s="846">
        <v>-1725000</v>
      </c>
      <c r="J168" s="846">
        <v>-1725000</v>
      </c>
      <c r="K168" s="846">
        <v>-1725000</v>
      </c>
      <c r="L168" s="846">
        <v>-1725000</v>
      </c>
      <c r="M168" s="846">
        <v>-1725000</v>
      </c>
      <c r="N168" s="846">
        <v>-1725000</v>
      </c>
      <c r="O168" s="846">
        <v>-1725000</v>
      </c>
      <c r="P168" s="846"/>
      <c r="Q168" s="846"/>
      <c r="R168" s="846"/>
      <c r="S168" s="846"/>
      <c r="T168" s="846">
        <v>12075000</v>
      </c>
      <c r="U168" s="846">
        <f t="shared" si="20"/>
        <v>0</v>
      </c>
    </row>
    <row r="169" spans="1:21" hidden="1">
      <c r="A169" s="842" t="s">
        <v>1445</v>
      </c>
      <c r="B169" s="842" t="str">
        <f t="shared" si="15"/>
        <v>6</v>
      </c>
      <c r="C169" s="842" t="str">
        <f t="shared" si="16"/>
        <v>63</v>
      </c>
      <c r="D169" s="842" t="str">
        <f t="shared" si="17"/>
        <v>635</v>
      </c>
      <c r="E169" s="842" t="str">
        <f t="shared" si="18"/>
        <v>6352</v>
      </c>
      <c r="G169" s="842" t="s">
        <v>1693</v>
      </c>
      <c r="H169" s="846"/>
      <c r="I169" s="846"/>
      <c r="J169" s="846">
        <v>-30000</v>
      </c>
      <c r="K169" s="846">
        <v>-170000</v>
      </c>
      <c r="L169" s="846">
        <v>-112800</v>
      </c>
      <c r="M169" s="846">
        <v>-5000</v>
      </c>
      <c r="N169" s="846">
        <v>-35000</v>
      </c>
      <c r="O169" s="846">
        <v>-163000</v>
      </c>
      <c r="P169" s="846">
        <v>-82500</v>
      </c>
      <c r="Q169" s="846">
        <v>-64000</v>
      </c>
      <c r="R169" s="846">
        <v>-5000</v>
      </c>
      <c r="S169" s="846"/>
      <c r="T169" s="846"/>
      <c r="U169" s="846">
        <f t="shared" si="20"/>
        <v>-667300</v>
      </c>
    </row>
    <row r="170" spans="1:21" hidden="1">
      <c r="A170" s="842" t="s">
        <v>1446</v>
      </c>
      <c r="B170" s="842" t="str">
        <f t="shared" si="15"/>
        <v>6</v>
      </c>
      <c r="C170" s="842" t="str">
        <f t="shared" si="16"/>
        <v>63</v>
      </c>
      <c r="D170" s="842" t="str">
        <f t="shared" si="17"/>
        <v>635</v>
      </c>
      <c r="E170" s="842" t="str">
        <f t="shared" si="18"/>
        <v>6352</v>
      </c>
      <c r="G170" s="842" t="s">
        <v>1694</v>
      </c>
      <c r="H170" s="846"/>
      <c r="I170" s="846">
        <v>-453440</v>
      </c>
      <c r="J170" s="846">
        <v>-300000</v>
      </c>
      <c r="K170" s="846">
        <v>-454000</v>
      </c>
      <c r="L170" s="846">
        <v>-660000</v>
      </c>
      <c r="M170" s="846">
        <v>-353600</v>
      </c>
      <c r="N170" s="846">
        <v>-331200</v>
      </c>
      <c r="O170" s="846">
        <v>-115200</v>
      </c>
      <c r="P170" s="846">
        <v>-2363400</v>
      </c>
      <c r="Q170" s="846">
        <v>-441200</v>
      </c>
      <c r="R170" s="846">
        <v>-776000</v>
      </c>
      <c r="S170" s="846"/>
      <c r="T170" s="846">
        <v>-200000</v>
      </c>
      <c r="U170" s="846">
        <f t="shared" si="20"/>
        <v>-6448040</v>
      </c>
    </row>
    <row r="171" spans="1:21" hidden="1">
      <c r="A171" s="842" t="s">
        <v>1447</v>
      </c>
      <c r="B171" s="842" t="str">
        <f t="shared" si="15"/>
        <v>6</v>
      </c>
      <c r="C171" s="842" t="str">
        <f t="shared" si="16"/>
        <v>63</v>
      </c>
      <c r="D171" s="842" t="str">
        <f t="shared" si="17"/>
        <v>635</v>
      </c>
      <c r="E171" s="842" t="str">
        <f t="shared" si="18"/>
        <v>6352</v>
      </c>
      <c r="G171" s="842" t="s">
        <v>1695</v>
      </c>
      <c r="H171" s="846"/>
      <c r="I171" s="846"/>
      <c r="J171" s="846"/>
      <c r="K171" s="846">
        <v>-49200</v>
      </c>
      <c r="L171" s="846">
        <v>-70800</v>
      </c>
      <c r="M171" s="846">
        <v>-120000</v>
      </c>
      <c r="N171" s="846">
        <v>120000</v>
      </c>
      <c r="O171" s="846"/>
      <c r="P171" s="846"/>
      <c r="Q171" s="846"/>
      <c r="R171" s="846"/>
      <c r="S171" s="846"/>
      <c r="T171" s="846"/>
      <c r="U171" s="846">
        <f t="shared" si="20"/>
        <v>-120000</v>
      </c>
    </row>
    <row r="172" spans="1:21" hidden="1">
      <c r="A172" s="842" t="s">
        <v>1448</v>
      </c>
      <c r="B172" s="842" t="str">
        <f t="shared" si="15"/>
        <v>6</v>
      </c>
      <c r="C172" s="842" t="str">
        <f t="shared" si="16"/>
        <v>63</v>
      </c>
      <c r="D172" s="842" t="str">
        <f t="shared" si="17"/>
        <v>635</v>
      </c>
      <c r="E172" s="842" t="str">
        <f t="shared" si="18"/>
        <v>6353</v>
      </c>
      <c r="G172" s="842" t="s">
        <v>1696</v>
      </c>
      <c r="H172" s="846"/>
      <c r="I172" s="846">
        <v>-12000</v>
      </c>
      <c r="J172" s="846"/>
      <c r="K172" s="846"/>
      <c r="L172" s="846">
        <v>-8000</v>
      </c>
      <c r="M172" s="846"/>
      <c r="N172" s="846"/>
      <c r="O172" s="846"/>
      <c r="P172" s="846">
        <v>-6000</v>
      </c>
      <c r="Q172" s="846"/>
      <c r="R172" s="846"/>
      <c r="S172" s="846"/>
      <c r="T172" s="846"/>
      <c r="U172" s="846">
        <f t="shared" si="20"/>
        <v>-26000</v>
      </c>
    </row>
    <row r="173" spans="1:21" hidden="1">
      <c r="A173" s="842" t="s">
        <v>1449</v>
      </c>
      <c r="B173" s="842" t="str">
        <f t="shared" si="15"/>
        <v>6</v>
      </c>
      <c r="C173" s="842" t="str">
        <f t="shared" si="16"/>
        <v>63</v>
      </c>
      <c r="D173" s="842" t="str">
        <f t="shared" si="17"/>
        <v>635</v>
      </c>
      <c r="E173" s="842" t="str">
        <f t="shared" si="18"/>
        <v>6354</v>
      </c>
      <c r="G173" s="842" t="s">
        <v>1697</v>
      </c>
      <c r="H173" s="846"/>
      <c r="I173" s="846"/>
      <c r="J173" s="846"/>
      <c r="K173" s="846">
        <v>-2008219</v>
      </c>
      <c r="L173" s="846"/>
      <c r="M173" s="846"/>
      <c r="N173" s="846"/>
      <c r="O173" s="846"/>
      <c r="P173" s="846"/>
      <c r="Q173" s="846"/>
      <c r="R173" s="846"/>
      <c r="S173" s="846"/>
      <c r="T173" s="846">
        <v>-91781</v>
      </c>
      <c r="U173" s="846">
        <f t="shared" si="20"/>
        <v>-2100000</v>
      </c>
    </row>
    <row r="174" spans="1:21" hidden="1">
      <c r="A174" s="842" t="s">
        <v>1450</v>
      </c>
      <c r="B174" s="842" t="str">
        <f t="shared" si="15"/>
        <v>6</v>
      </c>
      <c r="C174" s="842" t="str">
        <f t="shared" si="16"/>
        <v>63</v>
      </c>
      <c r="D174" s="842" t="str">
        <f t="shared" si="17"/>
        <v>635</v>
      </c>
      <c r="E174" s="842" t="str">
        <f t="shared" si="18"/>
        <v>6355</v>
      </c>
      <c r="G174" s="842" t="s">
        <v>1698</v>
      </c>
      <c r="H174" s="846"/>
      <c r="I174" s="846"/>
      <c r="J174" s="846"/>
      <c r="K174" s="846">
        <v>-44208000</v>
      </c>
      <c r="L174" s="846"/>
      <c r="M174" s="846"/>
      <c r="N174" s="846"/>
      <c r="O174" s="846"/>
      <c r="P174" s="846"/>
      <c r="Q174" s="846"/>
      <c r="R174" s="846"/>
      <c r="S174" s="846"/>
      <c r="T174" s="846"/>
      <c r="U174" s="846">
        <f t="shared" si="20"/>
        <v>-44208000</v>
      </c>
    </row>
    <row r="175" spans="1:21" hidden="1">
      <c r="A175" s="842" t="s">
        <v>1451</v>
      </c>
      <c r="B175" s="842" t="str">
        <f t="shared" si="15"/>
        <v>6</v>
      </c>
      <c r="C175" s="842" t="str">
        <f t="shared" si="16"/>
        <v>64</v>
      </c>
      <c r="D175" s="842" t="str">
        <f t="shared" si="17"/>
        <v>641</v>
      </c>
      <c r="E175" s="842" t="str">
        <f t="shared" si="18"/>
        <v>6410</v>
      </c>
      <c r="G175" s="842" t="s">
        <v>1699</v>
      </c>
      <c r="H175" s="846"/>
      <c r="I175" s="846">
        <v>-50591364.489999995</v>
      </c>
      <c r="J175" s="846">
        <v>-34986811.039999999</v>
      </c>
      <c r="K175" s="846">
        <v>-31934424.48</v>
      </c>
      <c r="L175" s="846">
        <v>-35326938.390000001</v>
      </c>
      <c r="M175" s="846">
        <v>-20418587.449999999</v>
      </c>
      <c r="N175" s="846">
        <v>-38495763.590000004</v>
      </c>
      <c r="O175" s="846">
        <v>-36549608.740000002</v>
      </c>
      <c r="P175" s="846">
        <v>-78869952.530000001</v>
      </c>
      <c r="Q175" s="846">
        <v>-75152750.049999997</v>
      </c>
      <c r="R175" s="846">
        <v>-37829574.329999998</v>
      </c>
      <c r="S175" s="846">
        <v>-23596966.039999999</v>
      </c>
      <c r="T175" s="846">
        <v>-37785528.200000003</v>
      </c>
      <c r="U175" s="846">
        <f t="shared" si="20"/>
        <v>-501538269.33000004</v>
      </c>
    </row>
    <row r="176" spans="1:21" hidden="1">
      <c r="A176" s="842" t="s">
        <v>1452</v>
      </c>
      <c r="B176" s="842" t="str">
        <f t="shared" si="15"/>
        <v>6</v>
      </c>
      <c r="C176" s="842" t="str">
        <f t="shared" si="16"/>
        <v>64</v>
      </c>
      <c r="D176" s="842" t="str">
        <f t="shared" si="17"/>
        <v>641</v>
      </c>
      <c r="E176" s="842" t="str">
        <f t="shared" si="18"/>
        <v>6411</v>
      </c>
      <c r="G176" s="842" t="s">
        <v>1700</v>
      </c>
      <c r="H176" s="846"/>
      <c r="I176" s="846">
        <v>-1136882.3799999999</v>
      </c>
      <c r="J176" s="846">
        <v>-441483.67</v>
      </c>
      <c r="K176" s="846">
        <v>-347973.68</v>
      </c>
      <c r="L176" s="846">
        <v>-835901.25</v>
      </c>
      <c r="M176" s="846">
        <v>-1418074.39</v>
      </c>
      <c r="N176" s="846">
        <v>-603319.93000000005</v>
      </c>
      <c r="O176" s="846">
        <v>-916593.48</v>
      </c>
      <c r="P176" s="846">
        <v>-2377660.4700000002</v>
      </c>
      <c r="Q176" s="846">
        <v>-1475293.19</v>
      </c>
      <c r="R176" s="846"/>
      <c r="S176" s="846">
        <v>-256893.06</v>
      </c>
      <c r="T176" s="846">
        <v>-101725.51</v>
      </c>
      <c r="U176" s="846">
        <f t="shared" si="20"/>
        <v>-9911801.0099999998</v>
      </c>
    </row>
    <row r="177" spans="1:21" hidden="1">
      <c r="A177" s="842" t="s">
        <v>1453</v>
      </c>
      <c r="B177" s="842" t="str">
        <f t="shared" si="15"/>
        <v>6</v>
      </c>
      <c r="C177" s="842" t="str">
        <f t="shared" si="16"/>
        <v>64</v>
      </c>
      <c r="D177" s="842" t="str">
        <f t="shared" si="17"/>
        <v>641</v>
      </c>
      <c r="E177" s="842" t="str">
        <f t="shared" si="18"/>
        <v>6411</v>
      </c>
      <c r="G177" s="842" t="s">
        <v>1701</v>
      </c>
      <c r="H177" s="846"/>
      <c r="I177" s="846">
        <v>299284.90000000002</v>
      </c>
      <c r="J177" s="846">
        <v>113914.76000000001</v>
      </c>
      <c r="K177" s="846">
        <v>177593.65</v>
      </c>
      <c r="L177" s="846">
        <v>738580.08</v>
      </c>
      <c r="M177" s="846"/>
      <c r="N177" s="846"/>
      <c r="O177" s="846"/>
      <c r="P177" s="846"/>
      <c r="Q177" s="846"/>
      <c r="R177" s="846"/>
      <c r="S177" s="846"/>
      <c r="T177" s="846"/>
      <c r="U177" s="846">
        <f t="shared" si="20"/>
        <v>1329373.3900000001</v>
      </c>
    </row>
    <row r="178" spans="1:21" hidden="1">
      <c r="A178" s="842" t="s">
        <v>1454</v>
      </c>
      <c r="B178" s="842" t="str">
        <f t="shared" si="15"/>
        <v>6</v>
      </c>
      <c r="C178" s="842" t="str">
        <f t="shared" si="16"/>
        <v>64</v>
      </c>
      <c r="D178" s="842" t="str">
        <f t="shared" si="17"/>
        <v>641</v>
      </c>
      <c r="E178" s="842" t="str">
        <f t="shared" si="18"/>
        <v>6412</v>
      </c>
      <c r="G178" s="842" t="s">
        <v>1702</v>
      </c>
      <c r="H178" s="846"/>
      <c r="I178" s="846"/>
      <c r="J178" s="846"/>
      <c r="K178" s="846"/>
      <c r="L178" s="846"/>
      <c r="M178" s="846"/>
      <c r="N178" s="846"/>
      <c r="O178" s="846"/>
      <c r="P178" s="846"/>
      <c r="Q178" s="846"/>
      <c r="R178" s="846"/>
      <c r="S178" s="846"/>
      <c r="T178" s="846">
        <v>-2426236.049999997</v>
      </c>
      <c r="U178" s="846">
        <f t="shared" si="20"/>
        <v>-2426236.049999997</v>
      </c>
    </row>
    <row r="179" spans="1:21" hidden="1">
      <c r="A179" s="842" t="s">
        <v>1455</v>
      </c>
      <c r="B179" s="842" t="str">
        <f t="shared" si="15"/>
        <v>6</v>
      </c>
      <c r="C179" s="842" t="str">
        <f t="shared" si="16"/>
        <v>64</v>
      </c>
      <c r="D179" s="842" t="str">
        <f t="shared" si="17"/>
        <v>641</v>
      </c>
      <c r="E179" s="842" t="str">
        <f t="shared" si="18"/>
        <v>6413</v>
      </c>
      <c r="G179" s="842" t="s">
        <v>1703</v>
      </c>
      <c r="H179" s="846"/>
      <c r="I179" s="846">
        <v>-474251.99</v>
      </c>
      <c r="J179" s="846">
        <v>-327465</v>
      </c>
      <c r="K179" s="846">
        <v>-306808.99</v>
      </c>
      <c r="L179" s="846">
        <v>-301936</v>
      </c>
      <c r="M179" s="846">
        <v>-360047</v>
      </c>
      <c r="N179" s="846">
        <v>-354413.99</v>
      </c>
      <c r="O179" s="846">
        <v>-328568.01</v>
      </c>
      <c r="P179" s="846">
        <v>-743360.01</v>
      </c>
      <c r="Q179" s="846">
        <v>-704218</v>
      </c>
      <c r="R179" s="846">
        <v>-150000</v>
      </c>
      <c r="S179" s="846">
        <v>-263759.01</v>
      </c>
      <c r="T179" s="846">
        <v>-549000</v>
      </c>
      <c r="U179" s="846">
        <f t="shared" si="20"/>
        <v>-4863827.9999999991</v>
      </c>
    </row>
    <row r="180" spans="1:21" hidden="1">
      <c r="A180" s="842" t="s">
        <v>1456</v>
      </c>
      <c r="B180" s="842" t="str">
        <f t="shared" si="15"/>
        <v>6</v>
      </c>
      <c r="C180" s="842" t="str">
        <f t="shared" si="16"/>
        <v>64</v>
      </c>
      <c r="D180" s="842" t="str">
        <f t="shared" si="17"/>
        <v>645</v>
      </c>
      <c r="E180" s="842" t="str">
        <f t="shared" si="18"/>
        <v>6451</v>
      </c>
      <c r="G180" s="842" t="s">
        <v>1704</v>
      </c>
      <c r="H180" s="846"/>
      <c r="I180" s="846">
        <v>-2388085.16</v>
      </c>
      <c r="J180" s="846">
        <v>-1839513.88</v>
      </c>
      <c r="K180" s="846">
        <v>-2012887.46</v>
      </c>
      <c r="L180" s="846">
        <v>-2142556.13</v>
      </c>
      <c r="M180" s="846">
        <v>-2209273.9500000002</v>
      </c>
      <c r="N180" s="846">
        <v>-2210635.2399999998</v>
      </c>
      <c r="O180" s="846">
        <v>-2148584.8600000003</v>
      </c>
      <c r="P180" s="846">
        <v>-2407798.2400000002</v>
      </c>
      <c r="Q180" s="846">
        <v>-2222484.79</v>
      </c>
      <c r="R180" s="846">
        <v>-2010284.37</v>
      </c>
      <c r="S180" s="846">
        <v>-2055044.06</v>
      </c>
      <c r="T180" s="846">
        <v>-2501179.17</v>
      </c>
      <c r="U180" s="846">
        <f t="shared" si="20"/>
        <v>-26148327.310000002</v>
      </c>
    </row>
    <row r="181" spans="1:21" hidden="1">
      <c r="A181" s="842" t="s">
        <v>1457</v>
      </c>
      <c r="B181" s="842" t="str">
        <f t="shared" si="15"/>
        <v>6</v>
      </c>
      <c r="C181" s="842" t="str">
        <f t="shared" si="16"/>
        <v>64</v>
      </c>
      <c r="D181" s="842" t="str">
        <f t="shared" si="17"/>
        <v>645</v>
      </c>
      <c r="E181" s="842" t="str">
        <f t="shared" si="18"/>
        <v>6452</v>
      </c>
      <c r="G181" s="842" t="s">
        <v>1705</v>
      </c>
      <c r="H181" s="846"/>
      <c r="I181" s="846">
        <v>-505873.04</v>
      </c>
      <c r="J181" s="846">
        <v>-501156.09</v>
      </c>
      <c r="K181" s="846">
        <v>-558562.77</v>
      </c>
      <c r="L181" s="846">
        <v>-594586.43000000005</v>
      </c>
      <c r="M181" s="846">
        <v>-617999.54</v>
      </c>
      <c r="N181" s="846">
        <v>-607388.32999999996</v>
      </c>
      <c r="O181" s="846">
        <v>-596747.80000000005</v>
      </c>
      <c r="P181" s="846">
        <v>-684871.53</v>
      </c>
      <c r="Q181" s="846">
        <v>-636511.34</v>
      </c>
      <c r="R181" s="846">
        <v>-532462.23</v>
      </c>
      <c r="S181" s="846">
        <v>-556126.14</v>
      </c>
      <c r="T181" s="846">
        <v>-612432.6</v>
      </c>
      <c r="U181" s="846">
        <f t="shared" si="20"/>
        <v>-7004717.8399999989</v>
      </c>
    </row>
    <row r="182" spans="1:21" hidden="1">
      <c r="A182" s="842" t="s">
        <v>1458</v>
      </c>
      <c r="B182" s="842" t="str">
        <f t="shared" si="15"/>
        <v>6</v>
      </c>
      <c r="C182" s="842" t="str">
        <f t="shared" si="16"/>
        <v>65</v>
      </c>
      <c r="D182" s="842" t="str">
        <f t="shared" si="17"/>
        <v>656</v>
      </c>
      <c r="E182" s="842" t="str">
        <f t="shared" si="18"/>
        <v>6561</v>
      </c>
      <c r="G182" s="842" t="s">
        <v>1706</v>
      </c>
      <c r="H182" s="846"/>
      <c r="I182" s="846">
        <v>-612000</v>
      </c>
      <c r="J182" s="846"/>
      <c r="K182" s="846"/>
      <c r="L182" s="846">
        <v>-204000</v>
      </c>
      <c r="M182" s="846"/>
      <c r="N182" s="846"/>
      <c r="O182" s="846"/>
      <c r="P182" s="846"/>
      <c r="Q182" s="846"/>
      <c r="R182" s="846"/>
      <c r="S182" s="846"/>
      <c r="T182" s="846"/>
      <c r="U182" s="846">
        <f t="shared" si="20"/>
        <v>-816000</v>
      </c>
    </row>
    <row r="183" spans="1:21" hidden="1">
      <c r="A183" s="842" t="s">
        <v>1459</v>
      </c>
      <c r="B183" s="842" t="str">
        <f t="shared" si="15"/>
        <v>6</v>
      </c>
      <c r="C183" s="842" t="str">
        <f t="shared" si="16"/>
        <v>65</v>
      </c>
      <c r="D183" s="842" t="str">
        <f t="shared" si="17"/>
        <v>656</v>
      </c>
      <c r="E183" s="842" t="str">
        <f t="shared" si="18"/>
        <v>6563</v>
      </c>
      <c r="G183" s="842" t="s">
        <v>1707</v>
      </c>
      <c r="H183" s="846"/>
      <c r="I183" s="846">
        <v>-150000</v>
      </c>
      <c r="J183" s="846"/>
      <c r="K183" s="846">
        <v>-2143400</v>
      </c>
      <c r="L183" s="846"/>
      <c r="M183" s="846"/>
      <c r="N183" s="846">
        <v>-1000000</v>
      </c>
      <c r="O183" s="846">
        <v>48000</v>
      </c>
      <c r="P183" s="846"/>
      <c r="Q183" s="846"/>
      <c r="R183" s="846"/>
      <c r="S183" s="846"/>
      <c r="T183" s="846">
        <v>-336400</v>
      </c>
      <c r="U183" s="846">
        <f t="shared" si="20"/>
        <v>-3581800</v>
      </c>
    </row>
    <row r="184" spans="1:21" hidden="1">
      <c r="A184" s="842" t="s">
        <v>1460</v>
      </c>
      <c r="B184" s="842" t="str">
        <f t="shared" si="15"/>
        <v>6</v>
      </c>
      <c r="C184" s="842" t="str">
        <f t="shared" si="16"/>
        <v>65</v>
      </c>
      <c r="D184" s="842" t="str">
        <f t="shared" si="17"/>
        <v>658</v>
      </c>
      <c r="E184" s="842" t="str">
        <f t="shared" si="18"/>
        <v>6580</v>
      </c>
      <c r="G184" s="842" t="s">
        <v>1708</v>
      </c>
      <c r="H184" s="846"/>
      <c r="I184" s="846">
        <v>-708539.62000000011</v>
      </c>
      <c r="J184" s="846">
        <v>-250112.14</v>
      </c>
      <c r="K184" s="846">
        <v>-590000.4</v>
      </c>
      <c r="L184" s="846">
        <v>-1227689.0899999999</v>
      </c>
      <c r="M184" s="846">
        <v>-890006</v>
      </c>
      <c r="N184" s="846">
        <v>-4553739.92</v>
      </c>
      <c r="O184" s="846">
        <v>-4665333.45</v>
      </c>
      <c r="P184" s="846">
        <v>-1103626.06</v>
      </c>
      <c r="Q184" s="846">
        <v>-248582.84</v>
      </c>
      <c r="R184" s="846">
        <v>-115006.06</v>
      </c>
      <c r="S184" s="846">
        <v>-307153</v>
      </c>
      <c r="T184" s="846">
        <v>-11805036.279999999</v>
      </c>
      <c r="U184" s="846">
        <f t="shared" si="20"/>
        <v>-26464824.859999999</v>
      </c>
    </row>
    <row r="185" spans="1:21" hidden="1">
      <c r="A185" s="842" t="s">
        <v>1461</v>
      </c>
      <c r="B185" s="842" t="str">
        <f t="shared" si="15"/>
        <v>6</v>
      </c>
      <c r="C185" s="842" t="str">
        <f t="shared" si="16"/>
        <v>65</v>
      </c>
      <c r="D185" s="842" t="str">
        <f t="shared" si="17"/>
        <v>658</v>
      </c>
      <c r="E185" s="842" t="str">
        <f t="shared" si="18"/>
        <v>6581</v>
      </c>
      <c r="G185" s="842" t="s">
        <v>1709</v>
      </c>
      <c r="H185" s="846"/>
      <c r="I185" s="846"/>
      <c r="J185" s="846"/>
      <c r="K185" s="846"/>
      <c r="L185" s="846"/>
      <c r="M185" s="846"/>
      <c r="N185" s="846"/>
      <c r="O185" s="846"/>
      <c r="P185" s="846">
        <v>-2415000</v>
      </c>
      <c r="Q185" s="846">
        <v>-555000</v>
      </c>
      <c r="R185" s="846">
        <v>-53100</v>
      </c>
      <c r="S185" s="846">
        <v>-1800000</v>
      </c>
      <c r="T185" s="846"/>
      <c r="U185" s="846">
        <f t="shared" si="20"/>
        <v>-4823100</v>
      </c>
    </row>
    <row r="186" spans="1:21" hidden="1">
      <c r="A186" s="842" t="s">
        <v>1462</v>
      </c>
      <c r="B186" s="842" t="str">
        <f t="shared" si="15"/>
        <v>6</v>
      </c>
      <c r="C186" s="842" t="str">
        <f t="shared" si="16"/>
        <v>65</v>
      </c>
      <c r="D186" s="842" t="str">
        <f t="shared" si="17"/>
        <v>658</v>
      </c>
      <c r="E186" s="842" t="str">
        <f t="shared" si="18"/>
        <v>6581</v>
      </c>
      <c r="G186" s="842" t="s">
        <v>1710</v>
      </c>
      <c r="H186" s="846"/>
      <c r="I186" s="846">
        <v>-128500</v>
      </c>
      <c r="J186" s="846">
        <v>-83000</v>
      </c>
      <c r="K186" s="846">
        <v>-165000</v>
      </c>
      <c r="L186" s="846">
        <v>-249500</v>
      </c>
      <c r="M186" s="846">
        <v>-465000</v>
      </c>
      <c r="N186" s="846">
        <v>213500</v>
      </c>
      <c r="O186" s="846">
        <v>-158500</v>
      </c>
      <c r="P186" s="846">
        <v>-45000</v>
      </c>
      <c r="Q186" s="846">
        <v>-170000</v>
      </c>
      <c r="R186" s="846">
        <v>-322893</v>
      </c>
      <c r="S186" s="846">
        <v>-600000</v>
      </c>
      <c r="T186" s="846">
        <v>-15000</v>
      </c>
      <c r="U186" s="846">
        <f t="shared" si="20"/>
        <v>-2188893</v>
      </c>
    </row>
    <row r="187" spans="1:21" hidden="1">
      <c r="A187" s="842" t="s">
        <v>1463</v>
      </c>
      <c r="B187" s="842" t="str">
        <f t="shared" si="15"/>
        <v>6</v>
      </c>
      <c r="C187" s="842" t="str">
        <f t="shared" si="16"/>
        <v>66</v>
      </c>
      <c r="D187" s="842" t="str">
        <f t="shared" si="17"/>
        <v>661</v>
      </c>
      <c r="E187" s="842" t="str">
        <f t="shared" si="18"/>
        <v>6613</v>
      </c>
      <c r="G187" s="842" t="s">
        <v>1711</v>
      </c>
      <c r="H187" s="846"/>
      <c r="I187" s="846"/>
      <c r="J187" s="846"/>
      <c r="K187" s="846">
        <v>-7467247.8899999997</v>
      </c>
      <c r="L187" s="846"/>
      <c r="M187" s="846"/>
      <c r="N187" s="846">
        <v>-8916429.8000000007</v>
      </c>
      <c r="O187" s="846"/>
      <c r="P187" s="846">
        <v>-200</v>
      </c>
      <c r="Q187" s="846">
        <v>-9210522.0499999989</v>
      </c>
      <c r="R187" s="846"/>
      <c r="S187" s="846"/>
      <c r="T187" s="846">
        <v>-8908860.7699999996</v>
      </c>
      <c r="U187" s="846">
        <f t="shared" si="20"/>
        <v>-34503260.510000005</v>
      </c>
    </row>
    <row r="188" spans="1:21" hidden="1">
      <c r="A188" s="842" t="s">
        <v>1464</v>
      </c>
      <c r="B188" s="842" t="str">
        <f t="shared" si="15"/>
        <v>6</v>
      </c>
      <c r="C188" s="842" t="str">
        <f t="shared" si="16"/>
        <v>66</v>
      </c>
      <c r="D188" s="842" t="str">
        <f t="shared" si="17"/>
        <v>666</v>
      </c>
      <c r="E188" s="842" t="str">
        <f t="shared" si="18"/>
        <v>6660</v>
      </c>
      <c r="G188" s="842" t="s">
        <v>1712</v>
      </c>
      <c r="H188" s="846"/>
      <c r="I188" s="846"/>
      <c r="J188" s="846">
        <v>-694855.52</v>
      </c>
      <c r="K188" s="846"/>
      <c r="L188" s="846">
        <v>-202679.64</v>
      </c>
      <c r="M188" s="846">
        <v>-3014923.3099999996</v>
      </c>
      <c r="N188" s="846"/>
      <c r="O188" s="846">
        <v>-2027307.35</v>
      </c>
      <c r="P188" s="846">
        <v>-7865640.7400000002</v>
      </c>
      <c r="Q188" s="846">
        <v>-626400</v>
      </c>
      <c r="R188" s="846">
        <v>-2016969</v>
      </c>
      <c r="S188" s="846"/>
      <c r="T188" s="846">
        <v>-3135305</v>
      </c>
      <c r="U188" s="846">
        <f t="shared" si="20"/>
        <v>-19584080.560000002</v>
      </c>
    </row>
    <row r="189" spans="1:21" hidden="1">
      <c r="A189" s="842" t="s">
        <v>1465</v>
      </c>
      <c r="B189" s="842" t="str">
        <f t="shared" ref="B189:B200" si="21">+LEFT(A189,1)</f>
        <v>6</v>
      </c>
      <c r="C189" s="842" t="str">
        <f t="shared" ref="C189:C200" si="22">+LEFT(A189,2)</f>
        <v>68</v>
      </c>
      <c r="D189" s="842" t="str">
        <f t="shared" ref="D189:D200" si="23">+LEFT(A189,3)</f>
        <v>681</v>
      </c>
      <c r="E189" s="842" t="str">
        <f t="shared" ref="E189:E200" si="24">+LEFT(A189,4)</f>
        <v>6818</v>
      </c>
      <c r="G189" s="842" t="s">
        <v>1713</v>
      </c>
      <c r="H189" s="846"/>
      <c r="I189" s="846">
        <v>-228556.33</v>
      </c>
      <c r="J189" s="846">
        <v>-228556.33</v>
      </c>
      <c r="K189" s="846">
        <v>-228556.33</v>
      </c>
      <c r="L189" s="846">
        <v>-228556.33</v>
      </c>
      <c r="M189" s="846">
        <v>-228556.33</v>
      </c>
      <c r="N189" s="846">
        <v>-228556.33</v>
      </c>
      <c r="O189" s="846">
        <v>-228556.33</v>
      </c>
      <c r="P189" s="846">
        <v>-228556.33</v>
      </c>
      <c r="Q189" s="846">
        <v>-228556.33</v>
      </c>
      <c r="R189" s="846">
        <v>-228556.33</v>
      </c>
      <c r="S189" s="846">
        <v>-228556.33</v>
      </c>
      <c r="T189" s="846">
        <v>-3683755.98</v>
      </c>
      <c r="U189" s="846">
        <f t="shared" si="20"/>
        <v>-6197875.6100000003</v>
      </c>
    </row>
    <row r="190" spans="1:21" hidden="1">
      <c r="A190" s="842" t="s">
        <v>1466</v>
      </c>
      <c r="B190" s="842" t="str">
        <f t="shared" si="21"/>
        <v>6</v>
      </c>
      <c r="C190" s="842" t="str">
        <f t="shared" si="22"/>
        <v>68</v>
      </c>
      <c r="D190" s="842" t="str">
        <f t="shared" si="23"/>
        <v>681</v>
      </c>
      <c r="E190" s="842" t="str">
        <f t="shared" si="24"/>
        <v>6818</v>
      </c>
      <c r="G190" s="842" t="s">
        <v>1714</v>
      </c>
      <c r="H190" s="846"/>
      <c r="I190" s="846">
        <v>-5480619.1699999999</v>
      </c>
      <c r="J190" s="846">
        <v>-5480619.1699999999</v>
      </c>
      <c r="K190" s="846">
        <v>-5480619.1699999999</v>
      </c>
      <c r="L190" s="846">
        <v>-5480619.1699999999</v>
      </c>
      <c r="M190" s="846">
        <v>-5480619.1699999999</v>
      </c>
      <c r="N190" s="846">
        <v>-5480619.1699999999</v>
      </c>
      <c r="O190" s="846">
        <v>-5480619.1699999999</v>
      </c>
      <c r="P190" s="846">
        <v>-5480619.1699999999</v>
      </c>
      <c r="Q190" s="846">
        <v>-5480619.1699999999</v>
      </c>
      <c r="R190" s="846">
        <v>-5480619.1699999999</v>
      </c>
      <c r="S190" s="846">
        <v>-5480619.1699999999</v>
      </c>
      <c r="T190" s="846">
        <v>-3095723.3</v>
      </c>
      <c r="U190" s="846">
        <f t="shared" si="20"/>
        <v>-63382534.170000009</v>
      </c>
    </row>
    <row r="191" spans="1:21" hidden="1">
      <c r="A191" s="842" t="s">
        <v>1467</v>
      </c>
      <c r="B191" s="842" t="str">
        <f t="shared" si="21"/>
        <v>6</v>
      </c>
      <c r="C191" s="842" t="str">
        <f t="shared" si="22"/>
        <v>68</v>
      </c>
      <c r="D191" s="842" t="str">
        <f t="shared" si="23"/>
        <v>681</v>
      </c>
      <c r="E191" s="842" t="str">
        <f t="shared" si="24"/>
        <v>6818</v>
      </c>
      <c r="G191" s="842" t="s">
        <v>1715</v>
      </c>
      <c r="H191" s="846"/>
      <c r="I191" s="846">
        <v>-12910.08</v>
      </c>
      <c r="J191" s="846">
        <v>-12910.08</v>
      </c>
      <c r="K191" s="846">
        <v>-12910.08</v>
      </c>
      <c r="L191" s="846">
        <v>-12910.08</v>
      </c>
      <c r="M191" s="846">
        <v>-12910.08</v>
      </c>
      <c r="N191" s="846">
        <v>-12910.08</v>
      </c>
      <c r="O191" s="846">
        <v>-12910.08</v>
      </c>
      <c r="P191" s="846">
        <v>-12910.08</v>
      </c>
      <c r="Q191" s="846">
        <v>-12910.08</v>
      </c>
      <c r="R191" s="846">
        <v>-12910.08</v>
      </c>
      <c r="S191" s="846">
        <v>-12910.08</v>
      </c>
      <c r="T191" s="846">
        <v>142010.88</v>
      </c>
      <c r="U191" s="846">
        <f t="shared" si="20"/>
        <v>0</v>
      </c>
    </row>
    <row r="192" spans="1:21" hidden="1">
      <c r="A192" s="842" t="s">
        <v>1468</v>
      </c>
      <c r="B192" s="842" t="str">
        <f t="shared" si="21"/>
        <v>6</v>
      </c>
      <c r="C192" s="842" t="str">
        <f t="shared" si="22"/>
        <v>68</v>
      </c>
      <c r="D192" s="842" t="str">
        <f t="shared" si="23"/>
        <v>681</v>
      </c>
      <c r="E192" s="842" t="str">
        <f t="shared" si="24"/>
        <v>6818</v>
      </c>
      <c r="G192" s="842" t="s">
        <v>1716</v>
      </c>
      <c r="H192" s="846"/>
      <c r="I192" s="846">
        <v>-339530.58</v>
      </c>
      <c r="J192" s="846">
        <v>-339530.58</v>
      </c>
      <c r="K192" s="846">
        <v>-339530.58</v>
      </c>
      <c r="L192" s="846">
        <v>-339530.58</v>
      </c>
      <c r="M192" s="846">
        <v>-339530.58</v>
      </c>
      <c r="N192" s="846">
        <v>-339530.58</v>
      </c>
      <c r="O192" s="846">
        <v>-339530.58</v>
      </c>
      <c r="P192" s="846">
        <v>-339530.58</v>
      </c>
      <c r="Q192" s="846">
        <v>-339530.58</v>
      </c>
      <c r="R192" s="846">
        <v>-339530.58</v>
      </c>
      <c r="S192" s="846">
        <v>-339530.58</v>
      </c>
      <c r="T192" s="846">
        <v>1626059.42</v>
      </c>
      <c r="U192" s="846">
        <f t="shared" si="20"/>
        <v>-2108776.9600000004</v>
      </c>
    </row>
    <row r="193" spans="1:21" hidden="1">
      <c r="A193" s="842" t="s">
        <v>1469</v>
      </c>
      <c r="B193" s="842" t="str">
        <f t="shared" si="21"/>
        <v>6</v>
      </c>
      <c r="C193" s="842" t="str">
        <f t="shared" si="22"/>
        <v>68</v>
      </c>
      <c r="D193" s="842" t="str">
        <f t="shared" si="23"/>
        <v>681</v>
      </c>
      <c r="E193" s="842" t="str">
        <f t="shared" si="24"/>
        <v>6818</v>
      </c>
      <c r="G193" s="842" t="s">
        <v>1717</v>
      </c>
      <c r="H193" s="846"/>
      <c r="I193" s="846">
        <v>-5666.67</v>
      </c>
      <c r="J193" s="846">
        <v>-5666.67</v>
      </c>
      <c r="K193" s="846">
        <v>-5666.67</v>
      </c>
      <c r="L193" s="846">
        <v>-5666.67</v>
      </c>
      <c r="M193" s="846">
        <v>-5666.67</v>
      </c>
      <c r="N193" s="846">
        <v>-5666.67</v>
      </c>
      <c r="O193" s="846">
        <v>-5666.67</v>
      </c>
      <c r="P193" s="846">
        <v>-5666.67</v>
      </c>
      <c r="Q193" s="846">
        <v>-5666.67</v>
      </c>
      <c r="R193" s="846">
        <v>-5666.67</v>
      </c>
      <c r="S193" s="846">
        <v>-5666.67</v>
      </c>
      <c r="T193" s="846">
        <v>38333.370000000003</v>
      </c>
      <c r="U193" s="846">
        <f t="shared" si="20"/>
        <v>-23999.999999999985</v>
      </c>
    </row>
    <row r="194" spans="1:21" hidden="1">
      <c r="A194" s="842" t="s">
        <v>1470</v>
      </c>
      <c r="B194" s="842" t="str">
        <f t="shared" si="21"/>
        <v>6</v>
      </c>
      <c r="C194" s="842" t="str">
        <f t="shared" si="22"/>
        <v>68</v>
      </c>
      <c r="D194" s="842" t="str">
        <f t="shared" si="23"/>
        <v>681</v>
      </c>
      <c r="E194" s="842" t="str">
        <f t="shared" si="24"/>
        <v>6818</v>
      </c>
      <c r="G194" s="842" t="s">
        <v>1718</v>
      </c>
      <c r="H194" s="846"/>
      <c r="I194" s="846">
        <v>-191718.75</v>
      </c>
      <c r="J194" s="846">
        <v>-191718.75</v>
      </c>
      <c r="K194" s="846">
        <v>-191718.75</v>
      </c>
      <c r="L194" s="846">
        <v>-191718.75</v>
      </c>
      <c r="M194" s="846">
        <v>-191718.75</v>
      </c>
      <c r="N194" s="846">
        <v>-191718.75</v>
      </c>
      <c r="O194" s="846">
        <v>-191718.75</v>
      </c>
      <c r="P194" s="846">
        <v>-191718.75</v>
      </c>
      <c r="Q194" s="846">
        <v>-191718.75</v>
      </c>
      <c r="R194" s="846">
        <v>-191718.75</v>
      </c>
      <c r="S194" s="846">
        <v>-191718.75</v>
      </c>
      <c r="T194" s="846">
        <v>248486.25</v>
      </c>
      <c r="U194" s="846">
        <f t="shared" si="20"/>
        <v>-1860420</v>
      </c>
    </row>
    <row r="195" spans="1:21" hidden="1">
      <c r="A195" s="842" t="s">
        <v>1471</v>
      </c>
      <c r="B195" s="842" t="str">
        <f t="shared" si="21"/>
        <v>6</v>
      </c>
      <c r="C195" s="842" t="str">
        <f t="shared" si="22"/>
        <v>68</v>
      </c>
      <c r="D195" s="842" t="str">
        <f t="shared" si="23"/>
        <v>681</v>
      </c>
      <c r="E195" s="842" t="str">
        <f t="shared" si="24"/>
        <v>6818</v>
      </c>
      <c r="G195" s="842" t="s">
        <v>1719</v>
      </c>
      <c r="H195" s="846"/>
      <c r="I195" s="846">
        <v>-98189.5</v>
      </c>
      <c r="J195" s="846">
        <v>-98189.5</v>
      </c>
      <c r="K195" s="846">
        <v>-98189.5</v>
      </c>
      <c r="L195" s="846">
        <v>-98189.5</v>
      </c>
      <c r="M195" s="846">
        <v>-98189.5</v>
      </c>
      <c r="N195" s="846">
        <v>-98189.5</v>
      </c>
      <c r="O195" s="846">
        <v>-98189.5</v>
      </c>
      <c r="P195" s="846">
        <v>-98189.5</v>
      </c>
      <c r="Q195" s="846">
        <v>-98189.5</v>
      </c>
      <c r="R195" s="846">
        <v>-98189.5</v>
      </c>
      <c r="S195" s="846">
        <v>-98189.5</v>
      </c>
      <c r="T195" s="846">
        <v>490947.54</v>
      </c>
      <c r="U195" s="846">
        <f t="shared" si="20"/>
        <v>-589136.96</v>
      </c>
    </row>
    <row r="196" spans="1:21" hidden="1">
      <c r="A196" s="842" t="s">
        <v>1472</v>
      </c>
      <c r="B196" s="842" t="str">
        <f t="shared" si="21"/>
        <v>7</v>
      </c>
      <c r="C196" s="842" t="str">
        <f t="shared" si="22"/>
        <v>70</v>
      </c>
      <c r="D196" s="842" t="str">
        <f t="shared" si="23"/>
        <v>701</v>
      </c>
      <c r="E196" s="842" t="str">
        <f t="shared" si="24"/>
        <v>7012</v>
      </c>
      <c r="G196" s="842" t="s">
        <v>1720</v>
      </c>
      <c r="H196" s="846"/>
      <c r="I196" s="846">
        <v>-4879872</v>
      </c>
      <c r="J196" s="846">
        <v>41719052</v>
      </c>
      <c r="K196" s="846">
        <v>55434606</v>
      </c>
      <c r="L196" s="846">
        <v>144509831</v>
      </c>
      <c r="M196" s="846">
        <v>169437644</v>
      </c>
      <c r="N196" s="846">
        <v>233308667</v>
      </c>
      <c r="O196" s="846">
        <v>111412224</v>
      </c>
      <c r="P196" s="846">
        <v>360514882</v>
      </c>
      <c r="Q196" s="846">
        <v>765337671</v>
      </c>
      <c r="R196" s="846">
        <v>308930570</v>
      </c>
      <c r="S196" s="846">
        <v>64074225</v>
      </c>
      <c r="T196" s="846">
        <v>66630805</v>
      </c>
      <c r="U196" s="846">
        <f t="shared" si="20"/>
        <v>2316430305</v>
      </c>
    </row>
    <row r="197" spans="1:21" hidden="1">
      <c r="A197" s="842" t="s">
        <v>1473</v>
      </c>
      <c r="B197" s="842" t="str">
        <f t="shared" si="21"/>
        <v>7</v>
      </c>
      <c r="C197" s="842" t="str">
        <f t="shared" si="22"/>
        <v>70</v>
      </c>
      <c r="D197" s="842" t="str">
        <f t="shared" si="23"/>
        <v>706</v>
      </c>
      <c r="E197" s="842" t="str">
        <f t="shared" si="24"/>
        <v>7066</v>
      </c>
      <c r="G197" s="842" t="s">
        <v>1721</v>
      </c>
      <c r="H197" s="846"/>
      <c r="I197" s="846">
        <v>1968750</v>
      </c>
      <c r="J197" s="846">
        <v>1968750</v>
      </c>
      <c r="K197" s="846">
        <v>1968750</v>
      </c>
      <c r="L197" s="846">
        <v>1968750</v>
      </c>
      <c r="M197" s="846">
        <v>1968750</v>
      </c>
      <c r="N197" s="846">
        <v>1968750</v>
      </c>
      <c r="O197" s="846">
        <v>1968750</v>
      </c>
      <c r="P197" s="846">
        <v>1968750</v>
      </c>
      <c r="Q197" s="846">
        <v>1968750</v>
      </c>
      <c r="R197" s="846">
        <v>1968750</v>
      </c>
      <c r="S197" s="846">
        <v>1968750</v>
      </c>
      <c r="T197" s="846">
        <v>1968750</v>
      </c>
      <c r="U197" s="846">
        <f t="shared" ref="U197:U200" si="25">SUM(H197:T197)</f>
        <v>23625000</v>
      </c>
    </row>
    <row r="198" spans="1:21" hidden="1">
      <c r="A198" s="842" t="s">
        <v>1722</v>
      </c>
      <c r="B198" s="842" t="str">
        <f t="shared" si="21"/>
        <v>7</v>
      </c>
      <c r="C198" s="842" t="str">
        <f t="shared" si="22"/>
        <v>71</v>
      </c>
      <c r="D198" s="842" t="str">
        <f t="shared" si="23"/>
        <v>714</v>
      </c>
      <c r="E198" s="842" t="str">
        <f t="shared" si="24"/>
        <v>7140</v>
      </c>
      <c r="G198" s="842" t="s">
        <v>1723</v>
      </c>
      <c r="H198" s="846"/>
      <c r="I198" s="846"/>
      <c r="J198" s="846"/>
      <c r="K198" s="846"/>
      <c r="L198" s="846"/>
      <c r="M198" s="846"/>
      <c r="N198" s="846"/>
      <c r="O198" s="846"/>
      <c r="P198" s="846"/>
      <c r="Q198" s="846"/>
      <c r="R198" s="846"/>
      <c r="S198" s="846"/>
      <c r="T198" s="846">
        <v>177092430.02000001</v>
      </c>
      <c r="U198" s="846">
        <f t="shared" si="25"/>
        <v>177092430.02000001</v>
      </c>
    </row>
    <row r="199" spans="1:21" hidden="1">
      <c r="A199" s="842" t="s">
        <v>1474</v>
      </c>
      <c r="B199" s="842" t="str">
        <f t="shared" si="21"/>
        <v>7</v>
      </c>
      <c r="C199" s="842" t="str">
        <f t="shared" si="22"/>
        <v>75</v>
      </c>
      <c r="D199" s="842" t="str">
        <f t="shared" si="23"/>
        <v>758</v>
      </c>
      <c r="E199" s="842" t="str">
        <f t="shared" si="24"/>
        <v>7580</v>
      </c>
      <c r="G199" s="842" t="s">
        <v>1724</v>
      </c>
      <c r="H199" s="846"/>
      <c r="I199" s="846">
        <v>450</v>
      </c>
      <c r="J199" s="846">
        <v>1365.52</v>
      </c>
      <c r="K199" s="846">
        <v>10001.15</v>
      </c>
      <c r="L199" s="846">
        <v>94.72</v>
      </c>
      <c r="M199" s="846">
        <v>398</v>
      </c>
      <c r="N199" s="846">
        <v>0.01</v>
      </c>
      <c r="O199" s="846">
        <v>0.01</v>
      </c>
      <c r="P199" s="846">
        <v>933.05000000000007</v>
      </c>
      <c r="Q199" s="846">
        <v>565.12</v>
      </c>
      <c r="R199" s="846">
        <v>473.65999999999997</v>
      </c>
      <c r="S199" s="846">
        <v>433.67</v>
      </c>
      <c r="T199" s="846">
        <v>4446994.67</v>
      </c>
      <c r="U199" s="846">
        <f t="shared" si="25"/>
        <v>4461709.58</v>
      </c>
    </row>
    <row r="200" spans="1:21" hidden="1">
      <c r="A200" s="842" t="s">
        <v>1475</v>
      </c>
      <c r="B200" s="842" t="str">
        <f t="shared" si="21"/>
        <v>7</v>
      </c>
      <c r="C200" s="842" t="str">
        <f t="shared" si="22"/>
        <v>76</v>
      </c>
      <c r="D200" s="842" t="str">
        <f t="shared" si="23"/>
        <v>766</v>
      </c>
      <c r="E200" s="842" t="str">
        <f t="shared" si="24"/>
        <v>7660</v>
      </c>
      <c r="G200" s="842" t="s">
        <v>1725</v>
      </c>
      <c r="H200" s="846"/>
      <c r="I200" s="846"/>
      <c r="J200" s="846"/>
      <c r="K200" s="846">
        <v>4518883.08</v>
      </c>
      <c r="L200" s="846">
        <v>1880840.72</v>
      </c>
      <c r="M200" s="846"/>
      <c r="N200" s="846">
        <v>7273112.0199999996</v>
      </c>
      <c r="O200" s="846"/>
      <c r="P200" s="846"/>
      <c r="Q200" s="846">
        <v>13361004.33</v>
      </c>
      <c r="R200" s="846">
        <v>8324630</v>
      </c>
      <c r="S200" s="846">
        <v>5645939</v>
      </c>
      <c r="T200" s="846">
        <v>3579648</v>
      </c>
      <c r="U200" s="846">
        <f t="shared" si="25"/>
        <v>44584057.149999999</v>
      </c>
    </row>
    <row r="201" spans="1:21" hidden="1">
      <c r="H201" s="846">
        <v>3.2782554626464844E-7</v>
      </c>
      <c r="I201" s="846">
        <v>-9.3132257461547852E-9</v>
      </c>
      <c r="J201" s="846">
        <v>-3.2782736525405198E-9</v>
      </c>
      <c r="K201" s="846">
        <v>-1.862645149230957E-8</v>
      </c>
      <c r="L201" s="846">
        <v>3.2130628824234009E-8</v>
      </c>
      <c r="M201" s="846">
        <v>2.9802322387695313E-8</v>
      </c>
      <c r="N201" s="846">
        <v>-1.862645149230957E-9</v>
      </c>
      <c r="O201" s="846">
        <v>-3.5166740417272302E-8</v>
      </c>
      <c r="P201" s="846">
        <v>-7.1525505518366117E-8</v>
      </c>
      <c r="Q201" s="846">
        <v>7.0780515670776367E-8</v>
      </c>
      <c r="R201" s="846">
        <v>9.3132257461547852E-8</v>
      </c>
      <c r="S201" s="846">
        <v>1.3038516044616699E-8</v>
      </c>
      <c r="T201" s="846">
        <v>-7.6368451118469238E-8</v>
      </c>
      <c r="U201" s="846">
        <v>-9.4622373580932617E-7</v>
      </c>
    </row>
    <row r="202" spans="1:21" hidden="1">
      <c r="G202" s="842" t="s">
        <v>1525</v>
      </c>
      <c r="H202" s="846"/>
      <c r="I202" s="846"/>
      <c r="J202" s="846"/>
      <c r="K202" s="846"/>
      <c r="L202" s="846"/>
      <c r="M202" s="846"/>
      <c r="N202" s="846"/>
      <c r="O202" s="846"/>
      <c r="P202" s="846"/>
      <c r="Q202" s="846"/>
      <c r="R202" s="846"/>
      <c r="S202" s="846"/>
      <c r="T202" s="846">
        <v>-1500000</v>
      </c>
      <c r="U202" s="846">
        <f>SUM(H202:T202)</f>
        <v>-1500000</v>
      </c>
    </row>
  </sheetData>
  <autoFilter ref="A4:U202" xr:uid="{DCE7C6D7-5541-4D0F-84D0-271BF2186F0A}">
    <filterColumn colId="1">
      <filters>
        <filter val="1"/>
        <filter val="2"/>
        <filter val="3"/>
        <filter val="4"/>
        <filter val="5"/>
      </filters>
    </filterColumn>
    <filterColumn colId="5">
      <filters>
        <filter val="000"/>
        <filter val="100"/>
      </filters>
    </filterColumn>
  </autoFilter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A362D-F6ED-4FD6-A337-987E9D60FF4A}">
  <sheetPr codeName="Feuil13"/>
  <dimension ref="B1:R116"/>
  <sheetViews>
    <sheetView showGridLines="0" topLeftCell="A73" zoomScale="95" zoomScaleNormal="95" workbookViewId="0">
      <selection activeCell="E81" sqref="E81"/>
    </sheetView>
  </sheetViews>
  <sheetFormatPr baseColWidth="10" defaultRowHeight="15"/>
  <cols>
    <col min="2" max="2" width="6.5703125" customWidth="1"/>
    <col min="3" max="3" width="37.7109375" customWidth="1"/>
    <col min="4" max="4" width="16.28515625" bestFit="1" customWidth="1"/>
    <col min="5" max="8" width="15" customWidth="1"/>
    <col min="9" max="13" width="15" hidden="1" customWidth="1"/>
    <col min="14" max="16" width="15" customWidth="1"/>
  </cols>
  <sheetData>
    <row r="1" spans="3:15" ht="15.75" thickBot="1">
      <c r="C1" s="411" t="s">
        <v>925</v>
      </c>
    </row>
    <row r="2" spans="3:15" ht="15.75" thickBot="1">
      <c r="C2" s="412" t="s">
        <v>926</v>
      </c>
      <c r="D2" s="413">
        <v>0.08</v>
      </c>
      <c r="E2" s="52"/>
      <c r="F2" s="52"/>
      <c r="G2" s="52"/>
    </row>
    <row r="3" spans="3:15" ht="3.75" customHeight="1" thickBot="1">
      <c r="C3" s="52"/>
      <c r="D3" s="52"/>
      <c r="E3" s="52"/>
      <c r="F3" s="52"/>
    </row>
    <row r="4" spans="3:15">
      <c r="C4" s="414" t="s">
        <v>927</v>
      </c>
      <c r="D4" s="415" t="s">
        <v>928</v>
      </c>
      <c r="E4" s="416" t="s">
        <v>929</v>
      </c>
      <c r="F4" s="52"/>
      <c r="G4" s="52"/>
    </row>
    <row r="5" spans="3:15">
      <c r="C5" s="417" t="s">
        <v>930</v>
      </c>
      <c r="D5" s="418" t="s">
        <v>931</v>
      </c>
      <c r="E5" s="419">
        <v>4500</v>
      </c>
      <c r="F5" s="52"/>
      <c r="G5" s="52"/>
    </row>
    <row r="6" spans="3:15">
      <c r="C6" s="52" t="s">
        <v>932</v>
      </c>
      <c r="D6" s="420" t="s">
        <v>933</v>
      </c>
      <c r="E6" s="421">
        <v>4900</v>
      </c>
      <c r="F6" s="52"/>
    </row>
    <row r="7" spans="3:15">
      <c r="C7" s="52" t="s">
        <v>934</v>
      </c>
      <c r="D7" s="420"/>
      <c r="E7" s="422">
        <v>0.08</v>
      </c>
      <c r="F7" s="52"/>
    </row>
    <row r="8" spans="3:15" ht="15.75" thickBot="1">
      <c r="C8" s="423" t="s">
        <v>935</v>
      </c>
      <c r="D8" s="424"/>
      <c r="E8" s="425">
        <v>0.2</v>
      </c>
      <c r="F8" s="52"/>
    </row>
    <row r="9" spans="3:15" ht="4.5" customHeight="1" thickBot="1"/>
    <row r="10" spans="3:15" s="52" customFormat="1" ht="13.5" thickBot="1">
      <c r="C10" s="412" t="s">
        <v>936</v>
      </c>
      <c r="D10" s="413">
        <v>0.03</v>
      </c>
      <c r="E10" s="426">
        <v>0</v>
      </c>
      <c r="F10" s="426">
        <v>1</v>
      </c>
      <c r="G10" s="426">
        <v>2</v>
      </c>
      <c r="H10" s="426">
        <v>3</v>
      </c>
      <c r="I10" s="426">
        <v>4</v>
      </c>
      <c r="J10" s="426">
        <v>5</v>
      </c>
      <c r="K10" s="426">
        <v>6</v>
      </c>
      <c r="L10" s="426">
        <v>7</v>
      </c>
      <c r="M10" s="426">
        <v>8</v>
      </c>
      <c r="N10" s="426"/>
      <c r="O10" s="426"/>
    </row>
    <row r="11" spans="3:15" s="52" customFormat="1" ht="12.75">
      <c r="C11" s="52" t="s">
        <v>937</v>
      </c>
      <c r="E11" s="421">
        <f>+E5</f>
        <v>4500</v>
      </c>
      <c r="F11" s="421">
        <f>+$E$11*(1+$D$10)^F10</f>
        <v>4635</v>
      </c>
      <c r="G11" s="421">
        <f>+$E$11*(1+$D$10)^G10</f>
        <v>4774.05</v>
      </c>
      <c r="H11" s="421">
        <f t="shared" ref="H11:M11" si="0">+$E$11*(1+$D$10)^H10</f>
        <v>4917.2714999999998</v>
      </c>
      <c r="I11" s="421">
        <f t="shared" si="0"/>
        <v>5064.7896449999998</v>
      </c>
      <c r="J11" s="421">
        <f t="shared" si="0"/>
        <v>5216.7333343499995</v>
      </c>
      <c r="K11" s="421">
        <f t="shared" si="0"/>
        <v>5373.2353343804998</v>
      </c>
      <c r="L11" s="421">
        <f t="shared" si="0"/>
        <v>5534.4323944119151</v>
      </c>
      <c r="M11" s="421">
        <f t="shared" si="0"/>
        <v>5700.4653662442715</v>
      </c>
      <c r="N11" s="421"/>
      <c r="O11" s="421"/>
    </row>
    <row r="12" spans="3:15" s="52" customFormat="1" ht="13.5" thickBot="1">
      <c r="C12" s="423" t="s">
        <v>938</v>
      </c>
      <c r="D12" s="423"/>
      <c r="E12" s="427">
        <f>+E6</f>
        <v>4900</v>
      </c>
      <c r="F12" s="427">
        <f>+$E$12*(1+$D$10)^F10</f>
        <v>5047</v>
      </c>
      <c r="G12" s="427">
        <f>+$E$12*(1+$D$10)^G10</f>
        <v>5198.41</v>
      </c>
      <c r="H12" s="427">
        <f t="shared" ref="H12:M12" si="1">+$E$12*(1+$D$10)^H10</f>
        <v>5354.3622999999998</v>
      </c>
      <c r="I12" s="427">
        <f t="shared" si="1"/>
        <v>5514.9931689999994</v>
      </c>
      <c r="J12" s="427">
        <f t="shared" si="1"/>
        <v>5680.4429640699991</v>
      </c>
      <c r="K12" s="427">
        <f t="shared" si="1"/>
        <v>5850.8562529920991</v>
      </c>
      <c r="L12" s="427">
        <f t="shared" si="1"/>
        <v>6026.3819405818631</v>
      </c>
      <c r="M12" s="427">
        <f t="shared" si="1"/>
        <v>6207.1733987993184</v>
      </c>
      <c r="N12" s="427"/>
      <c r="O12" s="427"/>
    </row>
    <row r="13" spans="3:15" ht="4.5" customHeight="1" thickBot="1"/>
    <row r="14" spans="3:15" ht="15.75" thickBot="1">
      <c r="C14" s="428" t="s">
        <v>361</v>
      </c>
      <c r="D14" s="412"/>
      <c r="E14" s="412"/>
      <c r="F14" s="429"/>
      <c r="G14" s="429"/>
      <c r="J14" s="411" t="s">
        <v>1152</v>
      </c>
    </row>
    <row r="15" spans="3:15">
      <c r="C15" s="430"/>
      <c r="D15" s="431" t="s">
        <v>939</v>
      </c>
      <c r="E15" s="431" t="s">
        <v>381</v>
      </c>
      <c r="F15" s="431" t="s">
        <v>414</v>
      </c>
      <c r="G15" s="431" t="s">
        <v>928</v>
      </c>
      <c r="J15" s="431" t="str">
        <f>+D15</f>
        <v>Année</v>
      </c>
      <c r="K15" s="431" t="str">
        <f>+E15</f>
        <v>Mois</v>
      </c>
      <c r="L15" s="431" t="str">
        <f>+F15</f>
        <v>Jour</v>
      </c>
    </row>
    <row r="16" spans="3:15">
      <c r="C16" s="446"/>
      <c r="D16" s="433"/>
      <c r="E16" s="433"/>
      <c r="F16" s="433"/>
      <c r="G16" s="433"/>
      <c r="J16" s="433"/>
      <c r="K16" s="433"/>
      <c r="L16" s="433"/>
    </row>
    <row r="17" spans="2:13">
      <c r="B17" t="s">
        <v>1743</v>
      </c>
      <c r="C17" s="434" t="s">
        <v>1751</v>
      </c>
      <c r="J17" s="453"/>
      <c r="K17" s="453"/>
      <c r="L17" s="453"/>
    </row>
    <row r="18" spans="2:13">
      <c r="B18" t="s">
        <v>1787</v>
      </c>
      <c r="C18" s="542" t="s">
        <v>1784</v>
      </c>
      <c r="D18" s="453">
        <f>+E18*12</f>
        <v>2700</v>
      </c>
      <c r="E18" s="453">
        <f t="shared" ref="E18:E19" si="2">+F18*25</f>
        <v>225</v>
      </c>
      <c r="F18" s="453">
        <f>ROUND(+G18*F48,1)</f>
        <v>9</v>
      </c>
      <c r="G18" s="450">
        <v>0.4</v>
      </c>
      <c r="J18" s="453">
        <f t="shared" ref="J18:J20" si="3">+K18*12</f>
        <v>6300</v>
      </c>
      <c r="K18" s="453">
        <f t="shared" ref="K18:K19" si="4">+L18*25</f>
        <v>525</v>
      </c>
      <c r="L18" s="453">
        <f>ROUND(+L48*G18,0)</f>
        <v>21</v>
      </c>
      <c r="M18">
        <f>+K18/28</f>
        <v>18.75</v>
      </c>
    </row>
    <row r="19" spans="2:13">
      <c r="B19" t="s">
        <v>1788</v>
      </c>
      <c r="C19" s="542" t="s">
        <v>1785</v>
      </c>
      <c r="D19" s="453">
        <f t="shared" ref="D19" si="5">+E19*12</f>
        <v>4050</v>
      </c>
      <c r="E19" s="453">
        <f t="shared" si="2"/>
        <v>337.5</v>
      </c>
      <c r="F19" s="453">
        <f>+F48-F18</f>
        <v>13.5</v>
      </c>
      <c r="G19" s="450">
        <v>0.6</v>
      </c>
      <c r="J19" s="453">
        <f t="shared" si="3"/>
        <v>9450</v>
      </c>
      <c r="K19" s="453">
        <f t="shared" si="4"/>
        <v>787.5</v>
      </c>
      <c r="L19" s="453">
        <f>+L48-L18</f>
        <v>31.5</v>
      </c>
      <c r="M19">
        <f>+K19/28</f>
        <v>28.125</v>
      </c>
    </row>
    <row r="20" spans="2:13">
      <c r="B20" t="s">
        <v>1789</v>
      </c>
      <c r="C20" s="542" t="s">
        <v>1786</v>
      </c>
      <c r="D20" s="453">
        <f>+E20*12</f>
        <v>240</v>
      </c>
      <c r="E20" s="453">
        <v>20</v>
      </c>
      <c r="F20" s="453">
        <f>+E20/25</f>
        <v>0.8</v>
      </c>
      <c r="J20" s="453">
        <f t="shared" si="3"/>
        <v>1980</v>
      </c>
      <c r="K20" s="453">
        <f>+L20*25</f>
        <v>165</v>
      </c>
      <c r="L20">
        <f>+ROUND(L60*D59,1)</f>
        <v>6.6</v>
      </c>
    </row>
    <row r="21" spans="2:13">
      <c r="B21" t="s">
        <v>1795</v>
      </c>
      <c r="C21" s="542" t="s">
        <v>1828</v>
      </c>
      <c r="D21" s="453"/>
      <c r="E21" s="453"/>
      <c r="F21" s="453"/>
      <c r="J21" s="453"/>
      <c r="K21" s="453"/>
    </row>
    <row r="22" spans="2:13">
      <c r="B22" t="s">
        <v>1796</v>
      </c>
      <c r="C22" s="542" t="s">
        <v>1829</v>
      </c>
      <c r="D22" s="453"/>
      <c r="E22" s="453"/>
      <c r="F22" s="453"/>
      <c r="J22" s="453"/>
      <c r="K22" s="453"/>
    </row>
    <row r="23" spans="2:13">
      <c r="B23" t="s">
        <v>1797</v>
      </c>
      <c r="C23" s="542" t="s">
        <v>1798</v>
      </c>
      <c r="D23" s="453"/>
      <c r="E23" s="453"/>
      <c r="F23" s="453"/>
      <c r="J23" s="453"/>
      <c r="K23" s="453"/>
    </row>
    <row r="24" spans="2:13">
      <c r="B24" t="s">
        <v>1799</v>
      </c>
      <c r="C24" s="542" t="s">
        <v>1800</v>
      </c>
      <c r="D24" s="453"/>
      <c r="E24" s="453"/>
      <c r="F24" s="453"/>
      <c r="J24" s="453"/>
      <c r="K24" s="453"/>
    </row>
    <row r="25" spans="2:13">
      <c r="B25" t="s">
        <v>1801</v>
      </c>
      <c r="C25" s="542" t="s">
        <v>1802</v>
      </c>
      <c r="D25" s="453"/>
      <c r="E25" s="453"/>
      <c r="F25" s="453"/>
      <c r="J25" s="453"/>
      <c r="K25" s="453"/>
    </row>
    <row r="26" spans="2:13">
      <c r="B26" t="s">
        <v>1804</v>
      </c>
      <c r="C26" s="542" t="s">
        <v>1803</v>
      </c>
      <c r="D26" s="453"/>
      <c r="E26" s="453"/>
      <c r="F26" s="453"/>
      <c r="J26" s="453"/>
      <c r="K26" s="453"/>
    </row>
    <row r="27" spans="2:13">
      <c r="B27" t="s">
        <v>1805</v>
      </c>
      <c r="C27" s="542" t="s">
        <v>1752</v>
      </c>
      <c r="D27" s="453">
        <f t="shared" ref="D27:D28" si="6">+E27*12</f>
        <v>12600000</v>
      </c>
      <c r="E27" s="453">
        <v>1050000</v>
      </c>
      <c r="F27" s="433"/>
      <c r="G27" s="433" t="s">
        <v>1754</v>
      </c>
      <c r="J27" s="433"/>
      <c r="K27" s="433"/>
      <c r="L27" s="433"/>
    </row>
    <row r="28" spans="2:13">
      <c r="B28" t="s">
        <v>1806</v>
      </c>
      <c r="C28" s="542" t="s">
        <v>1753</v>
      </c>
      <c r="D28" s="453">
        <f t="shared" si="6"/>
        <v>11025000</v>
      </c>
      <c r="E28" s="453">
        <v>918750</v>
      </c>
      <c r="F28" s="433"/>
      <c r="G28" s="433" t="s">
        <v>1754</v>
      </c>
      <c r="J28" s="433"/>
      <c r="K28" s="433"/>
      <c r="L28" s="433"/>
    </row>
    <row r="29" spans="2:13">
      <c r="C29" s="446"/>
      <c r="D29" s="433"/>
      <c r="E29" s="433"/>
      <c r="F29" s="433"/>
      <c r="G29" s="433"/>
      <c r="J29" s="433"/>
      <c r="K29" s="433"/>
      <c r="L29" s="433"/>
    </row>
    <row r="30" spans="2:13">
      <c r="B30" s="411" t="s">
        <v>1790</v>
      </c>
      <c r="C30" s="432" t="s">
        <v>1735</v>
      </c>
      <c r="D30" s="433" t="s">
        <v>1821</v>
      </c>
      <c r="E30" s="433"/>
      <c r="F30" s="433"/>
      <c r="G30" s="433"/>
      <c r="J30" s="433"/>
      <c r="K30" s="433"/>
      <c r="L30" s="433"/>
    </row>
    <row r="31" spans="2:13">
      <c r="B31" t="s">
        <v>1792</v>
      </c>
      <c r="C31" s="446" t="s">
        <v>1738</v>
      </c>
      <c r="D31" s="446" t="s">
        <v>1791</v>
      </c>
      <c r="E31" s="433"/>
      <c r="F31" s="433"/>
      <c r="G31" s="433"/>
      <c r="J31" s="433"/>
      <c r="K31" s="433"/>
      <c r="L31" s="433"/>
    </row>
    <row r="32" spans="2:13">
      <c r="B32" t="s">
        <v>1793</v>
      </c>
      <c r="C32" s="446" t="s">
        <v>1736</v>
      </c>
      <c r="D32" s="446" t="s">
        <v>1791</v>
      </c>
      <c r="E32" s="433"/>
      <c r="F32" s="433"/>
      <c r="G32" s="433"/>
      <c r="J32" s="433"/>
      <c r="K32" s="433"/>
      <c r="L32" s="433"/>
    </row>
    <row r="33" spans="2:12">
      <c r="B33" t="s">
        <v>1794</v>
      </c>
      <c r="C33" s="446" t="s">
        <v>1737</v>
      </c>
      <c r="D33" s="446" t="s">
        <v>1791</v>
      </c>
      <c r="E33" s="433"/>
      <c r="F33" s="433"/>
      <c r="G33" s="433"/>
      <c r="J33" s="433"/>
      <c r="K33" s="433"/>
      <c r="L33" s="433"/>
    </row>
    <row r="34" spans="2:12">
      <c r="B34" t="s">
        <v>1807</v>
      </c>
      <c r="C34" s="446" t="s">
        <v>1808</v>
      </c>
      <c r="D34" s="446" t="s">
        <v>1791</v>
      </c>
      <c r="E34" s="433"/>
      <c r="F34" s="433"/>
      <c r="G34" s="433"/>
      <c r="J34" s="433"/>
      <c r="K34" s="433"/>
      <c r="L34" s="433"/>
    </row>
    <row r="35" spans="2:12">
      <c r="B35" t="s">
        <v>1809</v>
      </c>
      <c r="C35" s="446" t="s">
        <v>1810</v>
      </c>
      <c r="D35" s="446" t="s">
        <v>1791</v>
      </c>
      <c r="E35" s="433"/>
      <c r="F35" s="433"/>
      <c r="G35" s="433"/>
      <c r="J35" s="433"/>
      <c r="K35" s="433"/>
      <c r="L35" s="433"/>
    </row>
    <row r="36" spans="2:12">
      <c r="B36" t="s">
        <v>1811</v>
      </c>
      <c r="C36" s="446" t="s">
        <v>1812</v>
      </c>
      <c r="D36" s="446" t="s">
        <v>1791</v>
      </c>
      <c r="E36" s="433"/>
      <c r="F36" s="433"/>
      <c r="G36" s="433"/>
      <c r="J36" s="433"/>
      <c r="K36" s="433"/>
      <c r="L36" s="433"/>
    </row>
    <row r="37" spans="2:12">
      <c r="B37" t="s">
        <v>1813</v>
      </c>
      <c r="C37" s="446" t="s">
        <v>1815</v>
      </c>
      <c r="D37" s="446" t="s">
        <v>1791</v>
      </c>
      <c r="E37" s="433"/>
      <c r="F37" s="433"/>
      <c r="G37" s="433"/>
      <c r="J37" s="433"/>
      <c r="K37" s="433"/>
      <c r="L37" s="433"/>
    </row>
    <row r="38" spans="2:12">
      <c r="B38" t="s">
        <v>1814</v>
      </c>
      <c r="C38" s="446" t="s">
        <v>1816</v>
      </c>
      <c r="D38" s="446" t="s">
        <v>1791</v>
      </c>
      <c r="E38" s="433"/>
      <c r="F38" s="433"/>
      <c r="G38" s="433"/>
      <c r="J38" s="433"/>
      <c r="K38" s="433"/>
      <c r="L38" s="433"/>
    </row>
    <row r="39" spans="2:12">
      <c r="B39" t="s">
        <v>1817</v>
      </c>
      <c r="C39" s="446" t="s">
        <v>1819</v>
      </c>
      <c r="D39" s="446" t="s">
        <v>1791</v>
      </c>
      <c r="E39" s="433"/>
      <c r="F39" s="433"/>
      <c r="G39" s="433"/>
      <c r="J39" s="433"/>
      <c r="K39" s="433"/>
      <c r="L39" s="433"/>
    </row>
    <row r="40" spans="2:12">
      <c r="B40" t="s">
        <v>1818</v>
      </c>
      <c r="C40" s="446" t="s">
        <v>1820</v>
      </c>
      <c r="D40" s="446" t="s">
        <v>1791</v>
      </c>
      <c r="E40" s="433"/>
      <c r="F40" s="433"/>
      <c r="G40" s="433"/>
      <c r="J40" s="433"/>
      <c r="K40" s="433"/>
      <c r="L40" s="433"/>
    </row>
    <row r="41" spans="2:12">
      <c r="B41" t="s">
        <v>1822</v>
      </c>
      <c r="C41" s="446" t="str">
        <f>+'Détails Achats direct'!C18</f>
        <v>Sacs polypropylène</v>
      </c>
      <c r="D41" s="446" t="s">
        <v>1824</v>
      </c>
      <c r="E41" s="433"/>
      <c r="F41" s="433"/>
      <c r="G41" s="433"/>
      <c r="J41" s="433"/>
      <c r="K41" s="433"/>
      <c r="L41" s="433"/>
    </row>
    <row r="42" spans="2:12">
      <c r="B42" t="s">
        <v>1823</v>
      </c>
      <c r="C42" s="446" t="str">
        <f>+'Détails Achats direct'!C19</f>
        <v>Sacs polyéthylène</v>
      </c>
      <c r="D42" s="446" t="s">
        <v>1824</v>
      </c>
      <c r="E42" s="433"/>
      <c r="F42" s="433"/>
      <c r="G42" s="433"/>
      <c r="J42" s="433"/>
      <c r="K42" s="433"/>
      <c r="L42" s="433"/>
    </row>
    <row r="43" spans="2:12">
      <c r="C43" s="446"/>
      <c r="D43" s="446"/>
      <c r="E43" s="433"/>
      <c r="F43" s="433"/>
      <c r="G43" s="433"/>
      <c r="J43" s="433"/>
      <c r="K43" s="433"/>
      <c r="L43" s="433"/>
    </row>
    <row r="44" spans="2:12">
      <c r="C44" s="446"/>
      <c r="D44" s="433"/>
      <c r="E44" s="433"/>
      <c r="F44" s="433"/>
      <c r="G44" s="433"/>
      <c r="J44" s="433"/>
      <c r="K44" s="433"/>
      <c r="L44" s="433"/>
    </row>
    <row r="45" spans="2:12">
      <c r="C45" s="446"/>
      <c r="D45" s="433"/>
      <c r="E45" s="433"/>
      <c r="F45" s="433"/>
      <c r="G45" s="433"/>
      <c r="J45" s="433"/>
      <c r="K45" s="433"/>
      <c r="L45" s="433"/>
    </row>
    <row r="46" spans="2:12">
      <c r="C46" s="446"/>
      <c r="D46" s="433"/>
      <c r="E46" s="433"/>
      <c r="F46" s="433"/>
      <c r="G46" s="433"/>
      <c r="J46" s="433"/>
      <c r="K46" s="433"/>
      <c r="L46" s="433"/>
    </row>
    <row r="47" spans="2:12">
      <c r="C47" s="432" t="s">
        <v>669</v>
      </c>
      <c r="D47" s="433"/>
      <c r="E47" s="433"/>
      <c r="F47" s="433"/>
      <c r="J47" s="432" t="s">
        <v>1146</v>
      </c>
    </row>
    <row r="48" spans="2:12">
      <c r="C48" s="434" t="s">
        <v>949</v>
      </c>
      <c r="D48" s="453">
        <f>+E48*12</f>
        <v>6750</v>
      </c>
      <c r="E48" s="453">
        <f>+F48*25</f>
        <v>562.5</v>
      </c>
      <c r="F48" s="453">
        <v>22.5</v>
      </c>
      <c r="G48" t="s">
        <v>940</v>
      </c>
      <c r="J48" s="453">
        <f>+K48*12</f>
        <v>15750</v>
      </c>
      <c r="K48" s="453">
        <f>+L48*25</f>
        <v>1312.5</v>
      </c>
      <c r="L48" s="652">
        <f>+L53*L54</f>
        <v>52.5</v>
      </c>
    </row>
    <row r="49" spans="3:14">
      <c r="C49" s="542" t="str">
        <f>+C18</f>
        <v>TRA COUPE</v>
      </c>
      <c r="D49" s="453">
        <f t="shared" ref="D49:D51" si="7">+E49*12</f>
        <v>3480</v>
      </c>
      <c r="E49" s="453">
        <f>+F49*25</f>
        <v>290</v>
      </c>
      <c r="F49">
        <f>ROUND(+G49*F48,1)</f>
        <v>11.6</v>
      </c>
      <c r="G49" s="450">
        <f>+Production!R23</f>
        <v>0.51388547554681741</v>
      </c>
    </row>
    <row r="50" spans="3:14">
      <c r="C50" s="542" t="str">
        <f>+C19</f>
        <v>ABR COUPE</v>
      </c>
      <c r="D50" s="453">
        <f t="shared" si="7"/>
        <v>3270</v>
      </c>
      <c r="E50" s="453">
        <f>+F50*25</f>
        <v>272.5</v>
      </c>
      <c r="F50" s="619">
        <f>+F48-F49</f>
        <v>10.9</v>
      </c>
      <c r="G50" s="450">
        <f>+Production!R30</f>
        <v>0.48611452445318259</v>
      </c>
    </row>
    <row r="51" spans="3:14">
      <c r="C51" s="542" t="str">
        <f>+C20</f>
        <v>FP1 COUPE</v>
      </c>
      <c r="D51" s="453">
        <f t="shared" si="7"/>
        <v>240</v>
      </c>
      <c r="E51" s="453">
        <v>20</v>
      </c>
      <c r="F51">
        <f>+E20/25</f>
        <v>0.8</v>
      </c>
      <c r="G51">
        <f>+G20</f>
        <v>0</v>
      </c>
    </row>
    <row r="53" spans="3:14">
      <c r="C53" s="436" t="s">
        <v>941</v>
      </c>
      <c r="D53" s="453">
        <f>+E53*12</f>
        <v>60000</v>
      </c>
      <c r="E53" s="453">
        <f>+F53*25</f>
        <v>5000</v>
      </c>
      <c r="F53" s="555">
        <v>200</v>
      </c>
      <c r="G53" s="437" t="s">
        <v>943</v>
      </c>
      <c r="J53" s="453">
        <f>+K53*12</f>
        <v>105000</v>
      </c>
      <c r="K53" s="453">
        <f>+L53*25</f>
        <v>8750</v>
      </c>
      <c r="L53" s="653">
        <v>350</v>
      </c>
      <c r="N53" s="97"/>
    </row>
    <row r="54" spans="3:14" ht="15.75" thickBot="1">
      <c r="C54" s="438" t="s">
        <v>361</v>
      </c>
      <c r="D54" s="454">
        <f>+E54*12</f>
        <v>33.75</v>
      </c>
      <c r="E54" s="454">
        <f>+F54*25</f>
        <v>2.8125</v>
      </c>
      <c r="F54" s="454">
        <f>+F48/F53</f>
        <v>0.1125</v>
      </c>
      <c r="G54" s="439" t="s">
        <v>942</v>
      </c>
      <c r="J54">
        <f>+K54*12</f>
        <v>45</v>
      </c>
      <c r="K54">
        <f>+L54*25</f>
        <v>3.75</v>
      </c>
      <c r="L54">
        <v>0.15</v>
      </c>
      <c r="N54" s="97"/>
    </row>
    <row r="55" spans="3:14" ht="5.25" customHeight="1" thickBot="1">
      <c r="C55" s="411"/>
      <c r="D55" s="52"/>
      <c r="E55" s="52"/>
    </row>
    <row r="56" spans="3:14">
      <c r="C56" s="440" t="s">
        <v>944</v>
      </c>
      <c r="D56" s="431" t="s">
        <v>928</v>
      </c>
      <c r="E56" s="441" t="str">
        <f>+D15</f>
        <v>Année</v>
      </c>
      <c r="F56" s="441" t="str">
        <f>+E15</f>
        <v>Mois</v>
      </c>
      <c r="G56" s="441" t="str">
        <f>+F15</f>
        <v>Jour</v>
      </c>
      <c r="J56" s="441" t="str">
        <f>+J15</f>
        <v>Année</v>
      </c>
      <c r="K56" s="441" t="str">
        <f>+K15</f>
        <v>Mois</v>
      </c>
      <c r="L56" s="441" t="str">
        <f>+L15</f>
        <v>Jour</v>
      </c>
    </row>
    <row r="57" spans="3:14">
      <c r="C57" s="451" t="s">
        <v>945</v>
      </c>
      <c r="D57" s="442" t="s">
        <v>946</v>
      </c>
      <c r="E57" s="443"/>
      <c r="F57" s="443"/>
      <c r="G57" s="443"/>
    </row>
    <row r="58" spans="3:14">
      <c r="C58" s="451" t="s">
        <v>958</v>
      </c>
      <c r="D58" s="442">
        <v>0.8</v>
      </c>
      <c r="E58" s="443"/>
      <c r="F58" s="443"/>
      <c r="G58" s="443"/>
    </row>
    <row r="59" spans="3:14">
      <c r="C59" s="451" t="s">
        <v>959</v>
      </c>
      <c r="D59" s="442">
        <v>0.1</v>
      </c>
      <c r="E59" s="443"/>
      <c r="F59" s="443"/>
      <c r="G59" s="443"/>
    </row>
    <row r="60" spans="3:14">
      <c r="C60" s="451" t="s">
        <v>948</v>
      </c>
      <c r="E60" s="448">
        <f>+D48/$D$58</f>
        <v>8437.5</v>
      </c>
      <c r="F60" s="448">
        <f>+E48/$D$58</f>
        <v>703.125</v>
      </c>
      <c r="G60" s="448">
        <f>+F48/$D$58</f>
        <v>28.125</v>
      </c>
      <c r="H60" s="448" t="s">
        <v>940</v>
      </c>
      <c r="I60" s="448"/>
      <c r="J60" s="453">
        <f t="shared" ref="J60:K60" si="8">+K60*25</f>
        <v>40999.999999999993</v>
      </c>
      <c r="K60" s="453">
        <f t="shared" si="8"/>
        <v>1639.9999999999998</v>
      </c>
      <c r="L60" s="448">
        <f>ROUND(+L48/$D$58,1)</f>
        <v>65.599999999999994</v>
      </c>
    </row>
    <row r="61" spans="3:14">
      <c r="C61" s="452" t="s">
        <v>947</v>
      </c>
      <c r="J61" s="437"/>
      <c r="K61" s="437"/>
    </row>
    <row r="62" spans="3:14">
      <c r="C62" s="449" t="s">
        <v>37</v>
      </c>
      <c r="D62" s="435">
        <v>0.25</v>
      </c>
      <c r="E62" s="437">
        <f>+D62*$E$60</f>
        <v>2109.375</v>
      </c>
      <c r="F62" s="437">
        <f>+$F$60*D62</f>
        <v>175.78125</v>
      </c>
      <c r="G62" s="437">
        <f>+$G$60*D62</f>
        <v>7.03125</v>
      </c>
      <c r="H62" t="s">
        <v>940</v>
      </c>
      <c r="J62" s="453">
        <f t="shared" ref="J62:J65" si="9">+K62*12</f>
        <v>6000</v>
      </c>
      <c r="K62" s="453">
        <f t="shared" ref="K62:K65" si="10">+L62*25</f>
        <v>500</v>
      </c>
      <c r="L62" s="453">
        <f>ROUND(+$L$60*M62,0)</f>
        <v>20</v>
      </c>
      <c r="M62" s="450">
        <v>0.3</v>
      </c>
    </row>
    <row r="63" spans="3:14">
      <c r="C63" s="449" t="s">
        <v>909</v>
      </c>
      <c r="D63" s="435">
        <v>0.35</v>
      </c>
      <c r="E63" s="437">
        <f t="shared" ref="E63:E65" si="11">+D63*$E$60</f>
        <v>2953.125</v>
      </c>
      <c r="F63" s="437">
        <f t="shared" ref="F63:F65" si="12">+$F$60*D63</f>
        <v>246.09374999999997</v>
      </c>
      <c r="G63" s="437">
        <f t="shared" ref="G63:G65" si="13">+$G$60*D63</f>
        <v>9.84375</v>
      </c>
      <c r="H63" t="s">
        <v>940</v>
      </c>
      <c r="J63" s="453">
        <f t="shared" si="9"/>
        <v>7800</v>
      </c>
      <c r="K63" s="453">
        <f t="shared" si="10"/>
        <v>650</v>
      </c>
      <c r="L63" s="453">
        <f>ROUND(+$L$60*M63,0)</f>
        <v>26</v>
      </c>
      <c r="M63" s="450">
        <v>0.4</v>
      </c>
    </row>
    <row r="64" spans="3:14">
      <c r="C64" s="449" t="s">
        <v>35</v>
      </c>
      <c r="D64" s="450">
        <v>0.2</v>
      </c>
      <c r="E64" s="437">
        <f t="shared" si="11"/>
        <v>1687.5</v>
      </c>
      <c r="F64" s="437">
        <f t="shared" si="12"/>
        <v>140.625</v>
      </c>
      <c r="G64" s="437">
        <f t="shared" si="13"/>
        <v>5.625</v>
      </c>
      <c r="H64" t="s">
        <v>940</v>
      </c>
      <c r="J64" s="453">
        <f t="shared" si="9"/>
        <v>3900</v>
      </c>
      <c r="K64" s="453">
        <f t="shared" si="10"/>
        <v>325</v>
      </c>
      <c r="L64" s="453">
        <f>ROUND(+$L$60*M64,0)</f>
        <v>13</v>
      </c>
      <c r="M64" s="450">
        <v>0.2</v>
      </c>
    </row>
    <row r="65" spans="3:15">
      <c r="C65" s="449" t="s">
        <v>875</v>
      </c>
      <c r="D65" s="435">
        <f>100%-D62-D63-D64</f>
        <v>0.2</v>
      </c>
      <c r="E65" s="437">
        <f t="shared" si="11"/>
        <v>1687.5</v>
      </c>
      <c r="F65" s="437">
        <f t="shared" si="12"/>
        <v>140.625</v>
      </c>
      <c r="G65" s="437">
        <f t="shared" si="13"/>
        <v>5.625</v>
      </c>
      <c r="H65" t="s">
        <v>940</v>
      </c>
      <c r="J65" s="453">
        <f t="shared" si="9"/>
        <v>1979.9999999999982</v>
      </c>
      <c r="K65" s="453">
        <f t="shared" si="10"/>
        <v>164.99999999999986</v>
      </c>
      <c r="L65" s="453">
        <f>+L60-L62-L63-L64</f>
        <v>6.5999999999999943</v>
      </c>
      <c r="M65" s="450">
        <v>0.1</v>
      </c>
    </row>
    <row r="66" spans="3:15">
      <c r="C66" s="449" t="s">
        <v>1825</v>
      </c>
      <c r="D66" s="435"/>
      <c r="E66" s="437"/>
      <c r="F66" s="437"/>
      <c r="G66" s="437"/>
      <c r="J66" s="453"/>
      <c r="K66" s="453"/>
      <c r="L66" s="453"/>
      <c r="M66" s="450"/>
    </row>
    <row r="67" spans="3:15" ht="15.75" thickBot="1">
      <c r="C67" s="455" t="s">
        <v>362</v>
      </c>
      <c r="D67" s="456"/>
      <c r="E67" s="447">
        <f>SUM(E62:E65)</f>
        <v>8437.5</v>
      </c>
      <c r="F67" s="447">
        <f>SUM(F62:F65)</f>
        <v>703.125</v>
      </c>
      <c r="G67" s="447">
        <f>SUM(G62:G65)</f>
        <v>28.125</v>
      </c>
      <c r="H67" t="s">
        <v>940</v>
      </c>
      <c r="J67" s="447">
        <f>SUM(J62:J65)</f>
        <v>19680</v>
      </c>
      <c r="K67" s="447">
        <f>SUM(K62:K65)</f>
        <v>1639.9999999999998</v>
      </c>
      <c r="L67" s="447">
        <f>SUM(L62:L65)</f>
        <v>65.599999999999994</v>
      </c>
    </row>
    <row r="68" spans="3:15" ht="2.25" customHeight="1">
      <c r="C68" s="444"/>
      <c r="D68" s="52"/>
      <c r="E68" s="437"/>
      <c r="F68" s="437"/>
      <c r="G68" s="437"/>
    </row>
    <row r="69" spans="3:15" ht="5.25" customHeight="1" thickBot="1">
      <c r="C69" s="436"/>
      <c r="D69" s="52"/>
      <c r="E69" s="445"/>
    </row>
    <row r="70" spans="3:15" ht="15.75" thickBot="1">
      <c r="C70" s="440" t="s">
        <v>954</v>
      </c>
      <c r="D70" s="431"/>
      <c r="E70" s="441" t="s">
        <v>956</v>
      </c>
      <c r="F70" s="441"/>
      <c r="G70" s="441" t="s">
        <v>957</v>
      </c>
      <c r="I70" s="411" t="s">
        <v>1153</v>
      </c>
    </row>
    <row r="71" spans="3:15">
      <c r="C71" s="436" t="str">
        <f>+C62</f>
        <v>Tranomaro</v>
      </c>
      <c r="D71" s="458" t="s">
        <v>950</v>
      </c>
      <c r="E71" s="437">
        <v>200</v>
      </c>
      <c r="F71" t="s">
        <v>955</v>
      </c>
      <c r="G71" s="437">
        <v>250</v>
      </c>
      <c r="H71" t="s">
        <v>494</v>
      </c>
      <c r="I71" s="640" t="s">
        <v>1147</v>
      </c>
      <c r="J71" s="654"/>
      <c r="K71" s="654"/>
      <c r="L71" s="654"/>
      <c r="N71" s="619">
        <f>+E71+G71</f>
        <v>450</v>
      </c>
      <c r="O71" t="s">
        <v>494</v>
      </c>
    </row>
    <row r="72" spans="3:15">
      <c r="C72" s="436" t="str">
        <f>+C63</f>
        <v>Ampandrandava</v>
      </c>
      <c r="D72" s="459" t="s">
        <v>951</v>
      </c>
      <c r="E72" s="437">
        <v>300</v>
      </c>
      <c r="F72" t="s">
        <v>955</v>
      </c>
      <c r="G72" s="437">
        <v>100</v>
      </c>
      <c r="H72" t="s">
        <v>494</v>
      </c>
      <c r="I72" s="638" t="s">
        <v>467</v>
      </c>
      <c r="N72" s="619">
        <f t="shared" ref="N72:N76" si="14">+E72+G72</f>
        <v>400</v>
      </c>
      <c r="O72" t="s">
        <v>494</v>
      </c>
    </row>
    <row r="73" spans="3:15">
      <c r="C73" s="436" t="s">
        <v>1737</v>
      </c>
      <c r="D73" s="459" t="s">
        <v>951</v>
      </c>
      <c r="E73" s="437">
        <v>300</v>
      </c>
      <c r="F73" t="s">
        <v>955</v>
      </c>
      <c r="G73" s="437">
        <v>250</v>
      </c>
      <c r="H73" t="s">
        <v>494</v>
      </c>
      <c r="I73" s="638"/>
      <c r="N73" s="619">
        <f t="shared" si="14"/>
        <v>550</v>
      </c>
      <c r="O73" t="s">
        <v>494</v>
      </c>
    </row>
    <row r="74" spans="3:15">
      <c r="C74" s="436" t="str">
        <f>+C64</f>
        <v>Fort dauphin</v>
      </c>
      <c r="D74" s="459" t="s">
        <v>952</v>
      </c>
      <c r="E74" s="437"/>
      <c r="F74" s="437"/>
      <c r="G74" s="437">
        <v>450</v>
      </c>
      <c r="H74" t="s">
        <v>494</v>
      </c>
      <c r="I74" s="639" t="str">
        <f>+C79</f>
        <v>Okabe</v>
      </c>
      <c r="J74" s="453">
        <f>+K74*12</f>
        <v>240</v>
      </c>
      <c r="K74" s="453">
        <f>+L74*25</f>
        <v>20</v>
      </c>
      <c r="L74" s="453">
        <v>0.8</v>
      </c>
      <c r="N74" s="619">
        <f t="shared" si="14"/>
        <v>450</v>
      </c>
      <c r="O74" t="s">
        <v>494</v>
      </c>
    </row>
    <row r="75" spans="3:15">
      <c r="C75" s="436" t="str">
        <f>+C65</f>
        <v>Autres</v>
      </c>
      <c r="D75" s="459" t="s">
        <v>953</v>
      </c>
      <c r="E75" s="437">
        <v>200</v>
      </c>
      <c r="F75" t="s">
        <v>955</v>
      </c>
      <c r="G75" s="437">
        <v>250</v>
      </c>
      <c r="H75" t="s">
        <v>494</v>
      </c>
      <c r="I75" s="639" t="str">
        <f>+C80</f>
        <v>NRK</v>
      </c>
      <c r="J75" s="453">
        <f t="shared" ref="J75:J83" si="15">+K75*12</f>
        <v>213.60000000000002</v>
      </c>
      <c r="K75" s="453">
        <v>17.8</v>
      </c>
      <c r="L75" s="453">
        <v>0.71</v>
      </c>
      <c r="N75" s="619">
        <f t="shared" si="14"/>
        <v>450</v>
      </c>
      <c r="O75" t="s">
        <v>494</v>
      </c>
    </row>
    <row r="76" spans="3:15">
      <c r="C76" s="436" t="str">
        <f>+C66</f>
        <v>Benato</v>
      </c>
      <c r="D76" s="459" t="s">
        <v>1826</v>
      </c>
      <c r="E76" s="437">
        <v>100</v>
      </c>
      <c r="F76" t="s">
        <v>955</v>
      </c>
      <c r="G76" s="437">
        <v>350</v>
      </c>
      <c r="H76" t="s">
        <v>494</v>
      </c>
      <c r="I76" s="639"/>
      <c r="J76" s="453"/>
      <c r="K76" s="453"/>
      <c r="L76" s="453"/>
      <c r="N76" s="619">
        <f t="shared" si="14"/>
        <v>450</v>
      </c>
      <c r="O76" t="s">
        <v>494</v>
      </c>
    </row>
    <row r="77" spans="3:15" ht="15.75" thickBot="1">
      <c r="C77" s="446"/>
      <c r="I77" s="639" t="str">
        <f t="shared" ref="I77:I78" si="16">+C81</f>
        <v>Goodies</v>
      </c>
      <c r="J77" s="453">
        <f t="shared" si="15"/>
        <v>4032</v>
      </c>
      <c r="K77" s="453">
        <f>12*28</f>
        <v>336</v>
      </c>
      <c r="L77" s="453">
        <f>+K77/28</f>
        <v>12</v>
      </c>
      <c r="N77" s="655"/>
    </row>
    <row r="78" spans="3:15">
      <c r="C78" s="645" t="s">
        <v>469</v>
      </c>
      <c r="D78" s="646"/>
      <c r="E78" s="646"/>
      <c r="F78" s="646"/>
      <c r="G78" s="646"/>
      <c r="H78" s="646"/>
      <c r="I78" s="639" t="str">
        <f t="shared" si="16"/>
        <v>Elinar</v>
      </c>
      <c r="J78" s="453">
        <f t="shared" si="15"/>
        <v>3000</v>
      </c>
      <c r="K78" s="453">
        <f>10*25</f>
        <v>250</v>
      </c>
      <c r="L78" s="453">
        <v>8</v>
      </c>
    </row>
    <row r="79" spans="3:15">
      <c r="C79" s="446" t="str">
        <f>+Commandes!B28</f>
        <v>Okabe</v>
      </c>
      <c r="D79">
        <v>350</v>
      </c>
      <c r="E79" t="s">
        <v>612</v>
      </c>
      <c r="F79" t="s">
        <v>963</v>
      </c>
      <c r="G79" s="619">
        <f>+IF(E79="EUR",$E$6,$E$5)*D79</f>
        <v>1715000</v>
      </c>
      <c r="H79" s="936" t="s">
        <v>1746</v>
      </c>
      <c r="I79" s="638" t="s">
        <v>1148</v>
      </c>
      <c r="J79" s="453"/>
      <c r="K79" s="453"/>
      <c r="L79" s="453"/>
      <c r="N79" t="s">
        <v>1747</v>
      </c>
    </row>
    <row r="80" spans="3:15">
      <c r="C80" s="446" t="str">
        <f>+Commandes!B29</f>
        <v>NRK</v>
      </c>
      <c r="D80">
        <v>350</v>
      </c>
      <c r="E80" t="s">
        <v>612</v>
      </c>
      <c r="F80" t="s">
        <v>963</v>
      </c>
      <c r="G80" s="619">
        <f t="shared" ref="G80:G85" si="17">+IF(E80="EUR",$E$6,$E$5)*D80</f>
        <v>1715000</v>
      </c>
      <c r="H80" s="936" t="s">
        <v>1746</v>
      </c>
      <c r="I80" s="639" t="str">
        <f>+I74</f>
        <v>Okabe</v>
      </c>
      <c r="J80" s="453">
        <f t="shared" si="15"/>
        <v>240</v>
      </c>
      <c r="K80" s="453">
        <v>20</v>
      </c>
      <c r="L80" s="453">
        <f t="shared" ref="L80:L81" si="18">+K80/25</f>
        <v>0.8</v>
      </c>
      <c r="N80" t="s">
        <v>1747</v>
      </c>
    </row>
    <row r="81" spans="3:18">
      <c r="C81" s="446" t="s">
        <v>966</v>
      </c>
      <c r="D81">
        <v>425</v>
      </c>
      <c r="E81" t="s">
        <v>965</v>
      </c>
      <c r="F81" t="s">
        <v>964</v>
      </c>
      <c r="G81" s="619">
        <f t="shared" si="17"/>
        <v>1912500</v>
      </c>
      <c r="H81" s="936" t="s">
        <v>1746</v>
      </c>
      <c r="I81" s="639" t="str">
        <f>+I75</f>
        <v>NRK</v>
      </c>
      <c r="J81" s="453">
        <f t="shared" si="15"/>
        <v>0</v>
      </c>
      <c r="K81" s="453">
        <v>0</v>
      </c>
      <c r="L81" s="453">
        <f t="shared" si="18"/>
        <v>0</v>
      </c>
      <c r="N81" t="s">
        <v>850</v>
      </c>
    </row>
    <row r="82" spans="3:18">
      <c r="C82" s="446" t="s">
        <v>962</v>
      </c>
      <c r="D82">
        <v>300</v>
      </c>
      <c r="E82" t="s">
        <v>612</v>
      </c>
      <c r="F82" t="s">
        <v>963</v>
      </c>
      <c r="G82" s="619">
        <f t="shared" si="17"/>
        <v>1470000</v>
      </c>
      <c r="H82" s="936" t="s">
        <v>1746</v>
      </c>
      <c r="I82" s="639" t="str">
        <f t="shared" ref="I82:I83" si="19">+I77</f>
        <v>Goodies</v>
      </c>
      <c r="J82" s="453">
        <f t="shared" si="15"/>
        <v>4032</v>
      </c>
      <c r="K82" s="453">
        <f>+K77</f>
        <v>336</v>
      </c>
      <c r="L82" s="453">
        <f>+L77</f>
        <v>12</v>
      </c>
      <c r="N82" s="619" t="s">
        <v>1748</v>
      </c>
      <c r="O82" s="619"/>
    </row>
    <row r="83" spans="3:18">
      <c r="C83" s="446" t="s">
        <v>360</v>
      </c>
      <c r="D83">
        <v>450</v>
      </c>
      <c r="E83" t="s">
        <v>612</v>
      </c>
      <c r="F83" t="s">
        <v>963</v>
      </c>
      <c r="G83" s="619">
        <f t="shared" si="17"/>
        <v>2205000</v>
      </c>
      <c r="H83" s="936" t="s">
        <v>1746</v>
      </c>
      <c r="I83" s="639" t="str">
        <f t="shared" si="19"/>
        <v>Elinar</v>
      </c>
      <c r="J83" s="453">
        <f t="shared" si="15"/>
        <v>3000</v>
      </c>
      <c r="K83" s="453">
        <f>+K78</f>
        <v>250</v>
      </c>
      <c r="L83" s="453">
        <f>+L78</f>
        <v>8</v>
      </c>
      <c r="N83" t="s">
        <v>1747</v>
      </c>
    </row>
    <row r="84" spans="3:18">
      <c r="C84" s="446" t="s">
        <v>1754</v>
      </c>
      <c r="G84" s="619"/>
      <c r="H84" s="936"/>
      <c r="I84" s="639"/>
      <c r="J84" s="453"/>
      <c r="K84" s="453"/>
      <c r="L84" s="453"/>
      <c r="N84" t="s">
        <v>1755</v>
      </c>
    </row>
    <row r="85" spans="3:18" ht="15.75" thickBot="1">
      <c r="C85" s="647" t="s">
        <v>1098</v>
      </c>
      <c r="D85" s="457">
        <v>968</v>
      </c>
      <c r="E85" s="457" t="s">
        <v>1094</v>
      </c>
      <c r="F85" s="457" t="s">
        <v>1099</v>
      </c>
      <c r="G85" s="657">
        <f t="shared" si="17"/>
        <v>4356000</v>
      </c>
      <c r="H85" s="937" t="s">
        <v>1750</v>
      </c>
      <c r="I85" s="639" t="s">
        <v>849</v>
      </c>
      <c r="J85" s="453">
        <f>+K85*12</f>
        <v>1968</v>
      </c>
      <c r="K85" s="453">
        <f>+L85*25</f>
        <v>164</v>
      </c>
      <c r="L85" s="453">
        <f>+L67*0.1</f>
        <v>6.56</v>
      </c>
    </row>
    <row r="86" spans="3:18" ht="15.75" thickBot="1">
      <c r="I86" s="641" t="s">
        <v>362</v>
      </c>
      <c r="J86" s="642">
        <f>SUM(J74:J85)</f>
        <v>16725.599999999999</v>
      </c>
      <c r="K86" s="642">
        <f>SUM(K74:K85)</f>
        <v>1393.8</v>
      </c>
      <c r="L86" s="642">
        <f>SUM(L74:L85)</f>
        <v>48.870000000000005</v>
      </c>
    </row>
    <row r="87" spans="3:18" ht="15.75" hidden="1" thickBot="1"/>
    <row r="88" spans="3:18" hidden="1">
      <c r="C88" s="643" t="s">
        <v>363</v>
      </c>
      <c r="D88" s="644" t="s">
        <v>92</v>
      </c>
      <c r="E88" s="644" t="s">
        <v>157</v>
      </c>
      <c r="F88" s="644" t="s">
        <v>1138</v>
      </c>
      <c r="G88" s="644" t="s">
        <v>1139</v>
      </c>
      <c r="H88" s="644" t="s">
        <v>1140</v>
      </c>
      <c r="I88" s="644" t="s">
        <v>1141</v>
      </c>
      <c r="J88" s="644" t="s">
        <v>1142</v>
      </c>
      <c r="K88" s="644" t="s">
        <v>1143</v>
      </c>
      <c r="L88" s="644" t="s">
        <v>1144</v>
      </c>
      <c r="M88" s="644" t="s">
        <v>1145</v>
      </c>
      <c r="N88" s="644"/>
      <c r="O88" s="644"/>
      <c r="P88" s="648"/>
    </row>
    <row r="89" spans="3:18" hidden="1">
      <c r="C89" s="434" t="s">
        <v>467</v>
      </c>
      <c r="D89" s="619"/>
      <c r="E89" s="619"/>
      <c r="F89" s="619"/>
      <c r="G89" s="619"/>
      <c r="H89" s="619"/>
      <c r="I89" s="619"/>
      <c r="J89" s="619"/>
      <c r="K89" s="619"/>
      <c r="L89" s="619"/>
      <c r="M89" s="619"/>
      <c r="N89" s="619"/>
      <c r="O89" s="619"/>
      <c r="P89" s="619"/>
      <c r="R89" s="619">
        <f>+P89+P90</f>
        <v>0</v>
      </c>
    </row>
    <row r="90" spans="3:18" hidden="1">
      <c r="C90" s="639" t="str">
        <f>+I79</f>
        <v>ABR-FP1</v>
      </c>
      <c r="D90" s="619"/>
      <c r="E90" s="619"/>
      <c r="F90" s="619"/>
      <c r="G90" s="619"/>
      <c r="H90" s="619"/>
      <c r="I90" s="619"/>
      <c r="J90" s="619"/>
      <c r="K90" s="619"/>
      <c r="L90" s="619"/>
      <c r="M90" s="619"/>
      <c r="N90" s="619"/>
      <c r="O90" s="619"/>
      <c r="P90" s="619"/>
    </row>
    <row r="91" spans="3:18" hidden="1">
      <c r="C91" s="434" t="str">
        <f>+C83</f>
        <v>FP1</v>
      </c>
      <c r="D91" s="619"/>
      <c r="E91" s="619"/>
      <c r="F91" s="619"/>
      <c r="G91" s="619"/>
      <c r="H91" s="619"/>
      <c r="I91" s="619"/>
      <c r="J91" s="619"/>
      <c r="K91" s="619"/>
      <c r="L91" s="619"/>
      <c r="M91" s="619"/>
      <c r="N91" s="619"/>
      <c r="O91" s="619"/>
      <c r="P91" s="619"/>
    </row>
    <row r="92" spans="3:18" ht="15.75" hidden="1" thickBot="1">
      <c r="C92" s="641" t="s">
        <v>362</v>
      </c>
      <c r="D92" s="447">
        <f>SUM(D89:D91)</f>
        <v>0</v>
      </c>
      <c r="E92" s="447">
        <f t="shared" ref="E92:M92" si="20">SUM(E89:E91)</f>
        <v>0</v>
      </c>
      <c r="F92" s="447">
        <f t="shared" si="20"/>
        <v>0</v>
      </c>
      <c r="G92" s="447">
        <f t="shared" si="20"/>
        <v>0</v>
      </c>
      <c r="H92" s="447">
        <f t="shared" si="20"/>
        <v>0</v>
      </c>
      <c r="I92" s="447">
        <f t="shared" si="20"/>
        <v>0</v>
      </c>
      <c r="J92" s="447">
        <f t="shared" si="20"/>
        <v>0</v>
      </c>
      <c r="K92" s="447">
        <f t="shared" ref="K92:L92" si="21">+J92</f>
        <v>0</v>
      </c>
      <c r="L92" s="447">
        <f t="shared" si="21"/>
        <v>0</v>
      </c>
      <c r="M92" s="447">
        <f t="shared" si="20"/>
        <v>0</v>
      </c>
      <c r="N92" s="447"/>
      <c r="O92" s="447"/>
      <c r="P92" s="447"/>
      <c r="R92" s="619"/>
    </row>
    <row r="93" spans="3:18" ht="15.75" hidden="1" thickBot="1">
      <c r="C93" s="411"/>
      <c r="D93" s="437"/>
      <c r="E93" s="437"/>
      <c r="F93" s="437"/>
      <c r="G93" s="437"/>
      <c r="H93" s="437"/>
      <c r="I93" s="437"/>
      <c r="J93" s="437"/>
      <c r="K93" s="437"/>
      <c r="L93" s="437"/>
      <c r="M93" s="437"/>
      <c r="N93" s="437"/>
      <c r="O93" s="437"/>
      <c r="P93" s="437"/>
      <c r="R93" s="619"/>
    </row>
    <row r="94" spans="3:18" hidden="1">
      <c r="C94" s="643" t="s">
        <v>1147</v>
      </c>
      <c r="D94" s="644" t="str">
        <f>+D88</f>
        <v>M1</v>
      </c>
      <c r="E94" s="644" t="str">
        <f t="shared" ref="E94:M94" si="22">+E88</f>
        <v>M2</v>
      </c>
      <c r="F94" s="644" t="str">
        <f t="shared" si="22"/>
        <v>M3</v>
      </c>
      <c r="G94" s="644" t="str">
        <f t="shared" si="22"/>
        <v>M4</v>
      </c>
      <c r="H94" s="644" t="str">
        <f t="shared" si="22"/>
        <v>M5</v>
      </c>
      <c r="I94" s="644" t="str">
        <f t="shared" si="22"/>
        <v>M6</v>
      </c>
      <c r="J94" s="644" t="str">
        <f t="shared" si="22"/>
        <v>M7</v>
      </c>
      <c r="K94" s="644" t="str">
        <f t="shared" si="22"/>
        <v>M8</v>
      </c>
      <c r="L94" s="644" t="str">
        <f t="shared" si="22"/>
        <v>M9</v>
      </c>
      <c r="M94" s="644" t="str">
        <f t="shared" si="22"/>
        <v>M10</v>
      </c>
      <c r="N94" s="644"/>
      <c r="O94" s="644"/>
      <c r="P94" s="648"/>
    </row>
    <row r="95" spans="3:18" hidden="1">
      <c r="C95" s="411" t="s">
        <v>467</v>
      </c>
      <c r="D95" s="437"/>
      <c r="E95" s="437"/>
      <c r="F95" s="437"/>
      <c r="G95" s="437"/>
      <c r="H95" s="437"/>
      <c r="I95" s="437"/>
      <c r="J95" s="437"/>
      <c r="K95" s="437"/>
      <c r="L95" s="437"/>
      <c r="M95" s="437"/>
      <c r="N95" s="437"/>
      <c r="O95" s="437"/>
      <c r="P95" s="437"/>
    </row>
    <row r="96" spans="3:18" hidden="1">
      <c r="C96" s="446" t="s">
        <v>1151</v>
      </c>
      <c r="D96" s="619"/>
      <c r="E96" s="619"/>
      <c r="F96" s="619"/>
      <c r="G96" s="619"/>
      <c r="H96" s="619"/>
      <c r="I96" s="619"/>
      <c r="J96" s="619"/>
      <c r="K96" s="619"/>
      <c r="L96" s="437"/>
      <c r="M96" s="437"/>
      <c r="N96" s="437"/>
      <c r="O96" s="437"/>
      <c r="P96" s="619"/>
      <c r="R96" s="619">
        <f>+SUM(P96:P99)</f>
        <v>0</v>
      </c>
    </row>
    <row r="97" spans="3:18" hidden="1">
      <c r="C97" s="446" t="s">
        <v>848</v>
      </c>
      <c r="D97" s="619"/>
      <c r="E97" s="619"/>
      <c r="F97" s="619"/>
      <c r="G97" s="619"/>
      <c r="H97" s="619"/>
      <c r="I97" s="619"/>
      <c r="J97" s="619"/>
      <c r="K97" s="619"/>
      <c r="L97" s="437"/>
      <c r="M97" s="437"/>
      <c r="N97" s="437"/>
      <c r="O97" s="437"/>
      <c r="P97" s="619"/>
    </row>
    <row r="98" spans="3:18" hidden="1">
      <c r="C98" s="446" t="str">
        <f>+C81</f>
        <v>Goodies</v>
      </c>
      <c r="D98" s="619"/>
      <c r="E98" s="619"/>
      <c r="F98" s="619"/>
      <c r="G98" s="619"/>
      <c r="H98" s="619"/>
      <c r="I98" s="619"/>
      <c r="J98" s="619"/>
      <c r="K98" s="619"/>
      <c r="L98" s="437"/>
      <c r="M98" s="437"/>
      <c r="N98" s="437"/>
      <c r="O98" s="437"/>
      <c r="P98" s="619"/>
    </row>
    <row r="99" spans="3:18" hidden="1">
      <c r="C99" s="446" t="str">
        <f>+C82</f>
        <v>Elinar</v>
      </c>
      <c r="D99" s="619"/>
      <c r="E99" s="619"/>
      <c r="F99" s="619"/>
      <c r="G99" s="619"/>
      <c r="H99" s="619"/>
      <c r="I99" s="619"/>
      <c r="J99" s="619"/>
      <c r="K99" s="619"/>
      <c r="L99" s="437"/>
      <c r="M99" s="437"/>
      <c r="N99" s="437"/>
      <c r="O99" s="437"/>
      <c r="P99" s="619"/>
    </row>
    <row r="100" spans="3:18" hidden="1">
      <c r="C100" s="656" t="str">
        <f>+C90</f>
        <v>ABR-FP1</v>
      </c>
      <c r="D100" s="619"/>
      <c r="E100" s="619"/>
      <c r="F100" s="619"/>
      <c r="G100" s="619"/>
      <c r="H100" s="619"/>
      <c r="I100" s="619"/>
      <c r="J100" s="437"/>
      <c r="K100" s="437"/>
      <c r="L100" s="437"/>
      <c r="M100" s="437"/>
      <c r="N100" s="437"/>
      <c r="O100" s="437"/>
      <c r="P100" s="437"/>
    </row>
    <row r="101" spans="3:18" hidden="1">
      <c r="C101" s="446" t="str">
        <f>+C96</f>
        <v>Okabe</v>
      </c>
      <c r="D101" s="619"/>
      <c r="E101" s="619"/>
      <c r="F101" s="619"/>
      <c r="G101" s="619"/>
      <c r="H101" s="619"/>
      <c r="I101" s="619"/>
      <c r="J101" s="619"/>
      <c r="K101" s="619"/>
      <c r="L101" s="437"/>
      <c r="M101" s="437"/>
      <c r="N101" s="437"/>
      <c r="O101" s="437"/>
      <c r="P101" s="619"/>
      <c r="R101" s="619">
        <f>+SUM(P101:P104)</f>
        <v>0</v>
      </c>
    </row>
    <row r="102" spans="3:18" hidden="1">
      <c r="C102" s="446" t="str">
        <f t="shared" ref="C102:C104" si="23">+C97</f>
        <v>NRK</v>
      </c>
      <c r="D102" s="619"/>
      <c r="E102" s="619"/>
      <c r="F102" s="619"/>
      <c r="G102" s="619"/>
      <c r="H102" s="619"/>
      <c r="I102" s="619"/>
      <c r="J102" s="619"/>
      <c r="K102" s="619"/>
      <c r="L102" s="437"/>
      <c r="M102" s="437"/>
      <c r="N102" s="437"/>
      <c r="O102" s="437"/>
      <c r="P102" s="619"/>
    </row>
    <row r="103" spans="3:18" hidden="1">
      <c r="C103" s="446" t="str">
        <f t="shared" si="23"/>
        <v>Goodies</v>
      </c>
      <c r="D103" s="619"/>
      <c r="E103" s="619"/>
      <c r="F103" s="619"/>
      <c r="G103" s="619"/>
      <c r="H103" s="619"/>
      <c r="I103" s="619"/>
      <c r="J103" s="619"/>
      <c r="K103" s="619"/>
      <c r="L103" s="437"/>
      <c r="M103" s="437"/>
      <c r="N103" s="437"/>
      <c r="O103" s="437"/>
      <c r="P103" s="619"/>
    </row>
    <row r="104" spans="3:18" hidden="1">
      <c r="C104" s="446" t="str">
        <f t="shared" si="23"/>
        <v>Elinar</v>
      </c>
      <c r="D104" s="619"/>
      <c r="E104" s="619"/>
      <c r="F104" s="619"/>
      <c r="G104" s="619"/>
      <c r="H104" s="619"/>
      <c r="I104" s="619"/>
      <c r="J104" s="619"/>
      <c r="K104" s="619"/>
      <c r="L104" s="437"/>
      <c r="M104" s="619"/>
      <c r="N104" s="619"/>
      <c r="O104" s="619"/>
      <c r="P104" s="619"/>
    </row>
    <row r="105" spans="3:18" hidden="1">
      <c r="C105" s="656" t="s">
        <v>849</v>
      </c>
      <c r="D105" s="619"/>
      <c r="E105" s="619"/>
      <c r="F105" s="619"/>
      <c r="G105" s="619"/>
      <c r="H105" s="619"/>
      <c r="I105" s="619"/>
      <c r="J105" s="437"/>
      <c r="K105" s="437"/>
      <c r="L105" s="437"/>
      <c r="M105" s="437"/>
      <c r="N105" s="437"/>
      <c r="O105" s="437"/>
      <c r="P105" s="437"/>
    </row>
    <row r="106" spans="3:18" ht="15.75" hidden="1" thickBot="1">
      <c r="C106" s="647" t="s">
        <v>850</v>
      </c>
      <c r="D106" s="657"/>
      <c r="E106" s="657"/>
      <c r="F106" s="657"/>
      <c r="G106" s="657"/>
      <c r="H106" s="657"/>
      <c r="I106" s="657"/>
      <c r="J106" s="657"/>
      <c r="K106" s="457"/>
      <c r="L106" s="457"/>
      <c r="M106" s="457"/>
      <c r="N106" s="457"/>
      <c r="O106" s="457"/>
      <c r="P106" s="439"/>
    </row>
    <row r="107" spans="3:18" ht="15.75" hidden="1" thickBot="1">
      <c r="C107" s="446"/>
      <c r="D107" s="619"/>
      <c r="E107" s="619"/>
      <c r="F107" s="619"/>
      <c r="G107" s="619"/>
      <c r="H107" s="619"/>
      <c r="I107" s="619"/>
      <c r="J107" s="619"/>
      <c r="P107" s="437"/>
    </row>
    <row r="108" spans="3:18" hidden="1">
      <c r="C108" s="643" t="s">
        <v>1149</v>
      </c>
      <c r="D108" s="644" t="str">
        <f t="shared" ref="D108:M108" si="24">+D88</f>
        <v>M1</v>
      </c>
      <c r="E108" s="644" t="str">
        <f t="shared" si="24"/>
        <v>M2</v>
      </c>
      <c r="F108" s="644" t="str">
        <f t="shared" si="24"/>
        <v>M3</v>
      </c>
      <c r="G108" s="644" t="str">
        <f t="shared" si="24"/>
        <v>M4</v>
      </c>
      <c r="H108" s="644" t="str">
        <f t="shared" si="24"/>
        <v>M5</v>
      </c>
      <c r="I108" s="644" t="str">
        <f t="shared" si="24"/>
        <v>M6</v>
      </c>
      <c r="J108" s="644" t="str">
        <f t="shared" si="24"/>
        <v>M7</v>
      </c>
      <c r="K108" s="644" t="str">
        <f t="shared" si="24"/>
        <v>M8</v>
      </c>
      <c r="L108" s="644" t="str">
        <f t="shared" si="24"/>
        <v>M9</v>
      </c>
      <c r="M108" s="644" t="str">
        <f t="shared" si="24"/>
        <v>M10</v>
      </c>
      <c r="N108" s="644"/>
      <c r="O108" s="644"/>
      <c r="P108" s="648"/>
    </row>
    <row r="109" spans="3:18" ht="15.75" hidden="1" thickBot="1">
      <c r="C109" s="649" t="s">
        <v>1150</v>
      </c>
      <c r="D109" s="650">
        <f>+(D89+D90)/$D$58</f>
        <v>0</v>
      </c>
      <c r="E109" s="650">
        <f t="shared" ref="E109:M109" si="25">+(E89+E90)/$D$58</f>
        <v>0</v>
      </c>
      <c r="F109" s="650">
        <f t="shared" si="25"/>
        <v>0</v>
      </c>
      <c r="G109" s="650">
        <f t="shared" si="25"/>
        <v>0</v>
      </c>
      <c r="H109" s="650">
        <f t="shared" si="25"/>
        <v>0</v>
      </c>
      <c r="I109" s="650">
        <f t="shared" si="25"/>
        <v>0</v>
      </c>
      <c r="J109" s="650">
        <f t="shared" si="25"/>
        <v>0</v>
      </c>
      <c r="K109" s="650">
        <f t="shared" si="25"/>
        <v>0</v>
      </c>
      <c r="L109" s="650">
        <f t="shared" si="25"/>
        <v>0</v>
      </c>
      <c r="M109" s="650">
        <f t="shared" si="25"/>
        <v>0</v>
      </c>
      <c r="N109" s="650"/>
      <c r="O109" s="650"/>
      <c r="P109" s="650"/>
    </row>
    <row r="110" spans="3:18" hidden="1"/>
    <row r="111" spans="3:18" hidden="1">
      <c r="D111" s="619"/>
      <c r="E111" s="619"/>
      <c r="F111" s="619"/>
      <c r="G111" s="619"/>
      <c r="H111" s="619"/>
      <c r="I111" s="619"/>
      <c r="J111" s="619"/>
      <c r="K111" s="619"/>
      <c r="L111" s="619"/>
      <c r="M111" s="619"/>
      <c r="N111" s="619"/>
      <c r="O111" s="619"/>
      <c r="P111" s="619"/>
    </row>
    <row r="112" spans="3:18" hidden="1"/>
    <row r="113" spans="10:10" hidden="1">
      <c r="J113">
        <f>+J106/28</f>
        <v>0</v>
      </c>
    </row>
    <row r="114" spans="10:10" hidden="1">
      <c r="J114">
        <f>4*28</f>
        <v>112</v>
      </c>
    </row>
    <row r="115" spans="10:10" hidden="1"/>
    <row r="116" spans="10:10" hidden="1"/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4A8D6-FB92-42BA-B763-7627299D860A}">
  <sheetPr codeName="Feuil33"/>
  <dimension ref="B1:AE165"/>
  <sheetViews>
    <sheetView showGridLines="0" topLeftCell="O3" zoomScale="85" zoomScaleNormal="85" workbookViewId="0">
      <selection activeCell="AB4" sqref="AB4"/>
    </sheetView>
  </sheetViews>
  <sheetFormatPr baseColWidth="10" defaultRowHeight="16.5"/>
  <cols>
    <col min="1" max="1" width="2.140625" style="198" customWidth="1"/>
    <col min="3" max="3" width="11.42578125" style="198"/>
    <col min="4" max="4" width="18.140625" style="198" customWidth="1"/>
    <col min="5" max="5" width="13.85546875" style="198" bestFit="1" customWidth="1"/>
    <col min="6" max="7" width="11.42578125" style="198"/>
    <col min="8" max="8" width="13.7109375" style="198" bestFit="1" customWidth="1"/>
    <col min="9" max="9" width="11.42578125" style="198"/>
    <col min="10" max="11" width="13.7109375" style="198" bestFit="1" customWidth="1"/>
    <col min="12" max="12" width="11.42578125" style="198"/>
    <col min="13" max="13" width="3.85546875" style="198" customWidth="1"/>
    <col min="14" max="14" width="11.42578125" style="405"/>
    <col min="15" max="16" width="11.42578125" style="198"/>
    <col min="17" max="17" width="12.7109375" style="198" bestFit="1" customWidth="1"/>
    <col min="18" max="18" width="11.42578125" style="198"/>
    <col min="19" max="21" width="15.140625" style="198" bestFit="1" customWidth="1"/>
    <col min="22" max="22" width="6.85546875" style="198" bestFit="1" customWidth="1"/>
    <col min="23" max="23" width="3.85546875" style="198" customWidth="1"/>
    <col min="24" max="24" width="11.42578125" style="198"/>
    <col min="25" max="25" width="15.140625" style="198" bestFit="1" customWidth="1"/>
    <col min="26" max="26" width="11.42578125" style="198"/>
    <col min="27" max="27" width="23.140625" style="198" bestFit="1" customWidth="1"/>
    <col min="28" max="28" width="19.5703125" style="198" bestFit="1" customWidth="1"/>
    <col min="29" max="29" width="23.140625" style="198" bestFit="1" customWidth="1"/>
    <col min="30" max="16384" width="11.42578125" style="198"/>
  </cols>
  <sheetData>
    <row r="1" spans="2:31">
      <c r="B1" s="199" t="s">
        <v>961</v>
      </c>
      <c r="D1" s="199" t="s">
        <v>961</v>
      </c>
    </row>
    <row r="2" spans="2:31" ht="17.25" thickBot="1">
      <c r="B2" s="198"/>
    </row>
    <row r="3" spans="2:31">
      <c r="B3" s="848" t="s">
        <v>1743</v>
      </c>
      <c r="C3" s="848" t="s">
        <v>1735</v>
      </c>
      <c r="D3" s="848" t="s">
        <v>1732</v>
      </c>
      <c r="E3" s="848" t="s">
        <v>1733</v>
      </c>
      <c r="F3" s="848" t="s">
        <v>843</v>
      </c>
      <c r="G3" s="848" t="s">
        <v>382</v>
      </c>
      <c r="H3" s="848" t="s">
        <v>1734</v>
      </c>
      <c r="I3" s="848" t="s">
        <v>1740</v>
      </c>
      <c r="J3" s="848" t="s">
        <v>412</v>
      </c>
      <c r="K3" s="848" t="s">
        <v>1265</v>
      </c>
      <c r="L3" s="848" t="s">
        <v>1741</v>
      </c>
      <c r="M3" s="765"/>
      <c r="N3" s="848" t="str">
        <f>+B3</f>
        <v>Réf</v>
      </c>
      <c r="O3" s="848" t="str">
        <f>+C3</f>
        <v>Types</v>
      </c>
      <c r="P3" s="848" t="str">
        <f>+D3</f>
        <v>Date</v>
      </c>
      <c r="Q3" s="848" t="str">
        <f>+F3</f>
        <v>Qté</v>
      </c>
      <c r="R3" s="848" t="str">
        <f>+G3</f>
        <v>PU</v>
      </c>
      <c r="S3" s="848" t="str">
        <f>+H3</f>
        <v>Valeur</v>
      </c>
      <c r="T3" s="848" t="str">
        <f>+J3</f>
        <v>Transport</v>
      </c>
      <c r="U3" s="848" t="str">
        <f>+K3</f>
        <v>Cout d'achat</v>
      </c>
      <c r="V3" s="848" t="str">
        <f>+L3</f>
        <v>CA U</v>
      </c>
      <c r="W3" s="765"/>
      <c r="X3" s="927" t="str">
        <f t="shared" ref="X3:AD3" si="0">+P3</f>
        <v>Date</v>
      </c>
      <c r="Y3" s="848" t="str">
        <f t="shared" si="0"/>
        <v>Qté</v>
      </c>
      <c r="Z3" s="848" t="str">
        <f t="shared" si="0"/>
        <v>PU</v>
      </c>
      <c r="AA3" s="848" t="str">
        <f t="shared" si="0"/>
        <v>Valeur</v>
      </c>
      <c r="AB3" s="848" t="str">
        <f t="shared" si="0"/>
        <v>Transport</v>
      </c>
      <c r="AC3" s="848" t="str">
        <f t="shared" si="0"/>
        <v>Cout d'achat</v>
      </c>
      <c r="AD3" s="848" t="str">
        <f t="shared" si="0"/>
        <v>CA U</v>
      </c>
    </row>
    <row r="4" spans="2:31">
      <c r="B4" s="198" t="e">
        <f t="shared" ref="B4:B35" si="1">_xlfn.XLOOKUP(C4,O:O,N:N)</f>
        <v>#REF!</v>
      </c>
      <c r="C4" s="462" t="e">
        <f>'Besoins en micas'!#REF!</f>
        <v>#REF!</v>
      </c>
      <c r="D4" s="198" t="e">
        <f>'Besoins en micas'!#REF!</f>
        <v>#REF!</v>
      </c>
      <c r="E4" s="462" t="e">
        <f>'Besoins en micas'!#REF!</f>
        <v>#REF!</v>
      </c>
      <c r="F4" s="245" t="e">
        <f>'Besoins en micas'!#REF!</f>
        <v>#REF!</v>
      </c>
      <c r="G4" s="245" t="e">
        <f>IF(C4="FP1",'Données SOMIDA'!$G$73,VLOOKUP(E4,'Données SOMIDA'!$C$71:$G$75,5,FALSE))</f>
        <v>#REF!</v>
      </c>
      <c r="H4" s="245" t="e">
        <f t="shared" ref="H4:H68" si="2">+F4*G4</f>
        <v>#REF!</v>
      </c>
      <c r="I4" s="245" t="e">
        <f>+VLOOKUP(E4,'Données SOMIDA'!$C$71:$E$75,3,FALSE)</f>
        <v>#REF!</v>
      </c>
      <c r="J4" s="245" t="e">
        <f t="shared" ref="J4:J68" si="3">+F4*I4</f>
        <v>#REF!</v>
      </c>
      <c r="K4" s="245" t="e">
        <f>+J4+H4</f>
        <v>#REF!</v>
      </c>
      <c r="L4" s="245">
        <f t="shared" ref="L4:L68" si="4">IFERROR(+K4/F4,0)</f>
        <v>0</v>
      </c>
      <c r="M4" s="245"/>
      <c r="N4" s="405">
        <v>1</v>
      </c>
      <c r="O4" s="462" t="e">
        <f>+$C$4</f>
        <v>#REF!</v>
      </c>
      <c r="P4" s="924" t="e">
        <f>+$D$4</f>
        <v>#REF!</v>
      </c>
      <c r="Q4" s="245" t="e">
        <f ca="1">SUMIF($C$4:$F$12,$C$4,$F$4:$F$12)</f>
        <v>#REF!</v>
      </c>
      <c r="R4" s="245" t="e">
        <f>+VLOOKUP(O4,#REF!,4,FALSE)</f>
        <v>#REF!</v>
      </c>
      <c r="S4" s="245" t="e">
        <f ca="1">+Q4*R4</f>
        <v>#REF!</v>
      </c>
      <c r="T4" s="245" t="e">
        <f ca="1">SUMIF($C$4:$J$12,O4,$J$4:$J$12)</f>
        <v>#REF!</v>
      </c>
      <c r="U4" s="245" t="e">
        <f ca="1">+S4+T4</f>
        <v>#REF!</v>
      </c>
      <c r="V4" s="245">
        <f t="shared" ref="V4:V8" ca="1" si="5">IFERROR(+U4/Q4,0)</f>
        <v>0</v>
      </c>
      <c r="W4" s="245"/>
      <c r="X4" s="932" t="s">
        <v>473</v>
      </c>
      <c r="Y4" s="245" t="e" cm="1">
        <f t="array" ref="Y4">TRANSPOSE(#REF!)</f>
        <v>#REF!</v>
      </c>
      <c r="Z4" s="245" t="e">
        <f t="array" ref="Z4:Z15">TRANSPOSE(#REF!)</f>
        <v>#REF!</v>
      </c>
      <c r="AA4" s="245" t="e">
        <f>+Y4*Z4</f>
        <v>#REF!</v>
      </c>
      <c r="AB4" s="245">
        <f ca="1">+SUMIF(P4:T39,X4,T4:T39)</f>
        <v>0</v>
      </c>
      <c r="AC4" s="245" t="e">
        <f ca="1">+AA4+AB4</f>
        <v>#REF!</v>
      </c>
      <c r="AD4" s="245" t="e">
        <f ca="1">+AC4/Y4</f>
        <v>#REF!</v>
      </c>
    </row>
    <row r="5" spans="2:31">
      <c r="B5" s="198" t="e">
        <f t="shared" si="1"/>
        <v>#REF!</v>
      </c>
      <c r="C5" s="462" t="e">
        <f>'Besoins en micas'!#REF!</f>
        <v>#REF!</v>
      </c>
      <c r="D5" s="198" t="e">
        <f>'Besoins en micas'!#REF!</f>
        <v>#REF!</v>
      </c>
      <c r="E5" s="462" t="e">
        <f>'Besoins en micas'!#REF!</f>
        <v>#REF!</v>
      </c>
      <c r="F5" s="245" t="e">
        <f>'Besoins en micas'!#REF!</f>
        <v>#REF!</v>
      </c>
      <c r="G5" s="245" t="e">
        <f>IF(C5="FP1",'Données SOMIDA'!$G$73,VLOOKUP(E5,'Données SOMIDA'!$C$71:$G$75,5,FALSE))</f>
        <v>#REF!</v>
      </c>
      <c r="H5" s="245" t="e">
        <f t="shared" si="2"/>
        <v>#REF!</v>
      </c>
      <c r="I5" s="245" t="e">
        <f>+VLOOKUP(E5,'Données SOMIDA'!$C$71:$E$75,3,FALSE)</f>
        <v>#REF!</v>
      </c>
      <c r="J5" s="245" t="e">
        <f t="shared" si="3"/>
        <v>#REF!</v>
      </c>
      <c r="K5" s="245" t="e">
        <f t="shared" ref="K5:K68" si="6">+J5+H5</f>
        <v>#REF!</v>
      </c>
      <c r="L5" s="245">
        <f t="shared" si="4"/>
        <v>0</v>
      </c>
      <c r="M5" s="245"/>
      <c r="N5" s="405">
        <v>2</v>
      </c>
      <c r="O5" s="462" t="e">
        <f>+$C$8</f>
        <v>#REF!</v>
      </c>
      <c r="P5" s="924" t="e">
        <f>+$D$4</f>
        <v>#REF!</v>
      </c>
      <c r="Q5" s="245" t="e">
        <f ca="1">SUMIF($C$4:$F$12,$C$8,$F$4:$F$12)</f>
        <v>#REF!</v>
      </c>
      <c r="R5" s="245" t="e">
        <f>+VLOOKUP(O5,#REF!,4,FALSE)</f>
        <v>#REF!</v>
      </c>
      <c r="S5" s="245" t="e">
        <f t="shared" ref="S5:S39" ca="1" si="7">+Q5*R5</f>
        <v>#REF!</v>
      </c>
      <c r="T5" s="245" t="e">
        <f ca="1">SUMIF($C$4:$J$12,O5,$J$4:$J$12)</f>
        <v>#REF!</v>
      </c>
      <c r="U5" s="245" t="e">
        <f t="shared" ref="U5:U39" ca="1" si="8">+S5+T5</f>
        <v>#REF!</v>
      </c>
      <c r="V5" s="245">
        <f t="shared" ca="1" si="5"/>
        <v>0</v>
      </c>
      <c r="W5" s="245"/>
      <c r="X5" s="932" t="s">
        <v>474</v>
      </c>
      <c r="Y5" s="245"/>
      <c r="Z5" s="245" t="e">
        <v>#REF!</v>
      </c>
      <c r="AA5" s="245" t="e">
        <f t="shared" ref="AA5:AA15" si="9">+Y5*Z5</f>
        <v>#REF!</v>
      </c>
      <c r="AB5" s="245">
        <f t="shared" ref="AB5:AB15" ca="1" si="10">+SUMIF(P5:T40,X5,T5:T40)</f>
        <v>0</v>
      </c>
      <c r="AC5" s="245" t="e">
        <f t="shared" ref="AC5:AC16" ca="1" si="11">+AA5+AB5</f>
        <v>#REF!</v>
      </c>
      <c r="AD5" s="245" t="e">
        <f t="shared" ref="AD5:AD16" ca="1" si="12">+AC5/Y5</f>
        <v>#REF!</v>
      </c>
    </row>
    <row r="6" spans="2:31">
      <c r="B6" s="198" t="e">
        <f t="shared" si="1"/>
        <v>#REF!</v>
      </c>
      <c r="C6" s="462" t="e">
        <f>'Besoins en micas'!#REF!</f>
        <v>#REF!</v>
      </c>
      <c r="D6" s="198" t="e">
        <f>'Besoins en micas'!#REF!</f>
        <v>#REF!</v>
      </c>
      <c r="E6" s="462" t="e">
        <f>'Besoins en micas'!#REF!</f>
        <v>#REF!</v>
      </c>
      <c r="F6" s="245" t="e">
        <f>'Besoins en micas'!#REF!</f>
        <v>#REF!</v>
      </c>
      <c r="G6" s="245" t="e">
        <f>IF(C6="FP1",'Données SOMIDA'!$G$73,VLOOKUP(E6,'Données SOMIDA'!$C$71:$G$75,5,FALSE))</f>
        <v>#REF!</v>
      </c>
      <c r="H6" s="245" t="e">
        <f t="shared" si="2"/>
        <v>#REF!</v>
      </c>
      <c r="I6" s="245" t="e">
        <f>+VLOOKUP(E6,'Données SOMIDA'!$C$71:$E$75,3,FALSE)</f>
        <v>#REF!</v>
      </c>
      <c r="J6" s="245" t="e">
        <f t="shared" si="3"/>
        <v>#REF!</v>
      </c>
      <c r="K6" s="245" t="e">
        <f t="shared" si="6"/>
        <v>#REF!</v>
      </c>
      <c r="L6" s="245">
        <f t="shared" si="4"/>
        <v>0</v>
      </c>
      <c r="M6" s="245"/>
      <c r="N6" s="405">
        <v>3</v>
      </c>
      <c r="O6" s="462" t="e">
        <f>+$C$12</f>
        <v>#REF!</v>
      </c>
      <c r="P6" s="924" t="e">
        <f>+$D$4</f>
        <v>#REF!</v>
      </c>
      <c r="Q6" s="245" t="e">
        <f ca="1">SUMIF($C$4:$F$12,$C$12,$F$4:$F$12)</f>
        <v>#REF!</v>
      </c>
      <c r="R6" s="245" t="e">
        <f>+VLOOKUP(O6,#REF!,4,FALSE)</f>
        <v>#REF!</v>
      </c>
      <c r="S6" s="245" t="e">
        <f t="shared" ca="1" si="7"/>
        <v>#REF!</v>
      </c>
      <c r="T6" s="245" t="e">
        <f ca="1">SUMIF($C$4:$J$12,O6,$J$4:$J$12)</f>
        <v>#REF!</v>
      </c>
      <c r="U6" s="245" t="e">
        <f t="shared" ca="1" si="8"/>
        <v>#REF!</v>
      </c>
      <c r="V6" s="245">
        <f t="shared" ca="1" si="5"/>
        <v>0</v>
      </c>
      <c r="W6" s="245"/>
      <c r="X6" s="932" t="s">
        <v>475</v>
      </c>
      <c r="Y6" s="245"/>
      <c r="Z6" s="245" t="e">
        <v>#REF!</v>
      </c>
      <c r="AA6" s="245" t="e">
        <f t="shared" si="9"/>
        <v>#REF!</v>
      </c>
      <c r="AB6" s="245">
        <f t="shared" ca="1" si="10"/>
        <v>0</v>
      </c>
      <c r="AC6" s="245" t="e">
        <f t="shared" ca="1" si="11"/>
        <v>#REF!</v>
      </c>
      <c r="AD6" s="245" t="e">
        <f t="shared" ca="1" si="12"/>
        <v>#REF!</v>
      </c>
    </row>
    <row r="7" spans="2:31">
      <c r="B7" s="198" t="e">
        <f t="shared" si="1"/>
        <v>#REF!</v>
      </c>
      <c r="C7" s="462" t="e">
        <f>'Besoins en micas'!#REF!</f>
        <v>#REF!</v>
      </c>
      <c r="D7" s="198" t="e">
        <f>'Besoins en micas'!#REF!</f>
        <v>#REF!</v>
      </c>
      <c r="E7" s="462" t="e">
        <f>'Besoins en micas'!#REF!</f>
        <v>#REF!</v>
      </c>
      <c r="F7" s="245" t="e">
        <f>'Besoins en micas'!#REF!</f>
        <v>#REF!</v>
      </c>
      <c r="G7" s="245" t="e">
        <f>IF(C7="FP1",'Données SOMIDA'!$G$73,VLOOKUP(E7,'Données SOMIDA'!$C$71:$G$75,5,FALSE))</f>
        <v>#REF!</v>
      </c>
      <c r="H7" s="245" t="e">
        <f t="shared" si="2"/>
        <v>#REF!</v>
      </c>
      <c r="I7" s="245" t="e">
        <f>+VLOOKUP(E7,'Données SOMIDA'!$C$71:$E$75,3,FALSE)</f>
        <v>#REF!</v>
      </c>
      <c r="J7" s="245" t="e">
        <f t="shared" si="3"/>
        <v>#REF!</v>
      </c>
      <c r="K7" s="245" t="e">
        <f t="shared" si="6"/>
        <v>#REF!</v>
      </c>
      <c r="L7" s="245">
        <f t="shared" si="4"/>
        <v>0</v>
      </c>
      <c r="M7" s="245"/>
      <c r="N7" s="405">
        <v>1</v>
      </c>
      <c r="O7" s="462" t="e">
        <f>+$C$4</f>
        <v>#REF!</v>
      </c>
      <c r="P7" s="924" t="e">
        <f>+$D$13</f>
        <v>#REF!</v>
      </c>
      <c r="Q7" s="245" t="e">
        <f ca="1">SUMIF($C$13:$F$21,$C$13,$F$13:$F$21)</f>
        <v>#REF!</v>
      </c>
      <c r="R7" s="245" t="e">
        <f>+VLOOKUP(O7,#REF!,4,FALSE)</f>
        <v>#REF!</v>
      </c>
      <c r="S7" s="245" t="e">
        <f t="shared" ca="1" si="7"/>
        <v>#REF!</v>
      </c>
      <c r="T7" s="245" t="e">
        <f ca="1">SUMIF($C$13:$J$21,O7,$J$13:$J$21)</f>
        <v>#REF!</v>
      </c>
      <c r="U7" s="245" t="e">
        <f t="shared" ca="1" si="8"/>
        <v>#REF!</v>
      </c>
      <c r="V7" s="245">
        <f t="shared" ca="1" si="5"/>
        <v>0</v>
      </c>
      <c r="W7" s="245"/>
      <c r="X7" s="932" t="s">
        <v>476</v>
      </c>
      <c r="Y7" s="245"/>
      <c r="Z7" s="245" t="e">
        <v>#REF!</v>
      </c>
      <c r="AA7" s="245" t="e">
        <f t="shared" si="9"/>
        <v>#REF!</v>
      </c>
      <c r="AB7" s="245">
        <f t="shared" ca="1" si="10"/>
        <v>0</v>
      </c>
      <c r="AC7" s="245" t="e">
        <f t="shared" ca="1" si="11"/>
        <v>#REF!</v>
      </c>
      <c r="AD7" s="245" t="e">
        <f t="shared" ca="1" si="12"/>
        <v>#REF!</v>
      </c>
    </row>
    <row r="8" spans="2:31">
      <c r="B8" s="198" t="e">
        <f t="shared" si="1"/>
        <v>#REF!</v>
      </c>
      <c r="C8" s="462" t="e">
        <f>'Besoins en micas'!#REF!</f>
        <v>#REF!</v>
      </c>
      <c r="D8" s="198" t="e">
        <f>'Besoins en micas'!#REF!</f>
        <v>#REF!</v>
      </c>
      <c r="E8" s="462" t="e">
        <f>'Besoins en micas'!#REF!</f>
        <v>#REF!</v>
      </c>
      <c r="F8" s="245" t="e">
        <f>'Besoins en micas'!#REF!</f>
        <v>#REF!</v>
      </c>
      <c r="G8" s="245" t="e">
        <f>IF(C8="FP1",'Données SOMIDA'!$G$73,VLOOKUP(E8,'Données SOMIDA'!$C$71:$G$75,5,FALSE))</f>
        <v>#REF!</v>
      </c>
      <c r="H8" s="245" t="e">
        <f t="shared" si="2"/>
        <v>#REF!</v>
      </c>
      <c r="I8" s="245" t="e">
        <f>+VLOOKUP(E8,'Données SOMIDA'!$C$71:$E$75,3,FALSE)</f>
        <v>#REF!</v>
      </c>
      <c r="J8" s="245" t="e">
        <f t="shared" si="3"/>
        <v>#REF!</v>
      </c>
      <c r="K8" s="245" t="e">
        <f t="shared" si="6"/>
        <v>#REF!</v>
      </c>
      <c r="L8" s="245">
        <f t="shared" si="4"/>
        <v>0</v>
      </c>
      <c r="M8" s="245"/>
      <c r="N8" s="405">
        <v>2</v>
      </c>
      <c r="O8" s="462" t="e">
        <f>+$C$8</f>
        <v>#REF!</v>
      </c>
      <c r="P8" s="924" t="e">
        <f>+$D$13</f>
        <v>#REF!</v>
      </c>
      <c r="Q8" s="245" t="e">
        <f ca="1">SUMIF($C$13:$F$21,$C$17,$F$13:$F$21)</f>
        <v>#REF!</v>
      </c>
      <c r="R8" s="245" t="e">
        <f>+VLOOKUP(O8,#REF!,4,FALSE)</f>
        <v>#REF!</v>
      </c>
      <c r="S8" s="245" t="e">
        <f t="shared" ca="1" si="7"/>
        <v>#REF!</v>
      </c>
      <c r="T8" s="245" t="e">
        <f t="shared" ref="T8:T9" ca="1" si="13">SUMIF($C$13:$J$21,O8,$J$13:$J$21)</f>
        <v>#REF!</v>
      </c>
      <c r="U8" s="245" t="e">
        <f t="shared" ca="1" si="8"/>
        <v>#REF!</v>
      </c>
      <c r="V8" s="245">
        <f t="shared" ca="1" si="5"/>
        <v>0</v>
      </c>
      <c r="W8" s="245"/>
      <c r="X8" s="932" t="s">
        <v>477</v>
      </c>
      <c r="Y8" s="245"/>
      <c r="Z8" s="245" t="e">
        <v>#REF!</v>
      </c>
      <c r="AA8" s="245" t="e">
        <f t="shared" si="9"/>
        <v>#REF!</v>
      </c>
      <c r="AB8" s="245">
        <f t="shared" ca="1" si="10"/>
        <v>0</v>
      </c>
      <c r="AC8" s="245" t="e">
        <f t="shared" ca="1" si="11"/>
        <v>#REF!</v>
      </c>
      <c r="AD8" s="245" t="e">
        <f t="shared" ca="1" si="12"/>
        <v>#REF!</v>
      </c>
      <c r="AE8" s="198">
        <v>0</v>
      </c>
    </row>
    <row r="9" spans="2:31">
      <c r="B9" s="198" t="e">
        <f t="shared" si="1"/>
        <v>#REF!</v>
      </c>
      <c r="C9" s="462" t="e">
        <f>'Besoins en micas'!#REF!</f>
        <v>#REF!</v>
      </c>
      <c r="D9" s="198" t="e">
        <f>'Besoins en micas'!#REF!</f>
        <v>#REF!</v>
      </c>
      <c r="E9" s="462" t="e">
        <f>'Besoins en micas'!#REF!</f>
        <v>#REF!</v>
      </c>
      <c r="F9" s="245" t="e">
        <f>'Besoins en micas'!#REF!</f>
        <v>#REF!</v>
      </c>
      <c r="G9" s="245" t="e">
        <f>IF(C9="FP1",'Données SOMIDA'!$G$73,VLOOKUP(E9,'Données SOMIDA'!$C$71:$G$75,5,FALSE))</f>
        <v>#REF!</v>
      </c>
      <c r="H9" s="245" t="e">
        <f t="shared" si="2"/>
        <v>#REF!</v>
      </c>
      <c r="I9" s="245" t="e">
        <f>+VLOOKUP(E9,'Données SOMIDA'!$C$71:$E$75,3,FALSE)</f>
        <v>#REF!</v>
      </c>
      <c r="J9" s="245" t="e">
        <f t="shared" si="3"/>
        <v>#REF!</v>
      </c>
      <c r="K9" s="245" t="e">
        <f t="shared" si="6"/>
        <v>#REF!</v>
      </c>
      <c r="L9" s="245">
        <f t="shared" si="4"/>
        <v>0</v>
      </c>
      <c r="M9" s="245"/>
      <c r="N9" s="405">
        <v>3</v>
      </c>
      <c r="O9" s="462" t="e">
        <f>+$C$12</f>
        <v>#REF!</v>
      </c>
      <c r="P9" s="924" t="e">
        <f>+$D$13</f>
        <v>#REF!</v>
      </c>
      <c r="Q9" s="245" t="e">
        <f ca="1">SUMIF($C$13:$F$21,$C$21,$F$13:$F$21)</f>
        <v>#REF!</v>
      </c>
      <c r="R9" s="245" t="e">
        <f>+VLOOKUP(O9,#REF!,4,FALSE)</f>
        <v>#REF!</v>
      </c>
      <c r="S9" s="245" t="e">
        <f t="shared" ca="1" si="7"/>
        <v>#REF!</v>
      </c>
      <c r="T9" s="245" t="e">
        <f t="shared" ca="1" si="13"/>
        <v>#REF!</v>
      </c>
      <c r="U9" s="245" t="e">
        <f t="shared" ca="1" si="8"/>
        <v>#REF!</v>
      </c>
      <c r="V9" s="245">
        <f ca="1">IFERROR(+U9/Q9,0)</f>
        <v>0</v>
      </c>
      <c r="W9" s="245"/>
      <c r="X9" s="932" t="s">
        <v>478</v>
      </c>
      <c r="Y9" s="245"/>
      <c r="Z9" s="245" t="e">
        <v>#REF!</v>
      </c>
      <c r="AA9" s="245" t="e">
        <f t="shared" si="9"/>
        <v>#REF!</v>
      </c>
      <c r="AB9" s="245">
        <f t="shared" ca="1" si="10"/>
        <v>0</v>
      </c>
      <c r="AC9" s="245" t="e">
        <f t="shared" ca="1" si="11"/>
        <v>#REF!</v>
      </c>
      <c r="AD9" s="245" t="e">
        <f t="shared" ca="1" si="12"/>
        <v>#REF!</v>
      </c>
    </row>
    <row r="10" spans="2:31">
      <c r="B10" s="198" t="e">
        <f t="shared" si="1"/>
        <v>#REF!</v>
      </c>
      <c r="C10" s="462" t="e">
        <f>'Besoins en micas'!#REF!</f>
        <v>#REF!</v>
      </c>
      <c r="D10" s="198" t="e">
        <f>'Besoins en micas'!#REF!</f>
        <v>#REF!</v>
      </c>
      <c r="E10" s="462" t="e">
        <f>'Besoins en micas'!#REF!</f>
        <v>#REF!</v>
      </c>
      <c r="F10" s="245" t="e">
        <f>'Besoins en micas'!#REF!</f>
        <v>#REF!</v>
      </c>
      <c r="G10" s="245" t="e">
        <f>IF(C10="FP1",'Données SOMIDA'!$G$73,VLOOKUP(E10,'Données SOMIDA'!$C$71:$G$75,5,FALSE))</f>
        <v>#REF!</v>
      </c>
      <c r="H10" s="245" t="e">
        <f t="shared" si="2"/>
        <v>#REF!</v>
      </c>
      <c r="I10" s="245" t="e">
        <f>+VLOOKUP(E10,'Données SOMIDA'!$C$71:$E$75,3,FALSE)</f>
        <v>#REF!</v>
      </c>
      <c r="J10" s="245" t="e">
        <f t="shared" si="3"/>
        <v>#REF!</v>
      </c>
      <c r="K10" s="245" t="e">
        <f t="shared" si="6"/>
        <v>#REF!</v>
      </c>
      <c r="L10" s="245">
        <f t="shared" si="4"/>
        <v>0</v>
      </c>
      <c r="M10" s="245"/>
      <c r="N10" s="405">
        <v>1</v>
      </c>
      <c r="O10" s="462" t="e">
        <f>+$C$4</f>
        <v>#REF!</v>
      </c>
      <c r="P10" s="925" t="e">
        <f>+$D$22</f>
        <v>#REF!</v>
      </c>
      <c r="Q10" s="245" t="e">
        <f ca="1">SUMIF($C$22:$F$30,$C$22,$F$22:$F$30)</f>
        <v>#REF!</v>
      </c>
      <c r="R10" s="245" t="e">
        <f>+VLOOKUP(O10,#REF!,4,FALSE)</f>
        <v>#REF!</v>
      </c>
      <c r="S10" s="245" t="e">
        <f t="shared" ca="1" si="7"/>
        <v>#REF!</v>
      </c>
      <c r="T10" s="245" t="e">
        <f t="shared" ref="T10:T11" ca="1" si="14">SUMIF($C$22:$J$30,O10,$J$22:$J$30)</f>
        <v>#REF!</v>
      </c>
      <c r="U10" s="245" t="e">
        <f t="shared" ca="1" si="8"/>
        <v>#REF!</v>
      </c>
      <c r="V10" s="245" t="e">
        <f t="shared" ref="V10" ca="1" si="15">+U10/Q10</f>
        <v>#REF!</v>
      </c>
      <c r="W10" s="245"/>
      <c r="X10" s="932" t="s">
        <v>479</v>
      </c>
      <c r="Y10" s="245"/>
      <c r="Z10" s="245" t="e">
        <v>#REF!</v>
      </c>
      <c r="AA10" s="245" t="e">
        <f t="shared" si="9"/>
        <v>#REF!</v>
      </c>
      <c r="AB10" s="245">
        <f t="shared" ca="1" si="10"/>
        <v>0</v>
      </c>
      <c r="AC10" s="245" t="e">
        <f t="shared" ca="1" si="11"/>
        <v>#REF!</v>
      </c>
      <c r="AD10" s="245" t="e">
        <f t="shared" ca="1" si="12"/>
        <v>#REF!</v>
      </c>
    </row>
    <row r="11" spans="2:31">
      <c r="B11" s="198" t="e">
        <f t="shared" si="1"/>
        <v>#REF!</v>
      </c>
      <c r="C11" s="462" t="e">
        <f>'Besoins en micas'!#REF!</f>
        <v>#REF!</v>
      </c>
      <c r="D11" s="198" t="e">
        <f>'Besoins en micas'!#REF!</f>
        <v>#REF!</v>
      </c>
      <c r="E11" s="462" t="e">
        <f>'Besoins en micas'!#REF!</f>
        <v>#REF!</v>
      </c>
      <c r="F11" s="245" t="e">
        <f>'Besoins en micas'!#REF!</f>
        <v>#REF!</v>
      </c>
      <c r="G11" s="245" t="e">
        <f>IF(C11="FP1",'Données SOMIDA'!$G$73,VLOOKUP(E11,'Données SOMIDA'!$C$71:$G$75,5,FALSE))</f>
        <v>#REF!</v>
      </c>
      <c r="H11" s="245" t="e">
        <f t="shared" si="2"/>
        <v>#REF!</v>
      </c>
      <c r="I11" s="245" t="e">
        <f>+VLOOKUP(E11,'Données SOMIDA'!$C$71:$E$75,3,FALSE)</f>
        <v>#REF!</v>
      </c>
      <c r="J11" s="245" t="e">
        <f t="shared" si="3"/>
        <v>#REF!</v>
      </c>
      <c r="K11" s="245" t="e">
        <f t="shared" si="6"/>
        <v>#REF!</v>
      </c>
      <c r="L11" s="245">
        <f t="shared" si="4"/>
        <v>0</v>
      </c>
      <c r="M11" s="245"/>
      <c r="N11" s="405">
        <v>2</v>
      </c>
      <c r="O11" s="462" t="e">
        <f>+$C$8</f>
        <v>#REF!</v>
      </c>
      <c r="P11" s="925" t="e">
        <f>+$D$22</f>
        <v>#REF!</v>
      </c>
      <c r="Q11" s="245" t="e">
        <f ca="1">SUMIF($C$22:$F$30,$C$26,$F$22:$F$30)</f>
        <v>#REF!</v>
      </c>
      <c r="R11" s="245" t="e">
        <f>+VLOOKUP(O11,#REF!,4,FALSE)</f>
        <v>#REF!</v>
      </c>
      <c r="S11" s="245" t="e">
        <f t="shared" ca="1" si="7"/>
        <v>#REF!</v>
      </c>
      <c r="T11" s="245" t="e">
        <f t="shared" ca="1" si="14"/>
        <v>#REF!</v>
      </c>
      <c r="U11" s="245" t="e">
        <f t="shared" ca="1" si="8"/>
        <v>#REF!</v>
      </c>
      <c r="V11" s="245">
        <f t="shared" ref="V11:V40" ca="1" si="16">IFERROR(+U11/Q11,0)</f>
        <v>0</v>
      </c>
      <c r="W11" s="245"/>
      <c r="X11" s="932" t="s">
        <v>480</v>
      </c>
      <c r="Y11" s="245"/>
      <c r="Z11" s="245" t="e">
        <v>#REF!</v>
      </c>
      <c r="AA11" s="245" t="e">
        <f t="shared" si="9"/>
        <v>#REF!</v>
      </c>
      <c r="AB11" s="245">
        <f t="shared" ca="1" si="10"/>
        <v>0</v>
      </c>
      <c r="AC11" s="245" t="e">
        <f t="shared" ca="1" si="11"/>
        <v>#REF!</v>
      </c>
      <c r="AD11" s="245" t="e">
        <f t="shared" ca="1" si="12"/>
        <v>#REF!</v>
      </c>
    </row>
    <row r="12" spans="2:31">
      <c r="B12" s="198" t="e">
        <f t="shared" si="1"/>
        <v>#REF!</v>
      </c>
      <c r="C12" s="462" t="e">
        <f>'Besoins en micas'!#REF!</f>
        <v>#REF!</v>
      </c>
      <c r="D12" s="198" t="e">
        <f>'Besoins en micas'!#REF!</f>
        <v>#REF!</v>
      </c>
      <c r="E12" s="462" t="e">
        <f>'Besoins en micas'!#REF!</f>
        <v>#REF!</v>
      </c>
      <c r="F12" s="245" t="e">
        <f>'Besoins en micas'!#REF!</f>
        <v>#REF!</v>
      </c>
      <c r="G12" s="245" t="e">
        <f>IF(C12="FP1",'Données SOMIDA'!$G$73,VLOOKUP(E12,'Données SOMIDA'!$C$71:$G$75,5,FALSE))</f>
        <v>#REF!</v>
      </c>
      <c r="H12" s="245" t="e">
        <f t="shared" si="2"/>
        <v>#REF!</v>
      </c>
      <c r="I12" s="245" t="e">
        <f>+VLOOKUP(E12,'Données SOMIDA'!$C$71:$E$75,3,FALSE)</f>
        <v>#REF!</v>
      </c>
      <c r="J12" s="245" t="e">
        <f t="shared" si="3"/>
        <v>#REF!</v>
      </c>
      <c r="K12" s="245" t="e">
        <f t="shared" si="6"/>
        <v>#REF!</v>
      </c>
      <c r="L12" s="245">
        <f t="shared" si="4"/>
        <v>0</v>
      </c>
      <c r="M12" s="245"/>
      <c r="N12" s="405">
        <v>3</v>
      </c>
      <c r="O12" s="462" t="e">
        <f>+$C$12</f>
        <v>#REF!</v>
      </c>
      <c r="P12" s="925" t="e">
        <f>+$D$22</f>
        <v>#REF!</v>
      </c>
      <c r="Q12" s="245" t="e">
        <f ca="1">SUMIF($C$22:$F$30,$C$30,$F$22:$F$30)</f>
        <v>#REF!</v>
      </c>
      <c r="R12" s="245" t="e">
        <f>+VLOOKUP(O12,#REF!,4,FALSE)</f>
        <v>#REF!</v>
      </c>
      <c r="S12" s="245" t="e">
        <f t="shared" ca="1" si="7"/>
        <v>#REF!</v>
      </c>
      <c r="T12" s="245" t="e">
        <f ca="1">SUMIF($C$22:$J$30,O12,$J$22:$J$30)</f>
        <v>#REF!</v>
      </c>
      <c r="U12" s="245" t="e">
        <f t="shared" ca="1" si="8"/>
        <v>#REF!</v>
      </c>
      <c r="V12" s="245">
        <f t="shared" ca="1" si="16"/>
        <v>0</v>
      </c>
      <c r="W12" s="245"/>
      <c r="X12" s="932" t="s">
        <v>481</v>
      </c>
      <c r="Y12" s="245"/>
      <c r="Z12" s="245" t="e">
        <v>#REF!</v>
      </c>
      <c r="AA12" s="245" t="e">
        <f t="shared" si="9"/>
        <v>#REF!</v>
      </c>
      <c r="AB12" s="245">
        <f t="shared" ca="1" si="10"/>
        <v>0</v>
      </c>
      <c r="AC12" s="245" t="e">
        <f t="shared" ca="1" si="11"/>
        <v>#REF!</v>
      </c>
      <c r="AD12" s="245" t="e">
        <f t="shared" ca="1" si="12"/>
        <v>#REF!</v>
      </c>
    </row>
    <row r="13" spans="2:31">
      <c r="B13" s="198" t="e">
        <f t="shared" si="1"/>
        <v>#REF!</v>
      </c>
      <c r="C13" s="462" t="e">
        <f>'Besoins en micas'!#REF!</f>
        <v>#REF!</v>
      </c>
      <c r="D13" s="198" t="e">
        <f>'Besoins en micas'!#REF!</f>
        <v>#REF!</v>
      </c>
      <c r="E13" s="462" t="e">
        <f>'Besoins en micas'!#REF!</f>
        <v>#REF!</v>
      </c>
      <c r="F13" s="245" t="e">
        <f>'Besoins en micas'!#REF!</f>
        <v>#REF!</v>
      </c>
      <c r="G13" s="245" t="e">
        <f>IF(C13="FP1",'Données SOMIDA'!$G$73,VLOOKUP(E13,'Données SOMIDA'!$C$71:$G$75,5,FALSE))</f>
        <v>#REF!</v>
      </c>
      <c r="H13" s="245" t="e">
        <f t="shared" si="2"/>
        <v>#REF!</v>
      </c>
      <c r="I13" s="245" t="e">
        <f>+VLOOKUP(E13,'Données SOMIDA'!$C$71:$E$75,3,FALSE)</f>
        <v>#REF!</v>
      </c>
      <c r="J13" s="245" t="e">
        <f t="shared" si="3"/>
        <v>#REF!</v>
      </c>
      <c r="K13" s="245" t="e">
        <f t="shared" si="6"/>
        <v>#REF!</v>
      </c>
      <c r="L13" s="245">
        <f t="shared" si="4"/>
        <v>0</v>
      </c>
      <c r="M13" s="245"/>
      <c r="N13" s="405">
        <v>1</v>
      </c>
      <c r="O13" s="462" t="e">
        <f>+$C$4</f>
        <v>#REF!</v>
      </c>
      <c r="P13" s="925" t="e">
        <f>+$D$31</f>
        <v>#REF!</v>
      </c>
      <c r="Q13" s="245" t="e">
        <f ca="1">SUMIF($C$31:$F$39,$C$22,$F$31:$F$39)</f>
        <v>#REF!</v>
      </c>
      <c r="R13" s="245" t="e">
        <f>+VLOOKUP(O13,#REF!,4,FALSE)</f>
        <v>#REF!</v>
      </c>
      <c r="S13" s="245" t="e">
        <f t="shared" ca="1" si="7"/>
        <v>#REF!</v>
      </c>
      <c r="T13" s="245" t="e">
        <f ca="1">SUMIF($C$31:$J$39,O13,$J$31:$J$39)</f>
        <v>#REF!</v>
      </c>
      <c r="U13" s="245" t="e">
        <f t="shared" ca="1" si="8"/>
        <v>#REF!</v>
      </c>
      <c r="V13" s="245">
        <f t="shared" ca="1" si="16"/>
        <v>0</v>
      </c>
      <c r="W13" s="245"/>
      <c r="X13" s="932" t="s">
        <v>482</v>
      </c>
      <c r="Y13" s="245"/>
      <c r="Z13" s="245" t="e">
        <v>#REF!</v>
      </c>
      <c r="AA13" s="245" t="e">
        <f t="shared" si="9"/>
        <v>#REF!</v>
      </c>
      <c r="AB13" s="245">
        <f t="shared" ca="1" si="10"/>
        <v>0</v>
      </c>
      <c r="AC13" s="245" t="e">
        <f t="shared" ca="1" si="11"/>
        <v>#REF!</v>
      </c>
      <c r="AD13" s="245" t="e">
        <f t="shared" ca="1" si="12"/>
        <v>#REF!</v>
      </c>
    </row>
    <row r="14" spans="2:31">
      <c r="B14" s="198" t="e">
        <f t="shared" si="1"/>
        <v>#REF!</v>
      </c>
      <c r="C14" s="462" t="e">
        <f>'Besoins en micas'!#REF!</f>
        <v>#REF!</v>
      </c>
      <c r="D14" s="198" t="e">
        <f>'Besoins en micas'!#REF!</f>
        <v>#REF!</v>
      </c>
      <c r="E14" s="462" t="e">
        <f>'Besoins en micas'!#REF!</f>
        <v>#REF!</v>
      </c>
      <c r="F14" s="245" t="e">
        <f>'Besoins en micas'!#REF!</f>
        <v>#REF!</v>
      </c>
      <c r="G14" s="245" t="e">
        <f>IF(C14="FP1",'Données SOMIDA'!$G$73,VLOOKUP(E14,'Données SOMIDA'!$C$71:$G$75,5,FALSE))</f>
        <v>#REF!</v>
      </c>
      <c r="H14" s="245" t="e">
        <f t="shared" si="2"/>
        <v>#REF!</v>
      </c>
      <c r="I14" s="245" t="e">
        <f>+VLOOKUP(E14,'Données SOMIDA'!$C$71:$E$75,3,FALSE)</f>
        <v>#REF!</v>
      </c>
      <c r="J14" s="245" t="e">
        <f t="shared" si="3"/>
        <v>#REF!</v>
      </c>
      <c r="K14" s="245" t="e">
        <f t="shared" si="6"/>
        <v>#REF!</v>
      </c>
      <c r="L14" s="245">
        <f t="shared" si="4"/>
        <v>0</v>
      </c>
      <c r="M14" s="245"/>
      <c r="N14" s="405">
        <v>2</v>
      </c>
      <c r="O14" s="462" t="e">
        <f>+$C$8</f>
        <v>#REF!</v>
      </c>
      <c r="P14" s="925" t="e">
        <f>+$D$31</f>
        <v>#REF!</v>
      </c>
      <c r="Q14" s="245" t="e">
        <f ca="1">SUMIF($C$31:$F$39,$C$26,$F$31:$F$39)</f>
        <v>#REF!</v>
      </c>
      <c r="R14" s="245" t="e">
        <f>+VLOOKUP(O14,#REF!,4,FALSE)</f>
        <v>#REF!</v>
      </c>
      <c r="S14" s="245" t="e">
        <f t="shared" ca="1" si="7"/>
        <v>#REF!</v>
      </c>
      <c r="T14" s="245" t="e">
        <f t="shared" ref="T14:T15" ca="1" si="17">SUMIF($C$31:$J$39,O14,$J$31:$J$39)</f>
        <v>#REF!</v>
      </c>
      <c r="U14" s="245" t="e">
        <f t="shared" ca="1" si="8"/>
        <v>#REF!</v>
      </c>
      <c r="V14" s="245">
        <f t="shared" ca="1" si="16"/>
        <v>0</v>
      </c>
      <c r="W14" s="245"/>
      <c r="X14" s="932" t="s">
        <v>483</v>
      </c>
      <c r="Y14" s="245"/>
      <c r="Z14" s="245" t="e">
        <v>#REF!</v>
      </c>
      <c r="AA14" s="245" t="e">
        <f t="shared" si="9"/>
        <v>#REF!</v>
      </c>
      <c r="AB14" s="245">
        <f t="shared" ca="1" si="10"/>
        <v>0</v>
      </c>
      <c r="AC14" s="245" t="e">
        <f t="shared" ca="1" si="11"/>
        <v>#REF!</v>
      </c>
      <c r="AD14" s="245" t="e">
        <f t="shared" ca="1" si="12"/>
        <v>#REF!</v>
      </c>
    </row>
    <row r="15" spans="2:31">
      <c r="B15" s="198" t="e">
        <f t="shared" si="1"/>
        <v>#REF!</v>
      </c>
      <c r="C15" s="462" t="e">
        <f>'Besoins en micas'!#REF!</f>
        <v>#REF!</v>
      </c>
      <c r="D15" s="198" t="e">
        <f>'Besoins en micas'!#REF!</f>
        <v>#REF!</v>
      </c>
      <c r="E15" s="462" t="e">
        <f>'Besoins en micas'!#REF!</f>
        <v>#REF!</v>
      </c>
      <c r="F15" s="245" t="e">
        <f>'Besoins en micas'!#REF!</f>
        <v>#REF!</v>
      </c>
      <c r="G15" s="245" t="e">
        <f>IF(C15="FP1",'Données SOMIDA'!$G$73,VLOOKUP(E15,'Données SOMIDA'!$C$71:$G$75,5,FALSE))</f>
        <v>#REF!</v>
      </c>
      <c r="H15" s="245" t="e">
        <f t="shared" si="2"/>
        <v>#REF!</v>
      </c>
      <c r="I15" s="245" t="e">
        <f>+VLOOKUP(E15,'Données SOMIDA'!$C$71:$E$75,3,FALSE)</f>
        <v>#REF!</v>
      </c>
      <c r="J15" s="245" t="e">
        <f t="shared" si="3"/>
        <v>#REF!</v>
      </c>
      <c r="K15" s="245" t="e">
        <f t="shared" si="6"/>
        <v>#REF!</v>
      </c>
      <c r="L15" s="245">
        <f t="shared" si="4"/>
        <v>0</v>
      </c>
      <c r="M15" s="245"/>
      <c r="N15" s="405">
        <v>3</v>
      </c>
      <c r="O15" s="462" t="e">
        <f>+$C$12</f>
        <v>#REF!</v>
      </c>
      <c r="P15" s="925" t="e">
        <f>+$D$31</f>
        <v>#REF!</v>
      </c>
      <c r="Q15" s="245" t="e">
        <f ca="1">SUMIF($C$31:$F$39,$C$30,$F$31:$F$39)</f>
        <v>#REF!</v>
      </c>
      <c r="R15" s="245" t="e">
        <f>+VLOOKUP(O15,#REF!,4,FALSE)</f>
        <v>#REF!</v>
      </c>
      <c r="S15" s="245" t="e">
        <f t="shared" ca="1" si="7"/>
        <v>#REF!</v>
      </c>
      <c r="T15" s="245" t="e">
        <f t="shared" ca="1" si="17"/>
        <v>#REF!</v>
      </c>
      <c r="U15" s="245" t="e">
        <f t="shared" ca="1" si="8"/>
        <v>#REF!</v>
      </c>
      <c r="V15" s="245">
        <f t="shared" ca="1" si="16"/>
        <v>0</v>
      </c>
      <c r="W15" s="245"/>
      <c r="X15" s="932" t="s">
        <v>484</v>
      </c>
      <c r="Y15" s="245"/>
      <c r="Z15" s="245" t="e">
        <v>#REF!</v>
      </c>
      <c r="AA15" s="245" t="e">
        <f t="shared" si="9"/>
        <v>#REF!</v>
      </c>
      <c r="AB15" s="245">
        <f t="shared" ca="1" si="10"/>
        <v>0</v>
      </c>
      <c r="AC15" s="245" t="e">
        <f t="shared" ca="1" si="11"/>
        <v>#REF!</v>
      </c>
      <c r="AD15" s="245" t="e">
        <f t="shared" ca="1" si="12"/>
        <v>#REF!</v>
      </c>
    </row>
    <row r="16" spans="2:31" ht="17.25" thickBot="1">
      <c r="B16" s="198" t="e">
        <f t="shared" si="1"/>
        <v>#REF!</v>
      </c>
      <c r="C16" s="462" t="e">
        <f>'Besoins en micas'!#REF!</f>
        <v>#REF!</v>
      </c>
      <c r="D16" s="198" t="e">
        <f>'Besoins en micas'!#REF!</f>
        <v>#REF!</v>
      </c>
      <c r="E16" s="462" t="e">
        <f>'Besoins en micas'!#REF!</f>
        <v>#REF!</v>
      </c>
      <c r="F16" s="245" t="e">
        <f>'Besoins en micas'!#REF!</f>
        <v>#REF!</v>
      </c>
      <c r="G16" s="245" t="e">
        <f>IF(C16="FP1",'Données SOMIDA'!$G$73,VLOOKUP(E16,'Données SOMIDA'!$C$71:$G$75,5,FALSE))</f>
        <v>#REF!</v>
      </c>
      <c r="H16" s="245" t="e">
        <f t="shared" si="2"/>
        <v>#REF!</v>
      </c>
      <c r="I16" s="245" t="e">
        <f>+VLOOKUP(E16,'Données SOMIDA'!$C$71:$E$75,3,FALSE)</f>
        <v>#REF!</v>
      </c>
      <c r="J16" s="245" t="e">
        <f t="shared" si="3"/>
        <v>#REF!</v>
      </c>
      <c r="K16" s="245" t="e">
        <f t="shared" si="6"/>
        <v>#REF!</v>
      </c>
      <c r="L16" s="245">
        <f t="shared" si="4"/>
        <v>0</v>
      </c>
      <c r="M16" s="245"/>
      <c r="N16" s="405">
        <v>1</v>
      </c>
      <c r="O16" s="462" t="e">
        <f>+$C$4</f>
        <v>#REF!</v>
      </c>
      <c r="P16" s="925" t="e">
        <f>+$D$40</f>
        <v>#REF!</v>
      </c>
      <c r="Q16" s="245" t="e">
        <f ca="1">SUMIF($C$40:$F$48,$C$22,$F$40:$F$48)</f>
        <v>#REF!</v>
      </c>
      <c r="R16" s="245" t="e">
        <f>+VLOOKUP(O16,#REF!,4,FALSE)</f>
        <v>#REF!</v>
      </c>
      <c r="S16" s="245" t="e">
        <f t="shared" ca="1" si="7"/>
        <v>#REF!</v>
      </c>
      <c r="T16" s="245" t="e">
        <f ca="1">SUMIF($C$40:$J$48,O16,$J$40:$J$48)</f>
        <v>#REF!</v>
      </c>
      <c r="U16" s="245" t="e">
        <f t="shared" ca="1" si="8"/>
        <v>#REF!</v>
      </c>
      <c r="V16" s="245">
        <f t="shared" ca="1" si="16"/>
        <v>0</v>
      </c>
      <c r="W16" s="245"/>
      <c r="X16" s="928" t="s">
        <v>362</v>
      </c>
      <c r="Y16" s="928" t="e">
        <f>SUM(Y4:Y15)</f>
        <v>#REF!</v>
      </c>
      <c r="Z16" s="929"/>
      <c r="AA16" s="934" t="e">
        <f>SUM(AA4:AA15)</f>
        <v>#REF!</v>
      </c>
      <c r="AB16" s="933">
        <f ca="1">SUM(AB4:AB15)</f>
        <v>0</v>
      </c>
      <c r="AC16" s="933" t="e">
        <f t="shared" ca="1" si="11"/>
        <v>#REF!</v>
      </c>
      <c r="AD16" s="933" t="e">
        <f t="shared" ca="1" si="12"/>
        <v>#REF!</v>
      </c>
    </row>
    <row r="17" spans="2:30">
      <c r="B17" s="198" t="e">
        <f t="shared" si="1"/>
        <v>#REF!</v>
      </c>
      <c r="C17" s="462" t="e">
        <f>'Besoins en micas'!#REF!</f>
        <v>#REF!</v>
      </c>
      <c r="D17" s="198" t="e">
        <f>'Besoins en micas'!#REF!</f>
        <v>#REF!</v>
      </c>
      <c r="E17" s="462" t="e">
        <f>'Besoins en micas'!#REF!</f>
        <v>#REF!</v>
      </c>
      <c r="F17" s="245" t="e">
        <f>'Besoins en micas'!#REF!</f>
        <v>#REF!</v>
      </c>
      <c r="G17" s="245" t="e">
        <f>IF(C17="FP1",'Données SOMIDA'!$G$73,VLOOKUP(E17,'Données SOMIDA'!$C$71:$G$75,5,FALSE))</f>
        <v>#REF!</v>
      </c>
      <c r="H17" s="245" t="e">
        <f t="shared" si="2"/>
        <v>#REF!</v>
      </c>
      <c r="I17" s="245" t="e">
        <f>+VLOOKUP(E17,'Données SOMIDA'!$C$71:$E$75,3,FALSE)</f>
        <v>#REF!</v>
      </c>
      <c r="J17" s="245" t="e">
        <f t="shared" si="3"/>
        <v>#REF!</v>
      </c>
      <c r="K17" s="245" t="e">
        <f t="shared" si="6"/>
        <v>#REF!</v>
      </c>
      <c r="L17" s="245">
        <f t="shared" si="4"/>
        <v>0</v>
      </c>
      <c r="M17" s="245"/>
      <c r="N17" s="405">
        <v>2</v>
      </c>
      <c r="O17" s="462" t="e">
        <f>+$C$8</f>
        <v>#REF!</v>
      </c>
      <c r="P17" s="925" t="e">
        <f>+$D$40</f>
        <v>#REF!</v>
      </c>
      <c r="Q17" s="245" t="e">
        <f ca="1">SUMIF($C$40:$F$48,$C$26,$F$40:$F$48)</f>
        <v>#REF!</v>
      </c>
      <c r="R17" s="245" t="e">
        <f>+VLOOKUP(O17,#REF!,4,FALSE)</f>
        <v>#REF!</v>
      </c>
      <c r="S17" s="245" t="e">
        <f t="shared" ca="1" si="7"/>
        <v>#REF!</v>
      </c>
      <c r="T17" s="245" t="e">
        <f t="shared" ref="T17:T18" ca="1" si="18">SUMIF($C$40:$J$48,O17,$J$40:$J$48)</f>
        <v>#REF!</v>
      </c>
      <c r="U17" s="245" t="e">
        <f t="shared" ca="1" si="8"/>
        <v>#REF!</v>
      </c>
      <c r="V17" s="245">
        <f t="shared" ca="1" si="16"/>
        <v>0</v>
      </c>
      <c r="W17" s="245"/>
      <c r="X17" s="245"/>
      <c r="AB17" s="245"/>
    </row>
    <row r="18" spans="2:30">
      <c r="B18" s="198" t="e">
        <f t="shared" si="1"/>
        <v>#REF!</v>
      </c>
      <c r="C18" s="462" t="e">
        <f>'Besoins en micas'!#REF!</f>
        <v>#REF!</v>
      </c>
      <c r="D18" s="198" t="e">
        <f>'Besoins en micas'!#REF!</f>
        <v>#REF!</v>
      </c>
      <c r="E18" s="462" t="e">
        <f>'Besoins en micas'!#REF!</f>
        <v>#REF!</v>
      </c>
      <c r="F18" s="245" t="e">
        <f>'Besoins en micas'!#REF!</f>
        <v>#REF!</v>
      </c>
      <c r="G18" s="245" t="e">
        <f>IF(C18="FP1",'Données SOMIDA'!$G$73,VLOOKUP(E18,'Données SOMIDA'!$C$71:$G$75,5,FALSE))</f>
        <v>#REF!</v>
      </c>
      <c r="H18" s="245" t="e">
        <f t="shared" si="2"/>
        <v>#REF!</v>
      </c>
      <c r="I18" s="245" t="e">
        <f>+VLOOKUP(E18,'Données SOMIDA'!$C$71:$E$75,3,FALSE)</f>
        <v>#REF!</v>
      </c>
      <c r="J18" s="245" t="e">
        <f t="shared" si="3"/>
        <v>#REF!</v>
      </c>
      <c r="K18" s="245" t="e">
        <f t="shared" si="6"/>
        <v>#REF!</v>
      </c>
      <c r="L18" s="245">
        <f t="shared" si="4"/>
        <v>0</v>
      </c>
      <c r="M18" s="245"/>
      <c r="N18" s="405">
        <v>3</v>
      </c>
      <c r="O18" s="462" t="e">
        <f>+$C$12</f>
        <v>#REF!</v>
      </c>
      <c r="P18" s="925" t="e">
        <f>+$D$40</f>
        <v>#REF!</v>
      </c>
      <c r="Q18" s="245" t="e">
        <f ca="1">SUMIF($C$40:$F$48,$C$30,$F$40:$F$48)</f>
        <v>#REF!</v>
      </c>
      <c r="R18" s="245" t="e">
        <f>+VLOOKUP(O18,#REF!,4,FALSE)</f>
        <v>#REF!</v>
      </c>
      <c r="S18" s="245" t="e">
        <f t="shared" ca="1" si="7"/>
        <v>#REF!</v>
      </c>
      <c r="T18" s="245" t="e">
        <f t="shared" ca="1" si="18"/>
        <v>#REF!</v>
      </c>
      <c r="U18" s="245" t="e">
        <f t="shared" ca="1" si="8"/>
        <v>#REF!</v>
      </c>
      <c r="V18" s="245">
        <f t="shared" ca="1" si="16"/>
        <v>0</v>
      </c>
      <c r="W18" s="245"/>
      <c r="X18" s="245"/>
      <c r="Y18" s="245" t="e">
        <f>Y16&amp;"" &amp;"Kg"</f>
        <v>#REF!</v>
      </c>
      <c r="AA18" s="198" t="s">
        <v>1744</v>
      </c>
      <c r="AB18" s="198" t="s">
        <v>1744</v>
      </c>
      <c r="AC18" s="198" t="s">
        <v>1744</v>
      </c>
      <c r="AD18" s="198" t="s">
        <v>1744</v>
      </c>
    </row>
    <row r="19" spans="2:30">
      <c r="B19" s="198" t="e">
        <f t="shared" si="1"/>
        <v>#REF!</v>
      </c>
      <c r="C19" s="462" t="e">
        <f>'Besoins en micas'!#REF!</f>
        <v>#REF!</v>
      </c>
      <c r="D19" s="198" t="e">
        <f>'Besoins en micas'!#REF!</f>
        <v>#REF!</v>
      </c>
      <c r="E19" s="462" t="e">
        <f>'Besoins en micas'!#REF!</f>
        <v>#REF!</v>
      </c>
      <c r="F19" s="245" t="e">
        <f>'Besoins en micas'!#REF!</f>
        <v>#REF!</v>
      </c>
      <c r="G19" s="245" t="e">
        <f>IF(C19="FP1",'Données SOMIDA'!$G$73,VLOOKUP(E19,'Données SOMIDA'!$C$71:$G$75,5,FALSE))</f>
        <v>#REF!</v>
      </c>
      <c r="H19" s="245" t="e">
        <f t="shared" si="2"/>
        <v>#REF!</v>
      </c>
      <c r="I19" s="245" t="e">
        <f>+VLOOKUP(E19,'Données SOMIDA'!$C$71:$E$75,3,FALSE)</f>
        <v>#REF!</v>
      </c>
      <c r="J19" s="245" t="e">
        <f t="shared" si="3"/>
        <v>#REF!</v>
      </c>
      <c r="K19" s="245" t="e">
        <f t="shared" si="6"/>
        <v>#REF!</v>
      </c>
      <c r="L19" s="245">
        <f t="shared" si="4"/>
        <v>0</v>
      </c>
      <c r="M19" s="245"/>
      <c r="N19" s="405">
        <v>1</v>
      </c>
      <c r="O19" s="462" t="e">
        <f>+$C$4</f>
        <v>#REF!</v>
      </c>
      <c r="P19" s="925" t="e">
        <f>+$D$49</f>
        <v>#REF!</v>
      </c>
      <c r="Q19" s="245" t="e">
        <f ca="1">SUMIF($C$49:$F$57,$C$22,$F$49:$F$57)</f>
        <v>#REF!</v>
      </c>
      <c r="R19" s="245" t="e">
        <f>+VLOOKUP(O19,#REF!,4,FALSE)</f>
        <v>#REF!</v>
      </c>
      <c r="S19" s="245" t="e">
        <f t="shared" ca="1" si="7"/>
        <v>#REF!</v>
      </c>
      <c r="T19" s="245" t="e">
        <f ca="1">SUMIF($C$49:$J$57,O19,$J$49:$J$57)</f>
        <v>#REF!</v>
      </c>
      <c r="U19" s="245" t="e">
        <f t="shared" ca="1" si="8"/>
        <v>#REF!</v>
      </c>
      <c r="V19" s="245">
        <f t="shared" ca="1" si="16"/>
        <v>0</v>
      </c>
      <c r="W19" s="245"/>
      <c r="X19" s="245"/>
    </row>
    <row r="20" spans="2:30">
      <c r="B20" s="198" t="e">
        <f t="shared" si="1"/>
        <v>#REF!</v>
      </c>
      <c r="C20" s="462" t="e">
        <f>'Besoins en micas'!#REF!</f>
        <v>#REF!</v>
      </c>
      <c r="D20" s="198" t="e">
        <f>'Besoins en micas'!#REF!</f>
        <v>#REF!</v>
      </c>
      <c r="E20" s="462" t="e">
        <f>'Besoins en micas'!#REF!</f>
        <v>#REF!</v>
      </c>
      <c r="F20" s="245" t="e">
        <f>'Besoins en micas'!#REF!</f>
        <v>#REF!</v>
      </c>
      <c r="G20" s="245" t="e">
        <f>IF(C20="FP1",'Données SOMIDA'!$G$73,VLOOKUP(E20,'Données SOMIDA'!$C$71:$G$75,5,FALSE))</f>
        <v>#REF!</v>
      </c>
      <c r="H20" s="245" t="e">
        <f t="shared" si="2"/>
        <v>#REF!</v>
      </c>
      <c r="I20" s="245" t="e">
        <f>+VLOOKUP(E20,'Données SOMIDA'!$C$71:$E$75,3,FALSE)</f>
        <v>#REF!</v>
      </c>
      <c r="J20" s="245" t="e">
        <f t="shared" si="3"/>
        <v>#REF!</v>
      </c>
      <c r="K20" s="245" t="e">
        <f t="shared" si="6"/>
        <v>#REF!</v>
      </c>
      <c r="L20" s="245">
        <f t="shared" si="4"/>
        <v>0</v>
      </c>
      <c r="M20" s="245"/>
      <c r="N20" s="405">
        <v>2</v>
      </c>
      <c r="O20" s="462" t="e">
        <f>+$C$8</f>
        <v>#REF!</v>
      </c>
      <c r="P20" s="925" t="e">
        <f>+$D$49</f>
        <v>#REF!</v>
      </c>
      <c r="Q20" s="245" t="e">
        <f ca="1">SUMIF($C$49:$F$57,$C$26,$F$49:$F$57)</f>
        <v>#REF!</v>
      </c>
      <c r="R20" s="245" t="e">
        <f>+VLOOKUP(O20,#REF!,4,FALSE)</f>
        <v>#REF!</v>
      </c>
      <c r="S20" s="245" t="e">
        <f t="shared" ca="1" si="7"/>
        <v>#REF!</v>
      </c>
      <c r="T20" s="245" t="e">
        <f t="shared" ref="T20:T21" ca="1" si="19">SUMIF($C$49:$J$57,O20,$J$49:$J$57)</f>
        <v>#REF!</v>
      </c>
      <c r="U20" s="245" t="e">
        <f t="shared" ca="1" si="8"/>
        <v>#REF!</v>
      </c>
      <c r="V20" s="245">
        <f t="shared" ca="1" si="16"/>
        <v>0</v>
      </c>
      <c r="W20" s="245"/>
      <c r="X20" s="245"/>
    </row>
    <row r="21" spans="2:30">
      <c r="B21" s="198" t="e">
        <f t="shared" si="1"/>
        <v>#REF!</v>
      </c>
      <c r="C21" s="462" t="e">
        <f>'Besoins en micas'!#REF!</f>
        <v>#REF!</v>
      </c>
      <c r="D21" s="198" t="e">
        <f>'Besoins en micas'!#REF!</f>
        <v>#REF!</v>
      </c>
      <c r="E21" s="462" t="e">
        <f>'Besoins en micas'!#REF!</f>
        <v>#REF!</v>
      </c>
      <c r="F21" s="245" t="e">
        <f>'Besoins en micas'!#REF!</f>
        <v>#REF!</v>
      </c>
      <c r="G21" s="245" t="e">
        <f>IF(C21="FP1",'Données SOMIDA'!$G$73,VLOOKUP(E21,'Données SOMIDA'!$C$71:$G$75,5,FALSE))</f>
        <v>#REF!</v>
      </c>
      <c r="H21" s="245" t="e">
        <f t="shared" si="2"/>
        <v>#REF!</v>
      </c>
      <c r="I21" s="245" t="e">
        <f>+VLOOKUP(E21,'Données SOMIDA'!$C$71:$E$75,3,FALSE)</f>
        <v>#REF!</v>
      </c>
      <c r="J21" s="245" t="e">
        <f t="shared" si="3"/>
        <v>#REF!</v>
      </c>
      <c r="K21" s="245" t="e">
        <f t="shared" si="6"/>
        <v>#REF!</v>
      </c>
      <c r="L21" s="245">
        <f t="shared" si="4"/>
        <v>0</v>
      </c>
      <c r="M21" s="245"/>
      <c r="N21" s="405">
        <v>3</v>
      </c>
      <c r="O21" s="462" t="e">
        <f>+$C$12</f>
        <v>#REF!</v>
      </c>
      <c r="P21" s="925" t="e">
        <f>+$D$49</f>
        <v>#REF!</v>
      </c>
      <c r="Q21" s="245" t="e">
        <f ca="1">SUMIF($C$49:$F$57,$C$30,$F$49:$F$57)</f>
        <v>#REF!</v>
      </c>
      <c r="R21" s="245" t="e">
        <f>+VLOOKUP(O21,#REF!,4,FALSE)</f>
        <v>#REF!</v>
      </c>
      <c r="S21" s="245" t="e">
        <f t="shared" ca="1" si="7"/>
        <v>#REF!</v>
      </c>
      <c r="T21" s="245" t="e">
        <f t="shared" ca="1" si="19"/>
        <v>#REF!</v>
      </c>
      <c r="U21" s="245" t="e">
        <f t="shared" ca="1" si="8"/>
        <v>#REF!</v>
      </c>
      <c r="V21" s="245">
        <f t="shared" ca="1" si="16"/>
        <v>0</v>
      </c>
      <c r="W21" s="245"/>
      <c r="X21" s="245"/>
    </row>
    <row r="22" spans="2:30">
      <c r="B22" s="198" t="e">
        <f t="shared" si="1"/>
        <v>#REF!</v>
      </c>
      <c r="C22" s="462" t="e">
        <f>'Besoins en micas'!#REF!</f>
        <v>#REF!</v>
      </c>
      <c r="D22" s="198" t="e">
        <f>'Besoins en micas'!#REF!</f>
        <v>#REF!</v>
      </c>
      <c r="E22" s="462" t="e">
        <f>'Besoins en micas'!#REF!</f>
        <v>#REF!</v>
      </c>
      <c r="F22" s="245" t="e">
        <f>'Besoins en micas'!#REF!</f>
        <v>#REF!</v>
      </c>
      <c r="G22" s="245" t="e">
        <f>IF(C22="FP1",'Données SOMIDA'!$G$73,VLOOKUP(E22,'Données SOMIDA'!$C$71:$G$75,5,FALSE))</f>
        <v>#REF!</v>
      </c>
      <c r="H22" s="245" t="e">
        <f t="shared" si="2"/>
        <v>#REF!</v>
      </c>
      <c r="I22" s="245" t="e">
        <f>+VLOOKUP(E22,'Données SOMIDA'!$C$71:$E$75,3,FALSE)</f>
        <v>#REF!</v>
      </c>
      <c r="J22" s="245" t="e">
        <f t="shared" si="3"/>
        <v>#REF!</v>
      </c>
      <c r="K22" s="245" t="e">
        <f t="shared" si="6"/>
        <v>#REF!</v>
      </c>
      <c r="L22" s="245">
        <f t="shared" si="4"/>
        <v>0</v>
      </c>
      <c r="M22" s="245"/>
      <c r="N22" s="405">
        <v>1</v>
      </c>
      <c r="O22" s="462" t="e">
        <f>+$C$4</f>
        <v>#REF!</v>
      </c>
      <c r="P22" s="925" t="e">
        <f>+$D$58</f>
        <v>#REF!</v>
      </c>
      <c r="Q22" s="245" t="e">
        <f ca="1">SUMIF($C$58:$F$66,$C$22,$F$58:$F$66)</f>
        <v>#REF!</v>
      </c>
      <c r="R22" s="245" t="e">
        <f>+VLOOKUP(O22,#REF!,4,FALSE)</f>
        <v>#REF!</v>
      </c>
      <c r="S22" s="245" t="e">
        <f t="shared" ca="1" si="7"/>
        <v>#REF!</v>
      </c>
      <c r="T22" s="245" t="e">
        <f ca="1">SUMIF($C$58:$J$66,O22,$J$58:$J$66)</f>
        <v>#REF!</v>
      </c>
      <c r="U22" s="245" t="e">
        <f t="shared" ca="1" si="8"/>
        <v>#REF!</v>
      </c>
      <c r="V22" s="245">
        <f t="shared" ca="1" si="16"/>
        <v>0</v>
      </c>
      <c r="W22" s="245"/>
      <c r="X22" s="245"/>
    </row>
    <row r="23" spans="2:30">
      <c r="B23" s="198" t="e">
        <f t="shared" si="1"/>
        <v>#REF!</v>
      </c>
      <c r="C23" s="462" t="e">
        <f>'Besoins en micas'!#REF!</f>
        <v>#REF!</v>
      </c>
      <c r="D23" s="198" t="e">
        <f>'Besoins en micas'!#REF!</f>
        <v>#REF!</v>
      </c>
      <c r="E23" s="462" t="e">
        <f>'Besoins en micas'!#REF!</f>
        <v>#REF!</v>
      </c>
      <c r="F23" s="245" t="e">
        <f>'Besoins en micas'!#REF!</f>
        <v>#REF!</v>
      </c>
      <c r="G23" s="245" t="e">
        <f>IF(C23="FP1",'Données SOMIDA'!$G$73,VLOOKUP(E23,'Données SOMIDA'!$C$71:$G$75,5,FALSE))</f>
        <v>#REF!</v>
      </c>
      <c r="H23" s="245" t="e">
        <f t="shared" si="2"/>
        <v>#REF!</v>
      </c>
      <c r="I23" s="245" t="e">
        <f>+VLOOKUP(E23,'Données SOMIDA'!$C$71:$E$75,3,FALSE)</f>
        <v>#REF!</v>
      </c>
      <c r="J23" s="245" t="e">
        <f t="shared" si="3"/>
        <v>#REF!</v>
      </c>
      <c r="K23" s="245" t="e">
        <f t="shared" si="6"/>
        <v>#REF!</v>
      </c>
      <c r="L23" s="245">
        <f t="shared" si="4"/>
        <v>0</v>
      </c>
      <c r="M23" s="245"/>
      <c r="N23" s="405">
        <v>2</v>
      </c>
      <c r="O23" s="462" t="e">
        <f>+$C$8</f>
        <v>#REF!</v>
      </c>
      <c r="P23" s="925" t="e">
        <f>+$D$58</f>
        <v>#REF!</v>
      </c>
      <c r="Q23" s="245" t="e">
        <f ca="1">SUMIF($C$58:$F$66,$C$26,$F$58:$F$66)</f>
        <v>#REF!</v>
      </c>
      <c r="R23" s="245" t="e">
        <f>+VLOOKUP(O23,#REF!,4,FALSE)</f>
        <v>#REF!</v>
      </c>
      <c r="S23" s="245" t="e">
        <f t="shared" ca="1" si="7"/>
        <v>#REF!</v>
      </c>
      <c r="T23" s="245" t="e">
        <f t="shared" ref="T23:T24" ca="1" si="20">SUMIF($C$58:$J$66,O23,$J$58:$J$66)</f>
        <v>#REF!</v>
      </c>
      <c r="U23" s="245" t="e">
        <f t="shared" ca="1" si="8"/>
        <v>#REF!</v>
      </c>
      <c r="V23" s="245">
        <f t="shared" ca="1" si="16"/>
        <v>0</v>
      </c>
      <c r="W23" s="245"/>
      <c r="X23" s="245"/>
    </row>
    <row r="24" spans="2:30">
      <c r="B24" s="198" t="e">
        <f t="shared" si="1"/>
        <v>#REF!</v>
      </c>
      <c r="C24" s="462" t="e">
        <f>'Besoins en micas'!#REF!</f>
        <v>#REF!</v>
      </c>
      <c r="D24" s="198" t="e">
        <f>'Besoins en micas'!#REF!</f>
        <v>#REF!</v>
      </c>
      <c r="E24" s="462" t="e">
        <f>'Besoins en micas'!#REF!</f>
        <v>#REF!</v>
      </c>
      <c r="F24" s="245" t="e">
        <f>'Besoins en micas'!#REF!</f>
        <v>#REF!</v>
      </c>
      <c r="G24" s="245" t="e">
        <f>IF(C24="FP1",'Données SOMIDA'!$G$73,VLOOKUP(E24,'Données SOMIDA'!$C$71:$G$75,5,FALSE))</f>
        <v>#REF!</v>
      </c>
      <c r="H24" s="245" t="e">
        <f t="shared" si="2"/>
        <v>#REF!</v>
      </c>
      <c r="I24" s="245" t="e">
        <f>+VLOOKUP(E24,'Données SOMIDA'!$C$71:$E$75,3,FALSE)</f>
        <v>#REF!</v>
      </c>
      <c r="J24" s="245" t="e">
        <f t="shared" si="3"/>
        <v>#REF!</v>
      </c>
      <c r="K24" s="245" t="e">
        <f t="shared" si="6"/>
        <v>#REF!</v>
      </c>
      <c r="L24" s="245">
        <f t="shared" si="4"/>
        <v>0</v>
      </c>
      <c r="M24" s="245"/>
      <c r="N24" s="405">
        <v>3</v>
      </c>
      <c r="O24" s="462" t="e">
        <f>+$C$12</f>
        <v>#REF!</v>
      </c>
      <c r="P24" s="925" t="e">
        <f>+$D$58</f>
        <v>#REF!</v>
      </c>
      <c r="Q24" s="245" t="e">
        <f ca="1">SUMIF($C$58:$F$66,$C$30,$F$58:$F$66)</f>
        <v>#REF!</v>
      </c>
      <c r="R24" s="245" t="e">
        <f>+VLOOKUP(O24,#REF!,4,FALSE)</f>
        <v>#REF!</v>
      </c>
      <c r="S24" s="245" t="e">
        <f t="shared" ca="1" si="7"/>
        <v>#REF!</v>
      </c>
      <c r="T24" s="245" t="e">
        <f t="shared" ca="1" si="20"/>
        <v>#REF!</v>
      </c>
      <c r="U24" s="245" t="e">
        <f t="shared" ca="1" si="8"/>
        <v>#REF!</v>
      </c>
      <c r="V24" s="245">
        <f t="shared" ca="1" si="16"/>
        <v>0</v>
      </c>
      <c r="W24" s="245"/>
      <c r="X24" s="245"/>
    </row>
    <row r="25" spans="2:30">
      <c r="B25" s="198" t="e">
        <f t="shared" si="1"/>
        <v>#REF!</v>
      </c>
      <c r="C25" s="462" t="e">
        <f>'Besoins en micas'!#REF!</f>
        <v>#REF!</v>
      </c>
      <c r="D25" s="198" t="e">
        <f>'Besoins en micas'!#REF!</f>
        <v>#REF!</v>
      </c>
      <c r="E25" s="462" t="e">
        <f>'Besoins en micas'!#REF!</f>
        <v>#REF!</v>
      </c>
      <c r="F25" s="245" t="e">
        <f>'Besoins en micas'!#REF!</f>
        <v>#REF!</v>
      </c>
      <c r="G25" s="245" t="e">
        <f>IF(C25="FP1",'Données SOMIDA'!$G$73,VLOOKUP(E25,'Données SOMIDA'!$C$71:$G$75,5,FALSE))</f>
        <v>#REF!</v>
      </c>
      <c r="H25" s="245" t="e">
        <f t="shared" si="2"/>
        <v>#REF!</v>
      </c>
      <c r="I25" s="245" t="e">
        <f>+VLOOKUP(E25,'Données SOMIDA'!$C$71:$E$75,3,FALSE)</f>
        <v>#REF!</v>
      </c>
      <c r="J25" s="245" t="e">
        <f t="shared" si="3"/>
        <v>#REF!</v>
      </c>
      <c r="K25" s="245" t="e">
        <f t="shared" si="6"/>
        <v>#REF!</v>
      </c>
      <c r="L25" s="245">
        <f t="shared" si="4"/>
        <v>0</v>
      </c>
      <c r="M25" s="245"/>
      <c r="N25" s="405">
        <v>1</v>
      </c>
      <c r="O25" s="462" t="e">
        <f>+$C$4</f>
        <v>#REF!</v>
      </c>
      <c r="P25" s="925" t="e">
        <f>+$D$67</f>
        <v>#REF!</v>
      </c>
      <c r="Q25" s="245" t="e">
        <f ca="1">SUMIF($C$67:$F$75,$C$22,$F$67:$F$75)</f>
        <v>#REF!</v>
      </c>
      <c r="R25" s="245" t="e">
        <f>+VLOOKUP(O25,#REF!,4,FALSE)</f>
        <v>#REF!</v>
      </c>
      <c r="S25" s="245" t="e">
        <f t="shared" ca="1" si="7"/>
        <v>#REF!</v>
      </c>
      <c r="T25" s="245" t="e">
        <f ca="1">SUMIF($C$67:$J$75,O25,$J$67:$J$75)</f>
        <v>#REF!</v>
      </c>
      <c r="U25" s="245" t="e">
        <f t="shared" ca="1" si="8"/>
        <v>#REF!</v>
      </c>
      <c r="V25" s="245">
        <f t="shared" ca="1" si="16"/>
        <v>0</v>
      </c>
      <c r="W25" s="245"/>
      <c r="X25" s="245"/>
    </row>
    <row r="26" spans="2:30">
      <c r="B26" s="198" t="e">
        <f t="shared" si="1"/>
        <v>#REF!</v>
      </c>
      <c r="C26" s="462" t="e">
        <f>'Besoins en micas'!#REF!</f>
        <v>#REF!</v>
      </c>
      <c r="D26" s="198" t="e">
        <f>'Besoins en micas'!#REF!</f>
        <v>#REF!</v>
      </c>
      <c r="E26" s="462" t="e">
        <f>'Besoins en micas'!#REF!</f>
        <v>#REF!</v>
      </c>
      <c r="F26" s="245" t="e">
        <f>'Besoins en micas'!#REF!</f>
        <v>#REF!</v>
      </c>
      <c r="G26" s="245" t="e">
        <f>IF(C26="FP1",'Données SOMIDA'!$G$73,VLOOKUP(E26,'Données SOMIDA'!$C$71:$G$75,5,FALSE))</f>
        <v>#REF!</v>
      </c>
      <c r="H26" s="245" t="e">
        <f t="shared" si="2"/>
        <v>#REF!</v>
      </c>
      <c r="I26" s="245" t="e">
        <f>+VLOOKUP(E26,'Données SOMIDA'!$C$71:$E$75,3,FALSE)</f>
        <v>#REF!</v>
      </c>
      <c r="J26" s="245" t="e">
        <f t="shared" si="3"/>
        <v>#REF!</v>
      </c>
      <c r="K26" s="245" t="e">
        <f t="shared" si="6"/>
        <v>#REF!</v>
      </c>
      <c r="L26" s="245">
        <f t="shared" si="4"/>
        <v>0</v>
      </c>
      <c r="M26" s="245"/>
      <c r="N26" s="405">
        <v>2</v>
      </c>
      <c r="O26" s="462" t="e">
        <f>+$C$8</f>
        <v>#REF!</v>
      </c>
      <c r="P26" s="925" t="e">
        <f>+$D$67</f>
        <v>#REF!</v>
      </c>
      <c r="Q26" s="245" t="e">
        <f ca="1">SUMIF($C$67:$F$75,$C$26,$F$67:$F$75)</f>
        <v>#REF!</v>
      </c>
      <c r="R26" s="245" t="e">
        <f>+VLOOKUP(O26,#REF!,4,FALSE)</f>
        <v>#REF!</v>
      </c>
      <c r="S26" s="245" t="e">
        <f t="shared" ca="1" si="7"/>
        <v>#REF!</v>
      </c>
      <c r="T26" s="245" t="e">
        <f t="shared" ref="T26:T27" ca="1" si="21">SUMIF($C$67:$J$75,O26,$J$67:$J$75)</f>
        <v>#REF!</v>
      </c>
      <c r="U26" s="245" t="e">
        <f t="shared" ca="1" si="8"/>
        <v>#REF!</v>
      </c>
      <c r="V26" s="245">
        <f t="shared" ca="1" si="16"/>
        <v>0</v>
      </c>
      <c r="W26" s="245"/>
      <c r="X26" s="245"/>
    </row>
    <row r="27" spans="2:30">
      <c r="B27" s="198" t="e">
        <f t="shared" si="1"/>
        <v>#REF!</v>
      </c>
      <c r="C27" s="462" t="e">
        <f>'Besoins en micas'!#REF!</f>
        <v>#REF!</v>
      </c>
      <c r="D27" s="198" t="e">
        <f>'Besoins en micas'!#REF!</f>
        <v>#REF!</v>
      </c>
      <c r="E27" s="462" t="e">
        <f>'Besoins en micas'!#REF!</f>
        <v>#REF!</v>
      </c>
      <c r="F27" s="245" t="e">
        <f>'Besoins en micas'!#REF!</f>
        <v>#REF!</v>
      </c>
      <c r="G27" s="245" t="e">
        <f>IF(C27="FP1",'Données SOMIDA'!$G$73,VLOOKUP(E27,'Données SOMIDA'!$C$71:$G$75,5,FALSE))</f>
        <v>#REF!</v>
      </c>
      <c r="H27" s="245" t="e">
        <f t="shared" si="2"/>
        <v>#REF!</v>
      </c>
      <c r="I27" s="245" t="e">
        <f>+VLOOKUP(E27,'Données SOMIDA'!$C$71:$E$75,3,FALSE)</f>
        <v>#REF!</v>
      </c>
      <c r="J27" s="245" t="e">
        <f t="shared" si="3"/>
        <v>#REF!</v>
      </c>
      <c r="K27" s="245" t="e">
        <f t="shared" si="6"/>
        <v>#REF!</v>
      </c>
      <c r="L27" s="245">
        <f t="shared" si="4"/>
        <v>0</v>
      </c>
      <c r="M27" s="245"/>
      <c r="N27" s="405">
        <v>3</v>
      </c>
      <c r="O27" s="462" t="e">
        <f>+$C$12</f>
        <v>#REF!</v>
      </c>
      <c r="P27" s="925" t="e">
        <f>+$D$67</f>
        <v>#REF!</v>
      </c>
      <c r="Q27" s="245" t="e">
        <f ca="1">SUMIF($C$67:$F$75,$C$30,$F$67:$F$75)</f>
        <v>#REF!</v>
      </c>
      <c r="R27" s="245" t="e">
        <f>+VLOOKUP(O27,#REF!,4,FALSE)</f>
        <v>#REF!</v>
      </c>
      <c r="S27" s="245" t="e">
        <f t="shared" ca="1" si="7"/>
        <v>#REF!</v>
      </c>
      <c r="T27" s="245" t="e">
        <f t="shared" ca="1" si="21"/>
        <v>#REF!</v>
      </c>
      <c r="U27" s="245" t="e">
        <f t="shared" ca="1" si="8"/>
        <v>#REF!</v>
      </c>
      <c r="V27" s="245">
        <f t="shared" ca="1" si="16"/>
        <v>0</v>
      </c>
      <c r="W27" s="245"/>
      <c r="X27" s="245"/>
    </row>
    <row r="28" spans="2:30">
      <c r="B28" s="198" t="e">
        <f t="shared" si="1"/>
        <v>#REF!</v>
      </c>
      <c r="C28" s="462" t="e">
        <f>'Besoins en micas'!#REF!</f>
        <v>#REF!</v>
      </c>
      <c r="D28" s="198" t="e">
        <f>'Besoins en micas'!#REF!</f>
        <v>#REF!</v>
      </c>
      <c r="E28" s="462" t="e">
        <f>'Besoins en micas'!#REF!</f>
        <v>#REF!</v>
      </c>
      <c r="F28" s="245" t="e">
        <f>'Besoins en micas'!#REF!</f>
        <v>#REF!</v>
      </c>
      <c r="G28" s="245" t="e">
        <f>IF(C28="FP1",'Données SOMIDA'!$G$73,VLOOKUP(E28,'Données SOMIDA'!$C$71:$G$75,5,FALSE))</f>
        <v>#REF!</v>
      </c>
      <c r="H28" s="245" t="e">
        <f t="shared" si="2"/>
        <v>#REF!</v>
      </c>
      <c r="I28" s="245" t="e">
        <f>+VLOOKUP(E28,'Données SOMIDA'!$C$71:$E$75,3,FALSE)</f>
        <v>#REF!</v>
      </c>
      <c r="J28" s="245" t="e">
        <f t="shared" si="3"/>
        <v>#REF!</v>
      </c>
      <c r="K28" s="245" t="e">
        <f t="shared" si="6"/>
        <v>#REF!</v>
      </c>
      <c r="L28" s="245">
        <f t="shared" si="4"/>
        <v>0</v>
      </c>
      <c r="M28" s="245"/>
      <c r="N28" s="405">
        <v>1</v>
      </c>
      <c r="O28" s="462" t="e">
        <f>+$C$4</f>
        <v>#REF!</v>
      </c>
      <c r="P28" s="925" t="e">
        <f>+$D$76</f>
        <v>#REF!</v>
      </c>
      <c r="Q28" s="245" t="e">
        <f ca="1">SUMIF($C$76:$F$84,$C$22,$F$76:$F$84)</f>
        <v>#REF!</v>
      </c>
      <c r="R28" s="245" t="e">
        <f>+VLOOKUP(O28,#REF!,4,FALSE)</f>
        <v>#REF!</v>
      </c>
      <c r="S28" s="245" t="e">
        <f t="shared" ca="1" si="7"/>
        <v>#REF!</v>
      </c>
      <c r="T28" s="245" t="e">
        <f ca="1">SUMIF($C$76:$J$84,O28,$J$76:$J$84)</f>
        <v>#REF!</v>
      </c>
      <c r="U28" s="245" t="e">
        <f t="shared" ca="1" si="8"/>
        <v>#REF!</v>
      </c>
      <c r="V28" s="245">
        <f t="shared" ca="1" si="16"/>
        <v>0</v>
      </c>
      <c r="W28" s="245"/>
      <c r="X28" s="245"/>
    </row>
    <row r="29" spans="2:30">
      <c r="B29" s="198" t="e">
        <f t="shared" si="1"/>
        <v>#REF!</v>
      </c>
      <c r="C29" s="462" t="e">
        <f>'Besoins en micas'!#REF!</f>
        <v>#REF!</v>
      </c>
      <c r="D29" s="198" t="e">
        <f>'Besoins en micas'!#REF!</f>
        <v>#REF!</v>
      </c>
      <c r="E29" s="462" t="e">
        <f>'Besoins en micas'!#REF!</f>
        <v>#REF!</v>
      </c>
      <c r="F29" s="245" t="e">
        <f>'Besoins en micas'!#REF!</f>
        <v>#REF!</v>
      </c>
      <c r="G29" s="245" t="e">
        <f>IF(C29="FP1",'Données SOMIDA'!$G$73,VLOOKUP(E29,'Données SOMIDA'!$C$71:$G$75,5,FALSE))</f>
        <v>#REF!</v>
      </c>
      <c r="H29" s="245" t="e">
        <f t="shared" si="2"/>
        <v>#REF!</v>
      </c>
      <c r="I29" s="245" t="e">
        <f>+VLOOKUP(E29,'Données SOMIDA'!$C$71:$E$75,3,FALSE)</f>
        <v>#REF!</v>
      </c>
      <c r="J29" s="245" t="e">
        <f t="shared" si="3"/>
        <v>#REF!</v>
      </c>
      <c r="K29" s="245" t="e">
        <f t="shared" si="6"/>
        <v>#REF!</v>
      </c>
      <c r="L29" s="245">
        <f t="shared" si="4"/>
        <v>0</v>
      </c>
      <c r="M29" s="245"/>
      <c r="N29" s="405">
        <v>2</v>
      </c>
      <c r="O29" s="462" t="e">
        <f>+$C$8</f>
        <v>#REF!</v>
      </c>
      <c r="P29" s="925" t="e">
        <f>+$D$76</f>
        <v>#REF!</v>
      </c>
      <c r="Q29" s="245" t="e">
        <f ca="1">SUMIF($C$76:$F$84,$C$26,$F$76:$F$84)</f>
        <v>#REF!</v>
      </c>
      <c r="R29" s="245" t="e">
        <f>+VLOOKUP(O29,#REF!,4,FALSE)</f>
        <v>#REF!</v>
      </c>
      <c r="S29" s="245" t="e">
        <f t="shared" ca="1" si="7"/>
        <v>#REF!</v>
      </c>
      <c r="T29" s="245" t="e">
        <f t="shared" ref="T29:T30" ca="1" si="22">SUMIF($C$76:$J$84,O29,$J$76:$J$84)</f>
        <v>#REF!</v>
      </c>
      <c r="U29" s="245" t="e">
        <f t="shared" ca="1" si="8"/>
        <v>#REF!</v>
      </c>
      <c r="V29" s="245">
        <f t="shared" ca="1" si="16"/>
        <v>0</v>
      </c>
      <c r="W29" s="245"/>
      <c r="X29" s="245"/>
    </row>
    <row r="30" spans="2:30">
      <c r="B30" s="198" t="e">
        <f t="shared" si="1"/>
        <v>#REF!</v>
      </c>
      <c r="C30" s="462" t="e">
        <f>'Besoins en micas'!#REF!</f>
        <v>#REF!</v>
      </c>
      <c r="D30" s="198" t="e">
        <f>'Besoins en micas'!#REF!</f>
        <v>#REF!</v>
      </c>
      <c r="E30" s="462" t="e">
        <f>'Besoins en micas'!#REF!</f>
        <v>#REF!</v>
      </c>
      <c r="F30" s="245" t="e">
        <f>'Besoins en micas'!#REF!</f>
        <v>#REF!</v>
      </c>
      <c r="G30" s="245" t="e">
        <f>IF(C30="FP1",'Données SOMIDA'!$G$73,VLOOKUP(E30,'Données SOMIDA'!$C$71:$G$75,5,FALSE))</f>
        <v>#REF!</v>
      </c>
      <c r="H30" s="245" t="e">
        <f t="shared" si="2"/>
        <v>#REF!</v>
      </c>
      <c r="I30" s="245" t="e">
        <f>+VLOOKUP(E30,'Données SOMIDA'!$C$71:$E$75,3,FALSE)</f>
        <v>#REF!</v>
      </c>
      <c r="J30" s="245" t="e">
        <f t="shared" si="3"/>
        <v>#REF!</v>
      </c>
      <c r="K30" s="245" t="e">
        <f t="shared" si="6"/>
        <v>#REF!</v>
      </c>
      <c r="L30" s="245">
        <f t="shared" si="4"/>
        <v>0</v>
      </c>
      <c r="M30" s="245"/>
      <c r="N30" s="405">
        <v>3</v>
      </c>
      <c r="O30" s="462" t="e">
        <f>+$C$12</f>
        <v>#REF!</v>
      </c>
      <c r="P30" s="925" t="e">
        <f>+$D$76</f>
        <v>#REF!</v>
      </c>
      <c r="Q30" s="245" t="e">
        <f ca="1">SUMIF($C$76:$F$84,$C$30,$F$76:$F$84)</f>
        <v>#REF!</v>
      </c>
      <c r="R30" s="245" t="e">
        <f>+VLOOKUP(O30,#REF!,4,FALSE)</f>
        <v>#REF!</v>
      </c>
      <c r="S30" s="245" t="e">
        <f t="shared" ca="1" si="7"/>
        <v>#REF!</v>
      </c>
      <c r="T30" s="245" t="e">
        <f t="shared" ca="1" si="22"/>
        <v>#REF!</v>
      </c>
      <c r="U30" s="245" t="e">
        <f t="shared" ca="1" si="8"/>
        <v>#REF!</v>
      </c>
      <c r="V30" s="245">
        <f t="shared" ca="1" si="16"/>
        <v>0</v>
      </c>
      <c r="W30" s="245"/>
      <c r="X30" s="245"/>
    </row>
    <row r="31" spans="2:30">
      <c r="B31" s="198" t="e">
        <f t="shared" si="1"/>
        <v>#REF!</v>
      </c>
      <c r="C31" s="462" t="e">
        <f>'Besoins en micas'!#REF!</f>
        <v>#REF!</v>
      </c>
      <c r="D31" s="198" t="e">
        <f>'Besoins en micas'!#REF!</f>
        <v>#REF!</v>
      </c>
      <c r="E31" s="462" t="e">
        <f>'Besoins en micas'!#REF!</f>
        <v>#REF!</v>
      </c>
      <c r="F31" s="245" t="e">
        <f>'Besoins en micas'!#REF!</f>
        <v>#REF!</v>
      </c>
      <c r="G31" s="245" t="e">
        <f>IF(C31="FP1",'Données SOMIDA'!$G$73,VLOOKUP(E31,'Données SOMIDA'!$C$71:$G$75,5,FALSE))</f>
        <v>#REF!</v>
      </c>
      <c r="H31" s="245" t="e">
        <f t="shared" si="2"/>
        <v>#REF!</v>
      </c>
      <c r="I31" s="245" t="e">
        <f>+VLOOKUP(E31,'Données SOMIDA'!$C$71:$E$75,3,FALSE)</f>
        <v>#REF!</v>
      </c>
      <c r="J31" s="245" t="e">
        <f t="shared" si="3"/>
        <v>#REF!</v>
      </c>
      <c r="K31" s="245" t="e">
        <f t="shared" si="6"/>
        <v>#REF!</v>
      </c>
      <c r="L31" s="245">
        <f t="shared" si="4"/>
        <v>0</v>
      </c>
      <c r="M31" s="245"/>
      <c r="N31" s="405">
        <v>1</v>
      </c>
      <c r="O31" s="462" t="e">
        <f>+$C$4</f>
        <v>#REF!</v>
      </c>
      <c r="P31" s="925" t="e">
        <f>+$D$85</f>
        <v>#REF!</v>
      </c>
      <c r="Q31" s="245" t="e">
        <f ca="1">SUMIF($C$85:$F$93,$C$22,$F$85:$F$93)</f>
        <v>#REF!</v>
      </c>
      <c r="R31" s="245" t="e">
        <f>+VLOOKUP(O31,#REF!,4,FALSE)</f>
        <v>#REF!</v>
      </c>
      <c r="S31" s="245" t="e">
        <f t="shared" ca="1" si="7"/>
        <v>#REF!</v>
      </c>
      <c r="T31" s="245" t="e">
        <f ca="1">SUMIF($C$85:$J$93,O31,$J$85:$J$93)</f>
        <v>#REF!</v>
      </c>
      <c r="U31" s="245" t="e">
        <f t="shared" ca="1" si="8"/>
        <v>#REF!</v>
      </c>
      <c r="V31" s="245">
        <f t="shared" ca="1" si="16"/>
        <v>0</v>
      </c>
      <c r="W31" s="245"/>
      <c r="X31" s="245"/>
    </row>
    <row r="32" spans="2:30">
      <c r="B32" s="198" t="e">
        <f t="shared" si="1"/>
        <v>#REF!</v>
      </c>
      <c r="C32" s="462" t="e">
        <f>'Besoins en micas'!#REF!</f>
        <v>#REF!</v>
      </c>
      <c r="D32" s="198" t="e">
        <f>'Besoins en micas'!#REF!</f>
        <v>#REF!</v>
      </c>
      <c r="E32" s="462" t="e">
        <f>'Besoins en micas'!#REF!</f>
        <v>#REF!</v>
      </c>
      <c r="F32" s="245" t="e">
        <f>'Besoins en micas'!#REF!</f>
        <v>#REF!</v>
      </c>
      <c r="G32" s="245" t="e">
        <f>IF(C32="FP1",'Données SOMIDA'!$G$73,VLOOKUP(E32,'Données SOMIDA'!$C$71:$G$75,5,FALSE))</f>
        <v>#REF!</v>
      </c>
      <c r="H32" s="245" t="e">
        <f t="shared" si="2"/>
        <v>#REF!</v>
      </c>
      <c r="I32" s="245" t="e">
        <f>+VLOOKUP(E32,'Données SOMIDA'!$C$71:$E$75,3,FALSE)</f>
        <v>#REF!</v>
      </c>
      <c r="J32" s="245" t="e">
        <f t="shared" si="3"/>
        <v>#REF!</v>
      </c>
      <c r="K32" s="245" t="e">
        <f t="shared" si="6"/>
        <v>#REF!</v>
      </c>
      <c r="L32" s="245">
        <f t="shared" si="4"/>
        <v>0</v>
      </c>
      <c r="M32" s="245"/>
      <c r="N32" s="405">
        <v>2</v>
      </c>
      <c r="O32" s="462" t="e">
        <f>+$C$8</f>
        <v>#REF!</v>
      </c>
      <c r="P32" s="925" t="e">
        <f>+$D$85</f>
        <v>#REF!</v>
      </c>
      <c r="Q32" s="245" t="e">
        <f ca="1">SUMIF($C$85:$F$93,$C$26,$F$85:$F$93)</f>
        <v>#REF!</v>
      </c>
      <c r="R32" s="245" t="e">
        <f>+VLOOKUP(O32,#REF!,4,FALSE)</f>
        <v>#REF!</v>
      </c>
      <c r="S32" s="245" t="e">
        <f t="shared" ca="1" si="7"/>
        <v>#REF!</v>
      </c>
      <c r="T32" s="245" t="e">
        <f t="shared" ref="T32:T33" ca="1" si="23">SUMIF($C$85:$J$93,O32,$J$85:$J$93)</f>
        <v>#REF!</v>
      </c>
      <c r="U32" s="245" t="e">
        <f t="shared" ca="1" si="8"/>
        <v>#REF!</v>
      </c>
      <c r="V32" s="245">
        <f t="shared" ca="1" si="16"/>
        <v>0</v>
      </c>
      <c r="W32" s="245"/>
      <c r="X32" s="245"/>
    </row>
    <row r="33" spans="2:24">
      <c r="B33" s="198" t="e">
        <f t="shared" si="1"/>
        <v>#REF!</v>
      </c>
      <c r="C33" s="462" t="e">
        <f>'Besoins en micas'!#REF!</f>
        <v>#REF!</v>
      </c>
      <c r="D33" s="198" t="e">
        <f>'Besoins en micas'!#REF!</f>
        <v>#REF!</v>
      </c>
      <c r="E33" s="462" t="e">
        <f>'Besoins en micas'!#REF!</f>
        <v>#REF!</v>
      </c>
      <c r="F33" s="245" t="e">
        <f>'Besoins en micas'!#REF!</f>
        <v>#REF!</v>
      </c>
      <c r="G33" s="245" t="e">
        <f>IF(C33="FP1",'Données SOMIDA'!$G$73,VLOOKUP(E33,'Données SOMIDA'!$C$71:$G$75,5,FALSE))</f>
        <v>#REF!</v>
      </c>
      <c r="H33" s="245" t="e">
        <f t="shared" si="2"/>
        <v>#REF!</v>
      </c>
      <c r="I33" s="245" t="e">
        <f>+VLOOKUP(E33,'Données SOMIDA'!$C$71:$E$75,3,FALSE)</f>
        <v>#REF!</v>
      </c>
      <c r="J33" s="245" t="e">
        <f t="shared" si="3"/>
        <v>#REF!</v>
      </c>
      <c r="K33" s="245" t="e">
        <f t="shared" si="6"/>
        <v>#REF!</v>
      </c>
      <c r="L33" s="245">
        <f t="shared" si="4"/>
        <v>0</v>
      </c>
      <c r="M33" s="245"/>
      <c r="N33" s="405">
        <v>3</v>
      </c>
      <c r="O33" s="462" t="e">
        <f>+$C$12</f>
        <v>#REF!</v>
      </c>
      <c r="P33" s="925" t="e">
        <f>+$D$85</f>
        <v>#REF!</v>
      </c>
      <c r="Q33" s="245" t="e">
        <f ca="1">SUMIF($C$85:$F$93,$C$30,$F$85:$F$93)</f>
        <v>#REF!</v>
      </c>
      <c r="R33" s="245" t="e">
        <f>+VLOOKUP(O33,#REF!,4,FALSE)</f>
        <v>#REF!</v>
      </c>
      <c r="S33" s="245" t="e">
        <f t="shared" ca="1" si="7"/>
        <v>#REF!</v>
      </c>
      <c r="T33" s="245" t="e">
        <f t="shared" ca="1" si="23"/>
        <v>#REF!</v>
      </c>
      <c r="U33" s="245" t="e">
        <f t="shared" ca="1" si="8"/>
        <v>#REF!</v>
      </c>
      <c r="V33" s="245">
        <f t="shared" ca="1" si="16"/>
        <v>0</v>
      </c>
      <c r="W33" s="245"/>
      <c r="X33" s="245"/>
    </row>
    <row r="34" spans="2:24">
      <c r="B34" s="198" t="e">
        <f t="shared" si="1"/>
        <v>#REF!</v>
      </c>
      <c r="C34" s="462" t="e">
        <f>'Besoins en micas'!#REF!</f>
        <v>#REF!</v>
      </c>
      <c r="D34" s="198" t="e">
        <f>'Besoins en micas'!#REF!</f>
        <v>#REF!</v>
      </c>
      <c r="E34" s="462" t="e">
        <f>'Besoins en micas'!#REF!</f>
        <v>#REF!</v>
      </c>
      <c r="F34" s="245" t="e">
        <f>'Besoins en micas'!#REF!</f>
        <v>#REF!</v>
      </c>
      <c r="G34" s="245" t="e">
        <f>IF(C34="FP1",'Données SOMIDA'!$G$73,VLOOKUP(E34,'Données SOMIDA'!$C$71:$G$75,5,FALSE))</f>
        <v>#REF!</v>
      </c>
      <c r="H34" s="245" t="e">
        <f t="shared" si="2"/>
        <v>#REF!</v>
      </c>
      <c r="I34" s="245" t="e">
        <f>+VLOOKUP(E34,'Données SOMIDA'!$C$71:$E$75,3,FALSE)</f>
        <v>#REF!</v>
      </c>
      <c r="J34" s="245" t="e">
        <f t="shared" si="3"/>
        <v>#REF!</v>
      </c>
      <c r="K34" s="245" t="e">
        <f t="shared" si="6"/>
        <v>#REF!</v>
      </c>
      <c r="L34" s="245">
        <f t="shared" si="4"/>
        <v>0</v>
      </c>
      <c r="M34" s="245"/>
      <c r="N34" s="405">
        <v>1</v>
      </c>
      <c r="O34" s="462" t="e">
        <f>+$C$4</f>
        <v>#REF!</v>
      </c>
      <c r="P34" s="925" t="e">
        <f>+$D$94</f>
        <v>#REF!</v>
      </c>
      <c r="Q34" s="245" t="e">
        <f ca="1">SUMIF($C$94:$F$102,$C$22,$F$94:$F$102)</f>
        <v>#REF!</v>
      </c>
      <c r="R34" s="245" t="e">
        <f>+VLOOKUP(O34,#REF!,4,FALSE)</f>
        <v>#REF!</v>
      </c>
      <c r="S34" s="245" t="e">
        <f t="shared" ca="1" si="7"/>
        <v>#REF!</v>
      </c>
      <c r="T34" s="245" t="e">
        <f ca="1">SUMIF($C$94:$J$102,O34,$J$94:$J$102)</f>
        <v>#REF!</v>
      </c>
      <c r="U34" s="245" t="e">
        <f t="shared" ca="1" si="8"/>
        <v>#REF!</v>
      </c>
      <c r="V34" s="245">
        <f t="shared" ca="1" si="16"/>
        <v>0</v>
      </c>
      <c r="W34" s="245"/>
      <c r="X34" s="245"/>
    </row>
    <row r="35" spans="2:24">
      <c r="B35" s="198" t="e">
        <f t="shared" si="1"/>
        <v>#REF!</v>
      </c>
      <c r="C35" s="462" t="e">
        <f>'Besoins en micas'!#REF!</f>
        <v>#REF!</v>
      </c>
      <c r="D35" s="198" t="e">
        <f>'Besoins en micas'!#REF!</f>
        <v>#REF!</v>
      </c>
      <c r="E35" s="462" t="e">
        <f>'Besoins en micas'!#REF!</f>
        <v>#REF!</v>
      </c>
      <c r="F35" s="245" t="e">
        <f>'Besoins en micas'!#REF!</f>
        <v>#REF!</v>
      </c>
      <c r="G35" s="245" t="e">
        <f>IF(C35="FP1",'Données SOMIDA'!$G$73,VLOOKUP(E35,'Données SOMIDA'!$C$71:$G$75,5,FALSE))</f>
        <v>#REF!</v>
      </c>
      <c r="H35" s="245" t="e">
        <f t="shared" si="2"/>
        <v>#REF!</v>
      </c>
      <c r="I35" s="245" t="e">
        <f>+VLOOKUP(E35,'Données SOMIDA'!$C$71:$E$75,3,FALSE)</f>
        <v>#REF!</v>
      </c>
      <c r="J35" s="245" t="e">
        <f t="shared" si="3"/>
        <v>#REF!</v>
      </c>
      <c r="K35" s="245" t="e">
        <f t="shared" si="6"/>
        <v>#REF!</v>
      </c>
      <c r="L35" s="245">
        <f t="shared" si="4"/>
        <v>0</v>
      </c>
      <c r="M35" s="245"/>
      <c r="N35" s="405">
        <v>2</v>
      </c>
      <c r="O35" s="462" t="e">
        <f>+$C$8</f>
        <v>#REF!</v>
      </c>
      <c r="P35" s="925" t="e">
        <f>+$D$94</f>
        <v>#REF!</v>
      </c>
      <c r="Q35" s="245" t="e">
        <f ca="1">SUMIF($C$94:$F$102,$C$26,$F$94:$F$102)</f>
        <v>#REF!</v>
      </c>
      <c r="R35" s="245" t="e">
        <f>+VLOOKUP(O35,#REF!,4,FALSE)</f>
        <v>#REF!</v>
      </c>
      <c r="S35" s="245" t="e">
        <f t="shared" ca="1" si="7"/>
        <v>#REF!</v>
      </c>
      <c r="T35" s="245" t="e">
        <f t="shared" ref="T35:T36" ca="1" si="24">SUMIF($C$94:$J$102,O35,$J$94:$J$102)</f>
        <v>#REF!</v>
      </c>
      <c r="U35" s="245" t="e">
        <f t="shared" ca="1" si="8"/>
        <v>#REF!</v>
      </c>
      <c r="V35" s="245">
        <f t="shared" ca="1" si="16"/>
        <v>0</v>
      </c>
      <c r="W35" s="245"/>
      <c r="X35" s="245"/>
    </row>
    <row r="36" spans="2:24">
      <c r="B36" s="198" t="e">
        <f t="shared" ref="B36:B67" si="25">_xlfn.XLOOKUP(C36,O:O,N:N)</f>
        <v>#REF!</v>
      </c>
      <c r="C36" s="462" t="e">
        <f>'Besoins en micas'!#REF!</f>
        <v>#REF!</v>
      </c>
      <c r="D36" s="198" t="e">
        <f>'Besoins en micas'!#REF!</f>
        <v>#REF!</v>
      </c>
      <c r="E36" s="462" t="e">
        <f>'Besoins en micas'!#REF!</f>
        <v>#REF!</v>
      </c>
      <c r="F36" s="245" t="e">
        <f>'Besoins en micas'!#REF!</f>
        <v>#REF!</v>
      </c>
      <c r="G36" s="245" t="e">
        <f>IF(C36="FP1",'Données SOMIDA'!$G$73,VLOOKUP(E36,'Données SOMIDA'!$C$71:$G$75,5,FALSE))</f>
        <v>#REF!</v>
      </c>
      <c r="H36" s="245" t="e">
        <f t="shared" si="2"/>
        <v>#REF!</v>
      </c>
      <c r="I36" s="245" t="e">
        <f>+VLOOKUP(E36,'Données SOMIDA'!$C$71:$E$75,3,FALSE)</f>
        <v>#REF!</v>
      </c>
      <c r="J36" s="245" t="e">
        <f t="shared" si="3"/>
        <v>#REF!</v>
      </c>
      <c r="K36" s="245" t="e">
        <f t="shared" si="6"/>
        <v>#REF!</v>
      </c>
      <c r="L36" s="245">
        <f t="shared" si="4"/>
        <v>0</v>
      </c>
      <c r="M36" s="245"/>
      <c r="N36" s="405">
        <v>3</v>
      </c>
      <c r="O36" s="462" t="e">
        <f>+$C$12</f>
        <v>#REF!</v>
      </c>
      <c r="P36" s="925" t="e">
        <f>+$D$94</f>
        <v>#REF!</v>
      </c>
      <c r="Q36" s="245" t="e">
        <f ca="1">SUMIF($C$94:$F$102,$C$30,$F$94:$F$102)</f>
        <v>#REF!</v>
      </c>
      <c r="R36" s="245" t="e">
        <f>+VLOOKUP(O36,#REF!,4,FALSE)</f>
        <v>#REF!</v>
      </c>
      <c r="S36" s="245" t="e">
        <f t="shared" ca="1" si="7"/>
        <v>#REF!</v>
      </c>
      <c r="T36" s="245" t="e">
        <f t="shared" ca="1" si="24"/>
        <v>#REF!</v>
      </c>
      <c r="U36" s="245" t="e">
        <f t="shared" ca="1" si="8"/>
        <v>#REF!</v>
      </c>
      <c r="V36" s="245">
        <f t="shared" ca="1" si="16"/>
        <v>0</v>
      </c>
      <c r="W36" s="245"/>
      <c r="X36" s="245"/>
    </row>
    <row r="37" spans="2:24">
      <c r="B37" s="198" t="e">
        <f t="shared" si="25"/>
        <v>#REF!</v>
      </c>
      <c r="C37" s="462" t="e">
        <f>'Besoins en micas'!#REF!</f>
        <v>#REF!</v>
      </c>
      <c r="D37" s="198" t="e">
        <f>'Besoins en micas'!#REF!</f>
        <v>#REF!</v>
      </c>
      <c r="E37" s="462" t="e">
        <f>'Besoins en micas'!#REF!</f>
        <v>#REF!</v>
      </c>
      <c r="F37" s="245" t="e">
        <f>'Besoins en micas'!#REF!</f>
        <v>#REF!</v>
      </c>
      <c r="G37" s="245" t="e">
        <f>IF(C37="FP1",'Données SOMIDA'!$G$73,VLOOKUP(E37,'Données SOMIDA'!$C$71:$G$75,5,FALSE))</f>
        <v>#REF!</v>
      </c>
      <c r="H37" s="245" t="e">
        <f t="shared" si="2"/>
        <v>#REF!</v>
      </c>
      <c r="I37" s="245" t="e">
        <f>+VLOOKUP(E37,'Données SOMIDA'!$C$71:$E$75,3,FALSE)</f>
        <v>#REF!</v>
      </c>
      <c r="J37" s="245" t="e">
        <f t="shared" si="3"/>
        <v>#REF!</v>
      </c>
      <c r="K37" s="245" t="e">
        <f t="shared" si="6"/>
        <v>#REF!</v>
      </c>
      <c r="L37" s="245">
        <f t="shared" si="4"/>
        <v>0</v>
      </c>
      <c r="M37" s="245"/>
      <c r="N37" s="405">
        <v>1</v>
      </c>
      <c r="O37" s="462" t="e">
        <f>+$C$4</f>
        <v>#REF!</v>
      </c>
      <c r="P37" s="925" t="e">
        <f>+$D$103</f>
        <v>#REF!</v>
      </c>
      <c r="Q37" s="245" t="e">
        <f ca="1">SUMIF($C$103:$F$111,$C$22,$F$103:$F$111)</f>
        <v>#REF!</v>
      </c>
      <c r="R37" s="245" t="e">
        <f>+VLOOKUP(O37,#REF!,4,FALSE)</f>
        <v>#REF!</v>
      </c>
      <c r="S37" s="245" t="e">
        <f t="shared" ca="1" si="7"/>
        <v>#REF!</v>
      </c>
      <c r="T37" s="245" t="e">
        <f ca="1">SUMIF($C$103:$J$111,O37,$J$103:$J$111)</f>
        <v>#REF!</v>
      </c>
      <c r="U37" s="245" t="e">
        <f t="shared" ca="1" si="8"/>
        <v>#REF!</v>
      </c>
      <c r="V37" s="245">
        <f t="shared" ca="1" si="16"/>
        <v>0</v>
      </c>
      <c r="W37" s="245"/>
      <c r="X37" s="245"/>
    </row>
    <row r="38" spans="2:24">
      <c r="B38" s="198" t="e">
        <f t="shared" si="25"/>
        <v>#REF!</v>
      </c>
      <c r="C38" s="462" t="e">
        <f>'Besoins en micas'!#REF!</f>
        <v>#REF!</v>
      </c>
      <c r="D38" s="198" t="e">
        <f>'Besoins en micas'!#REF!</f>
        <v>#REF!</v>
      </c>
      <c r="E38" s="462" t="e">
        <f>'Besoins en micas'!#REF!</f>
        <v>#REF!</v>
      </c>
      <c r="F38" s="245" t="e">
        <f>'Besoins en micas'!#REF!</f>
        <v>#REF!</v>
      </c>
      <c r="G38" s="245" t="e">
        <f>IF(C38="FP1",'Données SOMIDA'!$G$73,VLOOKUP(E38,'Données SOMIDA'!$C$71:$G$75,5,FALSE))</f>
        <v>#REF!</v>
      </c>
      <c r="H38" s="245" t="e">
        <f t="shared" si="2"/>
        <v>#REF!</v>
      </c>
      <c r="I38" s="245" t="e">
        <f>+VLOOKUP(E38,'Données SOMIDA'!$C$71:$E$75,3,FALSE)</f>
        <v>#REF!</v>
      </c>
      <c r="J38" s="245" t="e">
        <f t="shared" si="3"/>
        <v>#REF!</v>
      </c>
      <c r="K38" s="245" t="e">
        <f t="shared" si="6"/>
        <v>#REF!</v>
      </c>
      <c r="L38" s="245">
        <f t="shared" si="4"/>
        <v>0</v>
      </c>
      <c r="M38" s="245"/>
      <c r="N38" s="405">
        <v>2</v>
      </c>
      <c r="O38" s="462" t="e">
        <f>+$C$8</f>
        <v>#REF!</v>
      </c>
      <c r="P38" s="925" t="e">
        <f>+$D$103</f>
        <v>#REF!</v>
      </c>
      <c r="Q38" s="245" t="e">
        <f ca="1">SUMIF($C$103:$F$111,$C$26,$F$103:$F$111)</f>
        <v>#REF!</v>
      </c>
      <c r="R38" s="245" t="e">
        <f>+VLOOKUP(O38,#REF!,4,FALSE)</f>
        <v>#REF!</v>
      </c>
      <c r="S38" s="245" t="e">
        <f t="shared" ca="1" si="7"/>
        <v>#REF!</v>
      </c>
      <c r="T38" s="245" t="e">
        <f t="shared" ref="T38:T39" ca="1" si="26">SUMIF($C$103:$J$111,O38,$J$103:$J$111)</f>
        <v>#REF!</v>
      </c>
      <c r="U38" s="245" t="e">
        <f t="shared" ca="1" si="8"/>
        <v>#REF!</v>
      </c>
      <c r="V38" s="245">
        <f t="shared" ca="1" si="16"/>
        <v>0</v>
      </c>
      <c r="W38" s="245"/>
      <c r="X38" s="245"/>
    </row>
    <row r="39" spans="2:24">
      <c r="B39" s="198" t="e">
        <f t="shared" si="25"/>
        <v>#REF!</v>
      </c>
      <c r="C39" s="462" t="e">
        <f>'Besoins en micas'!#REF!</f>
        <v>#REF!</v>
      </c>
      <c r="D39" s="198" t="e">
        <f>'Besoins en micas'!#REF!</f>
        <v>#REF!</v>
      </c>
      <c r="E39" s="462" t="e">
        <f>'Besoins en micas'!#REF!</f>
        <v>#REF!</v>
      </c>
      <c r="F39" s="245" t="e">
        <f>'Besoins en micas'!#REF!</f>
        <v>#REF!</v>
      </c>
      <c r="G39" s="245" t="e">
        <f>IF(C39="FP1",'Données SOMIDA'!$G$73,VLOOKUP(E39,'Données SOMIDA'!$C$71:$G$75,5,FALSE))</f>
        <v>#REF!</v>
      </c>
      <c r="H39" s="245" t="e">
        <f t="shared" si="2"/>
        <v>#REF!</v>
      </c>
      <c r="I39" s="245" t="e">
        <f>+VLOOKUP(E39,'Données SOMIDA'!$C$71:$E$75,3,FALSE)</f>
        <v>#REF!</v>
      </c>
      <c r="J39" s="245" t="e">
        <f t="shared" si="3"/>
        <v>#REF!</v>
      </c>
      <c r="K39" s="245" t="e">
        <f t="shared" si="6"/>
        <v>#REF!</v>
      </c>
      <c r="L39" s="245">
        <f t="shared" si="4"/>
        <v>0</v>
      </c>
      <c r="M39" s="245"/>
      <c r="N39" s="405">
        <v>3</v>
      </c>
      <c r="O39" s="462" t="e">
        <f>+$C$12</f>
        <v>#REF!</v>
      </c>
      <c r="P39" s="925" t="e">
        <f>+$D$103</f>
        <v>#REF!</v>
      </c>
      <c r="Q39" s="245" t="e">
        <f ca="1">SUMIF($C$103:$F$111,$C$30,$F$103:$F$111)</f>
        <v>#REF!</v>
      </c>
      <c r="R39" s="245" t="e">
        <f>+VLOOKUP(O39,#REF!,4,FALSE)</f>
        <v>#REF!</v>
      </c>
      <c r="S39" s="245" t="e">
        <f t="shared" ca="1" si="7"/>
        <v>#REF!</v>
      </c>
      <c r="T39" s="245" t="e">
        <f t="shared" ca="1" si="26"/>
        <v>#REF!</v>
      </c>
      <c r="U39" s="245" t="e">
        <f t="shared" ca="1" si="8"/>
        <v>#REF!</v>
      </c>
      <c r="V39" s="245">
        <f t="shared" ca="1" si="16"/>
        <v>0</v>
      </c>
      <c r="W39" s="245"/>
      <c r="X39" s="245"/>
    </row>
    <row r="40" spans="2:24" ht="17.25" thickBot="1">
      <c r="B40" s="198" t="e">
        <f t="shared" si="25"/>
        <v>#REF!</v>
      </c>
      <c r="C40" s="462" t="e">
        <f>'Besoins en micas'!#REF!</f>
        <v>#REF!</v>
      </c>
      <c r="D40" s="198" t="e">
        <f>'Besoins en micas'!#REF!</f>
        <v>#REF!</v>
      </c>
      <c r="E40" s="462" t="e">
        <f>'Besoins en micas'!#REF!</f>
        <v>#REF!</v>
      </c>
      <c r="F40" s="245" t="e">
        <f>'Besoins en micas'!#REF!</f>
        <v>#REF!</v>
      </c>
      <c r="G40" s="245" t="e">
        <f>IF(C40="FP1",'Données SOMIDA'!$G$73,VLOOKUP(E40,'Données SOMIDA'!$C$71:$G$75,5,FALSE))</f>
        <v>#REF!</v>
      </c>
      <c r="H40" s="245" t="e">
        <f t="shared" si="2"/>
        <v>#REF!</v>
      </c>
      <c r="I40" s="245" t="e">
        <f>+VLOOKUP(E40,'Données SOMIDA'!$C$71:$E$75,3,FALSE)</f>
        <v>#REF!</v>
      </c>
      <c r="J40" s="245" t="e">
        <f t="shared" si="3"/>
        <v>#REF!</v>
      </c>
      <c r="K40" s="245" t="e">
        <f t="shared" si="6"/>
        <v>#REF!</v>
      </c>
      <c r="L40" s="245">
        <f t="shared" si="4"/>
        <v>0</v>
      </c>
      <c r="M40" s="245"/>
      <c r="N40" s="928"/>
      <c r="O40" s="928"/>
      <c r="P40" s="928"/>
      <c r="Q40" s="935" t="e">
        <f ca="1">SUM(Q4:Q39)</f>
        <v>#REF!</v>
      </c>
      <c r="R40" s="928"/>
      <c r="S40" s="935" t="e">
        <f ca="1">SUM(S4:S39)</f>
        <v>#REF!</v>
      </c>
      <c r="T40" s="935" t="e">
        <f ca="1">SUM(T4:T39)</f>
        <v>#REF!</v>
      </c>
      <c r="U40" s="935" t="e">
        <f ca="1">SUM(U4:U39)</f>
        <v>#REF!</v>
      </c>
      <c r="V40" s="935">
        <f t="shared" ca="1" si="16"/>
        <v>0</v>
      </c>
      <c r="W40" s="245"/>
      <c r="X40" s="926"/>
    </row>
    <row r="41" spans="2:24">
      <c r="B41" s="198" t="e">
        <f t="shared" si="25"/>
        <v>#REF!</v>
      </c>
      <c r="C41" s="462" t="e">
        <f>'Besoins en micas'!#REF!</f>
        <v>#REF!</v>
      </c>
      <c r="D41" s="198" t="e">
        <f>'Besoins en micas'!#REF!</f>
        <v>#REF!</v>
      </c>
      <c r="E41" s="462" t="e">
        <f>'Besoins en micas'!#REF!</f>
        <v>#REF!</v>
      </c>
      <c r="F41" s="245" t="e">
        <f>'Besoins en micas'!#REF!</f>
        <v>#REF!</v>
      </c>
      <c r="G41" s="245" t="e">
        <f>IF(C41="FP1",'Données SOMIDA'!$G$73,VLOOKUP(E41,'Données SOMIDA'!$C$71:$G$75,5,FALSE))</f>
        <v>#REF!</v>
      </c>
      <c r="H41" s="245" t="e">
        <f t="shared" si="2"/>
        <v>#REF!</v>
      </c>
      <c r="I41" s="245" t="e">
        <f>+VLOOKUP(E41,'Données SOMIDA'!$C$71:$E$75,3,FALSE)</f>
        <v>#REF!</v>
      </c>
      <c r="J41" s="245" t="e">
        <f t="shared" si="3"/>
        <v>#REF!</v>
      </c>
      <c r="K41" s="245" t="e">
        <f t="shared" si="6"/>
        <v>#REF!</v>
      </c>
      <c r="L41" s="245">
        <f t="shared" si="4"/>
        <v>0</v>
      </c>
      <c r="M41" s="245"/>
      <c r="Q41" s="245"/>
      <c r="W41" s="245"/>
    </row>
    <row r="42" spans="2:24">
      <c r="B42" s="198" t="e">
        <f t="shared" si="25"/>
        <v>#REF!</v>
      </c>
      <c r="C42" s="462" t="e">
        <f>'Besoins en micas'!#REF!</f>
        <v>#REF!</v>
      </c>
      <c r="D42" s="198" t="e">
        <f>'Besoins en micas'!#REF!</f>
        <v>#REF!</v>
      </c>
      <c r="E42" s="462" t="e">
        <f>'Besoins en micas'!#REF!</f>
        <v>#REF!</v>
      </c>
      <c r="F42" s="245" t="e">
        <f>'Besoins en micas'!#REF!</f>
        <v>#REF!</v>
      </c>
      <c r="G42" s="245" t="e">
        <f>IF(C42="FP1",'Données SOMIDA'!$G$73,VLOOKUP(E42,'Données SOMIDA'!$C$71:$G$75,5,FALSE))</f>
        <v>#REF!</v>
      </c>
      <c r="H42" s="245" t="e">
        <f t="shared" si="2"/>
        <v>#REF!</v>
      </c>
      <c r="I42" s="245" t="e">
        <f>+VLOOKUP(E42,'Données SOMIDA'!$C$71:$E$75,3,FALSE)</f>
        <v>#REF!</v>
      </c>
      <c r="J42" s="245" t="e">
        <f t="shared" si="3"/>
        <v>#REF!</v>
      </c>
      <c r="K42" s="245" t="e">
        <f t="shared" si="6"/>
        <v>#REF!</v>
      </c>
      <c r="L42" s="245">
        <f t="shared" si="4"/>
        <v>0</v>
      </c>
      <c r="M42" s="245"/>
      <c r="W42" s="245"/>
    </row>
    <row r="43" spans="2:24">
      <c r="B43" s="198" t="e">
        <f t="shared" si="25"/>
        <v>#REF!</v>
      </c>
      <c r="C43" s="462" t="e">
        <f>'Besoins en micas'!#REF!</f>
        <v>#REF!</v>
      </c>
      <c r="D43" s="198" t="e">
        <f>'Besoins en micas'!#REF!</f>
        <v>#REF!</v>
      </c>
      <c r="E43" s="462" t="e">
        <f>'Besoins en micas'!#REF!</f>
        <v>#REF!</v>
      </c>
      <c r="F43" s="245" t="e">
        <f>'Besoins en micas'!#REF!</f>
        <v>#REF!</v>
      </c>
      <c r="G43" s="245" t="e">
        <f>IF(C43="FP1",'Données SOMIDA'!$G$73,VLOOKUP(E43,'Données SOMIDA'!$C$71:$G$75,5,FALSE))</f>
        <v>#REF!</v>
      </c>
      <c r="H43" s="245" t="e">
        <f t="shared" si="2"/>
        <v>#REF!</v>
      </c>
      <c r="I43" s="245" t="e">
        <f>+VLOOKUP(E43,'Données SOMIDA'!$C$71:$E$75,3,FALSE)</f>
        <v>#REF!</v>
      </c>
      <c r="J43" s="245" t="e">
        <f t="shared" si="3"/>
        <v>#REF!</v>
      </c>
      <c r="K43" s="245" t="e">
        <f t="shared" si="6"/>
        <v>#REF!</v>
      </c>
      <c r="L43" s="245">
        <f t="shared" si="4"/>
        <v>0</v>
      </c>
      <c r="M43" s="245"/>
      <c r="W43" s="245"/>
    </row>
    <row r="44" spans="2:24">
      <c r="B44" s="198" t="e">
        <f t="shared" si="25"/>
        <v>#REF!</v>
      </c>
      <c r="C44" s="462" t="e">
        <f>'Besoins en micas'!#REF!</f>
        <v>#REF!</v>
      </c>
      <c r="D44" s="198" t="e">
        <f>'Besoins en micas'!#REF!</f>
        <v>#REF!</v>
      </c>
      <c r="E44" s="462" t="e">
        <f>'Besoins en micas'!#REF!</f>
        <v>#REF!</v>
      </c>
      <c r="F44" s="245" t="e">
        <f>'Besoins en micas'!#REF!</f>
        <v>#REF!</v>
      </c>
      <c r="G44" s="245" t="e">
        <f>IF(C44="FP1",'Données SOMIDA'!$G$73,VLOOKUP(E44,'Données SOMIDA'!$C$71:$G$75,5,FALSE))</f>
        <v>#REF!</v>
      </c>
      <c r="H44" s="245" t="e">
        <f t="shared" si="2"/>
        <v>#REF!</v>
      </c>
      <c r="I44" s="245" t="e">
        <f>+VLOOKUP(E44,'Données SOMIDA'!$C$71:$E$75,3,FALSE)</f>
        <v>#REF!</v>
      </c>
      <c r="J44" s="245" t="e">
        <f t="shared" si="3"/>
        <v>#REF!</v>
      </c>
      <c r="K44" s="245" t="e">
        <f t="shared" si="6"/>
        <v>#REF!</v>
      </c>
      <c r="L44" s="245">
        <f t="shared" si="4"/>
        <v>0</v>
      </c>
      <c r="M44" s="245"/>
      <c r="W44" s="245"/>
    </row>
    <row r="45" spans="2:24">
      <c r="B45" s="198" t="e">
        <f t="shared" si="25"/>
        <v>#REF!</v>
      </c>
      <c r="C45" s="462" t="e">
        <f>'Besoins en micas'!#REF!</f>
        <v>#REF!</v>
      </c>
      <c r="D45" s="198" t="e">
        <f>'Besoins en micas'!#REF!</f>
        <v>#REF!</v>
      </c>
      <c r="E45" s="462" t="e">
        <f>'Besoins en micas'!#REF!</f>
        <v>#REF!</v>
      </c>
      <c r="F45" s="245" t="e">
        <f>'Besoins en micas'!#REF!</f>
        <v>#REF!</v>
      </c>
      <c r="G45" s="245" t="e">
        <f>IF(C45="FP1",'Données SOMIDA'!$G$73,VLOOKUP(E45,'Données SOMIDA'!$C$71:$G$75,5,FALSE))</f>
        <v>#REF!</v>
      </c>
      <c r="H45" s="245" t="e">
        <f t="shared" si="2"/>
        <v>#REF!</v>
      </c>
      <c r="I45" s="245" t="e">
        <f>+VLOOKUP(E45,'Données SOMIDA'!$C$71:$E$75,3,FALSE)</f>
        <v>#REF!</v>
      </c>
      <c r="J45" s="245" t="e">
        <f t="shared" si="3"/>
        <v>#REF!</v>
      </c>
      <c r="K45" s="245" t="e">
        <f t="shared" si="6"/>
        <v>#REF!</v>
      </c>
      <c r="L45" s="245">
        <f t="shared" si="4"/>
        <v>0</v>
      </c>
      <c r="M45" s="245"/>
      <c r="W45" s="245"/>
    </row>
    <row r="46" spans="2:24">
      <c r="B46" s="198" t="e">
        <f t="shared" si="25"/>
        <v>#REF!</v>
      </c>
      <c r="C46" s="462" t="e">
        <f>'Besoins en micas'!#REF!</f>
        <v>#REF!</v>
      </c>
      <c r="D46" s="198" t="e">
        <f>'Besoins en micas'!#REF!</f>
        <v>#REF!</v>
      </c>
      <c r="E46" s="462" t="e">
        <f>'Besoins en micas'!#REF!</f>
        <v>#REF!</v>
      </c>
      <c r="F46" s="245" t="e">
        <f>'Besoins en micas'!#REF!</f>
        <v>#REF!</v>
      </c>
      <c r="G46" s="245" t="e">
        <f>IF(C46="FP1",'Données SOMIDA'!$G$73,VLOOKUP(E46,'Données SOMIDA'!$C$71:$G$75,5,FALSE))</f>
        <v>#REF!</v>
      </c>
      <c r="H46" s="245" t="e">
        <f t="shared" si="2"/>
        <v>#REF!</v>
      </c>
      <c r="I46" s="245" t="e">
        <f>+VLOOKUP(E46,'Données SOMIDA'!$C$71:$E$75,3,FALSE)</f>
        <v>#REF!</v>
      </c>
      <c r="J46" s="245" t="e">
        <f t="shared" si="3"/>
        <v>#REF!</v>
      </c>
      <c r="K46" s="245" t="e">
        <f t="shared" si="6"/>
        <v>#REF!</v>
      </c>
      <c r="L46" s="245">
        <f t="shared" si="4"/>
        <v>0</v>
      </c>
      <c r="M46" s="245"/>
      <c r="W46" s="245"/>
    </row>
    <row r="47" spans="2:24">
      <c r="B47" s="198" t="e">
        <f t="shared" si="25"/>
        <v>#REF!</v>
      </c>
      <c r="C47" s="462" t="e">
        <f>'Besoins en micas'!#REF!</f>
        <v>#REF!</v>
      </c>
      <c r="D47" s="198" t="e">
        <f>'Besoins en micas'!#REF!</f>
        <v>#REF!</v>
      </c>
      <c r="E47" s="462" t="e">
        <f>'Besoins en micas'!#REF!</f>
        <v>#REF!</v>
      </c>
      <c r="F47" s="245" t="e">
        <f>'Besoins en micas'!#REF!</f>
        <v>#REF!</v>
      </c>
      <c r="G47" s="245" t="e">
        <f>IF(C47="FP1",'Données SOMIDA'!$G$73,VLOOKUP(E47,'Données SOMIDA'!$C$71:$G$75,5,FALSE))</f>
        <v>#REF!</v>
      </c>
      <c r="H47" s="245" t="e">
        <f t="shared" si="2"/>
        <v>#REF!</v>
      </c>
      <c r="I47" s="245" t="e">
        <f>+VLOOKUP(E47,'Données SOMIDA'!$C$71:$E$75,3,FALSE)</f>
        <v>#REF!</v>
      </c>
      <c r="J47" s="245" t="e">
        <f t="shared" si="3"/>
        <v>#REF!</v>
      </c>
      <c r="K47" s="245" t="e">
        <f t="shared" si="6"/>
        <v>#REF!</v>
      </c>
      <c r="L47" s="245">
        <f t="shared" si="4"/>
        <v>0</v>
      </c>
      <c r="M47" s="245"/>
      <c r="W47" s="245"/>
    </row>
    <row r="48" spans="2:24">
      <c r="B48" s="198" t="e">
        <f t="shared" si="25"/>
        <v>#REF!</v>
      </c>
      <c r="C48" s="462" t="e">
        <f>'Besoins en micas'!#REF!</f>
        <v>#REF!</v>
      </c>
      <c r="D48" s="198" t="e">
        <f>'Besoins en micas'!#REF!</f>
        <v>#REF!</v>
      </c>
      <c r="E48" s="462" t="e">
        <f>'Besoins en micas'!#REF!</f>
        <v>#REF!</v>
      </c>
      <c r="F48" s="245" t="e">
        <f>'Besoins en micas'!#REF!</f>
        <v>#REF!</v>
      </c>
      <c r="G48" s="245" t="e">
        <f>IF(C48="FP1",'Données SOMIDA'!$G$73,VLOOKUP(E48,'Données SOMIDA'!$C$71:$G$75,5,FALSE))</f>
        <v>#REF!</v>
      </c>
      <c r="H48" s="245" t="e">
        <f t="shared" si="2"/>
        <v>#REF!</v>
      </c>
      <c r="I48" s="245" t="e">
        <f>+VLOOKUP(E48,'Données SOMIDA'!$C$71:$E$75,3,FALSE)</f>
        <v>#REF!</v>
      </c>
      <c r="J48" s="245" t="e">
        <f t="shared" si="3"/>
        <v>#REF!</v>
      </c>
      <c r="K48" s="245" t="e">
        <f t="shared" si="6"/>
        <v>#REF!</v>
      </c>
      <c r="L48" s="245">
        <f t="shared" si="4"/>
        <v>0</v>
      </c>
      <c r="M48" s="245"/>
      <c r="W48" s="245"/>
    </row>
    <row r="49" spans="2:23">
      <c r="B49" s="198" t="e">
        <f t="shared" si="25"/>
        <v>#REF!</v>
      </c>
      <c r="C49" s="462" t="e">
        <f>'Besoins en micas'!#REF!</f>
        <v>#REF!</v>
      </c>
      <c r="D49" s="198" t="e">
        <f>'Besoins en micas'!#REF!</f>
        <v>#REF!</v>
      </c>
      <c r="E49" s="462" t="e">
        <f>'Besoins en micas'!#REF!</f>
        <v>#REF!</v>
      </c>
      <c r="F49" s="245" t="e">
        <f>'Besoins en micas'!#REF!</f>
        <v>#REF!</v>
      </c>
      <c r="G49" s="245" t="e">
        <f>IF(C49="FP1",'Données SOMIDA'!$G$73,VLOOKUP(E49,'Données SOMIDA'!$C$71:$G$75,5,FALSE))</f>
        <v>#REF!</v>
      </c>
      <c r="H49" s="245" t="e">
        <f t="shared" si="2"/>
        <v>#REF!</v>
      </c>
      <c r="I49" s="245" t="e">
        <f>+VLOOKUP(E49,'Données SOMIDA'!$C$71:$E$75,3,FALSE)</f>
        <v>#REF!</v>
      </c>
      <c r="J49" s="245" t="e">
        <f t="shared" si="3"/>
        <v>#REF!</v>
      </c>
      <c r="K49" s="245" t="e">
        <f t="shared" si="6"/>
        <v>#REF!</v>
      </c>
      <c r="L49" s="245">
        <f t="shared" si="4"/>
        <v>0</v>
      </c>
      <c r="M49" s="245"/>
      <c r="W49" s="245"/>
    </row>
    <row r="50" spans="2:23">
      <c r="B50" s="198" t="e">
        <f t="shared" si="25"/>
        <v>#REF!</v>
      </c>
      <c r="C50" s="462" t="e">
        <f>'Besoins en micas'!#REF!</f>
        <v>#REF!</v>
      </c>
      <c r="D50" s="198" t="e">
        <f>'Besoins en micas'!#REF!</f>
        <v>#REF!</v>
      </c>
      <c r="E50" s="462" t="e">
        <f>'Besoins en micas'!#REF!</f>
        <v>#REF!</v>
      </c>
      <c r="F50" s="245" t="e">
        <f>'Besoins en micas'!#REF!</f>
        <v>#REF!</v>
      </c>
      <c r="G50" s="245" t="e">
        <f>IF(C50="FP1",'Données SOMIDA'!$G$73,VLOOKUP(E50,'Données SOMIDA'!$C$71:$G$75,5,FALSE))</f>
        <v>#REF!</v>
      </c>
      <c r="H50" s="245" t="e">
        <f t="shared" si="2"/>
        <v>#REF!</v>
      </c>
      <c r="I50" s="245" t="e">
        <f>+VLOOKUP(E50,'Données SOMIDA'!$C$71:$E$75,3,FALSE)</f>
        <v>#REF!</v>
      </c>
      <c r="J50" s="245" t="e">
        <f t="shared" si="3"/>
        <v>#REF!</v>
      </c>
      <c r="K50" s="245" t="e">
        <f t="shared" si="6"/>
        <v>#REF!</v>
      </c>
      <c r="L50" s="245">
        <f t="shared" si="4"/>
        <v>0</v>
      </c>
      <c r="M50" s="245"/>
      <c r="W50" s="245"/>
    </row>
    <row r="51" spans="2:23">
      <c r="B51" s="198" t="e">
        <f t="shared" si="25"/>
        <v>#REF!</v>
      </c>
      <c r="C51" s="462" t="e">
        <f>'Besoins en micas'!#REF!</f>
        <v>#REF!</v>
      </c>
      <c r="D51" s="198" t="e">
        <f>'Besoins en micas'!#REF!</f>
        <v>#REF!</v>
      </c>
      <c r="E51" s="462" t="e">
        <f>'Besoins en micas'!#REF!</f>
        <v>#REF!</v>
      </c>
      <c r="F51" s="245" t="e">
        <f>'Besoins en micas'!#REF!</f>
        <v>#REF!</v>
      </c>
      <c r="G51" s="245" t="e">
        <f>IF(C51="FP1",'Données SOMIDA'!$G$73,VLOOKUP(E51,'Données SOMIDA'!$C$71:$G$75,5,FALSE))</f>
        <v>#REF!</v>
      </c>
      <c r="H51" s="245" t="e">
        <f t="shared" si="2"/>
        <v>#REF!</v>
      </c>
      <c r="I51" s="245" t="e">
        <f>+VLOOKUP(E51,'Données SOMIDA'!$C$71:$E$75,3,FALSE)</f>
        <v>#REF!</v>
      </c>
      <c r="J51" s="245" t="e">
        <f t="shared" si="3"/>
        <v>#REF!</v>
      </c>
      <c r="K51" s="245" t="e">
        <f t="shared" si="6"/>
        <v>#REF!</v>
      </c>
      <c r="L51" s="245">
        <f t="shared" si="4"/>
        <v>0</v>
      </c>
      <c r="M51" s="245"/>
      <c r="W51" s="245"/>
    </row>
    <row r="52" spans="2:23">
      <c r="B52" s="198" t="e">
        <f t="shared" si="25"/>
        <v>#REF!</v>
      </c>
      <c r="C52" s="462" t="e">
        <f>'Besoins en micas'!#REF!</f>
        <v>#REF!</v>
      </c>
      <c r="D52" s="198" t="e">
        <f>'Besoins en micas'!#REF!</f>
        <v>#REF!</v>
      </c>
      <c r="E52" s="462" t="e">
        <f>'Besoins en micas'!#REF!</f>
        <v>#REF!</v>
      </c>
      <c r="F52" s="245" t="e">
        <f>'Besoins en micas'!#REF!</f>
        <v>#REF!</v>
      </c>
      <c r="G52" s="245" t="e">
        <f>IF(C52="FP1",'Données SOMIDA'!$G$73,VLOOKUP(E52,'Données SOMIDA'!$C$71:$G$75,5,FALSE))</f>
        <v>#REF!</v>
      </c>
      <c r="H52" s="245" t="e">
        <f t="shared" si="2"/>
        <v>#REF!</v>
      </c>
      <c r="I52" s="245" t="e">
        <f>+VLOOKUP(E52,'Données SOMIDA'!$C$71:$E$75,3,FALSE)</f>
        <v>#REF!</v>
      </c>
      <c r="J52" s="245" t="e">
        <f t="shared" si="3"/>
        <v>#REF!</v>
      </c>
      <c r="K52" s="245" t="e">
        <f t="shared" si="6"/>
        <v>#REF!</v>
      </c>
      <c r="L52" s="245">
        <f t="shared" si="4"/>
        <v>0</v>
      </c>
      <c r="M52" s="245"/>
      <c r="W52" s="245"/>
    </row>
    <row r="53" spans="2:23">
      <c r="B53" s="198" t="e">
        <f t="shared" si="25"/>
        <v>#REF!</v>
      </c>
      <c r="C53" s="462" t="e">
        <f>'Besoins en micas'!#REF!</f>
        <v>#REF!</v>
      </c>
      <c r="D53" s="198" t="e">
        <f>'Besoins en micas'!#REF!</f>
        <v>#REF!</v>
      </c>
      <c r="E53" s="462" t="e">
        <f>'Besoins en micas'!#REF!</f>
        <v>#REF!</v>
      </c>
      <c r="F53" s="245" t="e">
        <f>'Besoins en micas'!#REF!</f>
        <v>#REF!</v>
      </c>
      <c r="G53" s="245" t="e">
        <f>IF(C53="FP1",'Données SOMIDA'!$G$73,VLOOKUP(E53,'Données SOMIDA'!$C$71:$G$75,5,FALSE))</f>
        <v>#REF!</v>
      </c>
      <c r="H53" s="245" t="e">
        <f t="shared" si="2"/>
        <v>#REF!</v>
      </c>
      <c r="I53" s="245" t="e">
        <f>+VLOOKUP(E53,'Données SOMIDA'!$C$71:$E$75,3,FALSE)</f>
        <v>#REF!</v>
      </c>
      <c r="J53" s="245" t="e">
        <f t="shared" si="3"/>
        <v>#REF!</v>
      </c>
      <c r="K53" s="245" t="e">
        <f t="shared" si="6"/>
        <v>#REF!</v>
      </c>
      <c r="L53" s="245">
        <f t="shared" si="4"/>
        <v>0</v>
      </c>
      <c r="M53" s="245"/>
      <c r="W53" s="245"/>
    </row>
    <row r="54" spans="2:23">
      <c r="B54" s="198" t="e">
        <f t="shared" si="25"/>
        <v>#REF!</v>
      </c>
      <c r="C54" s="462" t="e">
        <f>'Besoins en micas'!#REF!</f>
        <v>#REF!</v>
      </c>
      <c r="D54" s="198" t="e">
        <f>'Besoins en micas'!#REF!</f>
        <v>#REF!</v>
      </c>
      <c r="E54" s="462" t="e">
        <f>'Besoins en micas'!#REF!</f>
        <v>#REF!</v>
      </c>
      <c r="F54" s="245" t="e">
        <f>'Besoins en micas'!#REF!</f>
        <v>#REF!</v>
      </c>
      <c r="G54" s="245" t="e">
        <f>IF(C54="FP1",'Données SOMIDA'!$G$73,VLOOKUP(E54,'Données SOMIDA'!$C$71:$G$75,5,FALSE))</f>
        <v>#REF!</v>
      </c>
      <c r="H54" s="245" t="e">
        <f t="shared" si="2"/>
        <v>#REF!</v>
      </c>
      <c r="I54" s="245" t="e">
        <f>+VLOOKUP(E54,'Données SOMIDA'!$C$71:$E$75,3,FALSE)</f>
        <v>#REF!</v>
      </c>
      <c r="J54" s="245" t="e">
        <f t="shared" si="3"/>
        <v>#REF!</v>
      </c>
      <c r="K54" s="245" t="e">
        <f t="shared" si="6"/>
        <v>#REF!</v>
      </c>
      <c r="L54" s="245">
        <f t="shared" si="4"/>
        <v>0</v>
      </c>
      <c r="M54" s="245"/>
      <c r="W54" s="245"/>
    </row>
    <row r="55" spans="2:23">
      <c r="B55" s="198" t="e">
        <f t="shared" si="25"/>
        <v>#REF!</v>
      </c>
      <c r="C55" s="462" t="e">
        <f>'Besoins en micas'!#REF!</f>
        <v>#REF!</v>
      </c>
      <c r="D55" s="198" t="e">
        <f>'Besoins en micas'!#REF!</f>
        <v>#REF!</v>
      </c>
      <c r="E55" s="462" t="e">
        <f>'Besoins en micas'!#REF!</f>
        <v>#REF!</v>
      </c>
      <c r="F55" s="245" t="e">
        <f>'Besoins en micas'!#REF!</f>
        <v>#REF!</v>
      </c>
      <c r="G55" s="245" t="e">
        <f>IF(C55="FP1",'Données SOMIDA'!$G$73,VLOOKUP(E55,'Données SOMIDA'!$C$71:$G$75,5,FALSE))</f>
        <v>#REF!</v>
      </c>
      <c r="H55" s="245" t="e">
        <f t="shared" si="2"/>
        <v>#REF!</v>
      </c>
      <c r="I55" s="245" t="e">
        <f>+VLOOKUP(E55,'Données SOMIDA'!$C$71:$E$75,3,FALSE)</f>
        <v>#REF!</v>
      </c>
      <c r="J55" s="245" t="e">
        <f t="shared" si="3"/>
        <v>#REF!</v>
      </c>
      <c r="K55" s="245" t="e">
        <f t="shared" si="6"/>
        <v>#REF!</v>
      </c>
      <c r="L55" s="245">
        <f t="shared" si="4"/>
        <v>0</v>
      </c>
      <c r="M55" s="245"/>
      <c r="W55" s="245"/>
    </row>
    <row r="56" spans="2:23">
      <c r="B56" s="198" t="e">
        <f t="shared" si="25"/>
        <v>#REF!</v>
      </c>
      <c r="C56" s="462" t="e">
        <f>'Besoins en micas'!#REF!</f>
        <v>#REF!</v>
      </c>
      <c r="D56" s="198" t="e">
        <f>'Besoins en micas'!#REF!</f>
        <v>#REF!</v>
      </c>
      <c r="E56" s="462" t="e">
        <f>'Besoins en micas'!#REF!</f>
        <v>#REF!</v>
      </c>
      <c r="F56" s="245" t="e">
        <f>'Besoins en micas'!#REF!</f>
        <v>#REF!</v>
      </c>
      <c r="G56" s="245" t="e">
        <f>IF(C56="FP1",'Données SOMIDA'!$G$73,VLOOKUP(E56,'Données SOMIDA'!$C$71:$G$75,5,FALSE))</f>
        <v>#REF!</v>
      </c>
      <c r="H56" s="245" t="e">
        <f t="shared" si="2"/>
        <v>#REF!</v>
      </c>
      <c r="I56" s="245" t="e">
        <f>+VLOOKUP(E56,'Données SOMIDA'!$C$71:$E$75,3,FALSE)</f>
        <v>#REF!</v>
      </c>
      <c r="J56" s="245" t="e">
        <f t="shared" si="3"/>
        <v>#REF!</v>
      </c>
      <c r="K56" s="245" t="e">
        <f t="shared" si="6"/>
        <v>#REF!</v>
      </c>
      <c r="L56" s="245">
        <f t="shared" si="4"/>
        <v>0</v>
      </c>
      <c r="M56" s="245"/>
      <c r="W56" s="245"/>
    </row>
    <row r="57" spans="2:23">
      <c r="B57" s="198" t="e">
        <f t="shared" si="25"/>
        <v>#REF!</v>
      </c>
      <c r="C57" s="462" t="e">
        <f>'Besoins en micas'!#REF!</f>
        <v>#REF!</v>
      </c>
      <c r="D57" s="198" t="e">
        <f>'Besoins en micas'!#REF!</f>
        <v>#REF!</v>
      </c>
      <c r="E57" s="462" t="e">
        <f>'Besoins en micas'!#REF!</f>
        <v>#REF!</v>
      </c>
      <c r="F57" s="245" t="e">
        <f>'Besoins en micas'!#REF!</f>
        <v>#REF!</v>
      </c>
      <c r="G57" s="245" t="e">
        <f>IF(C57="FP1",'Données SOMIDA'!$G$73,VLOOKUP(E57,'Données SOMIDA'!$C$71:$G$75,5,FALSE))</f>
        <v>#REF!</v>
      </c>
      <c r="H57" s="245" t="e">
        <f t="shared" si="2"/>
        <v>#REF!</v>
      </c>
      <c r="I57" s="245" t="e">
        <f>+VLOOKUP(E57,'Données SOMIDA'!$C$71:$E$75,3,FALSE)</f>
        <v>#REF!</v>
      </c>
      <c r="J57" s="245" t="e">
        <f t="shared" si="3"/>
        <v>#REF!</v>
      </c>
      <c r="K57" s="245" t="e">
        <f t="shared" si="6"/>
        <v>#REF!</v>
      </c>
      <c r="L57" s="245">
        <f t="shared" si="4"/>
        <v>0</v>
      </c>
      <c r="M57" s="245"/>
      <c r="W57" s="245"/>
    </row>
    <row r="58" spans="2:23">
      <c r="B58" s="198" t="e">
        <f t="shared" si="25"/>
        <v>#REF!</v>
      </c>
      <c r="C58" s="462" t="e">
        <f>'Besoins en micas'!#REF!</f>
        <v>#REF!</v>
      </c>
      <c r="D58" s="198" t="e">
        <f>'Besoins en micas'!#REF!</f>
        <v>#REF!</v>
      </c>
      <c r="E58" s="462" t="e">
        <f>'Besoins en micas'!#REF!</f>
        <v>#REF!</v>
      </c>
      <c r="F58" s="245" t="e">
        <f>'Besoins en micas'!#REF!</f>
        <v>#REF!</v>
      </c>
      <c r="G58" s="245" t="e">
        <f>IF(C58="FP1",'Données SOMIDA'!$G$73,VLOOKUP(E58,'Données SOMIDA'!$C$71:$G$75,5,FALSE))</f>
        <v>#REF!</v>
      </c>
      <c r="H58" s="245" t="e">
        <f t="shared" si="2"/>
        <v>#REF!</v>
      </c>
      <c r="I58" s="245" t="e">
        <f>+VLOOKUP(E58,'Données SOMIDA'!$C$71:$E$75,3,FALSE)</f>
        <v>#REF!</v>
      </c>
      <c r="J58" s="245" t="e">
        <f t="shared" si="3"/>
        <v>#REF!</v>
      </c>
      <c r="K58" s="245" t="e">
        <f t="shared" si="6"/>
        <v>#REF!</v>
      </c>
      <c r="L58" s="245">
        <f t="shared" si="4"/>
        <v>0</v>
      </c>
      <c r="M58" s="245"/>
      <c r="W58" s="245"/>
    </row>
    <row r="59" spans="2:23">
      <c r="B59" s="198" t="e">
        <f t="shared" si="25"/>
        <v>#REF!</v>
      </c>
      <c r="C59" s="462" t="e">
        <f>'Besoins en micas'!#REF!</f>
        <v>#REF!</v>
      </c>
      <c r="D59" s="198" t="e">
        <f>'Besoins en micas'!#REF!</f>
        <v>#REF!</v>
      </c>
      <c r="E59" s="462" t="e">
        <f>'Besoins en micas'!#REF!</f>
        <v>#REF!</v>
      </c>
      <c r="F59" s="245" t="e">
        <f>'Besoins en micas'!#REF!</f>
        <v>#REF!</v>
      </c>
      <c r="G59" s="245" t="e">
        <f>IF(C59="FP1",'Données SOMIDA'!$G$73,VLOOKUP(E59,'Données SOMIDA'!$C$71:$G$75,5,FALSE))</f>
        <v>#REF!</v>
      </c>
      <c r="H59" s="245" t="e">
        <f t="shared" si="2"/>
        <v>#REF!</v>
      </c>
      <c r="I59" s="245" t="e">
        <f>+VLOOKUP(E59,'Données SOMIDA'!$C$71:$E$75,3,FALSE)</f>
        <v>#REF!</v>
      </c>
      <c r="J59" s="245" t="e">
        <f t="shared" si="3"/>
        <v>#REF!</v>
      </c>
      <c r="K59" s="245" t="e">
        <f t="shared" si="6"/>
        <v>#REF!</v>
      </c>
      <c r="L59" s="245">
        <f t="shared" si="4"/>
        <v>0</v>
      </c>
      <c r="M59" s="245"/>
      <c r="W59" s="245"/>
    </row>
    <row r="60" spans="2:23">
      <c r="B60" s="198" t="e">
        <f t="shared" si="25"/>
        <v>#REF!</v>
      </c>
      <c r="C60" s="462" t="e">
        <f>'Besoins en micas'!#REF!</f>
        <v>#REF!</v>
      </c>
      <c r="D60" s="198" t="e">
        <f>'Besoins en micas'!#REF!</f>
        <v>#REF!</v>
      </c>
      <c r="E60" s="462" t="e">
        <f>'Besoins en micas'!#REF!</f>
        <v>#REF!</v>
      </c>
      <c r="F60" s="245" t="e">
        <f>'Besoins en micas'!#REF!</f>
        <v>#REF!</v>
      </c>
      <c r="G60" s="245" t="e">
        <f>IF(C60="FP1",'Données SOMIDA'!$G$73,VLOOKUP(E60,'Données SOMIDA'!$C$71:$G$75,5,FALSE))</f>
        <v>#REF!</v>
      </c>
      <c r="H60" s="245" t="e">
        <f t="shared" si="2"/>
        <v>#REF!</v>
      </c>
      <c r="I60" s="245" t="e">
        <f>+VLOOKUP(E60,'Données SOMIDA'!$C$71:$E$75,3,FALSE)</f>
        <v>#REF!</v>
      </c>
      <c r="J60" s="245" t="e">
        <f t="shared" si="3"/>
        <v>#REF!</v>
      </c>
      <c r="K60" s="245" t="e">
        <f t="shared" si="6"/>
        <v>#REF!</v>
      </c>
      <c r="L60" s="245">
        <f t="shared" si="4"/>
        <v>0</v>
      </c>
      <c r="M60" s="245"/>
      <c r="W60" s="245"/>
    </row>
    <row r="61" spans="2:23">
      <c r="B61" s="198" t="e">
        <f t="shared" si="25"/>
        <v>#REF!</v>
      </c>
      <c r="C61" s="462" t="e">
        <f>'Besoins en micas'!#REF!</f>
        <v>#REF!</v>
      </c>
      <c r="D61" s="198" t="e">
        <f>'Besoins en micas'!#REF!</f>
        <v>#REF!</v>
      </c>
      <c r="E61" s="462" t="e">
        <f>'Besoins en micas'!#REF!</f>
        <v>#REF!</v>
      </c>
      <c r="F61" s="245" t="e">
        <f>'Besoins en micas'!#REF!</f>
        <v>#REF!</v>
      </c>
      <c r="G61" s="245" t="e">
        <f>IF(C61="FP1",'Données SOMIDA'!$G$73,VLOOKUP(E61,'Données SOMIDA'!$C$71:$G$75,5,FALSE))</f>
        <v>#REF!</v>
      </c>
      <c r="H61" s="245" t="e">
        <f t="shared" si="2"/>
        <v>#REF!</v>
      </c>
      <c r="I61" s="245" t="e">
        <f>+VLOOKUP(E61,'Données SOMIDA'!$C$71:$E$75,3,FALSE)</f>
        <v>#REF!</v>
      </c>
      <c r="J61" s="245" t="e">
        <f t="shared" si="3"/>
        <v>#REF!</v>
      </c>
      <c r="K61" s="245" t="e">
        <f t="shared" si="6"/>
        <v>#REF!</v>
      </c>
      <c r="L61" s="245">
        <f t="shared" si="4"/>
        <v>0</v>
      </c>
      <c r="M61" s="245"/>
      <c r="W61" s="245"/>
    </row>
    <row r="62" spans="2:23">
      <c r="B62" s="198" t="e">
        <f t="shared" si="25"/>
        <v>#REF!</v>
      </c>
      <c r="C62" s="462" t="e">
        <f>'Besoins en micas'!#REF!</f>
        <v>#REF!</v>
      </c>
      <c r="D62" s="198" t="e">
        <f>'Besoins en micas'!#REF!</f>
        <v>#REF!</v>
      </c>
      <c r="E62" s="462" t="e">
        <f>'Besoins en micas'!#REF!</f>
        <v>#REF!</v>
      </c>
      <c r="F62" s="245" t="e">
        <f>'Besoins en micas'!#REF!</f>
        <v>#REF!</v>
      </c>
      <c r="G62" s="245" t="e">
        <f>IF(C62="FP1",'Données SOMIDA'!$G$73,VLOOKUP(E62,'Données SOMIDA'!$C$71:$G$75,5,FALSE))</f>
        <v>#REF!</v>
      </c>
      <c r="H62" s="245" t="e">
        <f t="shared" si="2"/>
        <v>#REF!</v>
      </c>
      <c r="I62" s="245" t="e">
        <f>+VLOOKUP(E62,'Données SOMIDA'!$C$71:$E$75,3,FALSE)</f>
        <v>#REF!</v>
      </c>
      <c r="J62" s="245" t="e">
        <f t="shared" si="3"/>
        <v>#REF!</v>
      </c>
      <c r="K62" s="245" t="e">
        <f t="shared" si="6"/>
        <v>#REF!</v>
      </c>
      <c r="L62" s="245">
        <f t="shared" si="4"/>
        <v>0</v>
      </c>
      <c r="M62" s="245"/>
      <c r="W62" s="245"/>
    </row>
    <row r="63" spans="2:23">
      <c r="B63" s="198" t="e">
        <f t="shared" si="25"/>
        <v>#REF!</v>
      </c>
      <c r="C63" s="462" t="e">
        <f>'Besoins en micas'!#REF!</f>
        <v>#REF!</v>
      </c>
      <c r="D63" s="198" t="e">
        <f>'Besoins en micas'!#REF!</f>
        <v>#REF!</v>
      </c>
      <c r="E63" s="462" t="e">
        <f>'Besoins en micas'!#REF!</f>
        <v>#REF!</v>
      </c>
      <c r="F63" s="245" t="e">
        <f>'Besoins en micas'!#REF!</f>
        <v>#REF!</v>
      </c>
      <c r="G63" s="245" t="e">
        <f>IF(C63="FP1",'Données SOMIDA'!$G$73,VLOOKUP(E63,'Données SOMIDA'!$C$71:$G$75,5,FALSE))</f>
        <v>#REF!</v>
      </c>
      <c r="H63" s="245" t="e">
        <f t="shared" si="2"/>
        <v>#REF!</v>
      </c>
      <c r="I63" s="245" t="e">
        <f>+VLOOKUP(E63,'Données SOMIDA'!$C$71:$E$75,3,FALSE)</f>
        <v>#REF!</v>
      </c>
      <c r="J63" s="245" t="e">
        <f t="shared" si="3"/>
        <v>#REF!</v>
      </c>
      <c r="K63" s="245" t="e">
        <f t="shared" si="6"/>
        <v>#REF!</v>
      </c>
      <c r="L63" s="245">
        <f t="shared" si="4"/>
        <v>0</v>
      </c>
      <c r="M63" s="245"/>
      <c r="W63" s="245"/>
    </row>
    <row r="64" spans="2:23">
      <c r="B64" s="198" t="e">
        <f t="shared" si="25"/>
        <v>#REF!</v>
      </c>
      <c r="C64" s="462" t="e">
        <f>'Besoins en micas'!#REF!</f>
        <v>#REF!</v>
      </c>
      <c r="D64" s="198" t="e">
        <f>'Besoins en micas'!#REF!</f>
        <v>#REF!</v>
      </c>
      <c r="E64" s="462" t="e">
        <f>'Besoins en micas'!#REF!</f>
        <v>#REF!</v>
      </c>
      <c r="F64" s="245" t="e">
        <f>'Besoins en micas'!#REF!</f>
        <v>#REF!</v>
      </c>
      <c r="G64" s="245" t="e">
        <f>IF(C64="FP1",'Données SOMIDA'!$G$73,VLOOKUP(E64,'Données SOMIDA'!$C$71:$G$75,5,FALSE))</f>
        <v>#REF!</v>
      </c>
      <c r="H64" s="245" t="e">
        <f t="shared" si="2"/>
        <v>#REF!</v>
      </c>
      <c r="I64" s="245" t="e">
        <f>+VLOOKUP(E64,'Données SOMIDA'!$C$71:$E$75,3,FALSE)</f>
        <v>#REF!</v>
      </c>
      <c r="J64" s="245" t="e">
        <f t="shared" si="3"/>
        <v>#REF!</v>
      </c>
      <c r="K64" s="245" t="e">
        <f t="shared" si="6"/>
        <v>#REF!</v>
      </c>
      <c r="L64" s="245">
        <f t="shared" si="4"/>
        <v>0</v>
      </c>
      <c r="M64" s="245"/>
      <c r="W64" s="245"/>
    </row>
    <row r="65" spans="2:23">
      <c r="B65" s="198" t="e">
        <f t="shared" si="25"/>
        <v>#REF!</v>
      </c>
      <c r="C65" s="462" t="e">
        <f>'Besoins en micas'!#REF!</f>
        <v>#REF!</v>
      </c>
      <c r="D65" s="198" t="e">
        <f>'Besoins en micas'!#REF!</f>
        <v>#REF!</v>
      </c>
      <c r="E65" s="462" t="e">
        <f>'Besoins en micas'!#REF!</f>
        <v>#REF!</v>
      </c>
      <c r="F65" s="245" t="e">
        <f>'Besoins en micas'!#REF!</f>
        <v>#REF!</v>
      </c>
      <c r="G65" s="245" t="e">
        <f>IF(C65="FP1",'Données SOMIDA'!$G$73,VLOOKUP(E65,'Données SOMIDA'!$C$71:$G$75,5,FALSE))</f>
        <v>#REF!</v>
      </c>
      <c r="H65" s="245" t="e">
        <f t="shared" si="2"/>
        <v>#REF!</v>
      </c>
      <c r="I65" s="245" t="e">
        <f>+VLOOKUP(E65,'Données SOMIDA'!$C$71:$E$75,3,FALSE)</f>
        <v>#REF!</v>
      </c>
      <c r="J65" s="245" t="e">
        <f t="shared" si="3"/>
        <v>#REF!</v>
      </c>
      <c r="K65" s="245" t="e">
        <f t="shared" si="6"/>
        <v>#REF!</v>
      </c>
      <c r="L65" s="245">
        <f t="shared" si="4"/>
        <v>0</v>
      </c>
      <c r="M65" s="245"/>
      <c r="W65" s="245"/>
    </row>
    <row r="66" spans="2:23">
      <c r="B66" s="198" t="e">
        <f t="shared" si="25"/>
        <v>#REF!</v>
      </c>
      <c r="C66" s="462" t="e">
        <f>'Besoins en micas'!#REF!</f>
        <v>#REF!</v>
      </c>
      <c r="D66" s="198" t="e">
        <f>'Besoins en micas'!#REF!</f>
        <v>#REF!</v>
      </c>
      <c r="E66" s="462" t="e">
        <f>'Besoins en micas'!#REF!</f>
        <v>#REF!</v>
      </c>
      <c r="F66" s="245" t="e">
        <f>'Besoins en micas'!#REF!</f>
        <v>#REF!</v>
      </c>
      <c r="G66" s="245" t="e">
        <f>IF(C66="FP1",'Données SOMIDA'!$G$73,VLOOKUP(E66,'Données SOMIDA'!$C$71:$G$75,5,FALSE))</f>
        <v>#REF!</v>
      </c>
      <c r="H66" s="245" t="e">
        <f t="shared" si="2"/>
        <v>#REF!</v>
      </c>
      <c r="I66" s="245" t="e">
        <f>+VLOOKUP(E66,'Données SOMIDA'!$C$71:$E$75,3,FALSE)</f>
        <v>#REF!</v>
      </c>
      <c r="J66" s="245" t="e">
        <f t="shared" si="3"/>
        <v>#REF!</v>
      </c>
      <c r="K66" s="245" t="e">
        <f t="shared" si="6"/>
        <v>#REF!</v>
      </c>
      <c r="L66" s="245">
        <f t="shared" si="4"/>
        <v>0</v>
      </c>
      <c r="M66" s="245"/>
      <c r="W66" s="245"/>
    </row>
    <row r="67" spans="2:23">
      <c r="B67" s="198" t="e">
        <f t="shared" si="25"/>
        <v>#REF!</v>
      </c>
      <c r="C67" s="462" t="e">
        <f>'Besoins en micas'!#REF!</f>
        <v>#REF!</v>
      </c>
      <c r="D67" s="198" t="e">
        <f>'Besoins en micas'!#REF!</f>
        <v>#REF!</v>
      </c>
      <c r="E67" s="462" t="e">
        <f>'Besoins en micas'!#REF!</f>
        <v>#REF!</v>
      </c>
      <c r="F67" s="245" t="e">
        <f>'Besoins en micas'!#REF!</f>
        <v>#REF!</v>
      </c>
      <c r="G67" s="245" t="e">
        <f>IF(C67="FP1",'Données SOMIDA'!$G$73,VLOOKUP(E67,'Données SOMIDA'!$C$71:$G$75,5,FALSE))</f>
        <v>#REF!</v>
      </c>
      <c r="H67" s="245" t="e">
        <f t="shared" si="2"/>
        <v>#REF!</v>
      </c>
      <c r="I67" s="245" t="e">
        <f>+VLOOKUP(E67,'Données SOMIDA'!$C$71:$E$75,3,FALSE)</f>
        <v>#REF!</v>
      </c>
      <c r="J67" s="245" t="e">
        <f t="shared" si="3"/>
        <v>#REF!</v>
      </c>
      <c r="K67" s="245" t="e">
        <f t="shared" si="6"/>
        <v>#REF!</v>
      </c>
      <c r="L67" s="245">
        <f t="shared" si="4"/>
        <v>0</v>
      </c>
      <c r="M67" s="245"/>
      <c r="W67" s="245"/>
    </row>
    <row r="68" spans="2:23">
      <c r="B68" s="198" t="e">
        <f t="shared" ref="B68:B99" si="27">_xlfn.XLOOKUP(C68,O:O,N:N)</f>
        <v>#REF!</v>
      </c>
      <c r="C68" s="462" t="e">
        <f>'Besoins en micas'!#REF!</f>
        <v>#REF!</v>
      </c>
      <c r="D68" s="198" t="e">
        <f>'Besoins en micas'!#REF!</f>
        <v>#REF!</v>
      </c>
      <c r="E68" s="462" t="e">
        <f>'Besoins en micas'!#REF!</f>
        <v>#REF!</v>
      </c>
      <c r="F68" s="245" t="e">
        <f>'Besoins en micas'!#REF!</f>
        <v>#REF!</v>
      </c>
      <c r="G68" s="245" t="e">
        <f>IF(C68="FP1",'Données SOMIDA'!$G$73,VLOOKUP(E68,'Données SOMIDA'!$C$71:$G$75,5,FALSE))</f>
        <v>#REF!</v>
      </c>
      <c r="H68" s="245" t="e">
        <f t="shared" si="2"/>
        <v>#REF!</v>
      </c>
      <c r="I68" s="245" t="e">
        <f>+VLOOKUP(E68,'Données SOMIDA'!$C$71:$E$75,3,FALSE)</f>
        <v>#REF!</v>
      </c>
      <c r="J68" s="245" t="e">
        <f t="shared" si="3"/>
        <v>#REF!</v>
      </c>
      <c r="K68" s="245" t="e">
        <f t="shared" si="6"/>
        <v>#REF!</v>
      </c>
      <c r="L68" s="245">
        <f t="shared" si="4"/>
        <v>0</v>
      </c>
      <c r="M68" s="245"/>
      <c r="W68" s="245"/>
    </row>
    <row r="69" spans="2:23">
      <c r="B69" s="198" t="e">
        <f t="shared" si="27"/>
        <v>#REF!</v>
      </c>
      <c r="C69" s="462" t="e">
        <f>'Besoins en micas'!#REF!</f>
        <v>#REF!</v>
      </c>
      <c r="D69" s="198" t="e">
        <f>'Besoins en micas'!#REF!</f>
        <v>#REF!</v>
      </c>
      <c r="E69" s="462" t="e">
        <f>'Besoins en micas'!#REF!</f>
        <v>#REF!</v>
      </c>
      <c r="F69" s="245" t="e">
        <f>'Besoins en micas'!#REF!</f>
        <v>#REF!</v>
      </c>
      <c r="G69" s="245" t="e">
        <f>IF(C69="FP1",'Données SOMIDA'!$G$73,VLOOKUP(E69,'Données SOMIDA'!$C$71:$G$75,5,FALSE))</f>
        <v>#REF!</v>
      </c>
      <c r="H69" s="245" t="e">
        <f t="shared" ref="H69:H111" si="28">+F69*G69</f>
        <v>#REF!</v>
      </c>
      <c r="I69" s="245" t="e">
        <f>+VLOOKUP(E69,'Données SOMIDA'!$C$71:$E$75,3,FALSE)</f>
        <v>#REF!</v>
      </c>
      <c r="J69" s="245" t="e">
        <f t="shared" ref="J69:J111" si="29">+F69*I69</f>
        <v>#REF!</v>
      </c>
      <c r="K69" s="245" t="e">
        <f t="shared" ref="K69:K111" si="30">+J69+H69</f>
        <v>#REF!</v>
      </c>
      <c r="L69" s="245">
        <f t="shared" ref="L69:L111" si="31">IFERROR(+K69/F69,0)</f>
        <v>0</v>
      </c>
      <c r="M69" s="245"/>
      <c r="W69" s="245"/>
    </row>
    <row r="70" spans="2:23">
      <c r="B70" s="198" t="e">
        <f t="shared" si="27"/>
        <v>#REF!</v>
      </c>
      <c r="C70" s="462" t="e">
        <f>'Besoins en micas'!#REF!</f>
        <v>#REF!</v>
      </c>
      <c r="D70" s="198" t="e">
        <f>'Besoins en micas'!#REF!</f>
        <v>#REF!</v>
      </c>
      <c r="E70" s="462" t="e">
        <f>'Besoins en micas'!#REF!</f>
        <v>#REF!</v>
      </c>
      <c r="F70" s="245" t="e">
        <f>'Besoins en micas'!#REF!</f>
        <v>#REF!</v>
      </c>
      <c r="G70" s="245" t="e">
        <f>IF(C70="FP1",'Données SOMIDA'!$G$73,VLOOKUP(E70,'Données SOMIDA'!$C$71:$G$75,5,FALSE))</f>
        <v>#REF!</v>
      </c>
      <c r="H70" s="245" t="e">
        <f t="shared" si="28"/>
        <v>#REF!</v>
      </c>
      <c r="I70" s="245" t="e">
        <f>+VLOOKUP(E70,'Données SOMIDA'!$C$71:$E$75,3,FALSE)</f>
        <v>#REF!</v>
      </c>
      <c r="J70" s="245" t="e">
        <f t="shared" si="29"/>
        <v>#REF!</v>
      </c>
      <c r="K70" s="245" t="e">
        <f t="shared" si="30"/>
        <v>#REF!</v>
      </c>
      <c r="L70" s="245">
        <f t="shared" si="31"/>
        <v>0</v>
      </c>
      <c r="M70" s="245"/>
      <c r="W70" s="245"/>
    </row>
    <row r="71" spans="2:23">
      <c r="B71" s="198" t="e">
        <f t="shared" si="27"/>
        <v>#REF!</v>
      </c>
      <c r="C71" s="462" t="e">
        <f>'Besoins en micas'!#REF!</f>
        <v>#REF!</v>
      </c>
      <c r="D71" s="198" t="e">
        <f>'Besoins en micas'!#REF!</f>
        <v>#REF!</v>
      </c>
      <c r="E71" s="462" t="e">
        <f>'Besoins en micas'!#REF!</f>
        <v>#REF!</v>
      </c>
      <c r="F71" s="245" t="e">
        <f>'Besoins en micas'!#REF!</f>
        <v>#REF!</v>
      </c>
      <c r="G71" s="245" t="e">
        <f>IF(C71="FP1",'Données SOMIDA'!$G$73,VLOOKUP(E71,'Données SOMIDA'!$C$71:$G$75,5,FALSE))</f>
        <v>#REF!</v>
      </c>
      <c r="H71" s="245" t="e">
        <f t="shared" si="28"/>
        <v>#REF!</v>
      </c>
      <c r="I71" s="245" t="e">
        <f>+VLOOKUP(E71,'Données SOMIDA'!$C$71:$E$75,3,FALSE)</f>
        <v>#REF!</v>
      </c>
      <c r="J71" s="245" t="e">
        <f t="shared" si="29"/>
        <v>#REF!</v>
      </c>
      <c r="K71" s="245" t="e">
        <f t="shared" si="30"/>
        <v>#REF!</v>
      </c>
      <c r="L71" s="245">
        <f t="shared" si="31"/>
        <v>0</v>
      </c>
      <c r="M71" s="245"/>
      <c r="W71" s="245"/>
    </row>
    <row r="72" spans="2:23">
      <c r="B72" s="198" t="e">
        <f t="shared" si="27"/>
        <v>#REF!</v>
      </c>
      <c r="C72" s="462" t="e">
        <f>'Besoins en micas'!#REF!</f>
        <v>#REF!</v>
      </c>
      <c r="D72" s="198" t="e">
        <f>'Besoins en micas'!#REF!</f>
        <v>#REF!</v>
      </c>
      <c r="E72" s="462" t="e">
        <f>'Besoins en micas'!#REF!</f>
        <v>#REF!</v>
      </c>
      <c r="F72" s="245" t="e">
        <f>'Besoins en micas'!#REF!</f>
        <v>#REF!</v>
      </c>
      <c r="G72" s="245" t="e">
        <f>IF(C72="FP1",'Données SOMIDA'!$G$73,VLOOKUP(E72,'Données SOMIDA'!$C$71:$G$75,5,FALSE))</f>
        <v>#REF!</v>
      </c>
      <c r="H72" s="245" t="e">
        <f t="shared" si="28"/>
        <v>#REF!</v>
      </c>
      <c r="I72" s="245" t="e">
        <f>+VLOOKUP(E72,'Données SOMIDA'!$C$71:$E$75,3,FALSE)</f>
        <v>#REF!</v>
      </c>
      <c r="J72" s="245" t="e">
        <f t="shared" si="29"/>
        <v>#REF!</v>
      </c>
      <c r="K72" s="245" t="e">
        <f t="shared" si="30"/>
        <v>#REF!</v>
      </c>
      <c r="L72" s="245">
        <f t="shared" si="31"/>
        <v>0</v>
      </c>
      <c r="M72" s="245"/>
      <c r="W72" s="245"/>
    </row>
    <row r="73" spans="2:23">
      <c r="B73" s="198" t="e">
        <f t="shared" si="27"/>
        <v>#REF!</v>
      </c>
      <c r="C73" s="462" t="e">
        <f>'Besoins en micas'!#REF!</f>
        <v>#REF!</v>
      </c>
      <c r="D73" s="198" t="e">
        <f>'Besoins en micas'!#REF!</f>
        <v>#REF!</v>
      </c>
      <c r="E73" s="462" t="e">
        <f>'Besoins en micas'!#REF!</f>
        <v>#REF!</v>
      </c>
      <c r="F73" s="245" t="e">
        <f>'Besoins en micas'!#REF!</f>
        <v>#REF!</v>
      </c>
      <c r="G73" s="245" t="e">
        <f>IF(C73="FP1",'Données SOMIDA'!$G$73,VLOOKUP(E73,'Données SOMIDA'!$C$71:$G$75,5,FALSE))</f>
        <v>#REF!</v>
      </c>
      <c r="H73" s="245" t="e">
        <f t="shared" si="28"/>
        <v>#REF!</v>
      </c>
      <c r="I73" s="245" t="e">
        <f>+VLOOKUP(E73,'Données SOMIDA'!$C$71:$E$75,3,FALSE)</f>
        <v>#REF!</v>
      </c>
      <c r="J73" s="245" t="e">
        <f t="shared" si="29"/>
        <v>#REF!</v>
      </c>
      <c r="K73" s="245" t="e">
        <f t="shared" si="30"/>
        <v>#REF!</v>
      </c>
      <c r="L73" s="245">
        <f t="shared" si="31"/>
        <v>0</v>
      </c>
      <c r="M73" s="245"/>
      <c r="W73" s="245"/>
    </row>
    <row r="74" spans="2:23">
      <c r="B74" s="198" t="e">
        <f t="shared" si="27"/>
        <v>#REF!</v>
      </c>
      <c r="C74" s="462" t="e">
        <f>'Besoins en micas'!#REF!</f>
        <v>#REF!</v>
      </c>
      <c r="D74" s="198" t="e">
        <f>'Besoins en micas'!#REF!</f>
        <v>#REF!</v>
      </c>
      <c r="E74" s="462" t="e">
        <f>'Besoins en micas'!#REF!</f>
        <v>#REF!</v>
      </c>
      <c r="F74" s="245" t="e">
        <f>'Besoins en micas'!#REF!</f>
        <v>#REF!</v>
      </c>
      <c r="G74" s="245" t="e">
        <f>IF(C74="FP1",'Données SOMIDA'!$G$73,VLOOKUP(E74,'Données SOMIDA'!$C$71:$G$75,5,FALSE))</f>
        <v>#REF!</v>
      </c>
      <c r="H74" s="245" t="e">
        <f t="shared" si="28"/>
        <v>#REF!</v>
      </c>
      <c r="I74" s="245" t="e">
        <f>+VLOOKUP(E74,'Données SOMIDA'!$C$71:$E$75,3,FALSE)</f>
        <v>#REF!</v>
      </c>
      <c r="J74" s="245" t="e">
        <f t="shared" si="29"/>
        <v>#REF!</v>
      </c>
      <c r="K74" s="245" t="e">
        <f t="shared" si="30"/>
        <v>#REF!</v>
      </c>
      <c r="L74" s="245">
        <f t="shared" si="31"/>
        <v>0</v>
      </c>
      <c r="M74" s="245"/>
      <c r="W74" s="245"/>
    </row>
    <row r="75" spans="2:23">
      <c r="B75" s="198" t="e">
        <f t="shared" si="27"/>
        <v>#REF!</v>
      </c>
      <c r="C75" s="462" t="e">
        <f>'Besoins en micas'!#REF!</f>
        <v>#REF!</v>
      </c>
      <c r="D75" s="198" t="e">
        <f>'Besoins en micas'!#REF!</f>
        <v>#REF!</v>
      </c>
      <c r="E75" s="462" t="e">
        <f>'Besoins en micas'!#REF!</f>
        <v>#REF!</v>
      </c>
      <c r="F75" s="245" t="e">
        <f>'Besoins en micas'!#REF!</f>
        <v>#REF!</v>
      </c>
      <c r="G75" s="245" t="e">
        <f>IF(C75="FP1",'Données SOMIDA'!$G$73,VLOOKUP(E75,'Données SOMIDA'!$C$71:$G$75,5,FALSE))</f>
        <v>#REF!</v>
      </c>
      <c r="H75" s="245" t="e">
        <f t="shared" si="28"/>
        <v>#REF!</v>
      </c>
      <c r="I75" s="245" t="e">
        <f>+VLOOKUP(E75,'Données SOMIDA'!$C$71:$E$75,3,FALSE)</f>
        <v>#REF!</v>
      </c>
      <c r="J75" s="245" t="e">
        <f t="shared" si="29"/>
        <v>#REF!</v>
      </c>
      <c r="K75" s="245" t="e">
        <f t="shared" si="30"/>
        <v>#REF!</v>
      </c>
      <c r="L75" s="245">
        <f t="shared" si="31"/>
        <v>0</v>
      </c>
      <c r="M75" s="245"/>
      <c r="W75" s="245"/>
    </row>
    <row r="76" spans="2:23">
      <c r="B76" s="198" t="e">
        <f t="shared" si="27"/>
        <v>#REF!</v>
      </c>
      <c r="C76" s="462" t="e">
        <f>'Besoins en micas'!#REF!</f>
        <v>#REF!</v>
      </c>
      <c r="D76" s="198" t="e">
        <f>'Besoins en micas'!#REF!</f>
        <v>#REF!</v>
      </c>
      <c r="E76" s="462" t="e">
        <f>'Besoins en micas'!#REF!</f>
        <v>#REF!</v>
      </c>
      <c r="F76" s="245" t="e">
        <f>'Besoins en micas'!#REF!</f>
        <v>#REF!</v>
      </c>
      <c r="G76" s="245" t="e">
        <f>IF(C76="FP1",'Données SOMIDA'!$G$73,VLOOKUP(E76,'Données SOMIDA'!$C$71:$G$75,5,FALSE))</f>
        <v>#REF!</v>
      </c>
      <c r="H76" s="245" t="e">
        <f t="shared" si="28"/>
        <v>#REF!</v>
      </c>
      <c r="I76" s="245" t="e">
        <f>+VLOOKUP(E76,'Données SOMIDA'!$C$71:$E$75,3,FALSE)</f>
        <v>#REF!</v>
      </c>
      <c r="J76" s="245" t="e">
        <f t="shared" si="29"/>
        <v>#REF!</v>
      </c>
      <c r="K76" s="245" t="e">
        <f t="shared" si="30"/>
        <v>#REF!</v>
      </c>
      <c r="L76" s="245">
        <f t="shared" si="31"/>
        <v>0</v>
      </c>
      <c r="M76" s="245"/>
      <c r="W76" s="245"/>
    </row>
    <row r="77" spans="2:23">
      <c r="B77" s="198" t="e">
        <f t="shared" si="27"/>
        <v>#REF!</v>
      </c>
      <c r="C77" s="462" t="e">
        <f>'Besoins en micas'!#REF!</f>
        <v>#REF!</v>
      </c>
      <c r="D77" s="198" t="e">
        <f>'Besoins en micas'!#REF!</f>
        <v>#REF!</v>
      </c>
      <c r="E77" s="462" t="e">
        <f>'Besoins en micas'!#REF!</f>
        <v>#REF!</v>
      </c>
      <c r="F77" s="245" t="e">
        <f>'Besoins en micas'!#REF!</f>
        <v>#REF!</v>
      </c>
      <c r="G77" s="245" t="e">
        <f>IF(C77="FP1",'Données SOMIDA'!$G$73,VLOOKUP(E77,'Données SOMIDA'!$C$71:$G$75,5,FALSE))</f>
        <v>#REF!</v>
      </c>
      <c r="H77" s="245" t="e">
        <f t="shared" si="28"/>
        <v>#REF!</v>
      </c>
      <c r="I77" s="245" t="e">
        <f>+VLOOKUP(E77,'Données SOMIDA'!$C$71:$E$75,3,FALSE)</f>
        <v>#REF!</v>
      </c>
      <c r="J77" s="245" t="e">
        <f t="shared" si="29"/>
        <v>#REF!</v>
      </c>
      <c r="K77" s="245" t="e">
        <f t="shared" si="30"/>
        <v>#REF!</v>
      </c>
      <c r="L77" s="245">
        <f t="shared" si="31"/>
        <v>0</v>
      </c>
      <c r="M77" s="245"/>
      <c r="W77" s="245"/>
    </row>
    <row r="78" spans="2:23">
      <c r="B78" s="198" t="e">
        <f t="shared" si="27"/>
        <v>#REF!</v>
      </c>
      <c r="C78" s="462" t="e">
        <f>'Besoins en micas'!#REF!</f>
        <v>#REF!</v>
      </c>
      <c r="D78" s="198" t="e">
        <f>'Besoins en micas'!#REF!</f>
        <v>#REF!</v>
      </c>
      <c r="E78" s="462" t="e">
        <f>'Besoins en micas'!#REF!</f>
        <v>#REF!</v>
      </c>
      <c r="F78" s="245" t="e">
        <f>'Besoins en micas'!#REF!</f>
        <v>#REF!</v>
      </c>
      <c r="G78" s="245" t="e">
        <f>IF(C78="FP1",'Données SOMIDA'!$G$73,VLOOKUP(E78,'Données SOMIDA'!$C$71:$G$75,5,FALSE))</f>
        <v>#REF!</v>
      </c>
      <c r="H78" s="245" t="e">
        <f t="shared" si="28"/>
        <v>#REF!</v>
      </c>
      <c r="I78" s="245" t="e">
        <f>+VLOOKUP(E78,'Données SOMIDA'!$C$71:$E$75,3,FALSE)</f>
        <v>#REF!</v>
      </c>
      <c r="J78" s="245" t="e">
        <f t="shared" si="29"/>
        <v>#REF!</v>
      </c>
      <c r="K78" s="245" t="e">
        <f t="shared" si="30"/>
        <v>#REF!</v>
      </c>
      <c r="L78" s="245">
        <f t="shared" si="31"/>
        <v>0</v>
      </c>
      <c r="M78" s="245"/>
      <c r="W78" s="245"/>
    </row>
    <row r="79" spans="2:23">
      <c r="B79" s="198" t="e">
        <f t="shared" si="27"/>
        <v>#REF!</v>
      </c>
      <c r="C79" s="462" t="e">
        <f>'Besoins en micas'!#REF!</f>
        <v>#REF!</v>
      </c>
      <c r="D79" s="198" t="e">
        <f>'Besoins en micas'!#REF!</f>
        <v>#REF!</v>
      </c>
      <c r="E79" s="462" t="e">
        <f>'Besoins en micas'!#REF!</f>
        <v>#REF!</v>
      </c>
      <c r="F79" s="245" t="e">
        <f>'Besoins en micas'!#REF!</f>
        <v>#REF!</v>
      </c>
      <c r="G79" s="245" t="e">
        <f>IF(C79="FP1",'Données SOMIDA'!$G$73,VLOOKUP(E79,'Données SOMIDA'!$C$71:$G$75,5,FALSE))</f>
        <v>#REF!</v>
      </c>
      <c r="H79" s="245" t="e">
        <f t="shared" si="28"/>
        <v>#REF!</v>
      </c>
      <c r="I79" s="245" t="e">
        <f>+VLOOKUP(E79,'Données SOMIDA'!$C$71:$E$75,3,FALSE)</f>
        <v>#REF!</v>
      </c>
      <c r="J79" s="245" t="e">
        <f t="shared" si="29"/>
        <v>#REF!</v>
      </c>
      <c r="K79" s="245" t="e">
        <f t="shared" si="30"/>
        <v>#REF!</v>
      </c>
      <c r="L79" s="245">
        <f t="shared" si="31"/>
        <v>0</v>
      </c>
      <c r="M79" s="245"/>
      <c r="W79" s="245"/>
    </row>
    <row r="80" spans="2:23">
      <c r="B80" s="198" t="e">
        <f t="shared" si="27"/>
        <v>#REF!</v>
      </c>
      <c r="C80" s="462" t="e">
        <f>'Besoins en micas'!#REF!</f>
        <v>#REF!</v>
      </c>
      <c r="D80" s="198" t="e">
        <f>'Besoins en micas'!#REF!</f>
        <v>#REF!</v>
      </c>
      <c r="E80" s="462" t="e">
        <f>'Besoins en micas'!#REF!</f>
        <v>#REF!</v>
      </c>
      <c r="F80" s="245" t="e">
        <f>'Besoins en micas'!#REF!</f>
        <v>#REF!</v>
      </c>
      <c r="G80" s="245" t="e">
        <f>IF(C80="FP1",'Données SOMIDA'!$G$73,VLOOKUP(E80,'Données SOMIDA'!$C$71:$G$75,5,FALSE))</f>
        <v>#REF!</v>
      </c>
      <c r="H80" s="245" t="e">
        <f t="shared" si="28"/>
        <v>#REF!</v>
      </c>
      <c r="I80" s="245" t="e">
        <f>+VLOOKUP(E80,'Données SOMIDA'!$C$71:$E$75,3,FALSE)</f>
        <v>#REF!</v>
      </c>
      <c r="J80" s="245" t="e">
        <f t="shared" si="29"/>
        <v>#REF!</v>
      </c>
      <c r="K80" s="245" t="e">
        <f t="shared" si="30"/>
        <v>#REF!</v>
      </c>
      <c r="L80" s="245">
        <f t="shared" si="31"/>
        <v>0</v>
      </c>
      <c r="M80" s="245"/>
      <c r="W80" s="245"/>
    </row>
    <row r="81" spans="2:23">
      <c r="B81" s="198" t="e">
        <f t="shared" si="27"/>
        <v>#REF!</v>
      </c>
      <c r="C81" s="462" t="e">
        <f>'Besoins en micas'!#REF!</f>
        <v>#REF!</v>
      </c>
      <c r="D81" s="198" t="e">
        <f>'Besoins en micas'!#REF!</f>
        <v>#REF!</v>
      </c>
      <c r="E81" s="462" t="e">
        <f>'Besoins en micas'!#REF!</f>
        <v>#REF!</v>
      </c>
      <c r="F81" s="245" t="e">
        <f>'Besoins en micas'!#REF!</f>
        <v>#REF!</v>
      </c>
      <c r="G81" s="245" t="e">
        <f>IF(C81="FP1",'Données SOMIDA'!$G$73,VLOOKUP(E81,'Données SOMIDA'!$C$71:$G$75,5,FALSE))</f>
        <v>#REF!</v>
      </c>
      <c r="H81" s="245" t="e">
        <f t="shared" si="28"/>
        <v>#REF!</v>
      </c>
      <c r="I81" s="245" t="e">
        <f>+VLOOKUP(E81,'Données SOMIDA'!$C$71:$E$75,3,FALSE)</f>
        <v>#REF!</v>
      </c>
      <c r="J81" s="245" t="e">
        <f t="shared" si="29"/>
        <v>#REF!</v>
      </c>
      <c r="K81" s="245" t="e">
        <f t="shared" si="30"/>
        <v>#REF!</v>
      </c>
      <c r="L81" s="245">
        <f t="shared" si="31"/>
        <v>0</v>
      </c>
      <c r="M81" s="245"/>
      <c r="W81" s="245"/>
    </row>
    <row r="82" spans="2:23">
      <c r="B82" s="198" t="e">
        <f t="shared" si="27"/>
        <v>#REF!</v>
      </c>
      <c r="C82" s="462" t="e">
        <f>'Besoins en micas'!#REF!</f>
        <v>#REF!</v>
      </c>
      <c r="D82" s="198" t="e">
        <f>'Besoins en micas'!#REF!</f>
        <v>#REF!</v>
      </c>
      <c r="E82" s="462" t="e">
        <f>'Besoins en micas'!#REF!</f>
        <v>#REF!</v>
      </c>
      <c r="F82" s="245" t="e">
        <f>'Besoins en micas'!#REF!</f>
        <v>#REF!</v>
      </c>
      <c r="G82" s="245" t="e">
        <f>IF(C82="FP1",'Données SOMIDA'!$G$73,VLOOKUP(E82,'Données SOMIDA'!$C$71:$G$75,5,FALSE))</f>
        <v>#REF!</v>
      </c>
      <c r="H82" s="245" t="e">
        <f t="shared" si="28"/>
        <v>#REF!</v>
      </c>
      <c r="I82" s="245" t="e">
        <f>+VLOOKUP(E82,'Données SOMIDA'!$C$71:$E$75,3,FALSE)</f>
        <v>#REF!</v>
      </c>
      <c r="J82" s="245" t="e">
        <f t="shared" si="29"/>
        <v>#REF!</v>
      </c>
      <c r="K82" s="245" t="e">
        <f t="shared" si="30"/>
        <v>#REF!</v>
      </c>
      <c r="L82" s="245">
        <f t="shared" si="31"/>
        <v>0</v>
      </c>
      <c r="M82" s="245"/>
      <c r="W82" s="245"/>
    </row>
    <row r="83" spans="2:23">
      <c r="B83" s="198" t="e">
        <f t="shared" si="27"/>
        <v>#REF!</v>
      </c>
      <c r="C83" s="462" t="e">
        <f>'Besoins en micas'!#REF!</f>
        <v>#REF!</v>
      </c>
      <c r="D83" s="198" t="e">
        <f>'Besoins en micas'!#REF!</f>
        <v>#REF!</v>
      </c>
      <c r="E83" s="462" t="e">
        <f>'Besoins en micas'!#REF!</f>
        <v>#REF!</v>
      </c>
      <c r="F83" s="245" t="e">
        <f>'Besoins en micas'!#REF!</f>
        <v>#REF!</v>
      </c>
      <c r="G83" s="245" t="e">
        <f>IF(C83="FP1",'Données SOMIDA'!$G$73,VLOOKUP(E83,'Données SOMIDA'!$C$71:$G$75,5,FALSE))</f>
        <v>#REF!</v>
      </c>
      <c r="H83" s="245" t="e">
        <f t="shared" si="28"/>
        <v>#REF!</v>
      </c>
      <c r="I83" s="245" t="e">
        <f>+VLOOKUP(E83,'Données SOMIDA'!$C$71:$E$75,3,FALSE)</f>
        <v>#REF!</v>
      </c>
      <c r="J83" s="245" t="e">
        <f t="shared" si="29"/>
        <v>#REF!</v>
      </c>
      <c r="K83" s="245" t="e">
        <f t="shared" si="30"/>
        <v>#REF!</v>
      </c>
      <c r="L83" s="245">
        <f t="shared" si="31"/>
        <v>0</v>
      </c>
      <c r="M83" s="245"/>
      <c r="W83" s="245"/>
    </row>
    <row r="84" spans="2:23">
      <c r="B84" s="198" t="e">
        <f t="shared" si="27"/>
        <v>#REF!</v>
      </c>
      <c r="C84" s="462" t="e">
        <f>'Besoins en micas'!#REF!</f>
        <v>#REF!</v>
      </c>
      <c r="D84" s="198" t="e">
        <f>'Besoins en micas'!#REF!</f>
        <v>#REF!</v>
      </c>
      <c r="E84" s="462" t="e">
        <f>'Besoins en micas'!#REF!</f>
        <v>#REF!</v>
      </c>
      <c r="F84" s="245" t="e">
        <f>'Besoins en micas'!#REF!</f>
        <v>#REF!</v>
      </c>
      <c r="G84" s="245" t="e">
        <f>IF(C84="FP1",'Données SOMIDA'!$G$73,VLOOKUP(E84,'Données SOMIDA'!$C$71:$G$75,5,FALSE))</f>
        <v>#REF!</v>
      </c>
      <c r="H84" s="245" t="e">
        <f t="shared" si="28"/>
        <v>#REF!</v>
      </c>
      <c r="I84" s="245" t="e">
        <f>+VLOOKUP(E84,'Données SOMIDA'!$C$71:$E$75,3,FALSE)</f>
        <v>#REF!</v>
      </c>
      <c r="J84" s="245" t="e">
        <f t="shared" si="29"/>
        <v>#REF!</v>
      </c>
      <c r="K84" s="245" t="e">
        <f t="shared" si="30"/>
        <v>#REF!</v>
      </c>
      <c r="L84" s="245">
        <f t="shared" si="31"/>
        <v>0</v>
      </c>
      <c r="M84" s="245"/>
      <c r="W84" s="245"/>
    </row>
    <row r="85" spans="2:23">
      <c r="B85" s="198" t="e">
        <f t="shared" si="27"/>
        <v>#REF!</v>
      </c>
      <c r="C85" s="462" t="e">
        <f>'Besoins en micas'!#REF!</f>
        <v>#REF!</v>
      </c>
      <c r="D85" s="198" t="e">
        <f>'Besoins en micas'!#REF!</f>
        <v>#REF!</v>
      </c>
      <c r="E85" s="462" t="e">
        <f>'Besoins en micas'!#REF!</f>
        <v>#REF!</v>
      </c>
      <c r="F85" s="245" t="e">
        <f>'Besoins en micas'!#REF!</f>
        <v>#REF!</v>
      </c>
      <c r="G85" s="245" t="e">
        <f>IF(C85="FP1",'Données SOMIDA'!$G$73,VLOOKUP(E85,'Données SOMIDA'!$C$71:$G$75,5,FALSE))</f>
        <v>#REF!</v>
      </c>
      <c r="H85" s="245" t="e">
        <f t="shared" si="28"/>
        <v>#REF!</v>
      </c>
      <c r="I85" s="245" t="e">
        <f>+VLOOKUP(E85,'Données SOMIDA'!$C$71:$E$75,3,FALSE)</f>
        <v>#REF!</v>
      </c>
      <c r="J85" s="245" t="e">
        <f t="shared" si="29"/>
        <v>#REF!</v>
      </c>
      <c r="K85" s="245" t="e">
        <f t="shared" si="30"/>
        <v>#REF!</v>
      </c>
      <c r="L85" s="245">
        <f t="shared" si="31"/>
        <v>0</v>
      </c>
      <c r="M85" s="245"/>
      <c r="W85" s="245"/>
    </row>
    <row r="86" spans="2:23">
      <c r="B86" s="198" t="e">
        <f t="shared" si="27"/>
        <v>#REF!</v>
      </c>
      <c r="C86" s="462" t="e">
        <f>'Besoins en micas'!#REF!</f>
        <v>#REF!</v>
      </c>
      <c r="D86" s="198" t="e">
        <f>'Besoins en micas'!#REF!</f>
        <v>#REF!</v>
      </c>
      <c r="E86" s="462" t="e">
        <f>'Besoins en micas'!#REF!</f>
        <v>#REF!</v>
      </c>
      <c r="F86" s="245" t="e">
        <f>'Besoins en micas'!#REF!</f>
        <v>#REF!</v>
      </c>
      <c r="G86" s="245" t="e">
        <f>IF(C86="FP1",'Données SOMIDA'!$G$73,VLOOKUP(E86,'Données SOMIDA'!$C$71:$G$75,5,FALSE))</f>
        <v>#REF!</v>
      </c>
      <c r="H86" s="245" t="e">
        <f t="shared" si="28"/>
        <v>#REF!</v>
      </c>
      <c r="I86" s="245" t="e">
        <f>+VLOOKUP(E86,'Données SOMIDA'!$C$71:$E$75,3,FALSE)</f>
        <v>#REF!</v>
      </c>
      <c r="J86" s="245" t="e">
        <f t="shared" si="29"/>
        <v>#REF!</v>
      </c>
      <c r="K86" s="245" t="e">
        <f t="shared" si="30"/>
        <v>#REF!</v>
      </c>
      <c r="L86" s="245">
        <f t="shared" si="31"/>
        <v>0</v>
      </c>
      <c r="M86" s="245"/>
      <c r="W86" s="245"/>
    </row>
    <row r="87" spans="2:23">
      <c r="B87" s="198" t="e">
        <f t="shared" si="27"/>
        <v>#REF!</v>
      </c>
      <c r="C87" s="462" t="e">
        <f>'Besoins en micas'!#REF!</f>
        <v>#REF!</v>
      </c>
      <c r="D87" s="198" t="e">
        <f>'Besoins en micas'!#REF!</f>
        <v>#REF!</v>
      </c>
      <c r="E87" s="462" t="e">
        <f>'Besoins en micas'!#REF!</f>
        <v>#REF!</v>
      </c>
      <c r="F87" s="245" t="e">
        <f>'Besoins en micas'!#REF!</f>
        <v>#REF!</v>
      </c>
      <c r="G87" s="245" t="e">
        <f>IF(C87="FP1",'Données SOMIDA'!$G$73,VLOOKUP(E87,'Données SOMIDA'!$C$71:$G$75,5,FALSE))</f>
        <v>#REF!</v>
      </c>
      <c r="H87" s="245" t="e">
        <f t="shared" si="28"/>
        <v>#REF!</v>
      </c>
      <c r="I87" s="245" t="e">
        <f>+VLOOKUP(E87,'Données SOMIDA'!$C$71:$E$75,3,FALSE)</f>
        <v>#REF!</v>
      </c>
      <c r="J87" s="245" t="e">
        <f t="shared" si="29"/>
        <v>#REF!</v>
      </c>
      <c r="K87" s="245" t="e">
        <f t="shared" si="30"/>
        <v>#REF!</v>
      </c>
      <c r="L87" s="245">
        <f t="shared" si="31"/>
        <v>0</v>
      </c>
      <c r="M87" s="245"/>
      <c r="W87" s="245"/>
    </row>
    <row r="88" spans="2:23">
      <c r="B88" s="198" t="e">
        <f t="shared" si="27"/>
        <v>#REF!</v>
      </c>
      <c r="C88" s="462" t="e">
        <f>'Besoins en micas'!#REF!</f>
        <v>#REF!</v>
      </c>
      <c r="D88" s="198" t="e">
        <f>'Besoins en micas'!#REF!</f>
        <v>#REF!</v>
      </c>
      <c r="E88" s="462" t="e">
        <f>'Besoins en micas'!#REF!</f>
        <v>#REF!</v>
      </c>
      <c r="F88" s="245" t="e">
        <f>'Besoins en micas'!#REF!</f>
        <v>#REF!</v>
      </c>
      <c r="G88" s="245" t="e">
        <f>IF(C88="FP1",'Données SOMIDA'!$G$73,VLOOKUP(E88,'Données SOMIDA'!$C$71:$G$75,5,FALSE))</f>
        <v>#REF!</v>
      </c>
      <c r="H88" s="245" t="e">
        <f t="shared" si="28"/>
        <v>#REF!</v>
      </c>
      <c r="I88" s="245" t="e">
        <f>+VLOOKUP(E88,'Données SOMIDA'!$C$71:$E$75,3,FALSE)</f>
        <v>#REF!</v>
      </c>
      <c r="J88" s="245" t="e">
        <f t="shared" si="29"/>
        <v>#REF!</v>
      </c>
      <c r="K88" s="245" t="e">
        <f t="shared" si="30"/>
        <v>#REF!</v>
      </c>
      <c r="L88" s="245">
        <f t="shared" si="31"/>
        <v>0</v>
      </c>
      <c r="M88" s="245"/>
      <c r="W88" s="245"/>
    </row>
    <row r="89" spans="2:23">
      <c r="B89" s="198" t="e">
        <f t="shared" si="27"/>
        <v>#REF!</v>
      </c>
      <c r="C89" s="462" t="e">
        <f>'Besoins en micas'!#REF!</f>
        <v>#REF!</v>
      </c>
      <c r="D89" s="198" t="e">
        <f>'Besoins en micas'!#REF!</f>
        <v>#REF!</v>
      </c>
      <c r="E89" s="462" t="e">
        <f>'Besoins en micas'!#REF!</f>
        <v>#REF!</v>
      </c>
      <c r="F89" s="245" t="e">
        <f>'Besoins en micas'!#REF!</f>
        <v>#REF!</v>
      </c>
      <c r="G89" s="245" t="e">
        <f>IF(C89="FP1",'Données SOMIDA'!$G$73,VLOOKUP(E89,'Données SOMIDA'!$C$71:$G$75,5,FALSE))</f>
        <v>#REF!</v>
      </c>
      <c r="H89" s="245" t="e">
        <f t="shared" si="28"/>
        <v>#REF!</v>
      </c>
      <c r="I89" s="245" t="e">
        <f>+VLOOKUP(E89,'Données SOMIDA'!$C$71:$E$75,3,FALSE)</f>
        <v>#REF!</v>
      </c>
      <c r="J89" s="245" t="e">
        <f t="shared" si="29"/>
        <v>#REF!</v>
      </c>
      <c r="K89" s="245" t="e">
        <f t="shared" si="30"/>
        <v>#REF!</v>
      </c>
      <c r="L89" s="245">
        <f t="shared" si="31"/>
        <v>0</v>
      </c>
      <c r="M89" s="245"/>
      <c r="W89" s="245"/>
    </row>
    <row r="90" spans="2:23">
      <c r="B90" s="198" t="e">
        <f t="shared" si="27"/>
        <v>#REF!</v>
      </c>
      <c r="C90" s="462" t="e">
        <f>'Besoins en micas'!#REF!</f>
        <v>#REF!</v>
      </c>
      <c r="D90" s="198" t="e">
        <f>'Besoins en micas'!#REF!</f>
        <v>#REF!</v>
      </c>
      <c r="E90" s="462" t="e">
        <f>'Besoins en micas'!#REF!</f>
        <v>#REF!</v>
      </c>
      <c r="F90" s="245" t="e">
        <f>'Besoins en micas'!#REF!</f>
        <v>#REF!</v>
      </c>
      <c r="G90" s="245" t="e">
        <f>IF(C90="FP1",'Données SOMIDA'!$G$73,VLOOKUP(E90,'Données SOMIDA'!$C$71:$G$75,5,FALSE))</f>
        <v>#REF!</v>
      </c>
      <c r="H90" s="245" t="e">
        <f t="shared" si="28"/>
        <v>#REF!</v>
      </c>
      <c r="I90" s="245" t="e">
        <f>+VLOOKUP(E90,'Données SOMIDA'!$C$71:$E$75,3,FALSE)</f>
        <v>#REF!</v>
      </c>
      <c r="J90" s="245" t="e">
        <f t="shared" si="29"/>
        <v>#REF!</v>
      </c>
      <c r="K90" s="245" t="e">
        <f t="shared" si="30"/>
        <v>#REF!</v>
      </c>
      <c r="L90" s="245">
        <f t="shared" si="31"/>
        <v>0</v>
      </c>
      <c r="M90" s="245"/>
      <c r="W90" s="245"/>
    </row>
    <row r="91" spans="2:23">
      <c r="B91" s="198" t="e">
        <f t="shared" si="27"/>
        <v>#REF!</v>
      </c>
      <c r="C91" s="462" t="e">
        <f>'Besoins en micas'!#REF!</f>
        <v>#REF!</v>
      </c>
      <c r="D91" s="198" t="e">
        <f>'Besoins en micas'!#REF!</f>
        <v>#REF!</v>
      </c>
      <c r="E91" s="462" t="e">
        <f>'Besoins en micas'!#REF!</f>
        <v>#REF!</v>
      </c>
      <c r="F91" s="245" t="e">
        <f>'Besoins en micas'!#REF!</f>
        <v>#REF!</v>
      </c>
      <c r="G91" s="245" t="e">
        <f>IF(C91="FP1",'Données SOMIDA'!$G$73,VLOOKUP(E91,'Données SOMIDA'!$C$71:$G$75,5,FALSE))</f>
        <v>#REF!</v>
      </c>
      <c r="H91" s="245" t="e">
        <f t="shared" si="28"/>
        <v>#REF!</v>
      </c>
      <c r="I91" s="245" t="e">
        <f>+VLOOKUP(E91,'Données SOMIDA'!$C$71:$E$75,3,FALSE)</f>
        <v>#REF!</v>
      </c>
      <c r="J91" s="245" t="e">
        <f t="shared" si="29"/>
        <v>#REF!</v>
      </c>
      <c r="K91" s="245" t="e">
        <f t="shared" si="30"/>
        <v>#REF!</v>
      </c>
      <c r="L91" s="245">
        <f t="shared" si="31"/>
        <v>0</v>
      </c>
      <c r="M91" s="245"/>
      <c r="W91" s="245"/>
    </row>
    <row r="92" spans="2:23">
      <c r="B92" s="198" t="e">
        <f t="shared" si="27"/>
        <v>#REF!</v>
      </c>
      <c r="C92" s="462" t="e">
        <f>'Besoins en micas'!#REF!</f>
        <v>#REF!</v>
      </c>
      <c r="D92" s="198" t="e">
        <f>'Besoins en micas'!#REF!</f>
        <v>#REF!</v>
      </c>
      <c r="E92" s="462" t="e">
        <f>'Besoins en micas'!#REF!</f>
        <v>#REF!</v>
      </c>
      <c r="F92" s="245" t="e">
        <f>'Besoins en micas'!#REF!</f>
        <v>#REF!</v>
      </c>
      <c r="G92" s="245" t="e">
        <f>IF(C92="FP1",'Données SOMIDA'!$G$73,VLOOKUP(E92,'Données SOMIDA'!$C$71:$G$75,5,FALSE))</f>
        <v>#REF!</v>
      </c>
      <c r="H92" s="245" t="e">
        <f t="shared" si="28"/>
        <v>#REF!</v>
      </c>
      <c r="I92" s="245" t="e">
        <f>+VLOOKUP(E92,'Données SOMIDA'!$C$71:$E$75,3,FALSE)</f>
        <v>#REF!</v>
      </c>
      <c r="J92" s="245" t="e">
        <f t="shared" si="29"/>
        <v>#REF!</v>
      </c>
      <c r="K92" s="245" t="e">
        <f t="shared" si="30"/>
        <v>#REF!</v>
      </c>
      <c r="L92" s="245">
        <f t="shared" si="31"/>
        <v>0</v>
      </c>
      <c r="M92" s="245"/>
      <c r="W92" s="245"/>
    </row>
    <row r="93" spans="2:23">
      <c r="B93" s="198" t="e">
        <f t="shared" si="27"/>
        <v>#REF!</v>
      </c>
      <c r="C93" s="462" t="e">
        <f>'Besoins en micas'!#REF!</f>
        <v>#REF!</v>
      </c>
      <c r="D93" s="198" t="e">
        <f>'Besoins en micas'!#REF!</f>
        <v>#REF!</v>
      </c>
      <c r="E93" s="462" t="e">
        <f>'Besoins en micas'!#REF!</f>
        <v>#REF!</v>
      </c>
      <c r="F93" s="245" t="e">
        <f>'Besoins en micas'!#REF!</f>
        <v>#REF!</v>
      </c>
      <c r="G93" s="245" t="e">
        <f>IF(C93="FP1",'Données SOMIDA'!$G$73,VLOOKUP(E93,'Données SOMIDA'!$C$71:$G$75,5,FALSE))</f>
        <v>#REF!</v>
      </c>
      <c r="H93" s="245" t="e">
        <f t="shared" si="28"/>
        <v>#REF!</v>
      </c>
      <c r="I93" s="245" t="e">
        <f>+VLOOKUP(E93,'Données SOMIDA'!$C$71:$E$75,3,FALSE)</f>
        <v>#REF!</v>
      </c>
      <c r="J93" s="245" t="e">
        <f t="shared" si="29"/>
        <v>#REF!</v>
      </c>
      <c r="K93" s="245" t="e">
        <f t="shared" si="30"/>
        <v>#REF!</v>
      </c>
      <c r="L93" s="245">
        <f t="shared" si="31"/>
        <v>0</v>
      </c>
      <c r="M93" s="245"/>
      <c r="W93" s="245"/>
    </row>
    <row r="94" spans="2:23">
      <c r="B94" s="198" t="e">
        <f t="shared" si="27"/>
        <v>#REF!</v>
      </c>
      <c r="C94" s="462" t="e">
        <f>'Besoins en micas'!#REF!</f>
        <v>#REF!</v>
      </c>
      <c r="D94" s="198" t="e">
        <f>'Besoins en micas'!#REF!</f>
        <v>#REF!</v>
      </c>
      <c r="E94" s="462" t="e">
        <f>'Besoins en micas'!#REF!</f>
        <v>#REF!</v>
      </c>
      <c r="F94" s="245" t="e">
        <f>'Besoins en micas'!#REF!</f>
        <v>#REF!</v>
      </c>
      <c r="G94" s="245" t="e">
        <f>IF(C94="FP1",'Données SOMIDA'!$G$73,VLOOKUP(E94,'Données SOMIDA'!$C$71:$G$75,5,FALSE))</f>
        <v>#REF!</v>
      </c>
      <c r="H94" s="245" t="e">
        <f t="shared" si="28"/>
        <v>#REF!</v>
      </c>
      <c r="I94" s="245" t="e">
        <f>+VLOOKUP(E94,'Données SOMIDA'!$C$71:$E$75,3,FALSE)</f>
        <v>#REF!</v>
      </c>
      <c r="J94" s="245" t="e">
        <f t="shared" si="29"/>
        <v>#REF!</v>
      </c>
      <c r="K94" s="245" t="e">
        <f t="shared" si="30"/>
        <v>#REF!</v>
      </c>
      <c r="L94" s="245">
        <f t="shared" si="31"/>
        <v>0</v>
      </c>
      <c r="M94" s="245"/>
      <c r="W94" s="245"/>
    </row>
    <row r="95" spans="2:23">
      <c r="B95" s="198" t="e">
        <f t="shared" si="27"/>
        <v>#REF!</v>
      </c>
      <c r="C95" s="462" t="e">
        <f>'Besoins en micas'!#REF!</f>
        <v>#REF!</v>
      </c>
      <c r="D95" s="198" t="e">
        <f>'Besoins en micas'!#REF!</f>
        <v>#REF!</v>
      </c>
      <c r="E95" s="462" t="e">
        <f>'Besoins en micas'!#REF!</f>
        <v>#REF!</v>
      </c>
      <c r="F95" s="245" t="e">
        <f>'Besoins en micas'!#REF!</f>
        <v>#REF!</v>
      </c>
      <c r="G95" s="245" t="e">
        <f>IF(C95="FP1",'Données SOMIDA'!$G$73,VLOOKUP(E95,'Données SOMIDA'!$C$71:$G$75,5,FALSE))</f>
        <v>#REF!</v>
      </c>
      <c r="H95" s="245" t="e">
        <f t="shared" si="28"/>
        <v>#REF!</v>
      </c>
      <c r="I95" s="245" t="e">
        <f>+VLOOKUP(E95,'Données SOMIDA'!$C$71:$E$75,3,FALSE)</f>
        <v>#REF!</v>
      </c>
      <c r="J95" s="245" t="e">
        <f t="shared" si="29"/>
        <v>#REF!</v>
      </c>
      <c r="K95" s="245" t="e">
        <f t="shared" si="30"/>
        <v>#REF!</v>
      </c>
      <c r="L95" s="245">
        <f t="shared" si="31"/>
        <v>0</v>
      </c>
      <c r="M95" s="245"/>
      <c r="W95" s="245"/>
    </row>
    <row r="96" spans="2:23">
      <c r="B96" s="198" t="e">
        <f t="shared" si="27"/>
        <v>#REF!</v>
      </c>
      <c r="C96" s="462" t="e">
        <f>'Besoins en micas'!#REF!</f>
        <v>#REF!</v>
      </c>
      <c r="D96" s="198" t="e">
        <f>'Besoins en micas'!#REF!</f>
        <v>#REF!</v>
      </c>
      <c r="E96" s="462" t="e">
        <f>'Besoins en micas'!#REF!</f>
        <v>#REF!</v>
      </c>
      <c r="F96" s="245" t="e">
        <f>'Besoins en micas'!#REF!</f>
        <v>#REF!</v>
      </c>
      <c r="G96" s="245" t="e">
        <f>IF(C96="FP1",'Données SOMIDA'!$G$73,VLOOKUP(E96,'Données SOMIDA'!$C$71:$G$75,5,FALSE))</f>
        <v>#REF!</v>
      </c>
      <c r="H96" s="245" t="e">
        <f t="shared" si="28"/>
        <v>#REF!</v>
      </c>
      <c r="I96" s="245" t="e">
        <f>+VLOOKUP(E96,'Données SOMIDA'!$C$71:$E$75,3,FALSE)</f>
        <v>#REF!</v>
      </c>
      <c r="J96" s="245" t="e">
        <f t="shared" si="29"/>
        <v>#REF!</v>
      </c>
      <c r="K96" s="245" t="e">
        <f t="shared" si="30"/>
        <v>#REF!</v>
      </c>
      <c r="L96" s="245">
        <f t="shared" si="31"/>
        <v>0</v>
      </c>
      <c r="M96" s="245"/>
      <c r="W96" s="245"/>
    </row>
    <row r="97" spans="2:23">
      <c r="B97" s="198" t="e">
        <f t="shared" si="27"/>
        <v>#REF!</v>
      </c>
      <c r="C97" s="462" t="e">
        <f>'Besoins en micas'!#REF!</f>
        <v>#REF!</v>
      </c>
      <c r="D97" s="198" t="e">
        <f>'Besoins en micas'!#REF!</f>
        <v>#REF!</v>
      </c>
      <c r="E97" s="462" t="e">
        <f>'Besoins en micas'!#REF!</f>
        <v>#REF!</v>
      </c>
      <c r="F97" s="245" t="e">
        <f>'Besoins en micas'!#REF!</f>
        <v>#REF!</v>
      </c>
      <c r="G97" s="245" t="e">
        <f>IF(C97="FP1",'Données SOMIDA'!$G$73,VLOOKUP(E97,'Données SOMIDA'!$C$71:$G$75,5,FALSE))</f>
        <v>#REF!</v>
      </c>
      <c r="H97" s="245" t="e">
        <f t="shared" si="28"/>
        <v>#REF!</v>
      </c>
      <c r="I97" s="245" t="e">
        <f>+VLOOKUP(E97,'Données SOMIDA'!$C$71:$E$75,3,FALSE)</f>
        <v>#REF!</v>
      </c>
      <c r="J97" s="245" t="e">
        <f t="shared" si="29"/>
        <v>#REF!</v>
      </c>
      <c r="K97" s="245" t="e">
        <f t="shared" si="30"/>
        <v>#REF!</v>
      </c>
      <c r="L97" s="245">
        <f t="shared" si="31"/>
        <v>0</v>
      </c>
      <c r="M97" s="245"/>
      <c r="W97" s="245"/>
    </row>
    <row r="98" spans="2:23">
      <c r="B98" s="198" t="e">
        <f t="shared" si="27"/>
        <v>#REF!</v>
      </c>
      <c r="C98" s="462" t="e">
        <f>'Besoins en micas'!#REF!</f>
        <v>#REF!</v>
      </c>
      <c r="D98" s="198" t="e">
        <f>'Besoins en micas'!#REF!</f>
        <v>#REF!</v>
      </c>
      <c r="E98" s="462" t="e">
        <f>'Besoins en micas'!#REF!</f>
        <v>#REF!</v>
      </c>
      <c r="F98" s="245" t="e">
        <f>'Besoins en micas'!#REF!</f>
        <v>#REF!</v>
      </c>
      <c r="G98" s="245" t="e">
        <f>IF(C98="FP1",'Données SOMIDA'!$G$73,VLOOKUP(E98,'Données SOMIDA'!$C$71:$G$75,5,FALSE))</f>
        <v>#REF!</v>
      </c>
      <c r="H98" s="245" t="e">
        <f t="shared" si="28"/>
        <v>#REF!</v>
      </c>
      <c r="I98" s="245" t="e">
        <f>+VLOOKUP(E98,'Données SOMIDA'!$C$71:$E$75,3,FALSE)</f>
        <v>#REF!</v>
      </c>
      <c r="J98" s="245" t="e">
        <f t="shared" si="29"/>
        <v>#REF!</v>
      </c>
      <c r="K98" s="245" t="e">
        <f t="shared" si="30"/>
        <v>#REF!</v>
      </c>
      <c r="L98" s="245">
        <f t="shared" si="31"/>
        <v>0</v>
      </c>
      <c r="M98" s="245"/>
      <c r="W98" s="245"/>
    </row>
    <row r="99" spans="2:23">
      <c r="B99" s="198" t="e">
        <f t="shared" si="27"/>
        <v>#REF!</v>
      </c>
      <c r="C99" s="462" t="e">
        <f>'Besoins en micas'!#REF!</f>
        <v>#REF!</v>
      </c>
      <c r="D99" s="198" t="e">
        <f>'Besoins en micas'!#REF!</f>
        <v>#REF!</v>
      </c>
      <c r="E99" s="462" t="e">
        <f>'Besoins en micas'!#REF!</f>
        <v>#REF!</v>
      </c>
      <c r="F99" s="245" t="e">
        <f>'Besoins en micas'!#REF!</f>
        <v>#REF!</v>
      </c>
      <c r="G99" s="245" t="e">
        <f>IF(C99="FP1",'Données SOMIDA'!$G$73,VLOOKUP(E99,'Données SOMIDA'!$C$71:$G$75,5,FALSE))</f>
        <v>#REF!</v>
      </c>
      <c r="H99" s="245" t="e">
        <f t="shared" si="28"/>
        <v>#REF!</v>
      </c>
      <c r="I99" s="245" t="e">
        <f>+VLOOKUP(E99,'Données SOMIDA'!$C$71:$E$75,3,FALSE)</f>
        <v>#REF!</v>
      </c>
      <c r="J99" s="245" t="e">
        <f t="shared" si="29"/>
        <v>#REF!</v>
      </c>
      <c r="K99" s="245" t="e">
        <f t="shared" si="30"/>
        <v>#REF!</v>
      </c>
      <c r="L99" s="245">
        <f t="shared" si="31"/>
        <v>0</v>
      </c>
      <c r="M99" s="245"/>
      <c r="W99" s="245"/>
    </row>
    <row r="100" spans="2:23">
      <c r="B100" s="198" t="e">
        <f t="shared" ref="B100:B111" si="32">_xlfn.XLOOKUP(C100,O:O,N:N)</f>
        <v>#REF!</v>
      </c>
      <c r="C100" s="462" t="e">
        <f>'Besoins en micas'!#REF!</f>
        <v>#REF!</v>
      </c>
      <c r="D100" s="198" t="e">
        <f>'Besoins en micas'!#REF!</f>
        <v>#REF!</v>
      </c>
      <c r="E100" s="462" t="e">
        <f>'Besoins en micas'!#REF!</f>
        <v>#REF!</v>
      </c>
      <c r="F100" s="245" t="e">
        <f>'Besoins en micas'!#REF!</f>
        <v>#REF!</v>
      </c>
      <c r="G100" s="245" t="e">
        <f>IF(C100="FP1",'Données SOMIDA'!$G$73,VLOOKUP(E100,'Données SOMIDA'!$C$71:$G$75,5,FALSE))</f>
        <v>#REF!</v>
      </c>
      <c r="H100" s="245" t="e">
        <f t="shared" si="28"/>
        <v>#REF!</v>
      </c>
      <c r="I100" s="245" t="e">
        <f>+VLOOKUP(E100,'Données SOMIDA'!$C$71:$E$75,3,FALSE)</f>
        <v>#REF!</v>
      </c>
      <c r="J100" s="245" t="e">
        <f t="shared" si="29"/>
        <v>#REF!</v>
      </c>
      <c r="K100" s="245" t="e">
        <f t="shared" si="30"/>
        <v>#REF!</v>
      </c>
      <c r="L100" s="245">
        <f t="shared" si="31"/>
        <v>0</v>
      </c>
      <c r="M100" s="245"/>
      <c r="W100" s="245"/>
    </row>
    <row r="101" spans="2:23">
      <c r="B101" s="198" t="e">
        <f t="shared" si="32"/>
        <v>#REF!</v>
      </c>
      <c r="C101" s="462" t="e">
        <f>'Besoins en micas'!#REF!</f>
        <v>#REF!</v>
      </c>
      <c r="D101" s="198" t="e">
        <f>'Besoins en micas'!#REF!</f>
        <v>#REF!</v>
      </c>
      <c r="E101" s="462" t="e">
        <f>'Besoins en micas'!#REF!</f>
        <v>#REF!</v>
      </c>
      <c r="F101" s="245" t="e">
        <f>'Besoins en micas'!#REF!</f>
        <v>#REF!</v>
      </c>
      <c r="G101" s="245" t="e">
        <f>IF(C101="FP1",'Données SOMIDA'!$G$73,VLOOKUP(E101,'Données SOMIDA'!$C$71:$G$75,5,FALSE))</f>
        <v>#REF!</v>
      </c>
      <c r="H101" s="245" t="e">
        <f t="shared" si="28"/>
        <v>#REF!</v>
      </c>
      <c r="I101" s="245" t="e">
        <f>+VLOOKUP(E101,'Données SOMIDA'!$C$71:$E$75,3,FALSE)</f>
        <v>#REF!</v>
      </c>
      <c r="J101" s="245" t="e">
        <f t="shared" si="29"/>
        <v>#REF!</v>
      </c>
      <c r="K101" s="245" t="e">
        <f t="shared" si="30"/>
        <v>#REF!</v>
      </c>
      <c r="L101" s="245">
        <f t="shared" si="31"/>
        <v>0</v>
      </c>
      <c r="M101" s="245"/>
      <c r="W101" s="245"/>
    </row>
    <row r="102" spans="2:23">
      <c r="B102" s="198" t="e">
        <f t="shared" si="32"/>
        <v>#REF!</v>
      </c>
      <c r="C102" s="462" t="e">
        <f>'Besoins en micas'!#REF!</f>
        <v>#REF!</v>
      </c>
      <c r="D102" s="198" t="e">
        <f>'Besoins en micas'!#REF!</f>
        <v>#REF!</v>
      </c>
      <c r="E102" s="462" t="e">
        <f>'Besoins en micas'!#REF!</f>
        <v>#REF!</v>
      </c>
      <c r="F102" s="245" t="e">
        <f>'Besoins en micas'!#REF!</f>
        <v>#REF!</v>
      </c>
      <c r="G102" s="245" t="e">
        <f>IF(C102="FP1",'Données SOMIDA'!$G$73,VLOOKUP(E102,'Données SOMIDA'!$C$71:$G$75,5,FALSE))</f>
        <v>#REF!</v>
      </c>
      <c r="H102" s="245" t="e">
        <f t="shared" si="28"/>
        <v>#REF!</v>
      </c>
      <c r="I102" s="245" t="e">
        <f>+VLOOKUP(E102,'Données SOMIDA'!$C$71:$E$75,3,FALSE)</f>
        <v>#REF!</v>
      </c>
      <c r="J102" s="245" t="e">
        <f t="shared" si="29"/>
        <v>#REF!</v>
      </c>
      <c r="K102" s="245" t="e">
        <f t="shared" si="30"/>
        <v>#REF!</v>
      </c>
      <c r="L102" s="245">
        <f t="shared" si="31"/>
        <v>0</v>
      </c>
      <c r="M102" s="245"/>
      <c r="W102" s="245"/>
    </row>
    <row r="103" spans="2:23">
      <c r="B103" s="198" t="e">
        <f t="shared" si="32"/>
        <v>#REF!</v>
      </c>
      <c r="C103" s="462" t="e">
        <f>'Besoins en micas'!#REF!</f>
        <v>#REF!</v>
      </c>
      <c r="D103" s="198" t="e">
        <f>'Besoins en micas'!#REF!</f>
        <v>#REF!</v>
      </c>
      <c r="E103" s="462" t="e">
        <f>'Besoins en micas'!#REF!</f>
        <v>#REF!</v>
      </c>
      <c r="F103" s="245" t="e">
        <f>'Besoins en micas'!#REF!</f>
        <v>#REF!</v>
      </c>
      <c r="G103" s="245" t="e">
        <f>IF(C103="FP1",'Données SOMIDA'!$G$73,VLOOKUP(E103,'Données SOMIDA'!$C$71:$G$75,5,FALSE))</f>
        <v>#REF!</v>
      </c>
      <c r="H103" s="245" t="e">
        <f t="shared" si="28"/>
        <v>#REF!</v>
      </c>
      <c r="I103" s="245" t="e">
        <f>+VLOOKUP(E103,'Données SOMIDA'!$C$71:$E$75,3,FALSE)</f>
        <v>#REF!</v>
      </c>
      <c r="J103" s="245" t="e">
        <f t="shared" si="29"/>
        <v>#REF!</v>
      </c>
      <c r="K103" s="245" t="e">
        <f t="shared" si="30"/>
        <v>#REF!</v>
      </c>
      <c r="L103" s="245">
        <f t="shared" si="31"/>
        <v>0</v>
      </c>
      <c r="M103" s="245"/>
      <c r="W103" s="245"/>
    </row>
    <row r="104" spans="2:23">
      <c r="B104" s="198" t="e">
        <f t="shared" si="32"/>
        <v>#REF!</v>
      </c>
      <c r="C104" s="462" t="e">
        <f>'Besoins en micas'!#REF!</f>
        <v>#REF!</v>
      </c>
      <c r="D104" s="198" t="e">
        <f>'Besoins en micas'!#REF!</f>
        <v>#REF!</v>
      </c>
      <c r="E104" s="462" t="e">
        <f>'Besoins en micas'!#REF!</f>
        <v>#REF!</v>
      </c>
      <c r="F104" s="245" t="e">
        <f>'Besoins en micas'!#REF!</f>
        <v>#REF!</v>
      </c>
      <c r="G104" s="245" t="e">
        <f>IF(C104="FP1",'Données SOMIDA'!$G$73,VLOOKUP(E104,'Données SOMIDA'!$C$71:$G$75,5,FALSE))</f>
        <v>#REF!</v>
      </c>
      <c r="H104" s="245" t="e">
        <f t="shared" si="28"/>
        <v>#REF!</v>
      </c>
      <c r="I104" s="245" t="e">
        <f>+VLOOKUP(E104,'Données SOMIDA'!$C$71:$E$75,3,FALSE)</f>
        <v>#REF!</v>
      </c>
      <c r="J104" s="245" t="e">
        <f t="shared" si="29"/>
        <v>#REF!</v>
      </c>
      <c r="K104" s="245" t="e">
        <f t="shared" si="30"/>
        <v>#REF!</v>
      </c>
      <c r="L104" s="245">
        <f t="shared" si="31"/>
        <v>0</v>
      </c>
      <c r="M104" s="245"/>
      <c r="W104" s="245"/>
    </row>
    <row r="105" spans="2:23">
      <c r="B105" s="198" t="e">
        <f t="shared" si="32"/>
        <v>#REF!</v>
      </c>
      <c r="C105" s="462" t="e">
        <f>'Besoins en micas'!#REF!</f>
        <v>#REF!</v>
      </c>
      <c r="D105" s="198" t="e">
        <f>'Besoins en micas'!#REF!</f>
        <v>#REF!</v>
      </c>
      <c r="E105" s="462" t="e">
        <f>'Besoins en micas'!#REF!</f>
        <v>#REF!</v>
      </c>
      <c r="F105" s="245" t="e">
        <f>'Besoins en micas'!#REF!</f>
        <v>#REF!</v>
      </c>
      <c r="G105" s="245" t="e">
        <f>IF(C105="FP1",'Données SOMIDA'!$G$73,VLOOKUP(E105,'Données SOMIDA'!$C$71:$G$75,5,FALSE))</f>
        <v>#REF!</v>
      </c>
      <c r="H105" s="245" t="e">
        <f t="shared" si="28"/>
        <v>#REF!</v>
      </c>
      <c r="I105" s="245" t="e">
        <f>+VLOOKUP(E105,'Données SOMIDA'!$C$71:$E$75,3,FALSE)</f>
        <v>#REF!</v>
      </c>
      <c r="J105" s="245" t="e">
        <f t="shared" si="29"/>
        <v>#REF!</v>
      </c>
      <c r="K105" s="245" t="e">
        <f t="shared" si="30"/>
        <v>#REF!</v>
      </c>
      <c r="L105" s="245">
        <f t="shared" si="31"/>
        <v>0</v>
      </c>
      <c r="M105" s="245"/>
      <c r="W105" s="245"/>
    </row>
    <row r="106" spans="2:23">
      <c r="B106" s="198" t="e">
        <f t="shared" si="32"/>
        <v>#REF!</v>
      </c>
      <c r="C106" s="462" t="e">
        <f>'Besoins en micas'!#REF!</f>
        <v>#REF!</v>
      </c>
      <c r="D106" s="198" t="e">
        <f>'Besoins en micas'!#REF!</f>
        <v>#REF!</v>
      </c>
      <c r="E106" s="462" t="e">
        <f>'Besoins en micas'!#REF!</f>
        <v>#REF!</v>
      </c>
      <c r="F106" s="245" t="e">
        <f>'Besoins en micas'!#REF!</f>
        <v>#REF!</v>
      </c>
      <c r="G106" s="245" t="e">
        <f>IF(C106="FP1",'Données SOMIDA'!$G$73,VLOOKUP(E106,'Données SOMIDA'!$C$71:$G$75,5,FALSE))</f>
        <v>#REF!</v>
      </c>
      <c r="H106" s="245" t="e">
        <f t="shared" si="28"/>
        <v>#REF!</v>
      </c>
      <c r="I106" s="245" t="e">
        <f>+VLOOKUP(E106,'Données SOMIDA'!$C$71:$E$75,3,FALSE)</f>
        <v>#REF!</v>
      </c>
      <c r="J106" s="245" t="e">
        <f t="shared" si="29"/>
        <v>#REF!</v>
      </c>
      <c r="K106" s="245" t="e">
        <f t="shared" si="30"/>
        <v>#REF!</v>
      </c>
      <c r="L106" s="245">
        <f t="shared" si="31"/>
        <v>0</v>
      </c>
      <c r="M106" s="245"/>
      <c r="W106" s="245"/>
    </row>
    <row r="107" spans="2:23">
      <c r="B107" s="198" t="e">
        <f t="shared" si="32"/>
        <v>#REF!</v>
      </c>
      <c r="C107" s="462" t="e">
        <f>'Besoins en micas'!#REF!</f>
        <v>#REF!</v>
      </c>
      <c r="D107" s="198" t="e">
        <f>'Besoins en micas'!#REF!</f>
        <v>#REF!</v>
      </c>
      <c r="E107" s="462" t="e">
        <f>'Besoins en micas'!#REF!</f>
        <v>#REF!</v>
      </c>
      <c r="F107" s="245" t="e">
        <f>'Besoins en micas'!#REF!</f>
        <v>#REF!</v>
      </c>
      <c r="G107" s="245" t="e">
        <f>IF(C107="FP1",'Données SOMIDA'!$G$73,VLOOKUP(E107,'Données SOMIDA'!$C$71:$G$75,5,FALSE))</f>
        <v>#REF!</v>
      </c>
      <c r="H107" s="245" t="e">
        <f t="shared" si="28"/>
        <v>#REF!</v>
      </c>
      <c r="I107" s="245" t="e">
        <f>+VLOOKUP(E107,'Données SOMIDA'!$C$71:$E$75,3,FALSE)</f>
        <v>#REF!</v>
      </c>
      <c r="J107" s="245" t="e">
        <f t="shared" si="29"/>
        <v>#REF!</v>
      </c>
      <c r="K107" s="245" t="e">
        <f t="shared" si="30"/>
        <v>#REF!</v>
      </c>
      <c r="L107" s="245">
        <f t="shared" si="31"/>
        <v>0</v>
      </c>
      <c r="M107" s="245"/>
      <c r="W107" s="245"/>
    </row>
    <row r="108" spans="2:23">
      <c r="B108" s="198" t="e">
        <f t="shared" si="32"/>
        <v>#REF!</v>
      </c>
      <c r="C108" s="462" t="e">
        <f>'Besoins en micas'!#REF!</f>
        <v>#REF!</v>
      </c>
      <c r="D108" s="198" t="e">
        <f>'Besoins en micas'!#REF!</f>
        <v>#REF!</v>
      </c>
      <c r="E108" s="462" t="e">
        <f>'Besoins en micas'!#REF!</f>
        <v>#REF!</v>
      </c>
      <c r="F108" s="245" t="e">
        <f>'Besoins en micas'!#REF!</f>
        <v>#REF!</v>
      </c>
      <c r="G108" s="245" t="e">
        <f>IF(C108="FP1",'Données SOMIDA'!$G$73,VLOOKUP(E108,'Données SOMIDA'!$C$71:$G$75,5,FALSE))</f>
        <v>#REF!</v>
      </c>
      <c r="H108" s="245" t="e">
        <f t="shared" si="28"/>
        <v>#REF!</v>
      </c>
      <c r="I108" s="245" t="e">
        <f>+VLOOKUP(E108,'Données SOMIDA'!$C$71:$E$75,3,FALSE)</f>
        <v>#REF!</v>
      </c>
      <c r="J108" s="245" t="e">
        <f t="shared" si="29"/>
        <v>#REF!</v>
      </c>
      <c r="K108" s="245" t="e">
        <f t="shared" si="30"/>
        <v>#REF!</v>
      </c>
      <c r="L108" s="245">
        <f t="shared" si="31"/>
        <v>0</v>
      </c>
      <c r="M108" s="245"/>
      <c r="W108" s="245"/>
    </row>
    <row r="109" spans="2:23">
      <c r="B109" s="198" t="e">
        <f t="shared" si="32"/>
        <v>#REF!</v>
      </c>
      <c r="C109" s="462" t="e">
        <f>'Besoins en micas'!#REF!</f>
        <v>#REF!</v>
      </c>
      <c r="D109" s="198" t="e">
        <f>'Besoins en micas'!#REF!</f>
        <v>#REF!</v>
      </c>
      <c r="E109" s="462" t="e">
        <f>'Besoins en micas'!#REF!</f>
        <v>#REF!</v>
      </c>
      <c r="F109" s="245" t="e">
        <f>'Besoins en micas'!#REF!</f>
        <v>#REF!</v>
      </c>
      <c r="G109" s="245" t="e">
        <f>IF(C109="FP1",'Données SOMIDA'!$G$73,VLOOKUP(E109,'Données SOMIDA'!$C$71:$G$75,5,FALSE))</f>
        <v>#REF!</v>
      </c>
      <c r="H109" s="245" t="e">
        <f t="shared" si="28"/>
        <v>#REF!</v>
      </c>
      <c r="I109" s="245" t="e">
        <f>+VLOOKUP(E109,'Données SOMIDA'!$C$71:$E$75,3,FALSE)</f>
        <v>#REF!</v>
      </c>
      <c r="J109" s="245" t="e">
        <f t="shared" si="29"/>
        <v>#REF!</v>
      </c>
      <c r="K109" s="245" t="e">
        <f t="shared" si="30"/>
        <v>#REF!</v>
      </c>
      <c r="L109" s="245">
        <f t="shared" si="31"/>
        <v>0</v>
      </c>
      <c r="M109" s="245"/>
      <c r="W109" s="245"/>
    </row>
    <row r="110" spans="2:23">
      <c r="B110" s="198" t="e">
        <f t="shared" si="32"/>
        <v>#REF!</v>
      </c>
      <c r="C110" s="462" t="e">
        <f>'Besoins en micas'!#REF!</f>
        <v>#REF!</v>
      </c>
      <c r="D110" s="198" t="e">
        <f>'Besoins en micas'!#REF!</f>
        <v>#REF!</v>
      </c>
      <c r="E110" s="462" t="e">
        <f>'Besoins en micas'!#REF!</f>
        <v>#REF!</v>
      </c>
      <c r="F110" s="245" t="e">
        <f>'Besoins en micas'!#REF!</f>
        <v>#REF!</v>
      </c>
      <c r="G110" s="245" t="e">
        <f>IF(C110="FP1",'Données SOMIDA'!$G$73,VLOOKUP(E110,'Données SOMIDA'!$C$71:$G$75,5,FALSE))</f>
        <v>#REF!</v>
      </c>
      <c r="H110" s="245" t="e">
        <f t="shared" si="28"/>
        <v>#REF!</v>
      </c>
      <c r="I110" s="245" t="e">
        <f>+VLOOKUP(E110,'Données SOMIDA'!$C$71:$E$75,3,FALSE)</f>
        <v>#REF!</v>
      </c>
      <c r="J110" s="245" t="e">
        <f t="shared" si="29"/>
        <v>#REF!</v>
      </c>
      <c r="K110" s="245" t="e">
        <f t="shared" si="30"/>
        <v>#REF!</v>
      </c>
      <c r="L110" s="245">
        <f t="shared" si="31"/>
        <v>0</v>
      </c>
      <c r="M110" s="245"/>
      <c r="W110" s="245"/>
    </row>
    <row r="111" spans="2:23">
      <c r="B111" s="198" t="e">
        <f t="shared" si="32"/>
        <v>#REF!</v>
      </c>
      <c r="C111" s="462" t="e">
        <f>'Besoins en micas'!#REF!</f>
        <v>#REF!</v>
      </c>
      <c r="D111" s="198" t="e">
        <f>'Besoins en micas'!#REF!</f>
        <v>#REF!</v>
      </c>
      <c r="E111" s="462" t="e">
        <f>'Besoins en micas'!#REF!</f>
        <v>#REF!</v>
      </c>
      <c r="F111" s="245" t="e">
        <f>'Besoins en micas'!#REF!</f>
        <v>#REF!</v>
      </c>
      <c r="G111" s="245" t="e">
        <f>IF(C111="FP1",'Données SOMIDA'!$G$73,VLOOKUP(E111,'Données SOMIDA'!$C$71:$G$75,5,FALSE))</f>
        <v>#REF!</v>
      </c>
      <c r="H111" s="245" t="e">
        <f t="shared" si="28"/>
        <v>#REF!</v>
      </c>
      <c r="I111" s="245" t="e">
        <f>+VLOOKUP(E111,'Données SOMIDA'!$C$71:$E$75,3,FALSE)</f>
        <v>#REF!</v>
      </c>
      <c r="J111" s="245" t="e">
        <f t="shared" si="29"/>
        <v>#REF!</v>
      </c>
      <c r="K111" s="245" t="e">
        <f t="shared" si="30"/>
        <v>#REF!</v>
      </c>
      <c r="L111" s="245">
        <f t="shared" si="31"/>
        <v>0</v>
      </c>
      <c r="M111" s="245"/>
      <c r="W111" s="245"/>
    </row>
    <row r="112" spans="2:23" ht="17.25" thickBot="1">
      <c r="B112" s="928"/>
      <c r="C112" s="928"/>
      <c r="D112" s="928"/>
      <c r="E112" s="928"/>
      <c r="F112" s="928" t="e">
        <f>SUM(F4:F111)</f>
        <v>#REF!</v>
      </c>
      <c r="G112" s="928"/>
      <c r="H112" s="928" t="e">
        <f>SUM(H4:H111)</f>
        <v>#REF!</v>
      </c>
      <c r="I112" s="928"/>
      <c r="J112" s="928" t="e">
        <f>SUM(J4:J111)</f>
        <v>#REF!</v>
      </c>
      <c r="K112" s="928" t="e">
        <f>SUM(K4:K111)</f>
        <v>#REF!</v>
      </c>
      <c r="L112" s="928">
        <f>IFERROR(+K112/F112,0)</f>
        <v>0</v>
      </c>
      <c r="M112" s="245"/>
      <c r="W112" s="245"/>
    </row>
    <row r="113" spans="2:12">
      <c r="B113" s="198"/>
      <c r="F113" s="245" t="e">
        <f ca="1">+F112-Q40</f>
        <v>#REF!</v>
      </c>
      <c r="H113" s="245" t="e">
        <f ca="1">+H112-S40</f>
        <v>#REF!</v>
      </c>
    </row>
    <row r="114" spans="2:12">
      <c r="B114" s="198"/>
    </row>
    <row r="115" spans="2:12">
      <c r="B115" s="198"/>
      <c r="F115" s="198">
        <v>9276250</v>
      </c>
      <c r="H115" s="198">
        <v>2349693750</v>
      </c>
      <c r="J115" s="198">
        <v>1657409375</v>
      </c>
      <c r="K115" s="198">
        <v>4007103125</v>
      </c>
      <c r="L115" s="198">
        <v>431.97446435790323</v>
      </c>
    </row>
    <row r="116" spans="2:12">
      <c r="B116" s="198"/>
      <c r="F116" s="930" t="e">
        <f>+F112-F115</f>
        <v>#REF!</v>
      </c>
      <c r="G116" s="931"/>
      <c r="H116" s="930" t="e">
        <f>+H112-H115</f>
        <v>#REF!</v>
      </c>
      <c r="I116" s="931"/>
      <c r="J116" s="930" t="e">
        <f t="shared" ref="J116:L116" si="33">+J112-J115</f>
        <v>#REF!</v>
      </c>
      <c r="K116" s="930" t="e">
        <f t="shared" si="33"/>
        <v>#REF!</v>
      </c>
      <c r="L116" s="930">
        <f t="shared" si="33"/>
        <v>-431.97446435790323</v>
      </c>
    </row>
    <row r="117" spans="2:12">
      <c r="B117" s="198"/>
    </row>
    <row r="118" spans="2:12">
      <c r="B118" s="198"/>
    </row>
    <row r="119" spans="2:12">
      <c r="B119" s="198"/>
    </row>
    <row r="120" spans="2:12">
      <c r="B120" s="198"/>
    </row>
    <row r="121" spans="2:12">
      <c r="B121" s="198"/>
    </row>
    <row r="122" spans="2:12">
      <c r="B122" s="198"/>
    </row>
    <row r="123" spans="2:12">
      <c r="B123" s="198"/>
    </row>
    <row r="124" spans="2:12">
      <c r="B124" s="198"/>
    </row>
    <row r="125" spans="2:12">
      <c r="B125" s="198"/>
    </row>
    <row r="126" spans="2:12">
      <c r="B126" s="198"/>
    </row>
    <row r="127" spans="2:12">
      <c r="B127" s="198"/>
    </row>
    <row r="128" spans="2:12">
      <c r="B128" s="198"/>
    </row>
    <row r="129" spans="2:2">
      <c r="B129" s="198"/>
    </row>
    <row r="130" spans="2:2">
      <c r="B130" s="198"/>
    </row>
    <row r="131" spans="2:2">
      <c r="B131" s="198"/>
    </row>
    <row r="132" spans="2:2">
      <c r="B132" s="198"/>
    </row>
    <row r="133" spans="2:2">
      <c r="B133" s="198"/>
    </row>
    <row r="134" spans="2:2">
      <c r="B134" s="198"/>
    </row>
    <row r="135" spans="2:2">
      <c r="B135" s="198"/>
    </row>
    <row r="136" spans="2:2">
      <c r="B136" s="198"/>
    </row>
    <row r="137" spans="2:2">
      <c r="B137" s="198"/>
    </row>
    <row r="138" spans="2:2">
      <c r="B138" s="198"/>
    </row>
    <row r="139" spans="2:2">
      <c r="B139" s="198"/>
    </row>
    <row r="140" spans="2:2">
      <c r="B140" s="198"/>
    </row>
    <row r="141" spans="2:2">
      <c r="B141" s="198"/>
    </row>
    <row r="142" spans="2:2">
      <c r="B142" s="198"/>
    </row>
    <row r="143" spans="2:2">
      <c r="B143" s="198"/>
    </row>
    <row r="144" spans="2:2">
      <c r="B144" s="198"/>
    </row>
    <row r="145" spans="2:2">
      <c r="B145" s="198"/>
    </row>
    <row r="146" spans="2:2">
      <c r="B146" s="198"/>
    </row>
    <row r="147" spans="2:2">
      <c r="B147" s="198"/>
    </row>
    <row r="148" spans="2:2">
      <c r="B148" s="198"/>
    </row>
    <row r="149" spans="2:2">
      <c r="B149" s="198"/>
    </row>
    <row r="150" spans="2:2">
      <c r="B150" s="198"/>
    </row>
    <row r="151" spans="2:2">
      <c r="B151" s="198"/>
    </row>
    <row r="152" spans="2:2">
      <c r="B152" s="198"/>
    </row>
    <row r="153" spans="2:2">
      <c r="B153" s="198"/>
    </row>
    <row r="154" spans="2:2">
      <c r="B154" s="198"/>
    </row>
    <row r="155" spans="2:2">
      <c r="B155" s="198"/>
    </row>
    <row r="156" spans="2:2">
      <c r="B156" s="198"/>
    </row>
    <row r="157" spans="2:2">
      <c r="B157" s="198"/>
    </row>
    <row r="158" spans="2:2">
      <c r="B158" s="198"/>
    </row>
    <row r="159" spans="2:2">
      <c r="B159" s="198"/>
    </row>
    <row r="160" spans="2:2">
      <c r="B160" s="198"/>
    </row>
    <row r="161" spans="2:2">
      <c r="B161" s="198"/>
    </row>
    <row r="162" spans="2:2">
      <c r="B162" s="198"/>
    </row>
    <row r="163" spans="2:2">
      <c r="B163" s="198"/>
    </row>
    <row r="164" spans="2:2">
      <c r="B164" s="198"/>
    </row>
    <row r="165" spans="2:2">
      <c r="B165" s="198"/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93349-058F-4CE4-9B9C-B7E1991A9919}">
  <sheetPr codeName="Feuil19"/>
  <dimension ref="A2:BP137"/>
  <sheetViews>
    <sheetView showGridLines="0" topLeftCell="A109" zoomScale="76" zoomScaleNormal="98" workbookViewId="0">
      <selection activeCell="F133" sqref="F133"/>
    </sheetView>
  </sheetViews>
  <sheetFormatPr baseColWidth="10" defaultRowHeight="15.75"/>
  <cols>
    <col min="1" max="26" width="5.140625" style="487" customWidth="1"/>
    <col min="27" max="27" width="11.5703125" style="487" customWidth="1"/>
    <col min="28" max="35" width="5.140625" style="487" customWidth="1"/>
    <col min="36" max="36" width="5.85546875" style="487" customWidth="1"/>
    <col min="37" max="52" width="5.140625" style="487" customWidth="1"/>
    <col min="53" max="53" width="3.85546875" style="487" customWidth="1"/>
    <col min="54" max="54" width="6.28515625" style="487" customWidth="1"/>
    <col min="55" max="55" width="3.85546875" style="487" customWidth="1"/>
    <col min="56" max="56" width="6.5703125" style="487" customWidth="1"/>
    <col min="57" max="61" width="3.85546875" style="487" customWidth="1"/>
    <col min="62" max="62" width="5.140625" style="487" customWidth="1"/>
    <col min="63" max="67" width="4" style="487" customWidth="1"/>
    <col min="68" max="68" width="14.42578125" style="487" bestFit="1" customWidth="1"/>
    <col min="69" max="16384" width="11.42578125" style="487"/>
  </cols>
  <sheetData>
    <row r="2" spans="2:68">
      <c r="B2" s="486" t="s">
        <v>987</v>
      </c>
      <c r="AC2" s="486" t="s">
        <v>988</v>
      </c>
    </row>
    <row r="3" spans="2:68">
      <c r="AL3" s="1209" t="s">
        <v>989</v>
      </c>
      <c r="AM3" s="1210"/>
      <c r="AN3" s="1210"/>
      <c r="AO3" s="1210"/>
      <c r="AP3" s="1210"/>
      <c r="AQ3" s="1211"/>
    </row>
    <row r="4" spans="2:68">
      <c r="H4" s="1209" t="s">
        <v>990</v>
      </c>
      <c r="I4" s="1210"/>
      <c r="J4" s="1210"/>
      <c r="K4" s="1210"/>
      <c r="L4" s="1210"/>
      <c r="M4" s="1211"/>
      <c r="AL4" s="1212"/>
      <c r="AM4" s="1213"/>
      <c r="AN4" s="1213"/>
      <c r="AO4" s="1213"/>
      <c r="AP4" s="1213"/>
      <c r="AQ4" s="1214"/>
    </row>
    <row r="5" spans="2:68">
      <c r="H5" s="1212"/>
      <c r="I5" s="1213"/>
      <c r="J5" s="1213"/>
      <c r="K5" s="1213"/>
      <c r="L5" s="1213"/>
      <c r="M5" s="1214"/>
      <c r="AE5" s="488"/>
      <c r="AF5" s="488"/>
      <c r="AG5" s="488"/>
      <c r="AH5" s="488"/>
      <c r="AI5" s="488"/>
      <c r="AJ5" s="488"/>
      <c r="AK5" s="488"/>
      <c r="AL5" s="488"/>
      <c r="AM5" s="488"/>
      <c r="AN5" s="488"/>
      <c r="AO5" s="489"/>
      <c r="AP5" s="488"/>
      <c r="AQ5" s="488"/>
      <c r="AR5" s="488"/>
      <c r="AS5" s="488"/>
      <c r="AT5" s="488"/>
      <c r="AU5" s="488"/>
      <c r="AV5" s="488"/>
      <c r="AW5" s="488"/>
      <c r="AX5" s="488"/>
    </row>
    <row r="6" spans="2:68">
      <c r="K6" s="490"/>
      <c r="AE6" s="489"/>
      <c r="AJ6" s="489"/>
      <c r="AO6" s="489"/>
      <c r="AT6" s="489"/>
      <c r="AY6" s="489"/>
    </row>
    <row r="7" spans="2:68" ht="15.75" customHeight="1">
      <c r="I7" s="1194" t="s">
        <v>991</v>
      </c>
      <c r="J7" s="1195"/>
      <c r="K7" s="1195"/>
      <c r="L7" s="1196"/>
      <c r="AC7" s="1230" t="s">
        <v>992</v>
      </c>
      <c r="AD7" s="1231"/>
      <c r="AE7" s="1231"/>
      <c r="AF7" s="1232"/>
      <c r="AH7" s="1230" t="s">
        <v>993</v>
      </c>
      <c r="AI7" s="1231"/>
      <c r="AJ7" s="1231"/>
      <c r="AK7" s="1232"/>
      <c r="AM7" s="1230" t="s">
        <v>994</v>
      </c>
      <c r="AN7" s="1231"/>
      <c r="AO7" s="1231"/>
      <c r="AP7" s="1232"/>
      <c r="AR7" s="1230" t="s">
        <v>995</v>
      </c>
      <c r="AS7" s="1231"/>
      <c r="AT7" s="1231"/>
      <c r="AU7" s="1232"/>
      <c r="AW7" s="1230" t="s">
        <v>996</v>
      </c>
      <c r="AX7" s="1231"/>
      <c r="AY7" s="1231"/>
      <c r="AZ7" s="1232"/>
    </row>
    <row r="8" spans="2:68">
      <c r="I8" s="1197"/>
      <c r="J8" s="1198"/>
      <c r="K8" s="1198"/>
      <c r="L8" s="1199"/>
      <c r="AC8" s="1233"/>
      <c r="AD8" s="1234"/>
      <c r="AE8" s="1234"/>
      <c r="AF8" s="1235"/>
      <c r="AH8" s="1233"/>
      <c r="AI8" s="1234"/>
      <c r="AJ8" s="1234"/>
      <c r="AK8" s="1235"/>
      <c r="AM8" s="1233"/>
      <c r="AN8" s="1234"/>
      <c r="AO8" s="1234"/>
      <c r="AP8" s="1235"/>
      <c r="AR8" s="1233"/>
      <c r="AS8" s="1234"/>
      <c r="AT8" s="1234"/>
      <c r="AU8" s="1235"/>
      <c r="AW8" s="1233"/>
      <c r="AX8" s="1234"/>
      <c r="AY8" s="1234"/>
      <c r="AZ8" s="1235"/>
    </row>
    <row r="9" spans="2:68">
      <c r="F9" s="488"/>
      <c r="G9" s="488"/>
      <c r="H9" s="488"/>
      <c r="I9" s="491"/>
      <c r="J9" s="491"/>
      <c r="K9" s="492"/>
      <c r="L9" s="491"/>
      <c r="M9" s="488"/>
      <c r="N9" s="488"/>
      <c r="O9" s="488"/>
    </row>
    <row r="10" spans="2:68">
      <c r="F10" s="493"/>
      <c r="P10" s="490"/>
    </row>
    <row r="11" spans="2:68">
      <c r="D11" s="1188" t="s">
        <v>997</v>
      </c>
      <c r="E11" s="1189"/>
      <c r="F11" s="1189"/>
      <c r="G11" s="1190"/>
      <c r="N11" s="1194" t="s">
        <v>998</v>
      </c>
      <c r="O11" s="1195"/>
      <c r="P11" s="1195"/>
      <c r="Q11" s="1196"/>
    </row>
    <row r="12" spans="2:68" ht="16.5" thickBot="1">
      <c r="D12" s="1191"/>
      <c r="E12" s="1192"/>
      <c r="F12" s="1192"/>
      <c r="G12" s="1193"/>
      <c r="N12" s="1197"/>
      <c r="O12" s="1198"/>
      <c r="P12" s="1198"/>
      <c r="Q12" s="1199"/>
      <c r="AC12" s="494" t="s">
        <v>999</v>
      </c>
    </row>
    <row r="13" spans="2:68" ht="16.5" thickBot="1">
      <c r="AC13" s="1187" t="s">
        <v>1000</v>
      </c>
      <c r="AD13" s="1187"/>
      <c r="AE13" s="1187"/>
      <c r="AF13" s="1187"/>
      <c r="AG13" s="1164" t="s">
        <v>1001</v>
      </c>
      <c r="AH13" s="1164"/>
      <c r="AI13" s="1164"/>
      <c r="AJ13" s="1164"/>
      <c r="AK13" s="1164"/>
      <c r="AL13" s="495" t="s">
        <v>1002</v>
      </c>
      <c r="AM13" s="1164" t="s">
        <v>1003</v>
      </c>
      <c r="AN13" s="1164"/>
      <c r="AO13" s="1164"/>
      <c r="AP13" s="1164"/>
      <c r="AQ13" s="1164"/>
      <c r="AR13" s="1164" t="s">
        <v>1004</v>
      </c>
      <c r="AS13" s="1164"/>
      <c r="AT13" s="1164"/>
      <c r="AU13" s="1164"/>
      <c r="AV13" s="1164"/>
      <c r="AW13" s="1164"/>
      <c r="AX13" s="1164"/>
      <c r="AY13" s="1164"/>
      <c r="AZ13" s="1164"/>
      <c r="BA13" s="1164"/>
      <c r="BB13" s="1164" t="s">
        <v>737</v>
      </c>
      <c r="BC13" s="1164"/>
      <c r="BD13" s="1164"/>
      <c r="BE13" s="1241" t="s">
        <v>362</v>
      </c>
      <c r="BF13" s="1164"/>
      <c r="BG13" s="1164"/>
      <c r="BH13" s="1164"/>
      <c r="BI13" s="1164"/>
    </row>
    <row r="14" spans="2:68">
      <c r="B14" s="1187" t="s">
        <v>1000</v>
      </c>
      <c r="C14" s="1187"/>
      <c r="D14" s="1187"/>
      <c r="E14" s="1187"/>
      <c r="F14" s="1164" t="s">
        <v>1001</v>
      </c>
      <c r="G14" s="1164"/>
      <c r="H14" s="1164"/>
      <c r="I14" s="1164"/>
      <c r="J14" s="1164"/>
      <c r="K14" s="496"/>
      <c r="L14" s="496"/>
      <c r="M14" s="495" t="s">
        <v>1002</v>
      </c>
      <c r="N14" s="1164" t="s">
        <v>1003</v>
      </c>
      <c r="O14" s="1164"/>
      <c r="P14" s="1164"/>
      <c r="Q14" s="1164"/>
      <c r="R14" s="1164"/>
      <c r="S14" s="1164" t="s">
        <v>737</v>
      </c>
      <c r="T14" s="1164"/>
      <c r="U14" s="1164"/>
      <c r="V14" s="1241" t="s">
        <v>362</v>
      </c>
      <c r="W14" s="1164"/>
      <c r="X14" s="1164"/>
      <c r="Y14" s="1164"/>
      <c r="Z14" s="1164"/>
      <c r="AB14" s="487" t="s">
        <v>1274</v>
      </c>
      <c r="AC14" s="1220" t="s">
        <v>1005</v>
      </c>
      <c r="AD14" s="1220"/>
      <c r="AE14" s="1220"/>
      <c r="AF14" s="1220"/>
      <c r="AG14" s="1183">
        <v>350000</v>
      </c>
      <c r="AH14" s="1183"/>
      <c r="AI14" s="1183"/>
      <c r="AJ14" s="1183"/>
      <c r="AK14" s="487" t="s">
        <v>1006</v>
      </c>
      <c r="AL14" s="487">
        <v>1</v>
      </c>
      <c r="AM14" s="1174">
        <f>+AG14*AL14</f>
        <v>350000</v>
      </c>
      <c r="AN14" s="1168"/>
      <c r="AO14" s="1168"/>
      <c r="AP14" s="1168"/>
      <c r="AQ14" s="1168"/>
      <c r="AR14" s="1168" t="s">
        <v>737</v>
      </c>
      <c r="AS14" s="1168"/>
      <c r="AT14" s="510" t="s">
        <v>1007</v>
      </c>
      <c r="AU14" s="487" t="str">
        <f>+IF(AB14="FO","Prime de rendement","Base 1 mois salaire")</f>
        <v>Prime de rendement</v>
      </c>
      <c r="BB14" s="1216">
        <f>+AM14*13%</f>
        <v>45500</v>
      </c>
      <c r="BC14" s="1216"/>
      <c r="BD14" s="1216"/>
      <c r="BE14" s="1174">
        <f>+AM14+BB14</f>
        <v>395500</v>
      </c>
      <c r="BF14" s="1168"/>
      <c r="BG14" s="1168"/>
      <c r="BH14" s="1168"/>
      <c r="BI14" s="1168"/>
      <c r="BL14" s="1242"/>
      <c r="BM14" s="1242"/>
      <c r="BN14" s="1242"/>
      <c r="BO14" s="1242"/>
      <c r="BP14" s="770"/>
    </row>
    <row r="15" spans="2:68">
      <c r="B15" s="1182" t="s">
        <v>990</v>
      </c>
      <c r="C15" s="1182"/>
      <c r="D15" s="1182"/>
      <c r="E15" s="1182"/>
      <c r="F15" s="1183">
        <v>300000</v>
      </c>
      <c r="G15" s="1183"/>
      <c r="H15" s="1183"/>
      <c r="I15" s="1183"/>
      <c r="J15" s="487" t="s">
        <v>1006</v>
      </c>
      <c r="K15" s="1168" t="s">
        <v>737</v>
      </c>
      <c r="L15" s="1168"/>
      <c r="M15" s="487">
        <v>1</v>
      </c>
      <c r="N15" s="1174">
        <v>300000</v>
      </c>
      <c r="O15" s="1168"/>
      <c r="P15" s="1168"/>
      <c r="Q15" s="1168"/>
      <c r="R15" s="1168"/>
      <c r="S15" s="1216">
        <f>+N15*13%</f>
        <v>39000</v>
      </c>
      <c r="T15" s="1216"/>
      <c r="U15" s="1216"/>
      <c r="V15" s="1174">
        <f>+N15+S15</f>
        <v>339000</v>
      </c>
      <c r="W15" s="1168"/>
      <c r="X15" s="1168"/>
      <c r="Y15" s="1168"/>
      <c r="Z15" s="1168"/>
      <c r="AB15" s="487" t="s">
        <v>1274</v>
      </c>
      <c r="AC15" s="1220" t="s">
        <v>1009</v>
      </c>
      <c r="AD15" s="1220"/>
      <c r="AE15" s="1220"/>
      <c r="AF15" s="1220"/>
      <c r="AG15" s="1183">
        <v>250000</v>
      </c>
      <c r="AH15" s="1183"/>
      <c r="AI15" s="1183"/>
      <c r="AJ15" s="1183"/>
      <c r="AK15" s="487" t="s">
        <v>1006</v>
      </c>
      <c r="AL15" s="487">
        <v>6</v>
      </c>
      <c r="AM15" s="1174">
        <f t="shared" ref="AM15:AM20" si="0">+AG15*AL15</f>
        <v>1500000</v>
      </c>
      <c r="AN15" s="1168"/>
      <c r="AO15" s="1168"/>
      <c r="AP15" s="1168"/>
      <c r="AQ15" s="1168"/>
      <c r="AR15" s="1168" t="s">
        <v>737</v>
      </c>
      <c r="AS15" s="1168"/>
      <c r="AT15" s="510" t="s">
        <v>1007</v>
      </c>
      <c r="AU15" s="487" t="str">
        <f t="shared" ref="AU15:AU20" si="1">+IF(AB15="FO","Prime de rendement","Base 1 mois salaire")</f>
        <v>Prime de rendement</v>
      </c>
      <c r="BB15" s="1216">
        <f t="shared" ref="BB15:BB20" si="2">+AM15*13%</f>
        <v>195000</v>
      </c>
      <c r="BC15" s="1216"/>
      <c r="BD15" s="1216"/>
      <c r="BE15" s="1174">
        <f t="shared" ref="BE15:BE20" si="3">+AM15+BB15</f>
        <v>1695000</v>
      </c>
      <c r="BF15" s="1168"/>
      <c r="BG15" s="1168"/>
      <c r="BH15" s="1168"/>
      <c r="BI15" s="1168"/>
      <c r="BL15" s="1242"/>
      <c r="BM15" s="1242"/>
      <c r="BN15" s="1242"/>
      <c r="BO15" s="1242"/>
      <c r="BP15" s="770"/>
    </row>
    <row r="16" spans="2:68">
      <c r="B16" s="1182" t="s">
        <v>1010</v>
      </c>
      <c r="C16" s="1182"/>
      <c r="D16" s="1182"/>
      <c r="E16" s="1182"/>
      <c r="F16" s="1183">
        <v>275000</v>
      </c>
      <c r="G16" s="1183"/>
      <c r="H16" s="1183"/>
      <c r="I16" s="1183"/>
      <c r="J16" s="487" t="s">
        <v>1006</v>
      </c>
      <c r="K16" s="1168" t="s">
        <v>737</v>
      </c>
      <c r="L16" s="1168"/>
      <c r="M16" s="487">
        <v>1</v>
      </c>
      <c r="N16" s="1174">
        <v>275000</v>
      </c>
      <c r="O16" s="1168"/>
      <c r="P16" s="1168"/>
      <c r="Q16" s="1168"/>
      <c r="R16" s="1168"/>
      <c r="S16" s="1216">
        <f t="shared" ref="S16:S18" si="4">+N16*13%</f>
        <v>35750</v>
      </c>
      <c r="T16" s="1216"/>
      <c r="U16" s="1216"/>
      <c r="V16" s="1174">
        <f t="shared" ref="V16:V18" si="5">+N16+S16</f>
        <v>310750</v>
      </c>
      <c r="W16" s="1168"/>
      <c r="X16" s="1168"/>
      <c r="Y16" s="1168"/>
      <c r="Z16" s="1168"/>
      <c r="AB16" s="487" t="s">
        <v>1274</v>
      </c>
      <c r="AC16" s="1220" t="s">
        <v>1011</v>
      </c>
      <c r="AD16" s="1220"/>
      <c r="AE16" s="1220"/>
      <c r="AF16" s="1220"/>
      <c r="AG16" s="1183">
        <v>150000</v>
      </c>
      <c r="AH16" s="1183"/>
      <c r="AI16" s="1183"/>
      <c r="AJ16" s="1183"/>
      <c r="AK16" s="487" t="s">
        <v>1006</v>
      </c>
      <c r="AL16" s="487">
        <v>6</v>
      </c>
      <c r="AM16" s="1174">
        <f t="shared" si="0"/>
        <v>900000</v>
      </c>
      <c r="AN16" s="1168"/>
      <c r="AO16" s="1168"/>
      <c r="AP16" s="1168"/>
      <c r="AQ16" s="1168"/>
      <c r="AR16" s="1168" t="s">
        <v>737</v>
      </c>
      <c r="AS16" s="1168"/>
      <c r="AT16" s="510" t="s">
        <v>1007</v>
      </c>
      <c r="AU16" s="487" t="str">
        <f t="shared" si="1"/>
        <v>Prime de rendement</v>
      </c>
      <c r="BB16" s="1216">
        <f t="shared" si="2"/>
        <v>117000</v>
      </c>
      <c r="BC16" s="1216"/>
      <c r="BD16" s="1216"/>
      <c r="BE16" s="1174">
        <f t="shared" si="3"/>
        <v>1017000</v>
      </c>
      <c r="BF16" s="1168"/>
      <c r="BG16" s="1168"/>
      <c r="BH16" s="1168"/>
      <c r="BI16" s="1168"/>
      <c r="BL16" s="1242"/>
      <c r="BM16" s="1242"/>
      <c r="BN16" s="1242"/>
      <c r="BO16" s="1242"/>
      <c r="BP16" s="770"/>
    </row>
    <row r="17" spans="2:68">
      <c r="B17" s="1182" t="s">
        <v>1013</v>
      </c>
      <c r="C17" s="1182"/>
      <c r="D17" s="1182"/>
      <c r="E17" s="1182"/>
      <c r="F17" s="1183">
        <v>250000</v>
      </c>
      <c r="G17" s="1183"/>
      <c r="H17" s="1183"/>
      <c r="I17" s="1183"/>
      <c r="J17" s="487" t="s">
        <v>1006</v>
      </c>
      <c r="K17" s="1168" t="s">
        <v>737</v>
      </c>
      <c r="L17" s="1168"/>
      <c r="M17" s="487">
        <v>2</v>
      </c>
      <c r="N17" s="1174">
        <v>500000</v>
      </c>
      <c r="O17" s="1168"/>
      <c r="P17" s="1168"/>
      <c r="Q17" s="1168"/>
      <c r="R17" s="1168"/>
      <c r="S17" s="1216">
        <f t="shared" si="4"/>
        <v>65000</v>
      </c>
      <c r="T17" s="1216"/>
      <c r="U17" s="1216"/>
      <c r="V17" s="1174">
        <f t="shared" si="5"/>
        <v>565000</v>
      </c>
      <c r="W17" s="1168"/>
      <c r="X17" s="1168"/>
      <c r="Y17" s="1168"/>
      <c r="Z17" s="1168"/>
      <c r="AB17" s="487" t="s">
        <v>1274</v>
      </c>
      <c r="AC17" s="1220" t="s">
        <v>1014</v>
      </c>
      <c r="AD17" s="1220"/>
      <c r="AE17" s="1220"/>
      <c r="AF17" s="1220"/>
      <c r="AG17" s="1183">
        <v>300000</v>
      </c>
      <c r="AH17" s="1183"/>
      <c r="AI17" s="1183"/>
      <c r="AJ17" s="1183"/>
      <c r="AK17" s="487" t="s">
        <v>1006</v>
      </c>
      <c r="AL17" s="487">
        <v>3</v>
      </c>
      <c r="AM17" s="1174">
        <f t="shared" si="0"/>
        <v>900000</v>
      </c>
      <c r="AN17" s="1168"/>
      <c r="AO17" s="1168"/>
      <c r="AP17" s="1168"/>
      <c r="AQ17" s="1168"/>
      <c r="AR17" s="1168" t="s">
        <v>737</v>
      </c>
      <c r="AS17" s="1168"/>
      <c r="AT17" s="510" t="s">
        <v>1007</v>
      </c>
      <c r="AU17" s="487" t="str">
        <f t="shared" si="1"/>
        <v>Prime de rendement</v>
      </c>
      <c r="BB17" s="1216">
        <f t="shared" si="2"/>
        <v>117000</v>
      </c>
      <c r="BC17" s="1216"/>
      <c r="BD17" s="1216"/>
      <c r="BE17" s="1174">
        <f t="shared" si="3"/>
        <v>1017000</v>
      </c>
      <c r="BF17" s="1168"/>
      <c r="BG17" s="1168"/>
      <c r="BH17" s="1168"/>
      <c r="BI17" s="1168"/>
      <c r="BL17" s="1242"/>
      <c r="BM17" s="1242"/>
      <c r="BN17" s="1242"/>
      <c r="BO17" s="1242"/>
      <c r="BP17" s="770"/>
    </row>
    <row r="18" spans="2:68">
      <c r="B18" s="1182" t="s">
        <v>1016</v>
      </c>
      <c r="C18" s="1182"/>
      <c r="D18" s="1182"/>
      <c r="E18" s="1182"/>
      <c r="F18" s="1225">
        <v>250000</v>
      </c>
      <c r="G18" s="1225"/>
      <c r="H18" s="1225"/>
      <c r="I18" s="1225"/>
      <c r="J18" s="487" t="s">
        <v>1006</v>
      </c>
      <c r="K18" s="1168" t="s">
        <v>1017</v>
      </c>
      <c r="L18" s="1168" t="s">
        <v>1018</v>
      </c>
      <c r="M18" s="488">
        <v>1</v>
      </c>
      <c r="N18" s="1236">
        <v>250000</v>
      </c>
      <c r="O18" s="1171"/>
      <c r="P18" s="1171"/>
      <c r="Q18" s="1171"/>
      <c r="R18" s="1171"/>
      <c r="S18" s="1226">
        <f t="shared" si="4"/>
        <v>32500</v>
      </c>
      <c r="T18" s="1226"/>
      <c r="U18" s="1226"/>
      <c r="V18" s="1236">
        <f t="shared" si="5"/>
        <v>282500</v>
      </c>
      <c r="W18" s="1171"/>
      <c r="X18" s="1171"/>
      <c r="Y18" s="1171"/>
      <c r="Z18" s="1171"/>
      <c r="AB18" s="487" t="s">
        <v>1275</v>
      </c>
      <c r="AC18" s="1220" t="s">
        <v>1019</v>
      </c>
      <c r="AD18" s="1220"/>
      <c r="AE18" s="1220"/>
      <c r="AF18" s="1220"/>
      <c r="AG18" s="1183">
        <v>275000</v>
      </c>
      <c r="AH18" s="1183"/>
      <c r="AI18" s="1183"/>
      <c r="AJ18" s="1183"/>
      <c r="AK18" s="487" t="s">
        <v>1006</v>
      </c>
      <c r="AL18" s="487">
        <v>2</v>
      </c>
      <c r="AM18" s="1174">
        <f t="shared" si="0"/>
        <v>550000</v>
      </c>
      <c r="AN18" s="1168"/>
      <c r="AO18" s="1168"/>
      <c r="AP18" s="1168"/>
      <c r="AQ18" s="1168"/>
      <c r="AR18" s="1168" t="s">
        <v>737</v>
      </c>
      <c r="AS18" s="1168"/>
      <c r="AT18" s="510" t="s">
        <v>1007</v>
      </c>
      <c r="AU18" s="487" t="str">
        <f t="shared" si="1"/>
        <v>Base 1 mois salaire</v>
      </c>
      <c r="BB18" s="1216">
        <f t="shared" si="2"/>
        <v>71500</v>
      </c>
      <c r="BC18" s="1216"/>
      <c r="BD18" s="1216"/>
      <c r="BE18" s="1174">
        <f t="shared" si="3"/>
        <v>621500</v>
      </c>
      <c r="BF18" s="1168"/>
      <c r="BG18" s="1168"/>
      <c r="BH18" s="1168"/>
      <c r="BI18" s="1168"/>
      <c r="BL18" s="1242"/>
      <c r="BM18" s="1242"/>
      <c r="BN18" s="1242"/>
      <c r="BO18" s="1242"/>
      <c r="BP18" s="770"/>
    </row>
    <row r="19" spans="2:68" ht="16.5" thickBot="1">
      <c r="B19" s="498" t="s">
        <v>362</v>
      </c>
      <c r="C19" s="498"/>
      <c r="D19" s="498"/>
      <c r="E19" s="498"/>
      <c r="F19" s="1237">
        <v>1075000</v>
      </c>
      <c r="G19" s="1237"/>
      <c r="H19" s="1237"/>
      <c r="I19" s="1237"/>
      <c r="J19" s="498"/>
      <c r="K19" s="498"/>
      <c r="L19" s="498"/>
      <c r="M19" s="498">
        <v>5</v>
      </c>
      <c r="N19" s="1176">
        <f>SUM(N15:R18)</f>
        <v>1325000</v>
      </c>
      <c r="O19" s="1175"/>
      <c r="P19" s="1175"/>
      <c r="Q19" s="1175"/>
      <c r="R19" s="1175"/>
      <c r="S19" s="1218">
        <f>SUM(S15:U18)</f>
        <v>172250</v>
      </c>
      <c r="T19" s="1218"/>
      <c r="U19" s="1218"/>
      <c r="V19" s="1176">
        <f>SUM(V15:Z18)</f>
        <v>1497250</v>
      </c>
      <c r="W19" s="1175"/>
      <c r="X19" s="1175"/>
      <c r="Y19" s="1175"/>
      <c r="Z19" s="1175"/>
      <c r="AB19" s="487" t="s">
        <v>1275</v>
      </c>
      <c r="AC19" s="1220" t="s">
        <v>1020</v>
      </c>
      <c r="AD19" s="1220"/>
      <c r="AE19" s="1220"/>
      <c r="AF19" s="1220"/>
      <c r="AG19" s="1183">
        <v>275000</v>
      </c>
      <c r="AH19" s="1183"/>
      <c r="AI19" s="1183"/>
      <c r="AJ19" s="1183"/>
      <c r="AK19" s="487" t="s">
        <v>1006</v>
      </c>
      <c r="AL19" s="487">
        <v>3</v>
      </c>
      <c r="AM19" s="1174">
        <f t="shared" si="0"/>
        <v>825000</v>
      </c>
      <c r="AN19" s="1168"/>
      <c r="AO19" s="1168"/>
      <c r="AP19" s="1168"/>
      <c r="AQ19" s="1168"/>
      <c r="AR19" s="1168" t="s">
        <v>737</v>
      </c>
      <c r="AS19" s="1168"/>
      <c r="AT19" s="510" t="s">
        <v>1007</v>
      </c>
      <c r="AU19" s="487" t="str">
        <f t="shared" si="1"/>
        <v>Base 1 mois salaire</v>
      </c>
      <c r="BB19" s="1216">
        <f t="shared" si="2"/>
        <v>107250</v>
      </c>
      <c r="BC19" s="1216"/>
      <c r="BD19" s="1216"/>
      <c r="BE19" s="1174">
        <f t="shared" si="3"/>
        <v>932250</v>
      </c>
      <c r="BF19" s="1168"/>
      <c r="BG19" s="1168"/>
      <c r="BH19" s="1168"/>
      <c r="BI19" s="1168"/>
      <c r="BL19" s="1242"/>
      <c r="BM19" s="1242"/>
      <c r="BN19" s="1242"/>
      <c r="BO19" s="1242"/>
      <c r="BP19" s="770"/>
    </row>
    <row r="20" spans="2:68">
      <c r="AB20" s="487" t="s">
        <v>1275</v>
      </c>
      <c r="AC20" s="1220" t="s">
        <v>1021</v>
      </c>
      <c r="AD20" s="1220"/>
      <c r="AE20" s="1220"/>
      <c r="AF20" s="1220"/>
      <c r="AG20" s="1225">
        <v>275000</v>
      </c>
      <c r="AH20" s="1225"/>
      <c r="AI20" s="1225"/>
      <c r="AJ20" s="1225"/>
      <c r="AK20" s="487" t="s">
        <v>1006</v>
      </c>
      <c r="AL20" s="487">
        <v>1</v>
      </c>
      <c r="AM20" s="1174">
        <f t="shared" si="0"/>
        <v>275000</v>
      </c>
      <c r="AN20" s="1168"/>
      <c r="AO20" s="1168"/>
      <c r="AP20" s="1168"/>
      <c r="AQ20" s="1168"/>
      <c r="AR20" s="1171" t="s">
        <v>737</v>
      </c>
      <c r="AS20" s="1171"/>
      <c r="AT20" s="554" t="s">
        <v>1007</v>
      </c>
      <c r="AU20" s="488" t="str">
        <f t="shared" si="1"/>
        <v>Base 1 mois salaire</v>
      </c>
      <c r="AV20" s="488"/>
      <c r="AW20" s="488"/>
      <c r="AX20" s="488"/>
      <c r="AY20" s="488"/>
      <c r="AZ20" s="488"/>
      <c r="BA20" s="488"/>
      <c r="BB20" s="1226">
        <f t="shared" si="2"/>
        <v>35750</v>
      </c>
      <c r="BC20" s="1226"/>
      <c r="BD20" s="1226"/>
      <c r="BE20" s="1236">
        <f t="shared" si="3"/>
        <v>310750</v>
      </c>
      <c r="BF20" s="1171"/>
      <c r="BG20" s="1171"/>
      <c r="BH20" s="1171"/>
      <c r="BI20" s="1171"/>
      <c r="BL20" s="1242"/>
      <c r="BM20" s="1242"/>
      <c r="BN20" s="1242"/>
      <c r="BO20" s="1242"/>
      <c r="BP20" s="770"/>
    </row>
    <row r="21" spans="2:68" ht="16.5" thickBot="1">
      <c r="F21" s="1183"/>
      <c r="G21" s="1183"/>
      <c r="H21" s="1183"/>
      <c r="I21" s="1183"/>
      <c r="N21" s="1174"/>
      <c r="O21" s="1174"/>
      <c r="P21" s="1174"/>
      <c r="Q21" s="1174"/>
      <c r="R21" s="1174"/>
      <c r="S21" s="1216"/>
      <c r="T21" s="1216"/>
      <c r="U21" s="1216"/>
      <c r="V21" s="1236"/>
      <c r="W21" s="1171"/>
      <c r="X21" s="1171"/>
      <c r="Y21" s="1171"/>
      <c r="Z21" s="1171"/>
      <c r="AC21" s="498" t="s">
        <v>362</v>
      </c>
      <c r="AD21" s="498"/>
      <c r="AE21" s="498"/>
      <c r="AF21" s="498"/>
      <c r="AG21" s="1237">
        <f>SUM(AG14:AJ20)</f>
        <v>1875000</v>
      </c>
      <c r="AH21" s="1237"/>
      <c r="AI21" s="1237"/>
      <c r="AJ21" s="1237"/>
      <c r="AK21" s="498"/>
      <c r="AL21" s="498">
        <f>SUM(AL14:AL20)</f>
        <v>22</v>
      </c>
      <c r="AM21" s="1176">
        <f>SUM(AM14:AQ20)</f>
        <v>5300000</v>
      </c>
      <c r="AN21" s="1175"/>
      <c r="AO21" s="1175"/>
      <c r="AP21" s="1175"/>
      <c r="AQ21" s="1175"/>
      <c r="AR21" s="1166"/>
      <c r="AS21" s="1166"/>
      <c r="AT21" s="499"/>
      <c r="AU21" s="499"/>
      <c r="AV21" s="499"/>
      <c r="AW21" s="499"/>
      <c r="AX21" s="499"/>
      <c r="AY21" s="499"/>
      <c r="AZ21" s="499"/>
      <c r="BA21" s="499"/>
      <c r="BB21" s="1238">
        <f>SUM(BB14:BD20)</f>
        <v>689000</v>
      </c>
      <c r="BC21" s="1238"/>
      <c r="BD21" s="1238"/>
      <c r="BE21" s="1239">
        <f>SUM(BE14:BI20)</f>
        <v>5989000</v>
      </c>
      <c r="BF21" s="1240"/>
      <c r="BG21" s="1240"/>
      <c r="BH21" s="1240"/>
      <c r="BI21" s="1240"/>
      <c r="BL21" s="1242"/>
      <c r="BM21" s="1242"/>
      <c r="BN21" s="1242"/>
      <c r="BO21" s="1242"/>
    </row>
    <row r="22" spans="2:68" ht="4.5" customHeight="1">
      <c r="AC22" s="500"/>
      <c r="AD22" s="500"/>
      <c r="AE22" s="500"/>
      <c r="AF22" s="500"/>
      <c r="AG22" s="501"/>
      <c r="AH22" s="501"/>
      <c r="AI22" s="501"/>
      <c r="AJ22" s="501"/>
      <c r="AK22" s="500"/>
      <c r="AL22" s="500"/>
      <c r="AM22" s="502"/>
      <c r="AN22" s="503"/>
      <c r="AO22" s="503"/>
      <c r="AP22" s="503"/>
      <c r="AQ22" s="503"/>
      <c r="AR22" s="497"/>
      <c r="AS22" s="497"/>
      <c r="BB22" s="504"/>
      <c r="BC22" s="504"/>
      <c r="BD22" s="504"/>
      <c r="BE22" s="502"/>
      <c r="BF22" s="503"/>
      <c r="BG22" s="503"/>
      <c r="BH22" s="503"/>
      <c r="BI22" s="503"/>
    </row>
    <row r="23" spans="2:68">
      <c r="B23" s="486" t="s">
        <v>84</v>
      </c>
      <c r="AC23" s="487" t="s">
        <v>1022</v>
      </c>
      <c r="AG23" s="1183"/>
      <c r="AH23" s="1183"/>
      <c r="AI23" s="1183"/>
      <c r="AJ23" s="1183"/>
      <c r="AM23" s="1174"/>
      <c r="AN23" s="1168"/>
      <c r="AO23" s="1168"/>
      <c r="AP23" s="1168"/>
      <c r="AQ23" s="1168"/>
      <c r="BB23" s="1216"/>
      <c r="BC23" s="1216"/>
      <c r="BD23" s="1216"/>
      <c r="BE23" s="1174"/>
      <c r="BF23" s="1168"/>
      <c r="BG23" s="1168"/>
      <c r="BH23" s="1168"/>
      <c r="BI23" s="1168"/>
    </row>
    <row r="24" spans="2:68" ht="15.75" customHeight="1">
      <c r="G24" s="505"/>
      <c r="H24" s="505"/>
      <c r="I24" s="1230" t="s">
        <v>1023</v>
      </c>
      <c r="J24" s="1231"/>
      <c r="K24" s="1231"/>
      <c r="L24" s="1232"/>
      <c r="AI24" s="500" t="s">
        <v>1024</v>
      </c>
      <c r="AM24" s="1230" t="s">
        <v>1023</v>
      </c>
      <c r="AN24" s="1231"/>
      <c r="AO24" s="1231"/>
      <c r="AP24" s="1232"/>
    </row>
    <row r="25" spans="2:68">
      <c r="G25" s="505"/>
      <c r="H25" s="505"/>
      <c r="I25" s="1233"/>
      <c r="J25" s="1234"/>
      <c r="K25" s="1234"/>
      <c r="L25" s="1235"/>
      <c r="AM25" s="1233"/>
      <c r="AN25" s="1234"/>
      <c r="AO25" s="1234"/>
      <c r="AP25" s="1235"/>
    </row>
    <row r="26" spans="2:68">
      <c r="F26" s="488"/>
      <c r="G26" s="488"/>
      <c r="H26" s="488"/>
      <c r="I26" s="488"/>
      <c r="J26" s="506"/>
      <c r="K26" s="489"/>
      <c r="L26" s="488"/>
      <c r="M26" s="488"/>
      <c r="N26" s="488"/>
      <c r="O26" s="488"/>
      <c r="AO26" s="507"/>
    </row>
    <row r="27" spans="2:68">
      <c r="F27" s="489"/>
      <c r="K27" s="489"/>
      <c r="P27" s="489"/>
      <c r="AM27" s="1188" t="s">
        <v>1025</v>
      </c>
      <c r="AN27" s="1189"/>
      <c r="AO27" s="1189"/>
      <c r="AP27" s="1190"/>
    </row>
    <row r="28" spans="2:68">
      <c r="D28" s="1194" t="s">
        <v>1026</v>
      </c>
      <c r="E28" s="1195"/>
      <c r="F28" s="1195"/>
      <c r="G28" s="1196"/>
      <c r="I28" s="1194" t="s">
        <v>1027</v>
      </c>
      <c r="J28" s="1195"/>
      <c r="K28" s="1195"/>
      <c r="L28" s="1196"/>
      <c r="N28" s="1194" t="s">
        <v>1028</v>
      </c>
      <c r="O28" s="1195"/>
      <c r="P28" s="1195"/>
      <c r="Q28" s="1196"/>
      <c r="AM28" s="1191"/>
      <c r="AN28" s="1192"/>
      <c r="AO28" s="1192"/>
      <c r="AP28" s="1193"/>
    </row>
    <row r="29" spans="2:68" ht="16.5" thickBot="1">
      <c r="D29" s="1197"/>
      <c r="E29" s="1198"/>
      <c r="F29" s="1198"/>
      <c r="G29" s="1199"/>
      <c r="I29" s="1197"/>
      <c r="J29" s="1198"/>
      <c r="K29" s="1198"/>
      <c r="L29" s="1199"/>
      <c r="N29" s="1197"/>
      <c r="O29" s="1198"/>
      <c r="P29" s="1198"/>
      <c r="Q29" s="1199"/>
    </row>
    <row r="30" spans="2:68">
      <c r="AN30" s="1187" t="s">
        <v>1000</v>
      </c>
      <c r="AO30" s="1187"/>
      <c r="AP30" s="1187"/>
      <c r="AQ30" s="1187"/>
      <c r="AR30" s="1227" t="s">
        <v>1029</v>
      </c>
      <c r="AS30" s="1227"/>
      <c r="AT30" s="1227"/>
      <c r="AU30" s="1227"/>
      <c r="AV30" s="508" t="s">
        <v>1002</v>
      </c>
      <c r="AW30" s="1227" t="s">
        <v>1030</v>
      </c>
      <c r="AX30" s="1227"/>
      <c r="AY30" s="1227"/>
      <c r="AZ30" s="1227"/>
      <c r="BA30" s="1228" t="s">
        <v>677</v>
      </c>
      <c r="BB30" s="1228"/>
      <c r="BC30" s="1228"/>
      <c r="BD30" s="1228" t="s">
        <v>1031</v>
      </c>
      <c r="BE30" s="1228"/>
      <c r="BF30" s="1228"/>
      <c r="BG30" s="1229" t="s">
        <v>362</v>
      </c>
      <c r="BH30" s="1229"/>
      <c r="BI30" s="1229"/>
      <c r="BJ30" s="1229"/>
    </row>
    <row r="31" spans="2:68" ht="16.5" thickBot="1">
      <c r="B31" s="494" t="s">
        <v>999</v>
      </c>
      <c r="C31" s="494"/>
      <c r="T31" s="497"/>
      <c r="AN31" s="1220" t="str">
        <f>+AC14</f>
        <v>Resp Site</v>
      </c>
      <c r="AO31" s="1220"/>
      <c r="AP31" s="1220"/>
      <c r="AQ31" s="1220"/>
      <c r="AR31" s="1183">
        <v>400000</v>
      </c>
      <c r="AS31" s="1183"/>
      <c r="AT31" s="1183"/>
      <c r="AU31" s="1183"/>
      <c r="AV31" s="487">
        <v>1</v>
      </c>
      <c r="AW31" s="1183">
        <f>+AR31*AV31</f>
        <v>400000</v>
      </c>
      <c r="AX31" s="1183"/>
      <c r="AY31" s="1183"/>
      <c r="AZ31" s="1183"/>
      <c r="BA31" s="1216">
        <f>+AW31*0.13</f>
        <v>52000</v>
      </c>
      <c r="BB31" s="1216"/>
      <c r="BC31" s="1216"/>
      <c r="BD31" s="1216">
        <f>+AW31*0.5</f>
        <v>200000</v>
      </c>
      <c r="BE31" s="1216"/>
      <c r="BF31" s="1216"/>
      <c r="BG31" s="1221">
        <f>+AW31+BA31+BD31</f>
        <v>652000</v>
      </c>
      <c r="BH31" s="1221"/>
      <c r="BI31" s="1221"/>
      <c r="BJ31" s="1221"/>
    </row>
    <row r="32" spans="2:68">
      <c r="B32" s="1187" t="s">
        <v>1000</v>
      </c>
      <c r="C32" s="1187"/>
      <c r="D32" s="1187"/>
      <c r="E32" s="1187"/>
      <c r="F32" s="1164" t="s">
        <v>1001</v>
      </c>
      <c r="G32" s="1164"/>
      <c r="H32" s="1164"/>
      <c r="I32" s="1164"/>
      <c r="J32" s="1164"/>
      <c r="K32" s="496"/>
      <c r="L32" s="496"/>
      <c r="M32" s="508" t="s">
        <v>1002</v>
      </c>
      <c r="N32" s="1164" t="s">
        <v>1003</v>
      </c>
      <c r="O32" s="1164"/>
      <c r="P32" s="1164"/>
      <c r="Q32" s="1164"/>
      <c r="R32" s="1164"/>
      <c r="S32" s="1164"/>
      <c r="T32" s="1164" t="s">
        <v>875</v>
      </c>
      <c r="U32" s="1164"/>
      <c r="V32" s="1164" t="s">
        <v>1004</v>
      </c>
      <c r="W32" s="1164"/>
      <c r="X32" s="1164"/>
      <c r="Y32" s="1164"/>
      <c r="Z32" s="1164"/>
      <c r="AA32" s="1164"/>
      <c r="AB32" s="1164" t="s">
        <v>1032</v>
      </c>
      <c r="AC32" s="1164"/>
      <c r="AD32" s="1164"/>
      <c r="AE32" s="1164" t="s">
        <v>737</v>
      </c>
      <c r="AF32" s="1164"/>
      <c r="AG32" s="1164"/>
      <c r="AH32" s="508" t="s">
        <v>1033</v>
      </c>
      <c r="AI32" s="508"/>
      <c r="AJ32" s="508"/>
      <c r="AN32" s="1224" t="s">
        <v>1160</v>
      </c>
      <c r="AO32" s="1224"/>
      <c r="AP32" s="1224"/>
      <c r="AQ32" s="1224"/>
      <c r="AR32" s="1225">
        <v>250000</v>
      </c>
      <c r="AS32" s="1225"/>
      <c r="AT32" s="1225"/>
      <c r="AU32" s="1225"/>
      <c r="AV32" s="488">
        <v>2</v>
      </c>
      <c r="AW32" s="1225">
        <f>+AR32*AV32</f>
        <v>500000</v>
      </c>
      <c r="AX32" s="1225"/>
      <c r="AY32" s="1225"/>
      <c r="AZ32" s="1225"/>
      <c r="BA32" s="1226">
        <f>+AW32*0.13</f>
        <v>65000</v>
      </c>
      <c r="BB32" s="1226"/>
      <c r="BC32" s="1226"/>
      <c r="BD32" s="1226">
        <f>+AW32*0.5</f>
        <v>250000</v>
      </c>
      <c r="BE32" s="1226"/>
      <c r="BF32" s="1226"/>
      <c r="BG32" s="1222">
        <f>+AW32+BA32+BD32</f>
        <v>815000</v>
      </c>
      <c r="BH32" s="1222"/>
      <c r="BI32" s="1222"/>
      <c r="BJ32" s="1222"/>
    </row>
    <row r="33" spans="1:62" ht="16.5" thickBot="1">
      <c r="A33" s="487" t="s">
        <v>1274</v>
      </c>
      <c r="B33" s="1182" t="s">
        <v>1005</v>
      </c>
      <c r="C33" s="1182"/>
      <c r="D33" s="1182"/>
      <c r="E33" s="1182"/>
      <c r="F33" s="1183">
        <v>350000</v>
      </c>
      <c r="G33" s="1183"/>
      <c r="H33" s="1183"/>
      <c r="I33" s="1183"/>
      <c r="J33" s="487" t="s">
        <v>1006</v>
      </c>
      <c r="K33" s="1168" t="s">
        <v>737</v>
      </c>
      <c r="L33" s="1168"/>
      <c r="M33" s="487">
        <v>1</v>
      </c>
      <c r="N33" s="1174">
        <f>+F33*M33</f>
        <v>350000</v>
      </c>
      <c r="O33" s="1168"/>
      <c r="P33" s="1168"/>
      <c r="Q33" s="1168"/>
      <c r="R33" s="1168"/>
      <c r="S33" s="487" t="s">
        <v>1006</v>
      </c>
      <c r="T33" s="1168" t="s">
        <v>737</v>
      </c>
      <c r="U33" s="1168"/>
      <c r="V33" s="497" t="s">
        <v>1007</v>
      </c>
      <c r="W33" s="487" t="str">
        <f t="shared" ref="W33:W36" si="6">+IF(A33="FO","Prime de rendement","Base 1 mois salaire")</f>
        <v>Prime de rendement</v>
      </c>
      <c r="AB33" s="1174"/>
      <c r="AC33" s="1174"/>
      <c r="AD33" s="1174"/>
      <c r="AE33" s="1174">
        <f>+N33*13%</f>
        <v>45500</v>
      </c>
      <c r="AF33" s="1174"/>
      <c r="AG33" s="1174"/>
      <c r="AH33" s="1174">
        <f>+N33+AB33+AE33</f>
        <v>395500</v>
      </c>
      <c r="AI33" s="1174"/>
      <c r="AJ33" s="1174"/>
      <c r="AN33" s="1223" t="s">
        <v>362</v>
      </c>
      <c r="AO33" s="1223"/>
      <c r="AP33" s="1223"/>
      <c r="AQ33" s="1223"/>
      <c r="AR33" s="1217">
        <f>+AR32+AR31</f>
        <v>650000</v>
      </c>
      <c r="AS33" s="1217"/>
      <c r="AT33" s="1217"/>
      <c r="AU33" s="1217"/>
      <c r="AV33" s="498"/>
      <c r="AW33" s="1217">
        <f>+AW32+AW31</f>
        <v>900000</v>
      </c>
      <c r="AX33" s="1217"/>
      <c r="AY33" s="1217"/>
      <c r="AZ33" s="1217"/>
      <c r="BA33" s="1218">
        <f>+AW33*0.13</f>
        <v>117000</v>
      </c>
      <c r="BB33" s="1218"/>
      <c r="BC33" s="1218"/>
      <c r="BD33" s="1218">
        <f>+AW33*0.5</f>
        <v>450000</v>
      </c>
      <c r="BE33" s="1218"/>
      <c r="BF33" s="1218"/>
      <c r="BG33" s="1219">
        <f>+AW33+BA33+BD33</f>
        <v>1467000</v>
      </c>
      <c r="BH33" s="1219"/>
      <c r="BI33" s="1219"/>
      <c r="BJ33" s="1219"/>
    </row>
    <row r="34" spans="1:62">
      <c r="A34" s="487" t="s">
        <v>1274</v>
      </c>
      <c r="B34" s="1182" t="s">
        <v>1009</v>
      </c>
      <c r="C34" s="1182"/>
      <c r="D34" s="1182"/>
      <c r="E34" s="1182"/>
      <c r="F34" s="1183">
        <v>250000</v>
      </c>
      <c r="G34" s="1183"/>
      <c r="H34" s="1183"/>
      <c r="I34" s="1183"/>
      <c r="J34" s="487" t="s">
        <v>1006</v>
      </c>
      <c r="K34" s="1168" t="s">
        <v>737</v>
      </c>
      <c r="L34" s="1168"/>
      <c r="M34" s="487">
        <v>6</v>
      </c>
      <c r="N34" s="1174">
        <f t="shared" ref="N34:N36" si="7">+F34*M34</f>
        <v>1500000</v>
      </c>
      <c r="O34" s="1168"/>
      <c r="P34" s="1168"/>
      <c r="Q34" s="1168"/>
      <c r="R34" s="1168"/>
      <c r="S34" s="487" t="s">
        <v>1006</v>
      </c>
      <c r="T34" s="1168" t="s">
        <v>737</v>
      </c>
      <c r="U34" s="1168"/>
      <c r="V34" s="497" t="s">
        <v>1007</v>
      </c>
      <c r="W34" s="487" t="str">
        <f t="shared" si="6"/>
        <v>Prime de rendement</v>
      </c>
      <c r="AB34" s="1174"/>
      <c r="AC34" s="1174"/>
      <c r="AD34" s="1174"/>
      <c r="AE34" s="1174">
        <f>+N34*13%</f>
        <v>195000</v>
      </c>
      <c r="AF34" s="1174"/>
      <c r="AG34" s="1174"/>
      <c r="AH34" s="1174">
        <f>+N34+AB34+AE34</f>
        <v>1695000</v>
      </c>
      <c r="AI34" s="1174"/>
      <c r="AJ34" s="1174"/>
    </row>
    <row r="35" spans="1:62">
      <c r="A35" s="487" t="s">
        <v>1274</v>
      </c>
      <c r="B35" s="1182" t="s">
        <v>1036</v>
      </c>
      <c r="C35" s="1182"/>
      <c r="D35" s="1182"/>
      <c r="E35" s="1182"/>
      <c r="F35" s="1183">
        <v>150000</v>
      </c>
      <c r="G35" s="1183"/>
      <c r="H35" s="1183"/>
      <c r="I35" s="1183"/>
      <c r="J35" s="487" t="s">
        <v>1006</v>
      </c>
      <c r="K35" s="1168" t="s">
        <v>737</v>
      </c>
      <c r="L35" s="1168"/>
      <c r="M35" s="487">
        <v>6</v>
      </c>
      <c r="N35" s="1174">
        <f t="shared" si="7"/>
        <v>900000</v>
      </c>
      <c r="O35" s="1168"/>
      <c r="P35" s="1168"/>
      <c r="Q35" s="1168"/>
      <c r="R35" s="1168"/>
      <c r="S35" s="487" t="s">
        <v>1006</v>
      </c>
      <c r="T35" s="1168" t="s">
        <v>737</v>
      </c>
      <c r="U35" s="1168"/>
      <c r="V35" s="497" t="s">
        <v>1007</v>
      </c>
      <c r="W35" s="487" t="str">
        <f t="shared" si="6"/>
        <v>Prime de rendement</v>
      </c>
      <c r="AB35" s="1174"/>
      <c r="AC35" s="1174"/>
      <c r="AD35" s="1174"/>
      <c r="AE35" s="1174">
        <f>+N35*13%</f>
        <v>117000</v>
      </c>
      <c r="AF35" s="1174"/>
      <c r="AG35" s="1174"/>
      <c r="AH35" s="1174">
        <f>+N35+AB35+AE35</f>
        <v>1017000</v>
      </c>
      <c r="AI35" s="1174"/>
      <c r="AJ35" s="1174"/>
    </row>
    <row r="36" spans="1:62">
      <c r="A36" s="487" t="s">
        <v>1274</v>
      </c>
      <c r="B36" s="1182" t="s">
        <v>1014</v>
      </c>
      <c r="C36" s="1182"/>
      <c r="D36" s="1182"/>
      <c r="E36" s="1182"/>
      <c r="F36" s="1183">
        <v>300000</v>
      </c>
      <c r="G36" s="1183"/>
      <c r="H36" s="1183"/>
      <c r="I36" s="1183"/>
      <c r="J36" s="487" t="s">
        <v>1006</v>
      </c>
      <c r="K36" s="1168" t="s">
        <v>737</v>
      </c>
      <c r="L36" s="1168"/>
      <c r="M36" s="487">
        <v>3</v>
      </c>
      <c r="N36" s="1174">
        <f t="shared" si="7"/>
        <v>900000</v>
      </c>
      <c r="O36" s="1168"/>
      <c r="P36" s="1168"/>
      <c r="Q36" s="1168"/>
      <c r="R36" s="1168"/>
      <c r="S36" s="487" t="s">
        <v>1006</v>
      </c>
      <c r="T36" s="1168" t="s">
        <v>737</v>
      </c>
      <c r="U36" s="1168"/>
      <c r="V36" s="487" t="s">
        <v>1007</v>
      </c>
      <c r="W36" s="487" t="str">
        <f t="shared" si="6"/>
        <v>Prime de rendement</v>
      </c>
      <c r="AB36" s="1174"/>
      <c r="AC36" s="1174"/>
      <c r="AD36" s="1174"/>
      <c r="AE36" s="1174">
        <f>+N36*13%</f>
        <v>117000</v>
      </c>
      <c r="AF36" s="1174"/>
      <c r="AG36" s="1174"/>
      <c r="AH36" s="1174">
        <f>+N36+AB36+AE36</f>
        <v>1017000</v>
      </c>
      <c r="AI36" s="1174"/>
      <c r="AJ36" s="1174"/>
    </row>
    <row r="37" spans="1:62" ht="16.5" thickBot="1">
      <c r="B37" s="1175" t="s">
        <v>362</v>
      </c>
      <c r="C37" s="1175"/>
      <c r="D37" s="1175"/>
      <c r="E37" s="1175"/>
      <c r="F37" s="1175"/>
      <c r="G37" s="1175"/>
      <c r="H37" s="1175"/>
      <c r="I37" s="1175"/>
      <c r="J37" s="1175"/>
      <c r="K37" s="1175"/>
      <c r="L37" s="1175"/>
      <c r="M37" s="498">
        <v>16</v>
      </c>
      <c r="N37" s="1176">
        <f>SUM(N33:R36)</f>
        <v>3650000</v>
      </c>
      <c r="O37" s="1175"/>
      <c r="P37" s="1175"/>
      <c r="Q37" s="1175"/>
      <c r="R37" s="1175"/>
      <c r="S37" s="509"/>
      <c r="T37" s="509"/>
      <c r="U37" s="509"/>
      <c r="V37" s="509"/>
      <c r="W37" s="509"/>
      <c r="X37" s="509"/>
      <c r="Y37" s="509"/>
      <c r="Z37" s="509"/>
      <c r="AA37" s="509"/>
      <c r="AB37" s="1215">
        <f>SUM(AB33:AD36)</f>
        <v>0</v>
      </c>
      <c r="AC37" s="1215"/>
      <c r="AD37" s="1215"/>
      <c r="AE37" s="1176">
        <f>SUM(AE33:AG36)</f>
        <v>474500</v>
      </c>
      <c r="AF37" s="1176"/>
      <c r="AG37" s="1176"/>
      <c r="AH37" s="1176">
        <f>SUM(AH33:AJ36)</f>
        <v>4124500</v>
      </c>
      <c r="AI37" s="1176"/>
      <c r="AJ37" s="1176"/>
    </row>
    <row r="38" spans="1:62">
      <c r="B38" s="487" t="s">
        <v>1022</v>
      </c>
      <c r="N38" s="1174"/>
      <c r="O38" s="1168"/>
      <c r="P38" s="1168"/>
      <c r="Q38" s="1168"/>
      <c r="R38" s="1168"/>
      <c r="AD38" s="1216">
        <f>+AD36</f>
        <v>0</v>
      </c>
      <c r="AE38" s="1216"/>
      <c r="AF38" s="1216"/>
      <c r="AG38" s="1174"/>
      <c r="AH38" s="1168"/>
      <c r="AI38" s="1168"/>
      <c r="AJ38" s="1168"/>
      <c r="AK38" s="1168"/>
    </row>
    <row r="39" spans="1:62">
      <c r="B39" s="486" t="s">
        <v>353</v>
      </c>
    </row>
    <row r="40" spans="1:62">
      <c r="S40" s="1209" t="s">
        <v>1037</v>
      </c>
      <c r="T40" s="1210"/>
      <c r="U40" s="1210"/>
      <c r="V40" s="1210"/>
      <c r="W40" s="1210"/>
      <c r="X40" s="1211"/>
    </row>
    <row r="41" spans="1:62">
      <c r="S41" s="1212"/>
      <c r="T41" s="1213"/>
      <c r="U41" s="1213"/>
      <c r="V41" s="1213"/>
      <c r="W41" s="1213"/>
      <c r="X41" s="1214"/>
    </row>
    <row r="42" spans="1:62">
      <c r="N42" s="488"/>
      <c r="O42" s="488"/>
      <c r="P42" s="488"/>
      <c r="Q42" s="488"/>
      <c r="R42" s="488"/>
      <c r="S42" s="488"/>
      <c r="T42" s="488"/>
      <c r="U42" s="488"/>
      <c r="V42" s="507"/>
      <c r="W42" s="488"/>
      <c r="X42" s="488"/>
      <c r="Y42" s="488"/>
      <c r="Z42" s="488"/>
      <c r="AA42" s="488"/>
      <c r="AB42" s="488"/>
      <c r="AC42" s="488"/>
      <c r="AD42" s="488"/>
      <c r="AE42" s="488"/>
      <c r="AF42" s="488"/>
      <c r="AG42" s="488"/>
      <c r="AH42" s="488"/>
      <c r="AI42" s="488"/>
    </row>
    <row r="43" spans="1:62">
      <c r="N43" s="489"/>
      <c r="AJ43" s="489"/>
    </row>
    <row r="44" spans="1:62">
      <c r="F44" s="505"/>
      <c r="G44" s="505"/>
      <c r="H44" s="505"/>
      <c r="I44" s="505"/>
      <c r="J44" s="505"/>
      <c r="K44" s="1209" t="s">
        <v>1038</v>
      </c>
      <c r="L44" s="1210"/>
      <c r="M44" s="1210"/>
      <c r="N44" s="1210"/>
      <c r="O44" s="1210"/>
      <c r="P44" s="1210"/>
      <c r="Q44" s="1211"/>
      <c r="AG44" s="1209" t="s">
        <v>1039</v>
      </c>
      <c r="AH44" s="1210"/>
      <c r="AI44" s="1210"/>
      <c r="AJ44" s="1210"/>
      <c r="AK44" s="1210"/>
      <c r="AL44" s="1211"/>
    </row>
    <row r="45" spans="1:62">
      <c r="F45" s="505"/>
      <c r="G45" s="505"/>
      <c r="H45" s="505"/>
      <c r="I45" s="505"/>
      <c r="J45" s="505"/>
      <c r="K45" s="1212"/>
      <c r="L45" s="1213"/>
      <c r="M45" s="1213"/>
      <c r="N45" s="1213"/>
      <c r="O45" s="1213"/>
      <c r="P45" s="1213"/>
      <c r="Q45" s="1214"/>
      <c r="AG45" s="1212"/>
      <c r="AH45" s="1213"/>
      <c r="AI45" s="1213"/>
      <c r="AJ45" s="1213"/>
      <c r="AK45" s="1213"/>
      <c r="AL45" s="1214"/>
    </row>
    <row r="46" spans="1:62">
      <c r="D46" s="488"/>
      <c r="E46" s="488"/>
      <c r="F46" s="488"/>
      <c r="G46" s="488"/>
      <c r="H46" s="488"/>
      <c r="I46" s="488"/>
      <c r="J46" s="488"/>
      <c r="K46" s="488"/>
      <c r="L46" s="488"/>
      <c r="M46" s="488"/>
      <c r="N46" s="507"/>
      <c r="O46" s="488"/>
      <c r="P46" s="488"/>
      <c r="Q46" s="488"/>
      <c r="R46" s="488"/>
      <c r="S46" s="488"/>
      <c r="T46" s="488"/>
      <c r="U46" s="488"/>
      <c r="V46" s="488"/>
      <c r="W46" s="488"/>
      <c r="AJ46" s="490"/>
    </row>
    <row r="47" spans="1:62">
      <c r="D47" s="489"/>
      <c r="I47" s="489"/>
      <c r="N47" s="489"/>
      <c r="S47" s="489"/>
      <c r="X47" s="489"/>
      <c r="AG47" s="1188" t="s">
        <v>1040</v>
      </c>
      <c r="AH47" s="1189"/>
      <c r="AI47" s="1189"/>
      <c r="AJ47" s="1189"/>
      <c r="AK47" s="1189"/>
      <c r="AL47" s="1190"/>
    </row>
    <row r="48" spans="1:62">
      <c r="B48" s="1194" t="s">
        <v>1026</v>
      </c>
      <c r="C48" s="1195"/>
      <c r="D48" s="1195"/>
      <c r="E48" s="1196"/>
      <c r="G48" s="1194" t="s">
        <v>1041</v>
      </c>
      <c r="H48" s="1195"/>
      <c r="I48" s="1195"/>
      <c r="J48" s="1196"/>
      <c r="L48" s="1188" t="s">
        <v>1042</v>
      </c>
      <c r="M48" s="1189"/>
      <c r="N48" s="1189"/>
      <c r="O48" s="1190"/>
      <c r="Q48" s="1188" t="s">
        <v>1043</v>
      </c>
      <c r="R48" s="1189"/>
      <c r="S48" s="1189"/>
      <c r="T48" s="1190"/>
      <c r="V48" s="1194" t="s">
        <v>1044</v>
      </c>
      <c r="W48" s="1195"/>
      <c r="X48" s="1195"/>
      <c r="Y48" s="1196"/>
      <c r="AG48" s="1191"/>
      <c r="AH48" s="1192"/>
      <c r="AI48" s="1192"/>
      <c r="AJ48" s="1192"/>
      <c r="AK48" s="1192"/>
      <c r="AL48" s="1193"/>
    </row>
    <row r="49" spans="1:45">
      <c r="B49" s="1197"/>
      <c r="C49" s="1198"/>
      <c r="D49" s="1198"/>
      <c r="E49" s="1199"/>
      <c r="G49" s="1197"/>
      <c r="H49" s="1198"/>
      <c r="I49" s="1198"/>
      <c r="J49" s="1199"/>
      <c r="L49" s="1191"/>
      <c r="M49" s="1192"/>
      <c r="N49" s="1192"/>
      <c r="O49" s="1193"/>
      <c r="Q49" s="1191"/>
      <c r="R49" s="1192"/>
      <c r="S49" s="1192"/>
      <c r="T49" s="1193"/>
      <c r="V49" s="1197"/>
      <c r="W49" s="1198"/>
      <c r="X49" s="1198"/>
      <c r="Y49" s="1199"/>
      <c r="AE49" s="488"/>
      <c r="AF49" s="488"/>
      <c r="AG49" s="488"/>
      <c r="AH49" s="488"/>
      <c r="AI49" s="488"/>
      <c r="AJ49" s="489"/>
      <c r="AK49" s="488"/>
      <c r="AL49" s="488"/>
      <c r="AM49" s="488"/>
      <c r="AN49" s="488"/>
      <c r="AO49" s="488"/>
      <c r="AP49" s="488"/>
    </row>
    <row r="50" spans="1:45">
      <c r="I50" s="493"/>
      <c r="N50" s="507"/>
      <c r="S50" s="507"/>
      <c r="X50" s="507"/>
      <c r="AE50" s="489"/>
      <c r="AQ50" s="489"/>
    </row>
    <row r="51" spans="1:45" ht="15.75" customHeight="1">
      <c r="I51" s="490"/>
      <c r="L51" s="1188" t="s">
        <v>1045</v>
      </c>
      <c r="M51" s="1189"/>
      <c r="N51" s="1189"/>
      <c r="O51" s="1190"/>
      <c r="Q51" s="1188" t="s">
        <v>1046</v>
      </c>
      <c r="R51" s="1189"/>
      <c r="S51" s="1189"/>
      <c r="T51" s="1190"/>
      <c r="V51" s="1194" t="s">
        <v>1047</v>
      </c>
      <c r="W51" s="1195"/>
      <c r="X51" s="1195"/>
      <c r="Y51" s="1196"/>
      <c r="AB51" s="1200" t="s">
        <v>1048</v>
      </c>
      <c r="AC51" s="1201"/>
      <c r="AD51" s="1201"/>
      <c r="AE51" s="1201"/>
      <c r="AF51" s="1201"/>
      <c r="AG51" s="1202"/>
      <c r="AN51" s="1200" t="s">
        <v>1049</v>
      </c>
      <c r="AO51" s="1201"/>
      <c r="AP51" s="1201"/>
      <c r="AQ51" s="1201"/>
      <c r="AR51" s="1201"/>
      <c r="AS51" s="1202"/>
    </row>
    <row r="52" spans="1:45" ht="15.75" customHeight="1">
      <c r="I52" s="490"/>
      <c r="L52" s="1191"/>
      <c r="M52" s="1192"/>
      <c r="N52" s="1192"/>
      <c r="O52" s="1193"/>
      <c r="Q52" s="1191"/>
      <c r="R52" s="1192"/>
      <c r="S52" s="1192"/>
      <c r="T52" s="1193"/>
      <c r="V52" s="1197"/>
      <c r="W52" s="1198"/>
      <c r="X52" s="1198"/>
      <c r="Y52" s="1199"/>
      <c r="AB52" s="1203"/>
      <c r="AC52" s="1204"/>
      <c r="AD52" s="1204"/>
      <c r="AE52" s="1204"/>
      <c r="AF52" s="1204"/>
      <c r="AG52" s="1205"/>
      <c r="AN52" s="1203"/>
      <c r="AO52" s="1204"/>
      <c r="AP52" s="1204"/>
      <c r="AQ52" s="1204"/>
      <c r="AR52" s="1204"/>
      <c r="AS52" s="1205"/>
    </row>
    <row r="53" spans="1:45">
      <c r="F53" s="488"/>
      <c r="G53" s="488"/>
      <c r="H53" s="488"/>
      <c r="I53" s="489"/>
      <c r="J53" s="488"/>
      <c r="N53" s="507"/>
      <c r="X53" s="507"/>
    </row>
    <row r="54" spans="1:45">
      <c r="F54" s="493"/>
      <c r="K54" s="490"/>
      <c r="L54" s="1184" t="s">
        <v>1050</v>
      </c>
      <c r="M54" s="1185"/>
      <c r="N54" s="1185"/>
      <c r="O54" s="1186"/>
      <c r="V54" s="1194" t="s">
        <v>1051</v>
      </c>
      <c r="W54" s="1195"/>
      <c r="X54" s="1195"/>
      <c r="Y54" s="1196"/>
      <c r="AO54" s="497"/>
      <c r="AP54" s="497"/>
      <c r="AQ54" s="497"/>
      <c r="AR54" s="497"/>
      <c r="AS54" s="497"/>
    </row>
    <row r="55" spans="1:45">
      <c r="F55" s="490"/>
      <c r="K55" s="490"/>
      <c r="L55" s="510"/>
      <c r="M55" s="510"/>
      <c r="N55" s="510"/>
      <c r="O55" s="510"/>
      <c r="V55" s="1206"/>
      <c r="W55" s="1207"/>
      <c r="X55" s="1207"/>
      <c r="Y55" s="1208"/>
      <c r="AO55" s="497"/>
      <c r="AP55" s="497"/>
      <c r="AQ55" s="497"/>
      <c r="AR55" s="497"/>
      <c r="AS55" s="497"/>
    </row>
    <row r="56" spans="1:45">
      <c r="F56" s="490"/>
      <c r="I56" s="1188" t="s">
        <v>1052</v>
      </c>
      <c r="J56" s="1189"/>
      <c r="K56" s="1189"/>
      <c r="L56" s="1190"/>
      <c r="V56" s="1197"/>
      <c r="W56" s="1198"/>
      <c r="X56" s="1198"/>
      <c r="Y56" s="1199"/>
      <c r="AG56" s="497"/>
      <c r="AH56" s="497"/>
      <c r="AI56" s="497"/>
      <c r="AJ56" s="497"/>
      <c r="AK56" s="497"/>
    </row>
    <row r="57" spans="1:45">
      <c r="F57" s="490"/>
      <c r="I57" s="1191"/>
      <c r="J57" s="1192"/>
      <c r="K57" s="1192"/>
      <c r="L57" s="1193"/>
    </row>
    <row r="58" spans="1:45">
      <c r="F58" s="489"/>
      <c r="K58" s="507"/>
      <c r="Q58" s="511"/>
      <c r="R58" s="511"/>
      <c r="S58" s="511"/>
      <c r="T58" s="511"/>
      <c r="AG58" s="1168"/>
      <c r="AH58" s="1168"/>
      <c r="AI58" s="1168"/>
      <c r="AJ58" s="1168"/>
      <c r="AK58" s="1168"/>
    </row>
    <row r="59" spans="1:45">
      <c r="D59" s="1184" t="s">
        <v>1053</v>
      </c>
      <c r="E59" s="1185"/>
      <c r="F59" s="1185"/>
      <c r="G59" s="1186"/>
      <c r="I59" s="1184" t="s">
        <v>1054</v>
      </c>
      <c r="J59" s="1185"/>
      <c r="K59" s="1185"/>
      <c r="L59" s="1186"/>
      <c r="AG59" s="1168"/>
      <c r="AH59" s="1168"/>
      <c r="AI59" s="1168"/>
      <c r="AJ59" s="1168"/>
      <c r="AK59" s="1168"/>
    </row>
    <row r="61" spans="1:45" ht="16.5" thickBot="1">
      <c r="B61" s="494" t="s">
        <v>1055</v>
      </c>
    </row>
    <row r="62" spans="1:45">
      <c r="B62" s="1187" t="s">
        <v>1000</v>
      </c>
      <c r="C62" s="1187"/>
      <c r="D62" s="1187"/>
      <c r="E62" s="1187"/>
      <c r="F62" s="1164" t="s">
        <v>1001</v>
      </c>
      <c r="G62" s="1164"/>
      <c r="H62" s="1164"/>
      <c r="I62" s="1164"/>
      <c r="J62" s="1164"/>
      <c r="K62" s="496"/>
      <c r="L62" s="496"/>
      <c r="M62" s="508" t="s">
        <v>1002</v>
      </c>
      <c r="N62" s="1164" t="s">
        <v>1003</v>
      </c>
      <c r="O62" s="1164"/>
      <c r="P62" s="1164"/>
      <c r="Q62" s="1164"/>
      <c r="R62" s="1164"/>
      <c r="S62" s="1164"/>
      <c r="T62" s="1164" t="s">
        <v>875</v>
      </c>
      <c r="U62" s="1164"/>
      <c r="V62" s="1164" t="s">
        <v>1004</v>
      </c>
      <c r="W62" s="1164"/>
      <c r="X62" s="1164"/>
      <c r="Y62" s="1164"/>
      <c r="Z62" s="1164"/>
      <c r="AA62" s="1164"/>
      <c r="AB62" s="1164" t="s">
        <v>1032</v>
      </c>
      <c r="AC62" s="1164"/>
      <c r="AD62" s="1164"/>
      <c r="AE62" s="1164" t="s">
        <v>737</v>
      </c>
      <c r="AF62" s="1164"/>
      <c r="AG62" s="1164"/>
      <c r="AH62" s="508" t="s">
        <v>1033</v>
      </c>
      <c r="AI62" s="508"/>
      <c r="AJ62" s="508"/>
    </row>
    <row r="63" spans="1:45">
      <c r="A63" s="487" t="s">
        <v>1274</v>
      </c>
      <c r="B63" s="1182" t="s">
        <v>1056</v>
      </c>
      <c r="C63" s="1182"/>
      <c r="D63" s="1182"/>
      <c r="E63" s="1182"/>
      <c r="F63" s="1183">
        <v>2000000</v>
      </c>
      <c r="G63" s="1183"/>
      <c r="H63" s="1183"/>
      <c r="I63" s="1183"/>
      <c r="J63" s="487" t="s">
        <v>1006</v>
      </c>
      <c r="K63" s="1168" t="s">
        <v>737</v>
      </c>
      <c r="L63" s="1168"/>
      <c r="M63" s="487">
        <v>1</v>
      </c>
      <c r="N63" s="1174">
        <f>+F63*M63</f>
        <v>2000000</v>
      </c>
      <c r="O63" s="1168"/>
      <c r="P63" s="1168"/>
      <c r="Q63" s="1168"/>
      <c r="R63" s="1168"/>
      <c r="S63" s="487" t="s">
        <v>1006</v>
      </c>
      <c r="T63" s="1168" t="s">
        <v>737</v>
      </c>
      <c r="U63" s="1168"/>
      <c r="V63" s="497" t="s">
        <v>1007</v>
      </c>
      <c r="W63" s="487" t="str">
        <f>+IF(A63="FO","Prime de rendement","Base 1 mois salaire")</f>
        <v>Prime de rendement</v>
      </c>
      <c r="AB63" s="1174">
        <f t="shared" ref="AB63:AB79" si="8">+N63*5%</f>
        <v>100000</v>
      </c>
      <c r="AC63" s="1174"/>
      <c r="AD63" s="1174"/>
      <c r="AE63" s="1174">
        <f t="shared" ref="AE63:AE79" si="9">+N63*13%</f>
        <v>260000</v>
      </c>
      <c r="AF63" s="1174"/>
      <c r="AG63" s="1174"/>
      <c r="AH63" s="1174">
        <f t="shared" ref="AH63:AH79" si="10">+N63+AB63+AE63</f>
        <v>2360000</v>
      </c>
      <c r="AI63" s="1174"/>
      <c r="AJ63" s="1174"/>
    </row>
    <row r="64" spans="1:45">
      <c r="A64" s="487" t="s">
        <v>1274</v>
      </c>
      <c r="B64" s="1182" t="s">
        <v>1009</v>
      </c>
      <c r="C64" s="1182"/>
      <c r="D64" s="1182"/>
      <c r="E64" s="1182"/>
      <c r="F64" s="1183">
        <v>250000</v>
      </c>
      <c r="G64" s="1183"/>
      <c r="H64" s="1183"/>
      <c r="I64" s="1183"/>
      <c r="J64" s="487" t="s">
        <v>1006</v>
      </c>
      <c r="K64" s="1168" t="s">
        <v>737</v>
      </c>
      <c r="L64" s="1168"/>
      <c r="M64" s="487">
        <v>6</v>
      </c>
      <c r="N64" s="1174">
        <f t="shared" ref="N64:N78" si="11">+F64*M64</f>
        <v>1500000</v>
      </c>
      <c r="O64" s="1168"/>
      <c r="P64" s="1168"/>
      <c r="Q64" s="1168"/>
      <c r="R64" s="1168"/>
      <c r="S64" s="487" t="s">
        <v>1006</v>
      </c>
      <c r="T64" s="1168" t="s">
        <v>737</v>
      </c>
      <c r="U64" s="1168"/>
      <c r="V64" s="497" t="s">
        <v>1007</v>
      </c>
      <c r="W64" s="487" t="str">
        <f t="shared" ref="W64:W78" si="12">+IF(A64="FO","Prime de rendement","Base 1 mois salaire")</f>
        <v>Prime de rendement</v>
      </c>
      <c r="AB64" s="1174">
        <f t="shared" si="8"/>
        <v>75000</v>
      </c>
      <c r="AC64" s="1174"/>
      <c r="AD64" s="1174"/>
      <c r="AE64" s="1174">
        <f t="shared" si="9"/>
        <v>195000</v>
      </c>
      <c r="AF64" s="1174"/>
      <c r="AG64" s="1174"/>
      <c r="AH64" s="1174">
        <f t="shared" si="10"/>
        <v>1770000</v>
      </c>
      <c r="AI64" s="1174"/>
      <c r="AJ64" s="1174"/>
    </row>
    <row r="65" spans="1:37">
      <c r="A65" s="487" t="s">
        <v>1274</v>
      </c>
      <c r="B65" s="1182" t="s">
        <v>1036</v>
      </c>
      <c r="C65" s="1182"/>
      <c r="D65" s="1182"/>
      <c r="E65" s="1182"/>
      <c r="F65" s="1183">
        <v>150000</v>
      </c>
      <c r="G65" s="1183"/>
      <c r="H65" s="1183"/>
      <c r="I65" s="1183"/>
      <c r="J65" s="487" t="s">
        <v>1006</v>
      </c>
      <c r="K65" s="1168" t="s">
        <v>737</v>
      </c>
      <c r="L65" s="1168"/>
      <c r="M65" s="487">
        <v>6</v>
      </c>
      <c r="N65" s="1174">
        <f t="shared" si="11"/>
        <v>900000</v>
      </c>
      <c r="O65" s="1168"/>
      <c r="P65" s="1168"/>
      <c r="Q65" s="1168"/>
      <c r="R65" s="1168"/>
      <c r="S65" s="487" t="s">
        <v>1006</v>
      </c>
      <c r="T65" s="1168" t="s">
        <v>737</v>
      </c>
      <c r="U65" s="1168"/>
      <c r="V65" s="497" t="s">
        <v>1007</v>
      </c>
      <c r="W65" s="487" t="str">
        <f t="shared" si="12"/>
        <v>Prime de rendement</v>
      </c>
      <c r="AB65" s="1174">
        <f t="shared" si="8"/>
        <v>45000</v>
      </c>
      <c r="AC65" s="1174"/>
      <c r="AD65" s="1174"/>
      <c r="AE65" s="1174">
        <f t="shared" si="9"/>
        <v>117000</v>
      </c>
      <c r="AF65" s="1174"/>
      <c r="AG65" s="1174"/>
      <c r="AH65" s="1174">
        <f t="shared" si="10"/>
        <v>1062000</v>
      </c>
      <c r="AI65" s="1174"/>
      <c r="AJ65" s="1174"/>
    </row>
    <row r="66" spans="1:37">
      <c r="A66" s="487" t="s">
        <v>1275</v>
      </c>
      <c r="B66" s="1182" t="s">
        <v>1057</v>
      </c>
      <c r="C66" s="1182"/>
      <c r="D66" s="1182"/>
      <c r="E66" s="1182"/>
      <c r="F66" s="1183">
        <v>500000</v>
      </c>
      <c r="G66" s="1183"/>
      <c r="H66" s="1183"/>
      <c r="I66" s="1183"/>
      <c r="J66" s="487" t="s">
        <v>1006</v>
      </c>
      <c r="K66" s="1168" t="s">
        <v>737</v>
      </c>
      <c r="L66" s="1168"/>
      <c r="M66" s="487">
        <v>1</v>
      </c>
      <c r="N66" s="1174">
        <f t="shared" si="11"/>
        <v>500000</v>
      </c>
      <c r="O66" s="1168"/>
      <c r="P66" s="1168"/>
      <c r="Q66" s="1168"/>
      <c r="R66" s="1168"/>
      <c r="S66" s="487" t="s">
        <v>1006</v>
      </c>
      <c r="T66" s="1168" t="s">
        <v>737</v>
      </c>
      <c r="U66" s="1168"/>
      <c r="V66" s="497" t="s">
        <v>1007</v>
      </c>
      <c r="W66" s="487" t="str">
        <f t="shared" si="12"/>
        <v>Base 1 mois salaire</v>
      </c>
      <c r="AB66" s="1174">
        <f t="shared" si="8"/>
        <v>25000</v>
      </c>
      <c r="AC66" s="1174"/>
      <c r="AD66" s="1174"/>
      <c r="AE66" s="1174">
        <f t="shared" si="9"/>
        <v>65000</v>
      </c>
      <c r="AF66" s="1174"/>
      <c r="AG66" s="1174"/>
      <c r="AH66" s="1174">
        <f t="shared" si="10"/>
        <v>590000</v>
      </c>
      <c r="AI66" s="1174"/>
      <c r="AJ66" s="1174"/>
    </row>
    <row r="67" spans="1:37">
      <c r="A67" s="487" t="s">
        <v>1275</v>
      </c>
      <c r="B67" s="1182" t="s">
        <v>1058</v>
      </c>
      <c r="C67" s="1182"/>
      <c r="D67" s="1182"/>
      <c r="E67" s="1182"/>
      <c r="F67" s="1183">
        <v>500000</v>
      </c>
      <c r="G67" s="1183"/>
      <c r="H67" s="1183"/>
      <c r="I67" s="1183"/>
      <c r="J67" s="487" t="s">
        <v>1006</v>
      </c>
      <c r="K67" s="1168" t="s">
        <v>737</v>
      </c>
      <c r="L67" s="1168"/>
      <c r="M67" s="487">
        <v>1</v>
      </c>
      <c r="N67" s="1174">
        <f t="shared" si="11"/>
        <v>500000</v>
      </c>
      <c r="O67" s="1168"/>
      <c r="P67" s="1168"/>
      <c r="Q67" s="1168"/>
      <c r="R67" s="1168"/>
      <c r="S67" s="487" t="s">
        <v>1006</v>
      </c>
      <c r="T67" s="1168" t="s">
        <v>737</v>
      </c>
      <c r="U67" s="1168"/>
      <c r="V67" s="487" t="s">
        <v>1007</v>
      </c>
      <c r="W67" s="487" t="str">
        <f t="shared" si="12"/>
        <v>Base 1 mois salaire</v>
      </c>
      <c r="AB67" s="1174">
        <f t="shared" si="8"/>
        <v>25000</v>
      </c>
      <c r="AC67" s="1174"/>
      <c r="AD67" s="1174"/>
      <c r="AE67" s="1174">
        <f t="shared" si="9"/>
        <v>65000</v>
      </c>
      <c r="AF67" s="1174"/>
      <c r="AG67" s="1174"/>
      <c r="AH67" s="1174">
        <f t="shared" si="10"/>
        <v>590000</v>
      </c>
      <c r="AI67" s="1174"/>
      <c r="AJ67" s="1174"/>
    </row>
    <row r="68" spans="1:37">
      <c r="A68" s="487" t="s">
        <v>1274</v>
      </c>
      <c r="B68" s="1182" t="s">
        <v>1059</v>
      </c>
      <c r="C68" s="1182"/>
      <c r="D68" s="1182"/>
      <c r="E68" s="1182"/>
      <c r="F68" s="1183">
        <v>500000</v>
      </c>
      <c r="G68" s="1183"/>
      <c r="H68" s="1183"/>
      <c r="I68" s="1183"/>
      <c r="J68" s="487" t="s">
        <v>1006</v>
      </c>
      <c r="K68" s="1168" t="s">
        <v>737</v>
      </c>
      <c r="L68" s="1168"/>
      <c r="M68" s="487">
        <v>3</v>
      </c>
      <c r="N68" s="1174">
        <f t="shared" si="11"/>
        <v>1500000</v>
      </c>
      <c r="O68" s="1168"/>
      <c r="P68" s="1168"/>
      <c r="Q68" s="1168"/>
      <c r="R68" s="1168"/>
      <c r="S68" s="487" t="s">
        <v>1006</v>
      </c>
      <c r="T68" s="1168" t="s">
        <v>737</v>
      </c>
      <c r="U68" s="1168"/>
      <c r="V68" s="487" t="s">
        <v>1007</v>
      </c>
      <c r="W68" s="487" t="str">
        <f t="shared" si="12"/>
        <v>Prime de rendement</v>
      </c>
      <c r="AB68" s="1174">
        <f t="shared" si="8"/>
        <v>75000</v>
      </c>
      <c r="AC68" s="1174"/>
      <c r="AD68" s="1174"/>
      <c r="AE68" s="1174">
        <f t="shared" si="9"/>
        <v>195000</v>
      </c>
      <c r="AF68" s="1174"/>
      <c r="AG68" s="1174"/>
      <c r="AH68" s="1174">
        <f t="shared" si="10"/>
        <v>1770000</v>
      </c>
      <c r="AI68" s="1174"/>
      <c r="AJ68" s="1174"/>
    </row>
    <row r="69" spans="1:37">
      <c r="A69" s="487" t="s">
        <v>1275</v>
      </c>
      <c r="B69" s="1182" t="s">
        <v>1060</v>
      </c>
      <c r="C69" s="1182"/>
      <c r="D69" s="1182"/>
      <c r="E69" s="1182"/>
      <c r="F69" s="1183">
        <v>350000</v>
      </c>
      <c r="G69" s="1183"/>
      <c r="H69" s="1183"/>
      <c r="I69" s="1183"/>
      <c r="J69" s="487" t="s">
        <v>1006</v>
      </c>
      <c r="K69" s="1168" t="s">
        <v>737</v>
      </c>
      <c r="L69" s="1168"/>
      <c r="M69" s="487">
        <f>1*0</f>
        <v>0</v>
      </c>
      <c r="N69" s="1174">
        <f t="shared" si="11"/>
        <v>0</v>
      </c>
      <c r="O69" s="1168"/>
      <c r="P69" s="1168"/>
      <c r="Q69" s="1168"/>
      <c r="R69" s="1168"/>
      <c r="S69" s="487" t="s">
        <v>1006</v>
      </c>
      <c r="T69" s="1168" t="s">
        <v>737</v>
      </c>
      <c r="U69" s="1168"/>
      <c r="V69" s="487" t="s">
        <v>1007</v>
      </c>
      <c r="W69" s="487" t="str">
        <f t="shared" si="12"/>
        <v>Base 1 mois salaire</v>
      </c>
      <c r="AB69" s="1174">
        <f t="shared" si="8"/>
        <v>0</v>
      </c>
      <c r="AC69" s="1174"/>
      <c r="AD69" s="1174"/>
      <c r="AE69" s="1174">
        <f t="shared" si="9"/>
        <v>0</v>
      </c>
      <c r="AF69" s="1174"/>
      <c r="AG69" s="1174"/>
      <c r="AH69" s="1174">
        <f t="shared" si="10"/>
        <v>0</v>
      </c>
      <c r="AI69" s="1174"/>
      <c r="AJ69" s="1174"/>
    </row>
    <row r="70" spans="1:37">
      <c r="A70" s="487" t="s">
        <v>1275</v>
      </c>
      <c r="B70" s="1182" t="s">
        <v>1061</v>
      </c>
      <c r="C70" s="1182"/>
      <c r="D70" s="1182"/>
      <c r="E70" s="1182"/>
      <c r="F70" s="1183">
        <v>500000</v>
      </c>
      <c r="G70" s="1183"/>
      <c r="H70" s="1183"/>
      <c r="I70" s="1183"/>
      <c r="J70" s="487" t="s">
        <v>1006</v>
      </c>
      <c r="K70" s="1168" t="s">
        <v>737</v>
      </c>
      <c r="L70" s="1168"/>
      <c r="M70" s="487">
        <v>2</v>
      </c>
      <c r="N70" s="1174">
        <f t="shared" si="11"/>
        <v>1000000</v>
      </c>
      <c r="O70" s="1168"/>
      <c r="P70" s="1168"/>
      <c r="Q70" s="1168"/>
      <c r="R70" s="1168"/>
      <c r="S70" s="487" t="s">
        <v>1006</v>
      </c>
      <c r="T70" s="1168" t="s">
        <v>737</v>
      </c>
      <c r="U70" s="1168"/>
      <c r="V70" s="487" t="s">
        <v>1007</v>
      </c>
      <c r="W70" s="487" t="str">
        <f t="shared" si="12"/>
        <v>Base 1 mois salaire</v>
      </c>
      <c r="AB70" s="1174">
        <f t="shared" si="8"/>
        <v>50000</v>
      </c>
      <c r="AC70" s="1174"/>
      <c r="AD70" s="1174"/>
      <c r="AE70" s="1174">
        <f t="shared" si="9"/>
        <v>130000</v>
      </c>
      <c r="AF70" s="1174"/>
      <c r="AG70" s="1174"/>
      <c r="AH70" s="1174">
        <f t="shared" si="10"/>
        <v>1180000</v>
      </c>
      <c r="AI70" s="1174"/>
      <c r="AJ70" s="1174"/>
    </row>
    <row r="71" spans="1:37">
      <c r="A71" s="487" t="s">
        <v>1274</v>
      </c>
      <c r="B71" s="1182" t="s">
        <v>1062</v>
      </c>
      <c r="C71" s="1182"/>
      <c r="D71" s="1182"/>
      <c r="E71" s="1182"/>
      <c r="F71" s="1183">
        <v>250000</v>
      </c>
      <c r="G71" s="1183"/>
      <c r="H71" s="1183"/>
      <c r="I71" s="1183"/>
      <c r="J71" s="487" t="s">
        <v>1006</v>
      </c>
      <c r="K71" s="1168" t="s">
        <v>737</v>
      </c>
      <c r="L71" s="1168"/>
      <c r="M71" s="487">
        <v>3</v>
      </c>
      <c r="N71" s="1174">
        <f t="shared" si="11"/>
        <v>750000</v>
      </c>
      <c r="O71" s="1168"/>
      <c r="P71" s="1168"/>
      <c r="Q71" s="1168"/>
      <c r="R71" s="1168"/>
      <c r="S71" s="487" t="s">
        <v>1006</v>
      </c>
      <c r="T71" s="1168" t="s">
        <v>737</v>
      </c>
      <c r="U71" s="1168"/>
      <c r="V71" s="487" t="s">
        <v>1007</v>
      </c>
      <c r="W71" s="487" t="str">
        <f t="shared" si="12"/>
        <v>Prime de rendement</v>
      </c>
      <c r="AB71" s="1174">
        <f t="shared" si="8"/>
        <v>37500</v>
      </c>
      <c r="AC71" s="1174"/>
      <c r="AD71" s="1174"/>
      <c r="AE71" s="1174">
        <f t="shared" si="9"/>
        <v>97500</v>
      </c>
      <c r="AF71" s="1174"/>
      <c r="AG71" s="1174"/>
      <c r="AH71" s="1174">
        <f t="shared" si="10"/>
        <v>885000</v>
      </c>
      <c r="AI71" s="1174"/>
      <c r="AJ71" s="1174"/>
    </row>
    <row r="72" spans="1:37">
      <c r="A72" s="487" t="s">
        <v>1275</v>
      </c>
      <c r="B72" s="1182" t="s">
        <v>1063</v>
      </c>
      <c r="C72" s="1182"/>
      <c r="D72" s="1182"/>
      <c r="E72" s="1182"/>
      <c r="F72" s="1183">
        <v>230000</v>
      </c>
      <c r="G72" s="1183"/>
      <c r="H72" s="1183"/>
      <c r="I72" s="1183"/>
      <c r="J72" s="487" t="s">
        <v>1006</v>
      </c>
      <c r="K72" s="1168" t="s">
        <v>737</v>
      </c>
      <c r="L72" s="1168"/>
      <c r="M72" s="487">
        <f>1*0</f>
        <v>0</v>
      </c>
      <c r="N72" s="1174">
        <f t="shared" si="11"/>
        <v>0</v>
      </c>
      <c r="O72" s="1168"/>
      <c r="P72" s="1168"/>
      <c r="Q72" s="1168"/>
      <c r="R72" s="1168"/>
      <c r="S72" s="487" t="s">
        <v>1006</v>
      </c>
      <c r="T72" s="1168" t="s">
        <v>737</v>
      </c>
      <c r="U72" s="1168"/>
      <c r="V72" s="487" t="s">
        <v>1007</v>
      </c>
      <c r="W72" s="487" t="str">
        <f t="shared" si="12"/>
        <v>Base 1 mois salaire</v>
      </c>
      <c r="AB72" s="1174">
        <f t="shared" si="8"/>
        <v>0</v>
      </c>
      <c r="AC72" s="1174"/>
      <c r="AD72" s="1174"/>
      <c r="AE72" s="1174">
        <f t="shared" si="9"/>
        <v>0</v>
      </c>
      <c r="AF72" s="1174"/>
      <c r="AG72" s="1174"/>
      <c r="AH72" s="1174">
        <f t="shared" si="10"/>
        <v>0</v>
      </c>
      <c r="AI72" s="1174"/>
      <c r="AJ72" s="1174"/>
    </row>
    <row r="73" spans="1:37">
      <c r="A73" s="487" t="s">
        <v>1275</v>
      </c>
      <c r="B73" s="1182" t="s">
        <v>73</v>
      </c>
      <c r="C73" s="1182"/>
      <c r="D73" s="1182"/>
      <c r="E73" s="1182"/>
      <c r="F73" s="1183">
        <v>275000</v>
      </c>
      <c r="G73" s="1183"/>
      <c r="H73" s="1183"/>
      <c r="I73" s="1183"/>
      <c r="J73" s="487" t="s">
        <v>1006</v>
      </c>
      <c r="K73" s="1168" t="s">
        <v>737</v>
      </c>
      <c r="L73" s="1168"/>
      <c r="M73" s="487">
        <v>1</v>
      </c>
      <c r="N73" s="1174">
        <f t="shared" si="11"/>
        <v>275000</v>
      </c>
      <c r="O73" s="1168"/>
      <c r="P73" s="1168"/>
      <c r="Q73" s="1168"/>
      <c r="R73" s="1168"/>
      <c r="S73" s="487" t="s">
        <v>1006</v>
      </c>
      <c r="T73" s="1168" t="s">
        <v>737</v>
      </c>
      <c r="U73" s="1168"/>
      <c r="V73" s="487" t="s">
        <v>1007</v>
      </c>
      <c r="W73" s="487" t="str">
        <f t="shared" si="12"/>
        <v>Base 1 mois salaire</v>
      </c>
      <c r="AB73" s="1174">
        <f t="shared" si="8"/>
        <v>13750</v>
      </c>
      <c r="AC73" s="1174"/>
      <c r="AD73" s="1174"/>
      <c r="AE73" s="1174">
        <f t="shared" si="9"/>
        <v>35750</v>
      </c>
      <c r="AF73" s="1174"/>
      <c r="AG73" s="1174"/>
      <c r="AH73" s="1174">
        <f t="shared" si="10"/>
        <v>324500</v>
      </c>
      <c r="AI73" s="1174"/>
      <c r="AJ73" s="1174"/>
    </row>
    <row r="74" spans="1:37">
      <c r="A74" s="487" t="s">
        <v>1275</v>
      </c>
      <c r="B74" s="1182" t="s">
        <v>77</v>
      </c>
      <c r="C74" s="1182"/>
      <c r="D74" s="1182"/>
      <c r="E74" s="1182"/>
      <c r="F74" s="1183">
        <v>250000</v>
      </c>
      <c r="G74" s="1183"/>
      <c r="H74" s="1183"/>
      <c r="I74" s="1183"/>
      <c r="J74" s="487" t="s">
        <v>1006</v>
      </c>
      <c r="K74" s="1168" t="s">
        <v>737</v>
      </c>
      <c r="L74" s="1168"/>
      <c r="M74" s="487">
        <v>1</v>
      </c>
      <c r="N74" s="1174">
        <f t="shared" si="11"/>
        <v>250000</v>
      </c>
      <c r="O74" s="1168"/>
      <c r="P74" s="1168"/>
      <c r="Q74" s="1168"/>
      <c r="R74" s="1168"/>
      <c r="S74" s="487" t="s">
        <v>1006</v>
      </c>
      <c r="T74" s="1168" t="s">
        <v>737</v>
      </c>
      <c r="U74" s="1168"/>
      <c r="V74" s="487" t="s">
        <v>1007</v>
      </c>
      <c r="W74" s="487" t="str">
        <f t="shared" si="12"/>
        <v>Base 1 mois salaire</v>
      </c>
      <c r="AB74" s="1174">
        <f t="shared" si="8"/>
        <v>12500</v>
      </c>
      <c r="AC74" s="1174"/>
      <c r="AD74" s="1174"/>
      <c r="AE74" s="1174">
        <f t="shared" si="9"/>
        <v>32500</v>
      </c>
      <c r="AF74" s="1174"/>
      <c r="AG74" s="1174"/>
      <c r="AH74" s="1174">
        <f t="shared" si="10"/>
        <v>295000</v>
      </c>
      <c r="AI74" s="1174"/>
      <c r="AJ74" s="1174"/>
    </row>
    <row r="75" spans="1:37">
      <c r="A75" s="487" t="s">
        <v>1275</v>
      </c>
      <c r="B75" s="512" t="s">
        <v>1064</v>
      </c>
      <c r="C75" s="512"/>
      <c r="D75" s="512"/>
      <c r="E75" s="512"/>
      <c r="F75" s="1183">
        <v>250000</v>
      </c>
      <c r="G75" s="1183"/>
      <c r="H75" s="1183"/>
      <c r="I75" s="1183"/>
      <c r="J75" s="487" t="s">
        <v>1006</v>
      </c>
      <c r="K75" s="1168" t="s">
        <v>737</v>
      </c>
      <c r="L75" s="1168"/>
      <c r="M75" s="487">
        <v>1</v>
      </c>
      <c r="N75" s="1174">
        <f t="shared" si="11"/>
        <v>250000</v>
      </c>
      <c r="O75" s="1168"/>
      <c r="P75" s="1168"/>
      <c r="Q75" s="1168"/>
      <c r="R75" s="1168"/>
      <c r="S75" s="487" t="s">
        <v>1006</v>
      </c>
      <c r="T75" s="1168" t="s">
        <v>737</v>
      </c>
      <c r="U75" s="1168"/>
      <c r="V75" s="487" t="s">
        <v>1007</v>
      </c>
      <c r="W75" s="487" t="str">
        <f t="shared" si="12"/>
        <v>Base 1 mois salaire</v>
      </c>
      <c r="AB75" s="1174">
        <f t="shared" si="8"/>
        <v>12500</v>
      </c>
      <c r="AC75" s="1174"/>
      <c r="AD75" s="1174"/>
      <c r="AE75" s="1174">
        <f t="shared" si="9"/>
        <v>32500</v>
      </c>
      <c r="AF75" s="1174"/>
      <c r="AG75" s="1174"/>
      <c r="AH75" s="1174">
        <f t="shared" si="10"/>
        <v>295000</v>
      </c>
      <c r="AI75" s="1174"/>
      <c r="AJ75" s="1174"/>
    </row>
    <row r="76" spans="1:37">
      <c r="A76" s="487" t="s">
        <v>1274</v>
      </c>
      <c r="B76" s="1182" t="s">
        <v>58</v>
      </c>
      <c r="C76" s="1182"/>
      <c r="D76" s="1182"/>
      <c r="E76" s="1182"/>
      <c r="F76" s="1183">
        <v>1500000</v>
      </c>
      <c r="G76" s="1183"/>
      <c r="H76" s="1183"/>
      <c r="I76" s="1183"/>
      <c r="J76" s="487" t="s">
        <v>1006</v>
      </c>
      <c r="K76" s="1168" t="s">
        <v>737</v>
      </c>
      <c r="L76" s="1168"/>
      <c r="M76" s="487">
        <v>1</v>
      </c>
      <c r="N76" s="1174">
        <f t="shared" si="11"/>
        <v>1500000</v>
      </c>
      <c r="O76" s="1168"/>
      <c r="P76" s="1168"/>
      <c r="Q76" s="1168"/>
      <c r="R76" s="1168"/>
      <c r="S76" s="487" t="s">
        <v>1006</v>
      </c>
      <c r="T76" s="1168" t="s">
        <v>737</v>
      </c>
      <c r="U76" s="1168"/>
      <c r="V76" s="487" t="s">
        <v>1007</v>
      </c>
      <c r="W76" s="487" t="str">
        <f t="shared" si="12"/>
        <v>Prime de rendement</v>
      </c>
      <c r="AB76" s="1174">
        <f t="shared" si="8"/>
        <v>75000</v>
      </c>
      <c r="AC76" s="1174"/>
      <c r="AD76" s="1174"/>
      <c r="AE76" s="1174">
        <f t="shared" si="9"/>
        <v>195000</v>
      </c>
      <c r="AF76" s="1174"/>
      <c r="AG76" s="1174"/>
      <c r="AH76" s="1174">
        <f t="shared" si="10"/>
        <v>1770000</v>
      </c>
      <c r="AI76" s="1174"/>
      <c r="AJ76" s="1174"/>
    </row>
    <row r="77" spans="1:37">
      <c r="A77" s="487" t="s">
        <v>1274</v>
      </c>
      <c r="B77" s="1182" t="s">
        <v>1065</v>
      </c>
      <c r="C77" s="1182"/>
      <c r="D77" s="1182"/>
      <c r="E77" s="1182"/>
      <c r="F77" s="1183">
        <v>500000</v>
      </c>
      <c r="G77" s="1183"/>
      <c r="H77" s="1183"/>
      <c r="I77" s="1183"/>
      <c r="J77" s="487" t="s">
        <v>1006</v>
      </c>
      <c r="K77" s="1168" t="s">
        <v>737</v>
      </c>
      <c r="L77" s="1168"/>
      <c r="M77" s="487">
        <v>1</v>
      </c>
      <c r="N77" s="1174">
        <f t="shared" si="11"/>
        <v>500000</v>
      </c>
      <c r="O77" s="1168"/>
      <c r="P77" s="1168"/>
      <c r="Q77" s="1168"/>
      <c r="R77" s="1168"/>
      <c r="S77" s="487" t="s">
        <v>1006</v>
      </c>
      <c r="T77" s="1168" t="s">
        <v>737</v>
      </c>
      <c r="U77" s="1168"/>
      <c r="V77" s="487" t="s">
        <v>1007</v>
      </c>
      <c r="W77" s="487" t="str">
        <f t="shared" si="12"/>
        <v>Prime de rendement</v>
      </c>
      <c r="AB77" s="1174">
        <f t="shared" si="8"/>
        <v>25000</v>
      </c>
      <c r="AC77" s="1174"/>
      <c r="AD77" s="1174"/>
      <c r="AE77" s="1174">
        <f t="shared" si="9"/>
        <v>65000</v>
      </c>
      <c r="AF77" s="1174"/>
      <c r="AG77" s="1174"/>
      <c r="AH77" s="1174">
        <f t="shared" si="10"/>
        <v>590000</v>
      </c>
      <c r="AI77" s="1174"/>
      <c r="AJ77" s="1174"/>
    </row>
    <row r="78" spans="1:37">
      <c r="A78" s="487" t="s">
        <v>1274</v>
      </c>
      <c r="B78" s="1182" t="s">
        <v>1066</v>
      </c>
      <c r="C78" s="1182"/>
      <c r="D78" s="1182"/>
      <c r="E78" s="1182"/>
      <c r="F78" s="1183">
        <v>300000</v>
      </c>
      <c r="G78" s="1183"/>
      <c r="H78" s="1183"/>
      <c r="I78" s="1183"/>
      <c r="J78" s="487" t="s">
        <v>1006</v>
      </c>
      <c r="K78" s="1168" t="s">
        <v>737</v>
      </c>
      <c r="L78" s="1168"/>
      <c r="M78" s="487">
        <v>2</v>
      </c>
      <c r="N78" s="1174">
        <f t="shared" si="11"/>
        <v>600000</v>
      </c>
      <c r="O78" s="1168"/>
      <c r="P78" s="1168"/>
      <c r="Q78" s="1168"/>
      <c r="R78" s="1168"/>
      <c r="S78" s="487" t="s">
        <v>1006</v>
      </c>
      <c r="T78" s="1168" t="s">
        <v>737</v>
      </c>
      <c r="U78" s="1168"/>
      <c r="V78" s="487" t="s">
        <v>1007</v>
      </c>
      <c r="W78" s="487" t="str">
        <f t="shared" si="12"/>
        <v>Prime de rendement</v>
      </c>
      <c r="AB78" s="1174">
        <f t="shared" si="8"/>
        <v>30000</v>
      </c>
      <c r="AC78" s="1174"/>
      <c r="AD78" s="1174"/>
      <c r="AE78" s="1174">
        <f t="shared" si="9"/>
        <v>78000</v>
      </c>
      <c r="AF78" s="1174"/>
      <c r="AG78" s="1174"/>
      <c r="AH78" s="1174">
        <f t="shared" si="10"/>
        <v>708000</v>
      </c>
      <c r="AI78" s="1174"/>
      <c r="AJ78" s="1174"/>
    </row>
    <row r="79" spans="1:37" ht="16.5" thickBot="1">
      <c r="B79" s="1175" t="s">
        <v>362</v>
      </c>
      <c r="C79" s="1175"/>
      <c r="D79" s="1175"/>
      <c r="E79" s="1175"/>
      <c r="F79" s="1175"/>
      <c r="G79" s="1175"/>
      <c r="H79" s="1175"/>
      <c r="I79" s="1175"/>
      <c r="J79" s="1175"/>
      <c r="K79" s="1175"/>
      <c r="L79" s="1175"/>
      <c r="M79" s="498">
        <f>SUM(M63:M78)</f>
        <v>30</v>
      </c>
      <c r="N79" s="1176">
        <f>SUM(N63:R78)</f>
        <v>12025000</v>
      </c>
      <c r="O79" s="1175"/>
      <c r="P79" s="1175"/>
      <c r="Q79" s="1175"/>
      <c r="R79" s="1175"/>
      <c r="S79" s="509"/>
      <c r="T79" s="509"/>
      <c r="U79" s="509"/>
      <c r="V79" s="509"/>
      <c r="W79" s="509"/>
      <c r="X79" s="509"/>
      <c r="Y79" s="509"/>
      <c r="Z79" s="509"/>
      <c r="AA79" s="509"/>
      <c r="AB79" s="1176">
        <f t="shared" si="8"/>
        <v>601250</v>
      </c>
      <c r="AC79" s="1176"/>
      <c r="AD79" s="1176"/>
      <c r="AE79" s="1176">
        <f t="shared" si="9"/>
        <v>1563250</v>
      </c>
      <c r="AF79" s="1176"/>
      <c r="AG79" s="1176"/>
      <c r="AH79" s="1176">
        <f t="shared" si="10"/>
        <v>14189500</v>
      </c>
      <c r="AI79" s="1176"/>
      <c r="AJ79" s="1176"/>
    </row>
    <row r="80" spans="1:37" ht="16.5" thickBot="1">
      <c r="B80" s="503"/>
      <c r="C80" s="503"/>
      <c r="D80" s="503"/>
      <c r="E80" s="503"/>
      <c r="F80" s="503"/>
      <c r="G80" s="503"/>
      <c r="H80" s="503"/>
      <c r="I80" s="503"/>
      <c r="J80" s="503"/>
      <c r="K80" s="503"/>
      <c r="L80" s="503"/>
      <c r="M80" s="500"/>
      <c r="N80" s="502"/>
      <c r="O80" s="503"/>
      <c r="P80" s="503"/>
      <c r="Q80" s="503"/>
      <c r="R80" s="503"/>
      <c r="AD80" s="504"/>
      <c r="AE80" s="504"/>
      <c r="AF80" s="504"/>
      <c r="AG80" s="502"/>
      <c r="AH80" s="503"/>
      <c r="AI80" s="503"/>
      <c r="AJ80" s="503"/>
      <c r="AK80" s="503"/>
    </row>
    <row r="81" spans="2:37" ht="16.5" thickBot="1">
      <c r="B81" s="1178" t="s">
        <v>1022</v>
      </c>
      <c r="C81" s="1178"/>
      <c r="D81" s="1178"/>
      <c r="E81" s="1178"/>
      <c r="F81" s="1179">
        <f>+SUMIF(W63:W78,W66,F63:I78)</f>
        <v>2855000</v>
      </c>
      <c r="G81" s="1179"/>
      <c r="H81" s="1179"/>
      <c r="I81" s="1179"/>
      <c r="J81" s="513"/>
      <c r="K81" s="1180"/>
      <c r="L81" s="1180"/>
      <c r="M81" s="513">
        <f>+SUMIF(W63:W78,W69,M63:M78)</f>
        <v>7</v>
      </c>
      <c r="N81" s="1181">
        <f>+SUMIF(W63:W78,W70,N63:R78)</f>
        <v>2775000</v>
      </c>
      <c r="O81" s="1180"/>
      <c r="P81" s="1180"/>
      <c r="Q81" s="1180"/>
      <c r="R81" s="1180"/>
      <c r="S81" s="513"/>
      <c r="T81" s="1180"/>
      <c r="U81" s="1180"/>
      <c r="V81" s="513"/>
      <c r="W81" s="513"/>
      <c r="X81" s="513"/>
      <c r="Y81" s="513"/>
      <c r="Z81" s="513"/>
      <c r="AA81" s="513"/>
      <c r="AB81" s="1177">
        <f>+N81*5%</f>
        <v>138750</v>
      </c>
      <c r="AC81" s="1177"/>
      <c r="AD81" s="1177"/>
      <c r="AE81" s="1177">
        <f>+N81*13%</f>
        <v>360750</v>
      </c>
      <c r="AF81" s="1177"/>
      <c r="AG81" s="1177"/>
      <c r="AH81" s="1177">
        <f>+N81+AB81+AE81</f>
        <v>3274500</v>
      </c>
      <c r="AI81" s="1177"/>
      <c r="AJ81" s="1177"/>
    </row>
    <row r="82" spans="2:37">
      <c r="B82" s="503"/>
      <c r="C82" s="503"/>
      <c r="D82" s="503"/>
      <c r="E82" s="503"/>
      <c r="F82" s="503"/>
      <c r="G82" s="503"/>
      <c r="H82" s="503"/>
      <c r="I82" s="503"/>
      <c r="J82" s="503"/>
      <c r="K82" s="503"/>
      <c r="L82" s="503"/>
      <c r="M82" s="500"/>
      <c r="N82" s="1174"/>
      <c r="O82" s="1168"/>
      <c r="P82" s="1168"/>
      <c r="Q82" s="1168"/>
      <c r="R82" s="1168"/>
      <c r="AD82" s="504"/>
      <c r="AE82" s="504"/>
      <c r="AF82" s="504"/>
      <c r="AG82" s="502"/>
      <c r="AH82" s="503"/>
      <c r="AI82" s="503"/>
      <c r="AJ82" s="503"/>
      <c r="AK82" s="503"/>
    </row>
    <row r="83" spans="2:37">
      <c r="B83" s="503"/>
      <c r="C83" s="503"/>
      <c r="D83" s="503"/>
      <c r="E83" s="503"/>
      <c r="F83" s="503"/>
      <c r="G83" s="503"/>
      <c r="H83" s="503"/>
      <c r="I83" s="503"/>
      <c r="J83" s="503"/>
      <c r="K83" s="503"/>
      <c r="L83" s="503"/>
      <c r="M83" s="500"/>
      <c r="N83" s="502"/>
      <c r="O83" s="503"/>
      <c r="P83" s="503"/>
      <c r="Q83" s="503"/>
      <c r="R83" s="503"/>
      <c r="AD83" s="504"/>
      <c r="AE83" s="504"/>
      <c r="AF83" s="504"/>
      <c r="AG83" s="502"/>
      <c r="AH83" s="503"/>
      <c r="AI83" s="503"/>
      <c r="AJ83" s="503"/>
      <c r="AK83" s="503"/>
    </row>
    <row r="84" spans="2:37" ht="16.5" thickBot="1"/>
    <row r="85" spans="2:37">
      <c r="B85" s="508" t="s">
        <v>1067</v>
      </c>
      <c r="C85" s="508"/>
      <c r="D85" s="508"/>
      <c r="E85" s="508"/>
      <c r="F85" s="1164" t="s">
        <v>1068</v>
      </c>
      <c r="G85" s="1164"/>
      <c r="H85" s="1164"/>
      <c r="I85" s="1164"/>
      <c r="J85" s="1164"/>
      <c r="K85" s="1164" t="s">
        <v>677</v>
      </c>
      <c r="L85" s="1164"/>
      <c r="M85" s="1164"/>
      <c r="N85" s="1164" t="s">
        <v>1069</v>
      </c>
      <c r="O85" s="1164"/>
      <c r="P85" s="1164"/>
      <c r="Q85" s="1164" t="s">
        <v>362</v>
      </c>
      <c r="R85" s="1164"/>
      <c r="S85" s="1164"/>
      <c r="T85" s="1164"/>
    </row>
    <row r="86" spans="2:37">
      <c r="B86" s="1173" t="s">
        <v>987</v>
      </c>
      <c r="C86" s="1173"/>
      <c r="D86" s="1173"/>
      <c r="E86" s="1173"/>
      <c r="F86" s="1174">
        <f>+N19</f>
        <v>1325000</v>
      </c>
      <c r="G86" s="1168"/>
      <c r="H86" s="1168"/>
      <c r="I86" s="1168"/>
      <c r="J86" s="1168"/>
      <c r="K86" s="1174">
        <f>+S19</f>
        <v>172250</v>
      </c>
      <c r="L86" s="1168"/>
      <c r="M86" s="1168"/>
      <c r="N86" s="1174">
        <v>0</v>
      </c>
      <c r="O86" s="1168"/>
      <c r="P86" s="1168"/>
      <c r="Q86" s="1174">
        <f>+F86+K86+N86</f>
        <v>1497250</v>
      </c>
      <c r="R86" s="1168"/>
      <c r="S86" s="1168"/>
      <c r="T86" s="1168"/>
    </row>
    <row r="87" spans="2:37">
      <c r="B87" s="1173" t="s">
        <v>988</v>
      </c>
      <c r="C87" s="1173"/>
      <c r="D87" s="1173"/>
      <c r="E87" s="1173"/>
      <c r="F87" s="1174">
        <f>+AM21</f>
        <v>5300000</v>
      </c>
      <c r="G87" s="1168"/>
      <c r="H87" s="1168"/>
      <c r="I87" s="1168"/>
      <c r="J87" s="1168"/>
      <c r="K87" s="1174">
        <f>+BB21</f>
        <v>689000</v>
      </c>
      <c r="L87" s="1168"/>
      <c r="M87" s="1168"/>
      <c r="N87" s="1174"/>
      <c r="O87" s="1168"/>
      <c r="P87" s="1168"/>
      <c r="Q87" s="1174">
        <f t="shared" ref="Q87:Q90" si="13">+F87+K87+N87</f>
        <v>5989000</v>
      </c>
      <c r="R87" s="1168"/>
      <c r="S87" s="1168"/>
      <c r="T87" s="1168"/>
    </row>
    <row r="88" spans="2:37">
      <c r="B88" s="1173" t="s">
        <v>84</v>
      </c>
      <c r="C88" s="1173"/>
      <c r="D88" s="1173"/>
      <c r="E88" s="1173"/>
      <c r="F88" s="1174">
        <f>+N37</f>
        <v>3650000</v>
      </c>
      <c r="G88" s="1168"/>
      <c r="H88" s="1168"/>
      <c r="I88" s="1168"/>
      <c r="J88" s="1168"/>
      <c r="K88" s="1174">
        <f>+AE37</f>
        <v>474500</v>
      </c>
      <c r="L88" s="1168"/>
      <c r="M88" s="1168"/>
      <c r="N88" s="1174"/>
      <c r="O88" s="1168"/>
      <c r="P88" s="1168"/>
      <c r="Q88" s="1174">
        <f t="shared" si="13"/>
        <v>4124500</v>
      </c>
      <c r="R88" s="1168"/>
      <c r="S88" s="1168"/>
      <c r="T88" s="1168"/>
    </row>
    <row r="89" spans="2:37">
      <c r="B89" s="514" t="str">
        <f>+AI24</f>
        <v>Toamasina</v>
      </c>
      <c r="C89" s="514"/>
      <c r="D89" s="514"/>
      <c r="E89" s="514"/>
      <c r="F89" s="1174">
        <f>+AW33</f>
        <v>900000</v>
      </c>
      <c r="G89" s="1168"/>
      <c r="H89" s="1168"/>
      <c r="I89" s="1168"/>
      <c r="J89" s="1168"/>
      <c r="K89" s="1174">
        <f>+BA33</f>
        <v>117000</v>
      </c>
      <c r="L89" s="1168"/>
      <c r="M89" s="1168"/>
      <c r="N89" s="1174">
        <f>+BD33</f>
        <v>450000</v>
      </c>
      <c r="O89" s="1168"/>
      <c r="P89" s="1168"/>
      <c r="Q89" s="1174">
        <f t="shared" si="13"/>
        <v>1467000</v>
      </c>
      <c r="R89" s="1168"/>
      <c r="S89" s="1168"/>
      <c r="T89" s="1168"/>
    </row>
    <row r="90" spans="2:37">
      <c r="B90" s="1173" t="s">
        <v>353</v>
      </c>
      <c r="C90" s="1173"/>
      <c r="D90" s="1173"/>
      <c r="E90" s="1173"/>
      <c r="F90" s="1174">
        <f>+N79</f>
        <v>12025000</v>
      </c>
      <c r="G90" s="1168"/>
      <c r="H90" s="1168"/>
      <c r="I90" s="1168"/>
      <c r="J90" s="1168"/>
      <c r="K90" s="1174">
        <f>+AE79</f>
        <v>1563250</v>
      </c>
      <c r="L90" s="1168"/>
      <c r="M90" s="1168"/>
      <c r="N90" s="1174">
        <f>+AB79</f>
        <v>601250</v>
      </c>
      <c r="O90" s="1168"/>
      <c r="P90" s="1168"/>
      <c r="Q90" s="1174">
        <f t="shared" si="13"/>
        <v>14189500</v>
      </c>
      <c r="R90" s="1168"/>
      <c r="S90" s="1168"/>
      <c r="T90" s="1168"/>
    </row>
    <row r="91" spans="2:37">
      <c r="B91" s="1175" t="s">
        <v>362</v>
      </c>
      <c r="C91" s="1175"/>
      <c r="D91" s="1175"/>
      <c r="E91" s="1175"/>
      <c r="F91" s="1176">
        <v>21980000</v>
      </c>
      <c r="G91" s="1175"/>
      <c r="H91" s="1175"/>
      <c r="I91" s="1175"/>
      <c r="J91" s="1175"/>
      <c r="K91" s="1176">
        <v>219800</v>
      </c>
      <c r="L91" s="1175"/>
      <c r="M91" s="1175"/>
      <c r="N91" s="1176">
        <v>219800</v>
      </c>
      <c r="O91" s="1175"/>
      <c r="P91" s="1175"/>
      <c r="Q91" s="1176">
        <v>22199800</v>
      </c>
      <c r="R91" s="1175"/>
      <c r="S91" s="1175"/>
      <c r="T91" s="1175"/>
    </row>
    <row r="92" spans="2:37" ht="16.5" thickBot="1"/>
    <row r="93" spans="2:37">
      <c r="B93" s="1170" t="s">
        <v>1070</v>
      </c>
      <c r="C93" s="1170"/>
      <c r="D93" s="1170"/>
      <c r="L93" s="1164" t="s">
        <v>1071</v>
      </c>
      <c r="M93" s="1164"/>
      <c r="N93" s="1164"/>
      <c r="O93" s="1164"/>
      <c r="P93" s="1164"/>
      <c r="Q93" s="1164"/>
      <c r="R93" s="1164"/>
      <c r="S93" s="1164"/>
      <c r="T93" s="1164"/>
      <c r="U93" s="1164"/>
      <c r="V93" s="1164"/>
      <c r="W93" s="1164"/>
    </row>
    <row r="94" spans="2:37">
      <c r="B94" s="514" t="s">
        <v>1072</v>
      </c>
      <c r="L94" s="1171" t="s">
        <v>1073</v>
      </c>
      <c r="M94" s="1171"/>
      <c r="N94" s="1171"/>
      <c r="O94" s="1171"/>
      <c r="P94" s="1171" t="s">
        <v>1005</v>
      </c>
      <c r="Q94" s="1171"/>
      <c r="R94" s="1171"/>
      <c r="S94" s="1171"/>
      <c r="T94" s="1171" t="s">
        <v>1074</v>
      </c>
      <c r="U94" s="1171"/>
      <c r="V94" s="1171"/>
      <c r="W94" s="1171"/>
    </row>
    <row r="95" spans="2:37" ht="16.5" thickBot="1">
      <c r="B95" s="514" t="s">
        <v>1075</v>
      </c>
      <c r="L95" s="1172">
        <v>2.5</v>
      </c>
      <c r="M95" s="1172"/>
      <c r="N95" s="1172"/>
      <c r="O95" s="1172"/>
      <c r="P95" s="1172">
        <v>1.5</v>
      </c>
      <c r="Q95" s="1172"/>
      <c r="R95" s="1172"/>
      <c r="S95" s="1172"/>
      <c r="T95" s="1172">
        <v>15</v>
      </c>
      <c r="U95" s="1172"/>
      <c r="V95" s="1172"/>
      <c r="W95" s="1172"/>
    </row>
    <row r="96" spans="2:37">
      <c r="B96" s="514" t="s">
        <v>1076</v>
      </c>
    </row>
    <row r="97" spans="2:29">
      <c r="B97" s="487" t="s">
        <v>1077</v>
      </c>
    </row>
    <row r="98" spans="2:29" ht="16.5" thickBot="1">
      <c r="B98" s="487" t="s">
        <v>831</v>
      </c>
    </row>
    <row r="99" spans="2:29" ht="16.5">
      <c r="B99" s="515" t="s">
        <v>1078</v>
      </c>
      <c r="C99" s="516"/>
      <c r="D99" s="516"/>
      <c r="E99" s="516"/>
      <c r="F99" s="516"/>
      <c r="G99" s="516"/>
      <c r="H99" s="516"/>
      <c r="I99" s="517" t="s">
        <v>1067</v>
      </c>
      <c r="J99" s="518" t="s">
        <v>1067</v>
      </c>
      <c r="K99" s="519"/>
      <c r="L99" s="519"/>
      <c r="M99" s="519"/>
      <c r="N99" s="520">
        <v>0.5</v>
      </c>
      <c r="O99" s="520">
        <v>0.6</v>
      </c>
      <c r="P99" s="520">
        <v>0.65</v>
      </c>
      <c r="Q99" s="520">
        <v>0.7</v>
      </c>
      <c r="R99" s="520">
        <v>0.75</v>
      </c>
      <c r="S99" s="520">
        <v>0.85</v>
      </c>
      <c r="T99" s="520">
        <v>0.95</v>
      </c>
      <c r="AA99" s="667" t="s">
        <v>381</v>
      </c>
    </row>
    <row r="100" spans="2:29" ht="16.5">
      <c r="B100" s="515"/>
      <c r="C100" s="515">
        <v>6</v>
      </c>
      <c r="D100" s="515" t="s">
        <v>1079</v>
      </c>
      <c r="E100" s="515">
        <v>2.5</v>
      </c>
      <c r="F100" s="1169">
        <v>15</v>
      </c>
      <c r="G100" s="1169"/>
      <c r="H100" s="1169"/>
      <c r="I100" s="517" t="s">
        <v>1080</v>
      </c>
      <c r="J100" s="515"/>
      <c r="K100" s="515"/>
      <c r="L100" s="515"/>
      <c r="M100" s="515"/>
      <c r="N100" s="582">
        <v>7.5</v>
      </c>
      <c r="O100" s="582">
        <v>9</v>
      </c>
      <c r="P100" s="582">
        <v>9.75</v>
      </c>
      <c r="Q100" s="582">
        <v>10.5</v>
      </c>
      <c r="R100" s="582">
        <v>11.25</v>
      </c>
      <c r="S100" s="582">
        <v>12.75</v>
      </c>
      <c r="T100" s="582">
        <v>14.25</v>
      </c>
      <c r="AA100" s="582">
        <f>+N100*25</f>
        <v>187.5</v>
      </c>
    </row>
    <row r="101" spans="2:29" ht="16.5">
      <c r="B101" s="515"/>
      <c r="C101" s="515">
        <v>6</v>
      </c>
      <c r="D101" s="515" t="s">
        <v>1079</v>
      </c>
      <c r="E101" s="515">
        <v>2.5</v>
      </c>
      <c r="F101" s="1169">
        <v>15</v>
      </c>
      <c r="G101" s="1169"/>
      <c r="H101" s="1169"/>
      <c r="I101" s="517" t="s">
        <v>467</v>
      </c>
      <c r="J101" s="521"/>
      <c r="K101" s="521"/>
      <c r="L101" s="521"/>
      <c r="M101" s="521"/>
      <c r="N101" s="583">
        <v>7.5</v>
      </c>
      <c r="O101" s="583">
        <v>9</v>
      </c>
      <c r="P101" s="583">
        <v>9.75</v>
      </c>
      <c r="Q101" s="583">
        <v>10.5</v>
      </c>
      <c r="R101" s="583">
        <v>11.25</v>
      </c>
      <c r="S101" s="583">
        <v>12.75</v>
      </c>
      <c r="T101" s="583">
        <v>14.25</v>
      </c>
      <c r="AA101" s="583">
        <f>+N101*25</f>
        <v>187.5</v>
      </c>
    </row>
    <row r="102" spans="2:29" ht="16.5">
      <c r="B102" s="515" t="s">
        <v>1081</v>
      </c>
      <c r="C102" s="515"/>
      <c r="D102" s="515"/>
      <c r="E102" s="515"/>
      <c r="F102" s="522"/>
      <c r="G102" s="522"/>
      <c r="H102" s="522"/>
      <c r="I102" s="523"/>
      <c r="J102" s="524" t="s">
        <v>1082</v>
      </c>
      <c r="K102" s="525"/>
      <c r="L102" s="525"/>
      <c r="M102" s="525"/>
      <c r="N102" s="584">
        <v>15</v>
      </c>
      <c r="O102" s="584">
        <v>18</v>
      </c>
      <c r="P102" s="584">
        <v>19.5</v>
      </c>
      <c r="Q102" s="584">
        <v>21</v>
      </c>
      <c r="R102" s="584">
        <v>22.5</v>
      </c>
      <c r="S102" s="584">
        <v>25.5</v>
      </c>
      <c r="T102" s="584">
        <v>28.5</v>
      </c>
      <c r="AA102" s="584">
        <f>SUM(AA100:AA101)</f>
        <v>375</v>
      </c>
    </row>
    <row r="103" spans="2:29" ht="16.5">
      <c r="C103" s="515">
        <v>6</v>
      </c>
      <c r="D103" s="515" t="s">
        <v>1079</v>
      </c>
      <c r="E103" s="515">
        <v>5</v>
      </c>
      <c r="F103" s="1169">
        <v>30</v>
      </c>
      <c r="G103" s="1169"/>
      <c r="H103" s="1169"/>
      <c r="I103" s="526" t="s">
        <v>851</v>
      </c>
      <c r="J103" s="488"/>
      <c r="K103" s="488"/>
      <c r="L103" s="488"/>
      <c r="M103" s="488"/>
      <c r="N103" s="583">
        <v>15</v>
      </c>
      <c r="O103" s="583">
        <v>18</v>
      </c>
      <c r="P103" s="583">
        <v>19.5</v>
      </c>
      <c r="Q103" s="583">
        <v>21</v>
      </c>
      <c r="R103" s="583">
        <v>22.5</v>
      </c>
      <c r="S103" s="583">
        <v>25.5</v>
      </c>
      <c r="T103" s="583">
        <v>28.5</v>
      </c>
      <c r="AA103" s="583">
        <f>+N103*25</f>
        <v>375</v>
      </c>
    </row>
    <row r="104" spans="2:29" ht="17.25" thickBot="1">
      <c r="B104" s="516"/>
      <c r="C104" s="515"/>
      <c r="D104" s="515"/>
      <c r="E104" s="515"/>
      <c r="F104" s="522"/>
      <c r="G104" s="522"/>
      <c r="H104" s="522"/>
      <c r="I104" s="526"/>
      <c r="J104" s="498" t="s">
        <v>975</v>
      </c>
      <c r="K104" s="509"/>
      <c r="L104" s="509"/>
      <c r="M104" s="509"/>
      <c r="N104" s="585">
        <v>30</v>
      </c>
      <c r="O104" s="585">
        <v>36</v>
      </c>
      <c r="P104" s="585">
        <v>39</v>
      </c>
      <c r="Q104" s="585">
        <v>42</v>
      </c>
      <c r="R104" s="585">
        <v>45</v>
      </c>
      <c r="S104" s="585">
        <v>51</v>
      </c>
      <c r="T104" s="585">
        <v>57</v>
      </c>
      <c r="AA104" s="585">
        <f>+AA103+AA102</f>
        <v>750</v>
      </c>
    </row>
    <row r="105" spans="2:29" ht="3" customHeight="1" thickBot="1">
      <c r="C105" s="515"/>
      <c r="D105" s="515"/>
      <c r="E105" s="515"/>
      <c r="F105" s="522"/>
      <c r="G105" s="522"/>
      <c r="H105" s="522"/>
    </row>
    <row r="106" spans="2:29" ht="16.5">
      <c r="J106" s="508" t="s">
        <v>1083</v>
      </c>
      <c r="K106" s="496"/>
      <c r="L106" s="496"/>
      <c r="M106" s="496"/>
      <c r="N106" s="520">
        <v>0.5</v>
      </c>
      <c r="O106" s="520">
        <v>0.6</v>
      </c>
      <c r="P106" s="520">
        <v>0.65</v>
      </c>
      <c r="Q106" s="520">
        <v>0.7</v>
      </c>
      <c r="R106" s="520">
        <v>0.75</v>
      </c>
      <c r="S106" s="520">
        <v>0.85</v>
      </c>
      <c r="T106" s="520">
        <v>0.95</v>
      </c>
    </row>
    <row r="107" spans="2:29" ht="16.5">
      <c r="J107" s="527" t="s">
        <v>414</v>
      </c>
      <c r="N107" s="582">
        <v>30</v>
      </c>
      <c r="O107" s="582">
        <v>36</v>
      </c>
      <c r="P107" s="582">
        <v>39</v>
      </c>
      <c r="Q107" s="582">
        <v>42</v>
      </c>
      <c r="R107" s="582">
        <v>45</v>
      </c>
      <c r="S107" s="582">
        <v>51</v>
      </c>
      <c r="T107" s="582">
        <v>57</v>
      </c>
    </row>
    <row r="108" spans="2:29" ht="16.5">
      <c r="J108" s="527" t="s">
        <v>415</v>
      </c>
      <c r="N108" s="582">
        <v>150</v>
      </c>
      <c r="O108" s="582">
        <v>180</v>
      </c>
      <c r="P108" s="582">
        <v>195</v>
      </c>
      <c r="Q108" s="582">
        <v>210</v>
      </c>
      <c r="R108" s="582">
        <v>225</v>
      </c>
      <c r="S108" s="582">
        <v>255</v>
      </c>
      <c r="T108" s="582">
        <v>285</v>
      </c>
    </row>
    <row r="109" spans="2:29" ht="17.25" thickBot="1">
      <c r="J109" s="528" t="s">
        <v>381</v>
      </c>
      <c r="K109" s="499"/>
      <c r="L109" s="499"/>
      <c r="M109" s="499"/>
      <c r="N109" s="586">
        <f>+N107*25</f>
        <v>750</v>
      </c>
      <c r="O109" s="586">
        <f t="shared" ref="O109:T109" si="14">+O107*25</f>
        <v>900</v>
      </c>
      <c r="P109" s="586">
        <f t="shared" si="14"/>
        <v>975</v>
      </c>
      <c r="Q109" s="586">
        <f t="shared" si="14"/>
        <v>1050</v>
      </c>
      <c r="R109" s="586">
        <f t="shared" si="14"/>
        <v>1125</v>
      </c>
      <c r="S109" s="586">
        <f t="shared" si="14"/>
        <v>1275</v>
      </c>
      <c r="T109" s="586">
        <f t="shared" si="14"/>
        <v>1425</v>
      </c>
    </row>
    <row r="110" spans="2:29" ht="4.5" customHeight="1" thickBot="1"/>
    <row r="111" spans="2:29">
      <c r="B111" s="508" t="s">
        <v>1084</v>
      </c>
      <c r="C111" s="508"/>
      <c r="D111" s="508"/>
      <c r="E111" s="508"/>
      <c r="F111" s="508"/>
      <c r="G111" s="508"/>
      <c r="H111" s="508"/>
      <c r="I111" s="508"/>
      <c r="J111" s="1165">
        <v>0.5</v>
      </c>
      <c r="K111" s="1164"/>
      <c r="L111" s="1165">
        <v>0.6</v>
      </c>
      <c r="M111" s="1164"/>
      <c r="N111" s="1165">
        <v>0.65</v>
      </c>
      <c r="O111" s="1164"/>
      <c r="P111" s="1165">
        <v>0.7</v>
      </c>
      <c r="Q111" s="1164"/>
      <c r="R111" s="1165">
        <v>0.75</v>
      </c>
      <c r="S111" s="1164"/>
      <c r="T111" s="1165">
        <v>0.85</v>
      </c>
      <c r="U111" s="1164"/>
      <c r="V111" s="1165">
        <v>0.95</v>
      </c>
      <c r="W111" s="1164"/>
    </row>
    <row r="112" spans="2:29">
      <c r="B112" s="514" t="s">
        <v>1085</v>
      </c>
      <c r="J112" s="1161">
        <v>1875000</v>
      </c>
      <c r="K112" s="1161">
        <v>0</v>
      </c>
      <c r="L112" s="1161">
        <v>2250000</v>
      </c>
      <c r="M112" s="1161">
        <v>0</v>
      </c>
      <c r="N112" s="1161">
        <v>2437500</v>
      </c>
      <c r="O112" s="1161">
        <v>0</v>
      </c>
      <c r="P112" s="1161">
        <v>2625000</v>
      </c>
      <c r="Q112" s="1161">
        <v>0</v>
      </c>
      <c r="R112" s="1161">
        <v>2812500</v>
      </c>
      <c r="S112" s="1161">
        <v>0</v>
      </c>
      <c r="T112" s="1161">
        <v>3187500</v>
      </c>
      <c r="U112" s="1161">
        <v>0</v>
      </c>
      <c r="V112" s="1161">
        <v>3562500</v>
      </c>
      <c r="W112" s="1161">
        <v>0</v>
      </c>
      <c r="Z112" s="587"/>
      <c r="AA112" s="587"/>
      <c r="AB112" s="587"/>
      <c r="AC112" s="587"/>
    </row>
    <row r="113" spans="2:29">
      <c r="B113" s="514" t="s">
        <v>1086</v>
      </c>
      <c r="J113" s="1161">
        <v>281250</v>
      </c>
      <c r="K113" s="1161">
        <v>0</v>
      </c>
      <c r="L113" s="1161">
        <v>337500</v>
      </c>
      <c r="M113" s="1161">
        <v>0</v>
      </c>
      <c r="N113" s="1161">
        <v>365625</v>
      </c>
      <c r="O113" s="1161">
        <v>0</v>
      </c>
      <c r="P113" s="1161">
        <v>393750</v>
      </c>
      <c r="Q113" s="1161">
        <v>1</v>
      </c>
      <c r="R113" s="1161">
        <v>421875</v>
      </c>
      <c r="S113" s="1161">
        <v>0</v>
      </c>
      <c r="T113" s="1161">
        <v>478125</v>
      </c>
      <c r="U113" s="1161">
        <v>0</v>
      </c>
      <c r="V113" s="1161">
        <v>534375</v>
      </c>
      <c r="W113" s="1161">
        <v>0</v>
      </c>
      <c r="Z113" s="587"/>
      <c r="AA113" s="587"/>
      <c r="AB113" s="587"/>
      <c r="AC113" s="587"/>
    </row>
    <row r="114" spans="2:29">
      <c r="B114" s="514" t="s">
        <v>1087</v>
      </c>
      <c r="J114" s="1161">
        <v>2812500</v>
      </c>
      <c r="K114" s="1161">
        <v>0</v>
      </c>
      <c r="L114" s="1161">
        <v>3375000</v>
      </c>
      <c r="M114" s="1161">
        <v>0</v>
      </c>
      <c r="N114" s="1161">
        <v>3656250</v>
      </c>
      <c r="O114" s="1161">
        <v>0</v>
      </c>
      <c r="P114" s="1161">
        <v>3937500</v>
      </c>
      <c r="Q114" s="1161">
        <v>0</v>
      </c>
      <c r="R114" s="1161">
        <v>4218750</v>
      </c>
      <c r="S114" s="1161">
        <v>0</v>
      </c>
      <c r="T114" s="1161">
        <v>4781250</v>
      </c>
      <c r="U114" s="1161">
        <v>0</v>
      </c>
      <c r="V114" s="1161">
        <v>5343750</v>
      </c>
      <c r="W114" s="1161">
        <v>0</v>
      </c>
      <c r="Y114" s="587"/>
      <c r="Z114" s="587"/>
      <c r="AA114" s="587"/>
      <c r="AB114" s="587"/>
      <c r="AC114" s="587"/>
    </row>
    <row r="115" spans="2:29" ht="16.5" thickBot="1">
      <c r="B115" s="529" t="s">
        <v>1088</v>
      </c>
      <c r="C115" s="499"/>
      <c r="D115" s="499"/>
      <c r="E115" s="499"/>
      <c r="F115" s="499"/>
      <c r="G115" s="499"/>
      <c r="H115" s="499"/>
      <c r="I115" s="499"/>
      <c r="J115" s="1167">
        <v>3750000</v>
      </c>
      <c r="K115" s="1167">
        <v>0</v>
      </c>
      <c r="L115" s="1167">
        <v>4500000</v>
      </c>
      <c r="M115" s="1167">
        <v>0</v>
      </c>
      <c r="N115" s="1167">
        <v>4875000</v>
      </c>
      <c r="O115" s="1167">
        <v>0</v>
      </c>
      <c r="P115" s="1167">
        <v>5250000</v>
      </c>
      <c r="Q115" s="1167">
        <v>0</v>
      </c>
      <c r="R115" s="1167">
        <v>5625000</v>
      </c>
      <c r="S115" s="1167">
        <v>0</v>
      </c>
      <c r="T115" s="1167">
        <v>6375000</v>
      </c>
      <c r="U115" s="1167">
        <v>0</v>
      </c>
      <c r="V115" s="1167">
        <v>7125000</v>
      </c>
      <c r="W115" s="1167">
        <v>0</v>
      </c>
      <c r="AA115" s="587"/>
    </row>
    <row r="116" spans="2:29" ht="6" customHeight="1" thickBot="1"/>
    <row r="117" spans="2:29">
      <c r="B117" s="530" t="s">
        <v>1089</v>
      </c>
      <c r="C117" s="496"/>
      <c r="D117" s="496"/>
      <c r="E117" s="496"/>
      <c r="F117" s="496"/>
      <c r="G117" s="1164" t="s">
        <v>1002</v>
      </c>
      <c r="H117" s="1164"/>
      <c r="I117" s="1164"/>
      <c r="J117" s="1165">
        <v>0.5</v>
      </c>
      <c r="K117" s="1164"/>
      <c r="L117" s="1165">
        <v>0.6</v>
      </c>
      <c r="M117" s="1164"/>
      <c r="N117" s="1165">
        <v>0.65</v>
      </c>
      <c r="O117" s="1164"/>
      <c r="P117" s="1165">
        <v>0.7</v>
      </c>
      <c r="Q117" s="1164"/>
      <c r="R117" s="1165">
        <v>0.75</v>
      </c>
      <c r="S117" s="1164"/>
      <c r="T117" s="1165">
        <v>0.85</v>
      </c>
      <c r="U117" s="1164"/>
      <c r="V117" s="1165">
        <v>0.95</v>
      </c>
      <c r="W117" s="1164"/>
    </row>
    <row r="118" spans="2:29">
      <c r="B118" s="531" t="s">
        <v>467</v>
      </c>
      <c r="G118" s="1168">
        <v>12</v>
      </c>
      <c r="H118" s="1168"/>
      <c r="I118" s="1168"/>
      <c r="J118" s="1161">
        <v>234375</v>
      </c>
      <c r="K118" s="1161"/>
      <c r="L118" s="1161">
        <v>281250</v>
      </c>
      <c r="M118" s="1161"/>
      <c r="N118" s="1161">
        <v>304687.5</v>
      </c>
      <c r="O118" s="1161"/>
      <c r="P118" s="1161">
        <v>328125</v>
      </c>
      <c r="Q118" s="1161"/>
      <c r="R118" s="1161">
        <v>351562.5</v>
      </c>
      <c r="S118" s="1161"/>
      <c r="T118" s="1161">
        <v>398437.5</v>
      </c>
      <c r="U118" s="1161"/>
      <c r="V118" s="1161">
        <v>445312.5</v>
      </c>
      <c r="W118" s="1161"/>
    </row>
    <row r="119" spans="2:29">
      <c r="B119" s="531" t="s">
        <v>1080</v>
      </c>
      <c r="G119" s="1168">
        <v>12</v>
      </c>
      <c r="H119" s="1168"/>
      <c r="I119" s="1168"/>
      <c r="J119" s="1161">
        <v>234375</v>
      </c>
      <c r="K119" s="1161"/>
      <c r="L119" s="1161">
        <v>281250</v>
      </c>
      <c r="M119" s="1161"/>
      <c r="N119" s="1161">
        <v>304687.5</v>
      </c>
      <c r="O119" s="1161"/>
      <c r="P119" s="1161">
        <v>328125</v>
      </c>
      <c r="Q119" s="1161"/>
      <c r="R119" s="1161">
        <v>351562.5</v>
      </c>
      <c r="S119" s="1161"/>
      <c r="T119" s="1161">
        <v>398437.5</v>
      </c>
      <c r="U119" s="1161"/>
      <c r="V119" s="1161">
        <v>445312.5</v>
      </c>
      <c r="W119" s="1161"/>
    </row>
    <row r="120" spans="2:29" ht="16.5" thickBot="1">
      <c r="B120" s="532" t="s">
        <v>851</v>
      </c>
      <c r="C120" s="499"/>
      <c r="D120" s="499"/>
      <c r="E120" s="499"/>
      <c r="F120" s="499"/>
      <c r="G120" s="1166">
        <v>12</v>
      </c>
      <c r="H120" s="1166"/>
      <c r="I120" s="1166"/>
      <c r="J120" s="1167">
        <v>312500</v>
      </c>
      <c r="K120" s="1167"/>
      <c r="L120" s="1167">
        <v>375000</v>
      </c>
      <c r="M120" s="1167"/>
      <c r="N120" s="1167">
        <v>406250</v>
      </c>
      <c r="O120" s="1167"/>
      <c r="P120" s="1167">
        <v>437500</v>
      </c>
      <c r="Q120" s="1167"/>
      <c r="R120" s="1167">
        <v>468750</v>
      </c>
      <c r="S120" s="1167"/>
      <c r="T120" s="1167">
        <v>531250</v>
      </c>
      <c r="U120" s="1167"/>
      <c r="V120" s="1167">
        <v>593750</v>
      </c>
      <c r="W120" s="1167"/>
    </row>
    <row r="121" spans="2:29" ht="6" customHeight="1" thickBot="1"/>
    <row r="122" spans="2:29">
      <c r="B122" s="530" t="s">
        <v>1090</v>
      </c>
      <c r="C122" s="496"/>
      <c r="D122" s="496"/>
      <c r="E122" s="496"/>
      <c r="F122" s="496"/>
      <c r="G122" s="1164"/>
      <c r="H122" s="1164"/>
      <c r="I122" s="1164"/>
      <c r="J122" s="1165">
        <v>0.5</v>
      </c>
      <c r="K122" s="1164"/>
      <c r="L122" s="1165">
        <v>0.6</v>
      </c>
      <c r="M122" s="1164"/>
      <c r="N122" s="1165">
        <v>0.65</v>
      </c>
      <c r="O122" s="1164"/>
      <c r="P122" s="1165">
        <v>0.7</v>
      </c>
      <c r="Q122" s="1164"/>
      <c r="R122" s="1165">
        <v>0.75</v>
      </c>
      <c r="S122" s="1164"/>
      <c r="T122" s="1165">
        <v>0.85</v>
      </c>
      <c r="U122" s="1164"/>
      <c r="V122" s="1165">
        <v>0.95</v>
      </c>
      <c r="W122" s="1164"/>
    </row>
    <row r="123" spans="2:29">
      <c r="B123" s="533" t="s">
        <v>1009</v>
      </c>
      <c r="G123" s="503"/>
      <c r="H123" s="503"/>
      <c r="I123" s="503"/>
      <c r="J123" s="534"/>
      <c r="K123" s="503"/>
      <c r="L123" s="534"/>
      <c r="M123" s="503"/>
      <c r="N123" s="534"/>
      <c r="O123" s="503"/>
      <c r="P123" s="534"/>
      <c r="Q123" s="503"/>
      <c r="R123" s="534"/>
      <c r="S123" s="503"/>
      <c r="T123" s="534"/>
      <c r="U123" s="503"/>
      <c r="V123" s="534"/>
      <c r="W123" s="503"/>
    </row>
    <row r="124" spans="2:29">
      <c r="B124" s="514" t="s">
        <v>1091</v>
      </c>
      <c r="J124" s="1161">
        <f>+F64</f>
        <v>250000</v>
      </c>
      <c r="K124" s="1161"/>
      <c r="L124" s="1161">
        <f>+J124</f>
        <v>250000</v>
      </c>
      <c r="M124" s="1161"/>
      <c r="N124" s="1161">
        <f t="shared" ref="N124" si="15">+L124</f>
        <v>250000</v>
      </c>
      <c r="O124" s="1161"/>
      <c r="P124" s="1161">
        <f t="shared" ref="P124" si="16">+N124</f>
        <v>250000</v>
      </c>
      <c r="Q124" s="1161"/>
      <c r="R124" s="1161">
        <f t="shared" ref="R124" si="17">+P124</f>
        <v>250000</v>
      </c>
      <c r="S124" s="1161"/>
      <c r="T124" s="1161">
        <f t="shared" ref="T124" si="18">+R124</f>
        <v>250000</v>
      </c>
      <c r="U124" s="1161"/>
      <c r="V124" s="1161">
        <f t="shared" ref="V124" si="19">+T124</f>
        <v>250000</v>
      </c>
      <c r="W124" s="1161"/>
    </row>
    <row r="125" spans="2:29">
      <c r="B125" s="514" t="s">
        <v>1092</v>
      </c>
      <c r="J125" s="1161">
        <f>+J118</f>
        <v>234375</v>
      </c>
      <c r="K125" s="1161"/>
      <c r="L125" s="1161">
        <f t="shared" ref="L125" si="20">+L118</f>
        <v>281250</v>
      </c>
      <c r="M125" s="1161"/>
      <c r="N125" s="1161">
        <f t="shared" ref="N125" si="21">+N118</f>
        <v>304687.5</v>
      </c>
      <c r="O125" s="1161"/>
      <c r="P125" s="1161">
        <f t="shared" ref="P125" si="22">+P118</f>
        <v>328125</v>
      </c>
      <c r="Q125" s="1161"/>
      <c r="R125" s="1161">
        <f t="shared" ref="R125" si="23">+R118</f>
        <v>351562.5</v>
      </c>
      <c r="S125" s="1161"/>
      <c r="T125" s="1161">
        <f t="shared" ref="T125" si="24">+T118</f>
        <v>398437.5</v>
      </c>
      <c r="U125" s="1161"/>
      <c r="V125" s="1161">
        <f t="shared" ref="V125" si="25">+V118</f>
        <v>445312.5</v>
      </c>
      <c r="W125" s="1161"/>
    </row>
    <row r="126" spans="2:29">
      <c r="B126" s="535" t="s">
        <v>1093</v>
      </c>
      <c r="C126" s="535"/>
      <c r="D126" s="535"/>
      <c r="E126" s="535"/>
      <c r="F126" s="535"/>
      <c r="G126" s="535"/>
      <c r="H126" s="535"/>
      <c r="I126" s="535"/>
      <c r="J126" s="1163">
        <v>434375</v>
      </c>
      <c r="K126" s="1163"/>
      <c r="L126" s="1163">
        <v>481250</v>
      </c>
      <c r="M126" s="1163"/>
      <c r="N126" s="1163">
        <v>504687.5</v>
      </c>
      <c r="O126" s="1163"/>
      <c r="P126" s="1163">
        <v>528125</v>
      </c>
      <c r="Q126" s="1163"/>
      <c r="R126" s="1163">
        <v>551562.5</v>
      </c>
      <c r="S126" s="1163"/>
      <c r="T126" s="1163">
        <v>598437.5</v>
      </c>
      <c r="U126" s="1163"/>
      <c r="V126" s="1163">
        <v>645312.5</v>
      </c>
      <c r="W126" s="1163"/>
    </row>
    <row r="127" spans="2:29">
      <c r="B127" s="533" t="s">
        <v>1036</v>
      </c>
      <c r="J127" s="536"/>
      <c r="K127" s="536"/>
      <c r="L127" s="536"/>
      <c r="M127" s="536"/>
      <c r="N127" s="536"/>
      <c r="O127" s="536"/>
      <c r="P127" s="536"/>
      <c r="Q127" s="536"/>
      <c r="R127" s="536"/>
      <c r="S127" s="536"/>
      <c r="T127" s="536"/>
      <c r="U127" s="536"/>
      <c r="V127" s="536"/>
      <c r="W127" s="536"/>
    </row>
    <row r="128" spans="2:29">
      <c r="B128" s="514" t="s">
        <v>1091</v>
      </c>
      <c r="J128" s="1161">
        <f>+F65</f>
        <v>150000</v>
      </c>
      <c r="K128" s="1161"/>
      <c r="L128" s="1161">
        <f>+J128</f>
        <v>150000</v>
      </c>
      <c r="M128" s="1161"/>
      <c r="N128" s="1161">
        <f t="shared" ref="N128" si="26">+L128</f>
        <v>150000</v>
      </c>
      <c r="O128" s="1161"/>
      <c r="P128" s="1161">
        <f t="shared" ref="P128" si="27">+N128</f>
        <v>150000</v>
      </c>
      <c r="Q128" s="1161"/>
      <c r="R128" s="1161">
        <f t="shared" ref="R128" si="28">+P128</f>
        <v>150000</v>
      </c>
      <c r="S128" s="1161"/>
      <c r="T128" s="1161">
        <f t="shared" ref="T128" si="29">+R128</f>
        <v>150000</v>
      </c>
      <c r="U128" s="1161"/>
      <c r="V128" s="1161">
        <f t="shared" ref="V128" si="30">+T128</f>
        <v>150000</v>
      </c>
      <c r="W128" s="1161"/>
    </row>
    <row r="129" spans="2:24">
      <c r="B129" s="537" t="s">
        <v>1092</v>
      </c>
      <c r="C129" s="488"/>
      <c r="D129" s="488"/>
      <c r="E129" s="488"/>
      <c r="F129" s="488"/>
      <c r="G129" s="488"/>
      <c r="H129" s="488"/>
      <c r="I129" s="488"/>
      <c r="J129" s="1162">
        <f>+J119</f>
        <v>234375</v>
      </c>
      <c r="K129" s="1162"/>
      <c r="L129" s="1162">
        <f t="shared" ref="L129" si="31">+L119</f>
        <v>281250</v>
      </c>
      <c r="M129" s="1162"/>
      <c r="N129" s="1162">
        <f t="shared" ref="N129" si="32">+N119</f>
        <v>304687.5</v>
      </c>
      <c r="O129" s="1162"/>
      <c r="P129" s="1162">
        <f t="shared" ref="P129" si="33">+P119</f>
        <v>328125</v>
      </c>
      <c r="Q129" s="1162"/>
      <c r="R129" s="1162">
        <f t="shared" ref="R129" si="34">+R119</f>
        <v>351562.5</v>
      </c>
      <c r="S129" s="1162"/>
      <c r="T129" s="1162">
        <f t="shared" ref="T129" si="35">+T119</f>
        <v>398437.5</v>
      </c>
      <c r="U129" s="1162"/>
      <c r="V129" s="1162">
        <f t="shared" ref="V129" si="36">+V119</f>
        <v>445312.5</v>
      </c>
      <c r="W129" s="1162"/>
    </row>
    <row r="130" spans="2:24" ht="16.5" thickBot="1">
      <c r="B130" s="509" t="s">
        <v>1093</v>
      </c>
      <c r="C130" s="509"/>
      <c r="D130" s="509"/>
      <c r="E130" s="509"/>
      <c r="F130" s="509"/>
      <c r="G130" s="509"/>
      <c r="H130" s="509"/>
      <c r="I130" s="509"/>
      <c r="J130" s="1160">
        <v>334375</v>
      </c>
      <c r="K130" s="1160"/>
      <c r="L130" s="1160">
        <v>381250</v>
      </c>
      <c r="M130" s="1160"/>
      <c r="N130" s="1160">
        <v>404687.5</v>
      </c>
      <c r="O130" s="1160"/>
      <c r="P130" s="1160">
        <v>428125</v>
      </c>
      <c r="Q130" s="1160"/>
      <c r="R130" s="1160">
        <v>451562.5</v>
      </c>
      <c r="S130" s="1160"/>
      <c r="T130" s="1160">
        <v>498437.5</v>
      </c>
      <c r="U130" s="1160"/>
      <c r="V130" s="1160">
        <v>545312.5</v>
      </c>
      <c r="W130" s="1160"/>
    </row>
    <row r="133" spans="2:24">
      <c r="K133" s="487">
        <v>500</v>
      </c>
      <c r="L133" s="487">
        <f>+$K$133*(1+L122)</f>
        <v>800</v>
      </c>
      <c r="N133" s="487">
        <f t="shared" ref="N133:V133" si="37">+$K$133*(1+N122)</f>
        <v>825</v>
      </c>
      <c r="P133" s="487">
        <f t="shared" si="37"/>
        <v>850</v>
      </c>
      <c r="R133" s="487">
        <f>+$K$133*(1+R122)</f>
        <v>875</v>
      </c>
      <c r="T133" s="487">
        <f t="shared" si="37"/>
        <v>925</v>
      </c>
      <c r="V133" s="487">
        <f t="shared" si="37"/>
        <v>975</v>
      </c>
      <c r="X133" s="487">
        <v>1000</v>
      </c>
    </row>
    <row r="134" spans="2:24">
      <c r="B134" s="514" t="s">
        <v>1085</v>
      </c>
      <c r="K134" s="487">
        <f>+K133*2.5</f>
        <v>1250</v>
      </c>
    </row>
    <row r="135" spans="2:24">
      <c r="B135" s="514" t="s">
        <v>1086</v>
      </c>
      <c r="K135" s="487">
        <f>+K133*1.5</f>
        <v>750</v>
      </c>
    </row>
    <row r="136" spans="2:24">
      <c r="B136" s="514" t="s">
        <v>1087</v>
      </c>
      <c r="K136" s="487">
        <f>+K133*15</f>
        <v>7500</v>
      </c>
    </row>
    <row r="137" spans="2:24">
      <c r="B137" s="514" t="s">
        <v>1088</v>
      </c>
      <c r="K137" s="487">
        <f>+K133*10</f>
        <v>5000</v>
      </c>
    </row>
  </sheetData>
  <mergeCells count="518">
    <mergeCell ref="BL14:BO14"/>
    <mergeCell ref="BL15:BO15"/>
    <mergeCell ref="BL16:BO16"/>
    <mergeCell ref="BL17:BO17"/>
    <mergeCell ref="BL18:BO18"/>
    <mergeCell ref="BL19:BO19"/>
    <mergeCell ref="BL20:BO20"/>
    <mergeCell ref="BL21:BO21"/>
    <mergeCell ref="AR7:AU8"/>
    <mergeCell ref="AW7:AZ8"/>
    <mergeCell ref="BE19:BI19"/>
    <mergeCell ref="AR19:AS19"/>
    <mergeCell ref="BB19:BD19"/>
    <mergeCell ref="AR17:AS17"/>
    <mergeCell ref="BB17:BD17"/>
    <mergeCell ref="BE17:BI17"/>
    <mergeCell ref="AR18:AS18"/>
    <mergeCell ref="BB18:BD18"/>
    <mergeCell ref="BE18:BI18"/>
    <mergeCell ref="D11:G12"/>
    <mergeCell ref="N11:Q12"/>
    <mergeCell ref="AC13:AF13"/>
    <mergeCell ref="AG13:AK13"/>
    <mergeCell ref="AM13:AQ13"/>
    <mergeCell ref="AR13:BA13"/>
    <mergeCell ref="AL3:AQ4"/>
    <mergeCell ref="H4:M5"/>
    <mergeCell ref="I7:L8"/>
    <mergeCell ref="AC7:AF8"/>
    <mergeCell ref="AH7:AK8"/>
    <mergeCell ref="AM7:AP8"/>
    <mergeCell ref="AM15:AQ15"/>
    <mergeCell ref="BB13:BD13"/>
    <mergeCell ref="BE13:BI13"/>
    <mergeCell ref="B14:E14"/>
    <mergeCell ref="F14:J14"/>
    <mergeCell ref="N14:R14"/>
    <mergeCell ref="S14:U14"/>
    <mergeCell ref="V14:Z14"/>
    <mergeCell ref="AC14:AF14"/>
    <mergeCell ref="AG14:AJ14"/>
    <mergeCell ref="AM14:AQ14"/>
    <mergeCell ref="AR14:AS14"/>
    <mergeCell ref="BB14:BD14"/>
    <mergeCell ref="BE14:BI14"/>
    <mergeCell ref="AM17:AQ17"/>
    <mergeCell ref="AR15:AS15"/>
    <mergeCell ref="BB15:BD15"/>
    <mergeCell ref="BE15:BI15"/>
    <mergeCell ref="B16:E16"/>
    <mergeCell ref="F16:I16"/>
    <mergeCell ref="K16:L16"/>
    <mergeCell ref="N16:R16"/>
    <mergeCell ref="S16:U16"/>
    <mergeCell ref="BE16:BI16"/>
    <mergeCell ref="V16:Z16"/>
    <mergeCell ref="AC16:AF16"/>
    <mergeCell ref="AG16:AJ16"/>
    <mergeCell ref="AM16:AQ16"/>
    <mergeCell ref="AR16:AS16"/>
    <mergeCell ref="BB16:BD16"/>
    <mergeCell ref="B15:E15"/>
    <mergeCell ref="F15:I15"/>
    <mergeCell ref="K15:L15"/>
    <mergeCell ref="N15:R15"/>
    <mergeCell ref="S15:U15"/>
    <mergeCell ref="V15:Z15"/>
    <mergeCell ref="AC15:AF15"/>
    <mergeCell ref="AG15:AJ15"/>
    <mergeCell ref="B17:E17"/>
    <mergeCell ref="F17:I17"/>
    <mergeCell ref="K17:L17"/>
    <mergeCell ref="N17:R17"/>
    <mergeCell ref="S17:U17"/>
    <mergeCell ref="V17:Z17"/>
    <mergeCell ref="AC17:AF17"/>
    <mergeCell ref="AR20:AS20"/>
    <mergeCell ref="BB20:BD20"/>
    <mergeCell ref="F19:I19"/>
    <mergeCell ref="N19:R19"/>
    <mergeCell ref="S19:U19"/>
    <mergeCell ref="V19:Z19"/>
    <mergeCell ref="AC19:AF19"/>
    <mergeCell ref="B18:E18"/>
    <mergeCell ref="F18:I18"/>
    <mergeCell ref="K18:L18"/>
    <mergeCell ref="N18:R18"/>
    <mergeCell ref="S18:U18"/>
    <mergeCell ref="V18:Z18"/>
    <mergeCell ref="AC18:AF18"/>
    <mergeCell ref="AG18:AJ18"/>
    <mergeCell ref="AM18:AQ18"/>
    <mergeCell ref="AG17:AJ17"/>
    <mergeCell ref="D28:G29"/>
    <mergeCell ref="I28:L29"/>
    <mergeCell ref="N28:Q29"/>
    <mergeCell ref="AC20:AF20"/>
    <mergeCell ref="AG20:AJ20"/>
    <mergeCell ref="AM20:AQ20"/>
    <mergeCell ref="AG19:AJ19"/>
    <mergeCell ref="AM19:AQ19"/>
    <mergeCell ref="BE23:BI23"/>
    <mergeCell ref="I24:L25"/>
    <mergeCell ref="AM24:AP25"/>
    <mergeCell ref="BE20:BI20"/>
    <mergeCell ref="F21:I21"/>
    <mergeCell ref="N21:R21"/>
    <mergeCell ref="S21:U21"/>
    <mergeCell ref="V21:Z21"/>
    <mergeCell ref="AG21:AJ21"/>
    <mergeCell ref="AM21:AQ21"/>
    <mergeCell ref="AR21:AS21"/>
    <mergeCell ref="BB21:BD21"/>
    <mergeCell ref="BE21:BI21"/>
    <mergeCell ref="AN30:AQ30"/>
    <mergeCell ref="AR30:AU30"/>
    <mergeCell ref="AG23:AJ23"/>
    <mergeCell ref="AM23:AQ23"/>
    <mergeCell ref="BB23:BD23"/>
    <mergeCell ref="AW30:AZ30"/>
    <mergeCell ref="BA30:BC30"/>
    <mergeCell ref="BD30:BF30"/>
    <mergeCell ref="BG30:BJ30"/>
    <mergeCell ref="AM27:AP28"/>
    <mergeCell ref="AN31:AQ31"/>
    <mergeCell ref="AR31:AU31"/>
    <mergeCell ref="AW31:AZ31"/>
    <mergeCell ref="BA31:BC31"/>
    <mergeCell ref="BD31:BF31"/>
    <mergeCell ref="BG31:BJ31"/>
    <mergeCell ref="BG32:BJ32"/>
    <mergeCell ref="B33:E33"/>
    <mergeCell ref="F33:I33"/>
    <mergeCell ref="K33:L33"/>
    <mergeCell ref="N33:R33"/>
    <mergeCell ref="T33:U33"/>
    <mergeCell ref="AB33:AD33"/>
    <mergeCell ref="AE33:AG33"/>
    <mergeCell ref="AH33:AJ33"/>
    <mergeCell ref="AN33:AQ33"/>
    <mergeCell ref="AE32:AG32"/>
    <mergeCell ref="AN32:AQ32"/>
    <mergeCell ref="AR32:AU32"/>
    <mergeCell ref="AW32:AZ32"/>
    <mergeCell ref="BA32:BC32"/>
    <mergeCell ref="BD32:BF32"/>
    <mergeCell ref="B32:E32"/>
    <mergeCell ref="F32:J32"/>
    <mergeCell ref="N32:S32"/>
    <mergeCell ref="T32:U32"/>
    <mergeCell ref="V32:AA32"/>
    <mergeCell ref="AB32:AD32"/>
    <mergeCell ref="AR33:AU33"/>
    <mergeCell ref="AW33:AZ33"/>
    <mergeCell ref="BA33:BC33"/>
    <mergeCell ref="BD33:BF33"/>
    <mergeCell ref="BG33:BJ33"/>
    <mergeCell ref="B34:E34"/>
    <mergeCell ref="F34:I34"/>
    <mergeCell ref="K34:L34"/>
    <mergeCell ref="N34:R34"/>
    <mergeCell ref="T34:U34"/>
    <mergeCell ref="AB34:AD34"/>
    <mergeCell ref="AE34:AG34"/>
    <mergeCell ref="AH34:AJ34"/>
    <mergeCell ref="B35:E35"/>
    <mergeCell ref="F35:I35"/>
    <mergeCell ref="K35:L35"/>
    <mergeCell ref="N35:R35"/>
    <mergeCell ref="T35:U35"/>
    <mergeCell ref="AB35:AD35"/>
    <mergeCell ref="AE35:AG35"/>
    <mergeCell ref="AH37:AJ37"/>
    <mergeCell ref="N38:R38"/>
    <mergeCell ref="AD38:AF38"/>
    <mergeCell ref="AG38:AK38"/>
    <mergeCell ref="AH35:AJ35"/>
    <mergeCell ref="B36:E36"/>
    <mergeCell ref="F36:I36"/>
    <mergeCell ref="K36:L36"/>
    <mergeCell ref="N36:R36"/>
    <mergeCell ref="T36:U36"/>
    <mergeCell ref="AB36:AD36"/>
    <mergeCell ref="AE36:AG36"/>
    <mergeCell ref="AH36:AJ36"/>
    <mergeCell ref="B48:E49"/>
    <mergeCell ref="G48:J49"/>
    <mergeCell ref="L48:O49"/>
    <mergeCell ref="Q48:T49"/>
    <mergeCell ref="V48:Y49"/>
    <mergeCell ref="B37:L37"/>
    <mergeCell ref="N37:R37"/>
    <mergeCell ref="AB37:AD37"/>
    <mergeCell ref="AE37:AG37"/>
    <mergeCell ref="L51:O52"/>
    <mergeCell ref="Q51:T52"/>
    <mergeCell ref="V51:Y52"/>
    <mergeCell ref="AB51:AG52"/>
    <mergeCell ref="AN51:AS52"/>
    <mergeCell ref="L54:O54"/>
    <mergeCell ref="V54:Y56"/>
    <mergeCell ref="I56:L57"/>
    <mergeCell ref="S40:X41"/>
    <mergeCell ref="K44:Q45"/>
    <mergeCell ref="AG44:AL45"/>
    <mergeCell ref="AG47:AL48"/>
    <mergeCell ref="AG58:AK59"/>
    <mergeCell ref="D59:G59"/>
    <mergeCell ref="I59:L59"/>
    <mergeCell ref="B62:E62"/>
    <mergeCell ref="F62:J62"/>
    <mergeCell ref="N62:S62"/>
    <mergeCell ref="T62:U62"/>
    <mergeCell ref="V62:AA62"/>
    <mergeCell ref="AB62:AD62"/>
    <mergeCell ref="AE62:AG62"/>
    <mergeCell ref="AE63:AG63"/>
    <mergeCell ref="AH63:AJ63"/>
    <mergeCell ref="B64:E64"/>
    <mergeCell ref="F64:I64"/>
    <mergeCell ref="K64:L64"/>
    <mergeCell ref="N64:R64"/>
    <mergeCell ref="T64:U64"/>
    <mergeCell ref="AB64:AD64"/>
    <mergeCell ref="AE64:AG64"/>
    <mergeCell ref="AH64:AJ64"/>
    <mergeCell ref="B63:E63"/>
    <mergeCell ref="F63:I63"/>
    <mergeCell ref="K63:L63"/>
    <mergeCell ref="N63:R63"/>
    <mergeCell ref="T63:U63"/>
    <mergeCell ref="AB63:AD63"/>
    <mergeCell ref="AE65:AG65"/>
    <mergeCell ref="AH65:AJ65"/>
    <mergeCell ref="B66:E66"/>
    <mergeCell ref="F66:I66"/>
    <mergeCell ref="K66:L66"/>
    <mergeCell ref="N66:R66"/>
    <mergeCell ref="T66:U66"/>
    <mergeCell ref="AB66:AD66"/>
    <mergeCell ref="AE66:AG66"/>
    <mergeCell ref="AH66:AJ66"/>
    <mergeCell ref="B65:E65"/>
    <mergeCell ref="F65:I65"/>
    <mergeCell ref="K65:L65"/>
    <mergeCell ref="N65:R65"/>
    <mergeCell ref="T65:U65"/>
    <mergeCell ref="AB65:AD65"/>
    <mergeCell ref="AE67:AG67"/>
    <mergeCell ref="AH67:AJ67"/>
    <mergeCell ref="B68:E68"/>
    <mergeCell ref="F68:I68"/>
    <mergeCell ref="K68:L68"/>
    <mergeCell ref="N68:R68"/>
    <mergeCell ref="T68:U68"/>
    <mergeCell ref="AB68:AD68"/>
    <mergeCell ref="AE68:AG68"/>
    <mergeCell ref="AH68:AJ68"/>
    <mergeCell ref="B67:E67"/>
    <mergeCell ref="F67:I67"/>
    <mergeCell ref="K67:L67"/>
    <mergeCell ref="N67:R67"/>
    <mergeCell ref="T67:U67"/>
    <mergeCell ref="AB67:AD67"/>
    <mergeCell ref="B71:E71"/>
    <mergeCell ref="F71:I71"/>
    <mergeCell ref="K71:L71"/>
    <mergeCell ref="N71:R71"/>
    <mergeCell ref="T71:U71"/>
    <mergeCell ref="AB71:AD71"/>
    <mergeCell ref="AE71:AG71"/>
    <mergeCell ref="AH71:AJ71"/>
    <mergeCell ref="AE69:AG69"/>
    <mergeCell ref="AH69:AJ69"/>
    <mergeCell ref="B70:E70"/>
    <mergeCell ref="F70:I70"/>
    <mergeCell ref="K70:L70"/>
    <mergeCell ref="N70:R70"/>
    <mergeCell ref="T70:U70"/>
    <mergeCell ref="AB70:AD70"/>
    <mergeCell ref="AE70:AG70"/>
    <mergeCell ref="AH70:AJ70"/>
    <mergeCell ref="B69:E69"/>
    <mergeCell ref="F69:I69"/>
    <mergeCell ref="K69:L69"/>
    <mergeCell ref="N69:R69"/>
    <mergeCell ref="T69:U69"/>
    <mergeCell ref="AB69:AD69"/>
    <mergeCell ref="AE72:AG72"/>
    <mergeCell ref="AH72:AJ72"/>
    <mergeCell ref="B72:E72"/>
    <mergeCell ref="F72:I72"/>
    <mergeCell ref="K72:L72"/>
    <mergeCell ref="N72:R72"/>
    <mergeCell ref="T72:U72"/>
    <mergeCell ref="AB72:AD72"/>
    <mergeCell ref="AE73:AG73"/>
    <mergeCell ref="AH73:AJ73"/>
    <mergeCell ref="B74:E74"/>
    <mergeCell ref="F74:I74"/>
    <mergeCell ref="K74:L74"/>
    <mergeCell ref="N74:R74"/>
    <mergeCell ref="T74:U74"/>
    <mergeCell ref="AB74:AD74"/>
    <mergeCell ref="AE74:AG74"/>
    <mergeCell ref="AH74:AJ74"/>
    <mergeCell ref="B73:E73"/>
    <mergeCell ref="F73:I73"/>
    <mergeCell ref="K73:L73"/>
    <mergeCell ref="N73:R73"/>
    <mergeCell ref="T73:U73"/>
    <mergeCell ref="AB73:AD73"/>
    <mergeCell ref="AH75:AJ75"/>
    <mergeCell ref="B76:E76"/>
    <mergeCell ref="F76:I76"/>
    <mergeCell ref="K76:L76"/>
    <mergeCell ref="N76:R76"/>
    <mergeCell ref="T76:U76"/>
    <mergeCell ref="AB76:AD76"/>
    <mergeCell ref="AE76:AG76"/>
    <mergeCell ref="AH76:AJ76"/>
    <mergeCell ref="F75:I75"/>
    <mergeCell ref="K75:L75"/>
    <mergeCell ref="N75:R75"/>
    <mergeCell ref="T75:U75"/>
    <mergeCell ref="AB75:AD75"/>
    <mergeCell ref="AE75:AG75"/>
    <mergeCell ref="AE77:AG77"/>
    <mergeCell ref="AH77:AJ77"/>
    <mergeCell ref="B78:E78"/>
    <mergeCell ref="F78:I78"/>
    <mergeCell ref="K78:L78"/>
    <mergeCell ref="N78:R78"/>
    <mergeCell ref="T78:U78"/>
    <mergeCell ref="AB78:AD78"/>
    <mergeCell ref="AE78:AG78"/>
    <mergeCell ref="AH78:AJ78"/>
    <mergeCell ref="B77:E77"/>
    <mergeCell ref="F77:I77"/>
    <mergeCell ref="K77:L77"/>
    <mergeCell ref="N77:R77"/>
    <mergeCell ref="T77:U77"/>
    <mergeCell ref="AB77:AD77"/>
    <mergeCell ref="AB81:AD81"/>
    <mergeCell ref="AE81:AG81"/>
    <mergeCell ref="AH81:AJ81"/>
    <mergeCell ref="N82:R82"/>
    <mergeCell ref="F85:J85"/>
    <mergeCell ref="K85:M85"/>
    <mergeCell ref="N85:P85"/>
    <mergeCell ref="Q85:T85"/>
    <mergeCell ref="B79:L79"/>
    <mergeCell ref="N79:R79"/>
    <mergeCell ref="AB79:AD79"/>
    <mergeCell ref="AE79:AG79"/>
    <mergeCell ref="AH79:AJ79"/>
    <mergeCell ref="B81:E81"/>
    <mergeCell ref="F81:I81"/>
    <mergeCell ref="K81:L81"/>
    <mergeCell ref="N81:R81"/>
    <mergeCell ref="T81:U81"/>
    <mergeCell ref="B86:E86"/>
    <mergeCell ref="F86:J86"/>
    <mergeCell ref="K86:M86"/>
    <mergeCell ref="N86:P86"/>
    <mergeCell ref="Q86:T86"/>
    <mergeCell ref="B87:E87"/>
    <mergeCell ref="F87:J87"/>
    <mergeCell ref="K87:M87"/>
    <mergeCell ref="N87:P87"/>
    <mergeCell ref="Q87:T87"/>
    <mergeCell ref="B88:E88"/>
    <mergeCell ref="F88:J88"/>
    <mergeCell ref="K88:M88"/>
    <mergeCell ref="N88:P88"/>
    <mergeCell ref="Q88:T88"/>
    <mergeCell ref="F89:J89"/>
    <mergeCell ref="K89:M89"/>
    <mergeCell ref="N89:P89"/>
    <mergeCell ref="Q89:T89"/>
    <mergeCell ref="B90:E90"/>
    <mergeCell ref="F90:J90"/>
    <mergeCell ref="K90:M90"/>
    <mergeCell ref="N90:P90"/>
    <mergeCell ref="Q90:T90"/>
    <mergeCell ref="B91:E91"/>
    <mergeCell ref="F91:J91"/>
    <mergeCell ref="K91:M91"/>
    <mergeCell ref="N91:P91"/>
    <mergeCell ref="Q91:T91"/>
    <mergeCell ref="F100:H100"/>
    <mergeCell ref="F101:H101"/>
    <mergeCell ref="F103:H103"/>
    <mergeCell ref="J111:K111"/>
    <mergeCell ref="L111:M111"/>
    <mergeCell ref="N111:O111"/>
    <mergeCell ref="B93:D93"/>
    <mergeCell ref="L93:W93"/>
    <mergeCell ref="L94:O94"/>
    <mergeCell ref="P94:S94"/>
    <mergeCell ref="T94:W94"/>
    <mergeCell ref="L95:O95"/>
    <mergeCell ref="P95:S95"/>
    <mergeCell ref="T95:W95"/>
    <mergeCell ref="P111:Q111"/>
    <mergeCell ref="R111:S111"/>
    <mergeCell ref="T111:U111"/>
    <mergeCell ref="V111:W111"/>
    <mergeCell ref="J112:K112"/>
    <mergeCell ref="L112:M112"/>
    <mergeCell ref="N112:O112"/>
    <mergeCell ref="P112:Q112"/>
    <mergeCell ref="R112:S112"/>
    <mergeCell ref="T112:U112"/>
    <mergeCell ref="V112:W112"/>
    <mergeCell ref="J113:K113"/>
    <mergeCell ref="L113:M113"/>
    <mergeCell ref="N113:O113"/>
    <mergeCell ref="P113:Q113"/>
    <mergeCell ref="R113:S113"/>
    <mergeCell ref="T113:U113"/>
    <mergeCell ref="V113:W113"/>
    <mergeCell ref="V114:W114"/>
    <mergeCell ref="J115:K115"/>
    <mergeCell ref="L115:M115"/>
    <mergeCell ref="N115:O115"/>
    <mergeCell ref="P115:Q115"/>
    <mergeCell ref="R115:S115"/>
    <mergeCell ref="T115:U115"/>
    <mergeCell ref="V115:W115"/>
    <mergeCell ref="J114:K114"/>
    <mergeCell ref="L114:M114"/>
    <mergeCell ref="N114:O114"/>
    <mergeCell ref="P114:Q114"/>
    <mergeCell ref="R114:S114"/>
    <mergeCell ref="T114:U114"/>
    <mergeCell ref="T117:U117"/>
    <mergeCell ref="V117:W117"/>
    <mergeCell ref="G118:I118"/>
    <mergeCell ref="J118:K118"/>
    <mergeCell ref="L118:M118"/>
    <mergeCell ref="N118:O118"/>
    <mergeCell ref="P118:Q118"/>
    <mergeCell ref="R118:S118"/>
    <mergeCell ref="T118:U118"/>
    <mergeCell ref="V118:W118"/>
    <mergeCell ref="G117:I117"/>
    <mergeCell ref="J117:K117"/>
    <mergeCell ref="L117:M117"/>
    <mergeCell ref="N117:O117"/>
    <mergeCell ref="P117:Q117"/>
    <mergeCell ref="R117:S117"/>
    <mergeCell ref="G122:I122"/>
    <mergeCell ref="J122:K122"/>
    <mergeCell ref="L122:M122"/>
    <mergeCell ref="N122:O122"/>
    <mergeCell ref="P122:Q122"/>
    <mergeCell ref="R122:S122"/>
    <mergeCell ref="T119:U119"/>
    <mergeCell ref="V119:W119"/>
    <mergeCell ref="G120:I120"/>
    <mergeCell ref="J120:K120"/>
    <mergeCell ref="L120:M120"/>
    <mergeCell ref="N120:O120"/>
    <mergeCell ref="P120:Q120"/>
    <mergeCell ref="R120:S120"/>
    <mergeCell ref="T120:U120"/>
    <mergeCell ref="V120:W120"/>
    <mergeCell ref="G119:I119"/>
    <mergeCell ref="J119:K119"/>
    <mergeCell ref="L119:M119"/>
    <mergeCell ref="N119:O119"/>
    <mergeCell ref="P119:Q119"/>
    <mergeCell ref="R119:S119"/>
    <mergeCell ref="T122:U122"/>
    <mergeCell ref="V122:W122"/>
    <mergeCell ref="J124:K124"/>
    <mergeCell ref="L124:M124"/>
    <mergeCell ref="N124:O124"/>
    <mergeCell ref="P124:Q124"/>
    <mergeCell ref="R124:S124"/>
    <mergeCell ref="T124:U124"/>
    <mergeCell ref="V124:W124"/>
    <mergeCell ref="V125:W125"/>
    <mergeCell ref="J126:K126"/>
    <mergeCell ref="L126:M126"/>
    <mergeCell ref="N126:O126"/>
    <mergeCell ref="P126:Q126"/>
    <mergeCell ref="R126:S126"/>
    <mergeCell ref="T126:U126"/>
    <mergeCell ref="V126:W126"/>
    <mergeCell ref="J125:K125"/>
    <mergeCell ref="L125:M125"/>
    <mergeCell ref="N125:O125"/>
    <mergeCell ref="P125:Q125"/>
    <mergeCell ref="R125:S125"/>
    <mergeCell ref="T125:U125"/>
    <mergeCell ref="V130:W130"/>
    <mergeCell ref="J130:K130"/>
    <mergeCell ref="L130:M130"/>
    <mergeCell ref="N130:O130"/>
    <mergeCell ref="P130:Q130"/>
    <mergeCell ref="R130:S130"/>
    <mergeCell ref="T130:U130"/>
    <mergeCell ref="V128:W128"/>
    <mergeCell ref="J129:K129"/>
    <mergeCell ref="L129:M129"/>
    <mergeCell ref="N129:O129"/>
    <mergeCell ref="P129:Q129"/>
    <mergeCell ref="R129:S129"/>
    <mergeCell ref="T129:U129"/>
    <mergeCell ref="V129:W129"/>
    <mergeCell ref="J128:K128"/>
    <mergeCell ref="L128:M128"/>
    <mergeCell ref="N128:O128"/>
    <mergeCell ref="P128:Q128"/>
    <mergeCell ref="R128:S128"/>
    <mergeCell ref="T128:U128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48D28-3A6F-4E08-89D5-315ADD7D48E7}">
  <sheetPr codeName="Feuil25"/>
  <dimension ref="A1:F46"/>
  <sheetViews>
    <sheetView topLeftCell="A3" zoomScale="90" zoomScaleNormal="90" workbookViewId="0">
      <selection activeCell="A27" sqref="A27"/>
    </sheetView>
  </sheetViews>
  <sheetFormatPr baseColWidth="10" defaultRowHeight="15"/>
  <cols>
    <col min="1" max="1" width="42.5703125" customWidth="1"/>
    <col min="2" max="2" width="19.5703125" bestFit="1" customWidth="1"/>
    <col min="3" max="3" width="19" customWidth="1"/>
    <col min="4" max="4" width="17.7109375" bestFit="1" customWidth="1"/>
    <col min="5" max="5" width="20.28515625" bestFit="1" customWidth="1"/>
    <col min="6" max="6" width="23.42578125" customWidth="1"/>
  </cols>
  <sheetData>
    <row r="1" spans="1:6">
      <c r="A1" t="s">
        <v>1236</v>
      </c>
    </row>
    <row r="2" spans="1:6">
      <c r="A2" t="s">
        <v>1162</v>
      </c>
      <c r="B2">
        <f>(100*B3)/80</f>
        <v>377.37499999999994</v>
      </c>
    </row>
    <row r="3" spans="1:6">
      <c r="A3" t="s">
        <v>1163</v>
      </c>
      <c r="B3">
        <v>301.89999999999998</v>
      </c>
      <c r="C3" t="s">
        <v>1164</v>
      </c>
      <c r="D3">
        <f>(B3*1000)/50</f>
        <v>6038</v>
      </c>
      <c r="E3" t="s">
        <v>1237</v>
      </c>
      <c r="F3" s="631"/>
    </row>
    <row r="4" spans="1:6">
      <c r="A4" t="s">
        <v>1238</v>
      </c>
      <c r="B4" s="730">
        <f>B3/20</f>
        <v>15.094999999999999</v>
      </c>
      <c r="F4" s="631"/>
    </row>
    <row r="5" spans="1:6">
      <c r="D5" s="731" t="s">
        <v>1239</v>
      </c>
      <c r="F5" s="631"/>
    </row>
    <row r="6" spans="1:6">
      <c r="A6" s="624" t="s">
        <v>1121</v>
      </c>
      <c r="B6" s="624">
        <v>300</v>
      </c>
      <c r="D6" s="731" t="s">
        <v>1240</v>
      </c>
    </row>
    <row r="7" spans="1:6">
      <c r="A7" s="624" t="s">
        <v>1241</v>
      </c>
      <c r="B7" s="732">
        <v>350</v>
      </c>
      <c r="F7" s="681"/>
    </row>
    <row r="8" spans="1:6">
      <c r="A8" s="624" t="s">
        <v>1170</v>
      </c>
      <c r="B8" s="675">
        <v>4500</v>
      </c>
      <c r="F8" s="681"/>
    </row>
    <row r="9" spans="1:6">
      <c r="A9" s="624" t="s">
        <v>469</v>
      </c>
      <c r="B9" s="675">
        <f>B6*B7*B8</f>
        <v>472500000</v>
      </c>
      <c r="E9" s="631"/>
    </row>
    <row r="10" spans="1:6">
      <c r="A10" s="411"/>
      <c r="B10" s="672"/>
    </row>
    <row r="11" spans="1:6">
      <c r="F11" s="631"/>
    </row>
    <row r="12" spans="1:6" ht="15.75" thickBot="1">
      <c r="B12" s="681"/>
      <c r="E12" s="631"/>
      <c r="F12" s="631"/>
    </row>
    <row r="13" spans="1:6">
      <c r="A13" s="733" t="s">
        <v>1242</v>
      </c>
      <c r="B13" s="684"/>
      <c r="C13" s="685"/>
      <c r="D13" s="685"/>
      <c r="E13" s="686"/>
      <c r="F13" s="687"/>
    </row>
    <row r="14" spans="1:6">
      <c r="A14" s="688" t="s">
        <v>1120</v>
      </c>
      <c r="B14" s="621" t="s">
        <v>382</v>
      </c>
      <c r="C14" s="621" t="s">
        <v>1121</v>
      </c>
      <c r="D14" s="621" t="s">
        <v>928</v>
      </c>
      <c r="E14" s="621" t="s">
        <v>929</v>
      </c>
      <c r="F14" s="689" t="s">
        <v>1122</v>
      </c>
    </row>
    <row r="15" spans="1:6">
      <c r="A15" s="690" t="s">
        <v>1175</v>
      </c>
      <c r="B15" s="626">
        <v>450</v>
      </c>
      <c r="C15" s="691">
        <f>($B$2*1000)-45000</f>
        <v>332374.99999999994</v>
      </c>
      <c r="D15" s="622" t="s">
        <v>1176</v>
      </c>
      <c r="E15" s="625">
        <f>B15*C15</f>
        <v>149568749.99999997</v>
      </c>
      <c r="F15" s="692" t="s">
        <v>1243</v>
      </c>
    </row>
    <row r="16" spans="1:6" ht="15.75" thickBot="1">
      <c r="A16" s="622" t="s">
        <v>1178</v>
      </c>
      <c r="B16" s="626">
        <v>80</v>
      </c>
      <c r="C16" s="691">
        <f>$B$3*1000</f>
        <v>301900</v>
      </c>
      <c r="D16" s="622" t="s">
        <v>1176</v>
      </c>
      <c r="E16" s="625">
        <f>B16*C16</f>
        <v>24152000</v>
      </c>
      <c r="F16" s="621"/>
    </row>
    <row r="17" spans="1:6" ht="15.75" thickBot="1">
      <c r="A17" s="1243" t="s">
        <v>1244</v>
      </c>
      <c r="B17" s="1244"/>
      <c r="C17" s="1244"/>
      <c r="D17" s="1244"/>
      <c r="E17" s="734">
        <f>SUM(E15:E16)</f>
        <v>173720749.99999997</v>
      </c>
      <c r="F17" s="735"/>
    </row>
    <row r="18" spans="1:6">
      <c r="A18" s="699"/>
      <c r="B18" s="699"/>
      <c r="C18" s="699"/>
      <c r="D18" s="699"/>
      <c r="E18" s="636"/>
    </row>
    <row r="19" spans="1:6">
      <c r="A19" t="s">
        <v>1245</v>
      </c>
    </row>
    <row r="20" spans="1:6">
      <c r="A20" s="621" t="s">
        <v>1120</v>
      </c>
      <c r="B20" s="621" t="s">
        <v>382</v>
      </c>
      <c r="C20" s="621" t="s">
        <v>1121</v>
      </c>
      <c r="D20" s="621" t="s">
        <v>928</v>
      </c>
      <c r="E20" s="621" t="s">
        <v>929</v>
      </c>
      <c r="F20" s="621" t="s">
        <v>1122</v>
      </c>
    </row>
    <row r="21" spans="1:6">
      <c r="A21" s="622" t="s">
        <v>1123</v>
      </c>
      <c r="B21" s="736">
        <f>$B$9</f>
        <v>472500000</v>
      </c>
      <c r="C21" s="737">
        <v>0.05</v>
      </c>
      <c r="D21" s="624" t="s">
        <v>1124</v>
      </c>
      <c r="E21" s="625">
        <f>B21*C21</f>
        <v>23625000</v>
      </c>
      <c r="F21" s="624"/>
    </row>
    <row r="22" spans="1:6">
      <c r="A22" s="622" t="s">
        <v>1125</v>
      </c>
      <c r="B22" s="626">
        <v>110000</v>
      </c>
      <c r="C22" s="738">
        <f>$B$4</f>
        <v>15.094999999999999</v>
      </c>
      <c r="D22" s="624" t="s">
        <v>1126</v>
      </c>
      <c r="E22" s="625">
        <f t="shared" ref="E22:E30" si="0">B22*C22</f>
        <v>1660449.9999999998</v>
      </c>
      <c r="F22" s="624"/>
    </row>
    <row r="23" spans="1:6">
      <c r="A23" s="622" t="s">
        <v>1192</v>
      </c>
      <c r="B23" s="626">
        <v>1250000</v>
      </c>
      <c r="C23" s="730">
        <f>$C$22</f>
        <v>15.094999999999999</v>
      </c>
      <c r="D23" s="624" t="s">
        <v>1126</v>
      </c>
      <c r="E23" s="625">
        <f t="shared" si="0"/>
        <v>18868750</v>
      </c>
      <c r="F23" s="624"/>
    </row>
    <row r="24" spans="1:6">
      <c r="A24" s="622" t="s">
        <v>1127</v>
      </c>
      <c r="B24" s="626">
        <v>100000</v>
      </c>
      <c r="C24" s="624">
        <v>8</v>
      </c>
      <c r="D24" s="624" t="s">
        <v>1128</v>
      </c>
      <c r="E24" s="625">
        <f t="shared" si="0"/>
        <v>800000</v>
      </c>
      <c r="F24" s="624"/>
    </row>
    <row r="25" spans="1:6">
      <c r="A25" s="622" t="s">
        <v>1129</v>
      </c>
      <c r="B25" s="626">
        <f>70000*2</f>
        <v>140000</v>
      </c>
      <c r="C25" s="624">
        <v>8</v>
      </c>
      <c r="D25" s="624" t="s">
        <v>1128</v>
      </c>
      <c r="E25" s="625">
        <f t="shared" si="0"/>
        <v>1120000</v>
      </c>
      <c r="F25" s="624"/>
    </row>
    <row r="26" spans="1:6">
      <c r="A26" s="622" t="s">
        <v>1130</v>
      </c>
      <c r="B26" s="626">
        <v>250000</v>
      </c>
      <c r="C26" s="738">
        <f>$C$23</f>
        <v>15.094999999999999</v>
      </c>
      <c r="D26" s="624" t="s">
        <v>1126</v>
      </c>
      <c r="E26" s="625">
        <f t="shared" si="0"/>
        <v>3773749.9999999995</v>
      </c>
      <c r="F26" s="624"/>
    </row>
    <row r="27" spans="1:6" ht="18.75" customHeight="1">
      <c r="A27" s="622" t="s">
        <v>1131</v>
      </c>
      <c r="B27" s="626">
        <v>4000</v>
      </c>
      <c r="C27" s="703">
        <f>$B$6*3</f>
        <v>900</v>
      </c>
      <c r="D27" s="703" t="s">
        <v>1188</v>
      </c>
      <c r="E27" s="625">
        <f t="shared" si="0"/>
        <v>3600000</v>
      </c>
      <c r="F27" s="708" t="s">
        <v>1198</v>
      </c>
    </row>
    <row r="28" spans="1:6">
      <c r="A28" s="709" t="s">
        <v>1200</v>
      </c>
      <c r="B28" s="626">
        <v>4900</v>
      </c>
      <c r="C28" s="703">
        <f>13*8</f>
        <v>104</v>
      </c>
      <c r="D28" s="703" t="s">
        <v>1246</v>
      </c>
      <c r="E28" s="625">
        <f t="shared" si="0"/>
        <v>509600</v>
      </c>
      <c r="F28" s="624"/>
    </row>
    <row r="29" spans="1:6" ht="18" customHeight="1">
      <c r="A29" s="709" t="s">
        <v>1202</v>
      </c>
      <c r="B29" s="626">
        <v>50000</v>
      </c>
      <c r="C29" s="703">
        <f t="shared" ref="C29:C30" si="1">$C$25</f>
        <v>8</v>
      </c>
      <c r="D29" s="703" t="s">
        <v>1128</v>
      </c>
      <c r="E29" s="625">
        <f t="shared" si="0"/>
        <v>400000</v>
      </c>
      <c r="F29" s="624"/>
    </row>
    <row r="30" spans="1:6" ht="20.25" customHeight="1" thickBot="1">
      <c r="A30" s="710" t="s">
        <v>1205</v>
      </c>
      <c r="B30" s="633">
        <v>20000</v>
      </c>
      <c r="C30" s="634">
        <f t="shared" si="1"/>
        <v>8</v>
      </c>
      <c r="D30" s="634" t="s">
        <v>1128</v>
      </c>
      <c r="E30" s="628">
        <f t="shared" si="0"/>
        <v>160000</v>
      </c>
      <c r="F30" s="624"/>
    </row>
    <row r="31" spans="1:6" ht="17.25" customHeight="1" thickBot="1">
      <c r="A31" s="1245" t="s">
        <v>1247</v>
      </c>
      <c r="B31" s="1246"/>
      <c r="C31" s="1246"/>
      <c r="D31" s="1247"/>
      <c r="E31" s="711">
        <f>SUM(E21:E30)</f>
        <v>54517550</v>
      </c>
      <c r="F31" s="629"/>
    </row>
    <row r="32" spans="1:6" ht="15.75" customHeight="1" thickBot="1">
      <c r="A32" s="713"/>
      <c r="B32" s="713"/>
      <c r="C32" s="713"/>
      <c r="D32" s="714"/>
      <c r="E32" s="715"/>
      <c r="F32" s="712"/>
    </row>
    <row r="33" spans="1:6" ht="15.75" thickBot="1">
      <c r="A33" s="739" t="s">
        <v>1248</v>
      </c>
      <c r="B33" s="740"/>
      <c r="C33" s="741"/>
      <c r="D33" s="742"/>
      <c r="E33" s="743"/>
      <c r="F33" s="744"/>
    </row>
    <row r="34" spans="1:6">
      <c r="A34" s="745" t="s">
        <v>1120</v>
      </c>
      <c r="B34" s="746" t="s">
        <v>382</v>
      </c>
      <c r="C34" s="747" t="s">
        <v>1121</v>
      </c>
      <c r="D34" s="747" t="s">
        <v>928</v>
      </c>
      <c r="E34" s="748" t="s">
        <v>929</v>
      </c>
      <c r="F34" s="678" t="s">
        <v>1122</v>
      </c>
    </row>
    <row r="35" spans="1:6">
      <c r="A35" s="690" t="s">
        <v>1179</v>
      </c>
      <c r="B35" s="626">
        <v>1812</v>
      </c>
      <c r="C35" s="693">
        <f>(C16/50)+(C16/50)*5%</f>
        <v>6339.9</v>
      </c>
      <c r="D35" s="622" t="s">
        <v>1180</v>
      </c>
      <c r="E35" s="625">
        <f>B35*C35</f>
        <v>11487898.799999999</v>
      </c>
      <c r="F35" s="689"/>
    </row>
    <row r="36" spans="1:6">
      <c r="A36" s="622" t="s">
        <v>1181</v>
      </c>
      <c r="B36" s="626">
        <v>1770</v>
      </c>
      <c r="C36" s="693">
        <f>$C$35</f>
        <v>6339.9</v>
      </c>
      <c r="D36" s="622" t="s">
        <v>1180</v>
      </c>
      <c r="E36" s="625">
        <f>B36*C36</f>
        <v>11221623</v>
      </c>
      <c r="F36" s="689"/>
    </row>
    <row r="37" spans="1:6" ht="15.75" thickBot="1">
      <c r="A37" s="632" t="s">
        <v>1249</v>
      </c>
      <c r="B37" s="633">
        <v>300000</v>
      </c>
      <c r="C37" s="749">
        <v>1</v>
      </c>
      <c r="D37" s="632" t="s">
        <v>1124</v>
      </c>
      <c r="E37" s="628">
        <f>B37*C37</f>
        <v>300000</v>
      </c>
      <c r="F37" s="750" t="s">
        <v>1250</v>
      </c>
    </row>
    <row r="38" spans="1:6" ht="15.75" thickBot="1">
      <c r="A38" s="1243" t="s">
        <v>1251</v>
      </c>
      <c r="B38" s="1244"/>
      <c r="C38" s="1244"/>
      <c r="D38" s="1244"/>
      <c r="E38" s="696">
        <f>SUM(E35:E37)</f>
        <v>23009521.799999997</v>
      </c>
      <c r="F38" s="751"/>
    </row>
    <row r="39" spans="1:6">
      <c r="A39" s="622" t="s">
        <v>1132</v>
      </c>
      <c r="B39" s="626">
        <v>530000</v>
      </c>
      <c r="C39" s="624">
        <v>15</v>
      </c>
      <c r="D39" s="624" t="s">
        <v>1126</v>
      </c>
      <c r="E39" s="625">
        <f>B39*C39</f>
        <v>7950000</v>
      </c>
      <c r="F39" s="624" t="s">
        <v>1252</v>
      </c>
    </row>
    <row r="40" spans="1:6">
      <c r="A40" s="622" t="s">
        <v>1133</v>
      </c>
      <c r="B40" s="626">
        <v>150000</v>
      </c>
      <c r="C40" s="624">
        <v>15</v>
      </c>
      <c r="D40" s="624" t="s">
        <v>1126</v>
      </c>
      <c r="E40" s="625">
        <f>B40*C40</f>
        <v>2250000</v>
      </c>
      <c r="F40" s="624" t="s">
        <v>1253</v>
      </c>
    </row>
    <row r="41" spans="1:6" ht="15.75" thickBot="1">
      <c r="A41" s="632" t="s">
        <v>1207</v>
      </c>
      <c r="B41" s="633">
        <f>E17+E38+E31+E39+E40</f>
        <v>261447821.79999995</v>
      </c>
      <c r="C41" s="634">
        <v>0.05</v>
      </c>
      <c r="D41" s="634" t="s">
        <v>1124</v>
      </c>
      <c r="E41" s="625">
        <f>B41*C41</f>
        <v>13072391.089999998</v>
      </c>
      <c r="F41" s="624"/>
    </row>
    <row r="42" spans="1:6" ht="15.75" thickBot="1">
      <c r="A42" s="1248" t="s">
        <v>1254</v>
      </c>
      <c r="B42" s="1249"/>
      <c r="C42" s="1249"/>
      <c r="D42" s="1250"/>
      <c r="E42" s="635">
        <f>SUM(E39:E41)</f>
        <v>23272391.089999996</v>
      </c>
      <c r="F42" s="631"/>
    </row>
    <row r="43" spans="1:6" ht="15.75" thickBot="1">
      <c r="A43" s="195"/>
      <c r="B43" s="195"/>
      <c r="C43" s="195"/>
      <c r="D43" s="195"/>
      <c r="E43" s="636"/>
      <c r="F43" s="631"/>
    </row>
    <row r="44" spans="1:6" ht="18.75">
      <c r="D44" s="752" t="s">
        <v>1255</v>
      </c>
      <c r="E44" s="753">
        <f>E17+E31</f>
        <v>228238299.99999997</v>
      </c>
    </row>
    <row r="45" spans="1:6" ht="18.75">
      <c r="D45" s="754" t="s">
        <v>1256</v>
      </c>
      <c r="E45" s="755">
        <f>E38+E42</f>
        <v>46281912.889999993</v>
      </c>
    </row>
    <row r="46" spans="1:6" ht="19.5" thickBot="1">
      <c r="D46" s="756" t="s">
        <v>33</v>
      </c>
      <c r="E46" s="757">
        <f>SUM(E44:E45)</f>
        <v>274520212.88999999</v>
      </c>
    </row>
  </sheetData>
  <mergeCells count="4">
    <mergeCell ref="A17:D17"/>
    <mergeCell ref="A31:D31"/>
    <mergeCell ref="A38:D38"/>
    <mergeCell ref="A42:D42"/>
  </mergeCell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BBBBF-4481-44DB-992C-2C20E1D195F4}">
  <sheetPr codeName="Feuil26"/>
  <dimension ref="A1:F48"/>
  <sheetViews>
    <sheetView topLeftCell="A34" workbookViewId="0">
      <selection activeCell="A55" sqref="A55"/>
    </sheetView>
  </sheetViews>
  <sheetFormatPr baseColWidth="10" defaultRowHeight="15"/>
  <cols>
    <col min="1" max="1" width="54.42578125" bestFit="1" customWidth="1"/>
    <col min="2" max="2" width="18.28515625" bestFit="1" customWidth="1"/>
    <col min="5" max="5" width="19.140625" bestFit="1" customWidth="1"/>
    <col min="6" max="6" width="29.28515625" customWidth="1"/>
  </cols>
  <sheetData>
    <row r="1" spans="1:6">
      <c r="A1" t="s">
        <v>1257</v>
      </c>
    </row>
    <row r="2" spans="1:6">
      <c r="A2" t="s">
        <v>1162</v>
      </c>
      <c r="B2">
        <f>(100*B3)/80</f>
        <v>75</v>
      </c>
    </row>
    <row r="3" spans="1:6">
      <c r="A3" t="s">
        <v>1163</v>
      </c>
      <c r="B3">
        <v>60</v>
      </c>
      <c r="C3" t="s">
        <v>1164</v>
      </c>
      <c r="D3">
        <f>(B3*1000)/50</f>
        <v>1200</v>
      </c>
      <c r="E3" t="s">
        <v>1237</v>
      </c>
      <c r="F3" s="631"/>
    </row>
    <row r="4" spans="1:6">
      <c r="A4" t="s">
        <v>1238</v>
      </c>
      <c r="B4" s="730">
        <f>B3/20</f>
        <v>3</v>
      </c>
      <c r="F4" s="631"/>
    </row>
    <row r="5" spans="1:6">
      <c r="A5" s="731" t="s">
        <v>1258</v>
      </c>
      <c r="B5" s="731"/>
      <c r="E5" s="631"/>
    </row>
    <row r="6" spans="1:6">
      <c r="E6" s="631"/>
    </row>
    <row r="7" spans="1:6">
      <c r="A7" s="624" t="s">
        <v>1121</v>
      </c>
      <c r="B7" s="624">
        <f>$B$3</f>
        <v>60</v>
      </c>
    </row>
    <row r="8" spans="1:6">
      <c r="A8" s="624" t="s">
        <v>1241</v>
      </c>
      <c r="B8" s="732">
        <v>450</v>
      </c>
      <c r="E8" t="s">
        <v>1259</v>
      </c>
      <c r="F8" s="681"/>
    </row>
    <row r="9" spans="1:6">
      <c r="A9" s="624" t="s">
        <v>1170</v>
      </c>
      <c r="B9" s="675">
        <v>4500</v>
      </c>
      <c r="F9" s="681"/>
    </row>
    <row r="10" spans="1:6">
      <c r="A10" s="624" t="s">
        <v>469</v>
      </c>
      <c r="B10" s="675">
        <f>B7*B8*B9</f>
        <v>121500000</v>
      </c>
      <c r="E10" s="631"/>
    </row>
    <row r="11" spans="1:6">
      <c r="A11" s="411"/>
      <c r="B11" s="672"/>
    </row>
    <row r="12" spans="1:6">
      <c r="F12" s="631"/>
    </row>
    <row r="13" spans="1:6" ht="15.75" thickBot="1">
      <c r="B13" s="681"/>
      <c r="E13" s="631"/>
      <c r="F13" s="631"/>
    </row>
    <row r="14" spans="1:6">
      <c r="A14" s="733" t="s">
        <v>1242</v>
      </c>
      <c r="B14" s="684"/>
      <c r="C14" s="685"/>
      <c r="D14" s="685"/>
      <c r="E14" s="686"/>
      <c r="F14" s="687"/>
    </row>
    <row r="15" spans="1:6">
      <c r="A15" s="688" t="s">
        <v>1120</v>
      </c>
      <c r="B15" s="621" t="s">
        <v>382</v>
      </c>
      <c r="C15" s="621" t="s">
        <v>1121</v>
      </c>
      <c r="D15" s="621" t="s">
        <v>928</v>
      </c>
      <c r="E15" s="621" t="s">
        <v>929</v>
      </c>
      <c r="F15" s="689" t="s">
        <v>1122</v>
      </c>
    </row>
    <row r="16" spans="1:6">
      <c r="A16" s="690" t="s">
        <v>1260</v>
      </c>
      <c r="B16" s="626">
        <v>170</v>
      </c>
      <c r="C16" s="691">
        <f>($B$2*1000)</f>
        <v>75000</v>
      </c>
      <c r="D16" s="622" t="s">
        <v>1176</v>
      </c>
      <c r="E16" s="625">
        <f>B16*C16</f>
        <v>12750000</v>
      </c>
      <c r="F16" s="692"/>
    </row>
    <row r="17" spans="1:6">
      <c r="A17" s="622" t="s">
        <v>1178</v>
      </c>
      <c r="B17" s="626">
        <v>50</v>
      </c>
      <c r="C17" s="691">
        <f>$B$3*1000</f>
        <v>60000</v>
      </c>
      <c r="D17" s="622" t="s">
        <v>1176</v>
      </c>
      <c r="E17" s="625">
        <f>B17*C17</f>
        <v>3000000</v>
      </c>
      <c r="F17" s="621"/>
    </row>
    <row r="18" spans="1:6" ht="15.75" thickBot="1">
      <c r="A18" s="758" t="s">
        <v>1261</v>
      </c>
      <c r="B18" s="759">
        <v>4900</v>
      </c>
      <c r="C18" s="760">
        <f>340*6</f>
        <v>2040</v>
      </c>
      <c r="D18" s="761" t="s">
        <v>1262</v>
      </c>
      <c r="E18" s="625">
        <f>B18*C18</f>
        <v>9996000</v>
      </c>
      <c r="F18" s="762"/>
    </row>
    <row r="19" spans="1:6" ht="15.75" thickBot="1">
      <c r="A19" s="1243" t="s">
        <v>1244</v>
      </c>
      <c r="B19" s="1244"/>
      <c r="C19" s="1244"/>
      <c r="D19" s="1244"/>
      <c r="E19" s="734">
        <f>SUM(E16:E18)</f>
        <v>25746000</v>
      </c>
      <c r="F19" s="735"/>
    </row>
    <row r="20" spans="1:6">
      <c r="A20" s="699"/>
      <c r="B20" s="699"/>
      <c r="C20" s="699"/>
      <c r="D20" s="699"/>
      <c r="E20" s="636"/>
    </row>
    <row r="21" spans="1:6">
      <c r="A21" t="s">
        <v>1245</v>
      </c>
    </row>
    <row r="22" spans="1:6">
      <c r="A22" s="621" t="s">
        <v>1120</v>
      </c>
      <c r="B22" s="621" t="s">
        <v>382</v>
      </c>
      <c r="C22" s="621" t="s">
        <v>1121</v>
      </c>
      <c r="D22" s="621" t="s">
        <v>928</v>
      </c>
      <c r="E22" s="621" t="s">
        <v>929</v>
      </c>
      <c r="F22" s="621" t="s">
        <v>1122</v>
      </c>
    </row>
    <row r="23" spans="1:6">
      <c r="A23" s="622" t="s">
        <v>1123</v>
      </c>
      <c r="B23" s="736">
        <f>$B$10</f>
        <v>121500000</v>
      </c>
      <c r="C23" s="737">
        <v>0.05</v>
      </c>
      <c r="D23" s="624" t="s">
        <v>1124</v>
      </c>
      <c r="E23" s="625">
        <f>B23*C23</f>
        <v>6075000</v>
      </c>
      <c r="F23" s="624"/>
    </row>
    <row r="24" spans="1:6">
      <c r="A24" s="622" t="s">
        <v>1125</v>
      </c>
      <c r="B24" s="626">
        <v>110000</v>
      </c>
      <c r="C24" s="738">
        <f>$B$4</f>
        <v>3</v>
      </c>
      <c r="D24" s="624" t="s">
        <v>1126</v>
      </c>
      <c r="E24" s="625">
        <f t="shared" ref="E24:E32" si="0">B24*C24</f>
        <v>330000</v>
      </c>
      <c r="F24" s="624"/>
    </row>
    <row r="25" spans="1:6">
      <c r="A25" s="622" t="s">
        <v>1192</v>
      </c>
      <c r="B25" s="626">
        <v>1250000</v>
      </c>
      <c r="C25" s="730">
        <f>$C$24</f>
        <v>3</v>
      </c>
      <c r="D25" s="624" t="s">
        <v>1126</v>
      </c>
      <c r="E25" s="625">
        <f t="shared" si="0"/>
        <v>3750000</v>
      </c>
      <c r="F25" s="624"/>
    </row>
    <row r="26" spans="1:6">
      <c r="A26" s="622" t="s">
        <v>1127</v>
      </c>
      <c r="B26" s="626">
        <v>100000</v>
      </c>
      <c r="C26" s="624">
        <v>3</v>
      </c>
      <c r="D26" s="624" t="s">
        <v>1128</v>
      </c>
      <c r="E26" s="625">
        <f t="shared" si="0"/>
        <v>300000</v>
      </c>
      <c r="F26" s="624"/>
    </row>
    <row r="27" spans="1:6">
      <c r="A27" s="622" t="s">
        <v>1129</v>
      </c>
      <c r="B27" s="626">
        <f>70000*2</f>
        <v>140000</v>
      </c>
      <c r="C27" s="624">
        <v>3</v>
      </c>
      <c r="D27" s="624" t="s">
        <v>1128</v>
      </c>
      <c r="E27" s="625">
        <f t="shared" si="0"/>
        <v>420000</v>
      </c>
      <c r="F27" s="624"/>
    </row>
    <row r="28" spans="1:6">
      <c r="A28" s="622" t="s">
        <v>1130</v>
      </c>
      <c r="B28" s="626">
        <v>250000</v>
      </c>
      <c r="C28" s="738">
        <f>$C$25</f>
        <v>3</v>
      </c>
      <c r="D28" s="624" t="s">
        <v>1126</v>
      </c>
      <c r="E28" s="625">
        <f t="shared" si="0"/>
        <v>750000</v>
      </c>
      <c r="F28" s="624"/>
    </row>
    <row r="29" spans="1:6">
      <c r="A29" s="622" t="s">
        <v>1131</v>
      </c>
      <c r="B29" s="626">
        <v>4000</v>
      </c>
      <c r="C29" s="703">
        <f>$B$7*3</f>
        <v>180</v>
      </c>
      <c r="D29" s="703" t="s">
        <v>1188</v>
      </c>
      <c r="E29" s="625">
        <f t="shared" si="0"/>
        <v>720000</v>
      </c>
      <c r="F29" s="763" t="s">
        <v>1198</v>
      </c>
    </row>
    <row r="30" spans="1:6">
      <c r="A30" s="709" t="s">
        <v>1200</v>
      </c>
      <c r="B30" s="626">
        <v>4900</v>
      </c>
      <c r="C30" s="703">
        <f>13*3</f>
        <v>39</v>
      </c>
      <c r="D30" s="703" t="s">
        <v>1263</v>
      </c>
      <c r="E30" s="625">
        <f t="shared" si="0"/>
        <v>191100</v>
      </c>
      <c r="F30" s="624"/>
    </row>
    <row r="31" spans="1:6">
      <c r="A31" s="709" t="s">
        <v>1202</v>
      </c>
      <c r="B31" s="626">
        <v>50000</v>
      </c>
      <c r="C31" s="703">
        <f t="shared" ref="C31:C32" si="1">$C$27</f>
        <v>3</v>
      </c>
      <c r="D31" s="703" t="s">
        <v>1128</v>
      </c>
      <c r="E31" s="625">
        <f t="shared" si="0"/>
        <v>150000</v>
      </c>
      <c r="F31" s="624"/>
    </row>
    <row r="32" spans="1:6" ht="15.75" thickBot="1">
      <c r="A32" s="710" t="s">
        <v>1205</v>
      </c>
      <c r="B32" s="633">
        <v>20000</v>
      </c>
      <c r="C32" s="634">
        <f t="shared" si="1"/>
        <v>3</v>
      </c>
      <c r="D32" s="634" t="s">
        <v>1128</v>
      </c>
      <c r="E32" s="628">
        <f t="shared" si="0"/>
        <v>60000</v>
      </c>
      <c r="F32" s="624"/>
    </row>
    <row r="33" spans="1:6" ht="15.75" thickBot="1">
      <c r="A33" s="1245" t="s">
        <v>1247</v>
      </c>
      <c r="B33" s="1246"/>
      <c r="C33" s="1246"/>
      <c r="D33" s="1247"/>
      <c r="E33" s="711">
        <f>SUM(E23:E32)</f>
        <v>12746100</v>
      </c>
      <c r="F33" s="629"/>
    </row>
    <row r="34" spans="1:6" ht="15.75" thickBot="1">
      <c r="A34" s="713"/>
      <c r="B34" s="713"/>
      <c r="C34" s="713"/>
      <c r="D34" s="714"/>
      <c r="E34" s="715"/>
      <c r="F34" s="712"/>
    </row>
    <row r="35" spans="1:6" ht="15.75" thickBot="1">
      <c r="A35" s="739" t="s">
        <v>1248</v>
      </c>
      <c r="B35" s="740"/>
      <c r="C35" s="741"/>
      <c r="D35" s="742"/>
      <c r="E35" s="743"/>
      <c r="F35" s="744"/>
    </row>
    <row r="36" spans="1:6">
      <c r="A36" s="745" t="s">
        <v>1120</v>
      </c>
      <c r="B36" s="746" t="s">
        <v>382</v>
      </c>
      <c r="C36" s="747" t="s">
        <v>1121</v>
      </c>
      <c r="D36" s="747" t="s">
        <v>928</v>
      </c>
      <c r="E36" s="748" t="s">
        <v>929</v>
      </c>
      <c r="F36" s="678" t="s">
        <v>1122</v>
      </c>
    </row>
    <row r="37" spans="1:6">
      <c r="A37" s="690" t="s">
        <v>1179</v>
      </c>
      <c r="B37" s="626">
        <v>1812</v>
      </c>
      <c r="C37" s="693">
        <f>(C17/50)+(C17/50)*5%</f>
        <v>1260</v>
      </c>
      <c r="D37" s="622" t="s">
        <v>1180</v>
      </c>
      <c r="E37" s="625">
        <f>B37*C37</f>
        <v>2283120</v>
      </c>
      <c r="F37" s="689"/>
    </row>
    <row r="38" spans="1:6">
      <c r="A38" s="622" t="s">
        <v>1181</v>
      </c>
      <c r="B38" s="626">
        <v>1770</v>
      </c>
      <c r="C38" s="693">
        <f>$C$37</f>
        <v>1260</v>
      </c>
      <c r="D38" s="622" t="s">
        <v>1180</v>
      </c>
      <c r="E38" s="625">
        <f>B38*C38</f>
        <v>2230200</v>
      </c>
      <c r="F38" s="689"/>
    </row>
    <row r="39" spans="1:6" ht="15.75" thickBot="1">
      <c r="A39" s="632" t="s">
        <v>1249</v>
      </c>
      <c r="B39" s="633">
        <v>200000</v>
      </c>
      <c r="C39" s="749">
        <v>1</v>
      </c>
      <c r="D39" s="632" t="s">
        <v>1124</v>
      </c>
      <c r="E39" s="628">
        <f>B39*C39</f>
        <v>200000</v>
      </c>
      <c r="F39" s="750" t="s">
        <v>1250</v>
      </c>
    </row>
    <row r="40" spans="1:6" ht="15.75" thickBot="1">
      <c r="A40" s="1243" t="s">
        <v>1251</v>
      </c>
      <c r="B40" s="1244"/>
      <c r="C40" s="1244"/>
      <c r="D40" s="1244"/>
      <c r="E40" s="696">
        <f>SUM(E37:E39)</f>
        <v>4713320</v>
      </c>
      <c r="F40" s="751"/>
    </row>
    <row r="41" spans="1:6">
      <c r="A41" s="622" t="s">
        <v>1132</v>
      </c>
      <c r="B41" s="626">
        <v>530000</v>
      </c>
      <c r="C41" s="738">
        <f>$B$4</f>
        <v>3</v>
      </c>
      <c r="D41" s="624" t="s">
        <v>1126</v>
      </c>
      <c r="E41" s="625">
        <f>B41*C41</f>
        <v>1590000</v>
      </c>
      <c r="F41" s="624" t="s">
        <v>1252</v>
      </c>
    </row>
    <row r="42" spans="1:6">
      <c r="A42" s="622" t="s">
        <v>1133</v>
      </c>
      <c r="B42" s="626">
        <v>150000</v>
      </c>
      <c r="C42" s="730">
        <f>$C$41</f>
        <v>3</v>
      </c>
      <c r="D42" s="624" t="s">
        <v>1126</v>
      </c>
      <c r="E42" s="625">
        <f>B42*C42</f>
        <v>450000</v>
      </c>
      <c r="F42" s="624" t="s">
        <v>1253</v>
      </c>
    </row>
    <row r="43" spans="1:6" ht="15.75" thickBot="1">
      <c r="A43" s="632" t="s">
        <v>1207</v>
      </c>
      <c r="B43" s="633">
        <f>E19+E40+E33+E41+E42</f>
        <v>45245420</v>
      </c>
      <c r="C43" s="634">
        <v>0.05</v>
      </c>
      <c r="D43" s="634" t="s">
        <v>1124</v>
      </c>
      <c r="E43" s="625">
        <f>B43*C43</f>
        <v>2262271</v>
      </c>
      <c r="F43" s="624"/>
    </row>
    <row r="44" spans="1:6" ht="15.75" thickBot="1">
      <c r="A44" s="1248" t="s">
        <v>1254</v>
      </c>
      <c r="B44" s="1249"/>
      <c r="C44" s="1249"/>
      <c r="D44" s="1250"/>
      <c r="E44" s="635">
        <f>SUM(E41:E43)</f>
        <v>4302271</v>
      </c>
      <c r="F44" s="631"/>
    </row>
    <row r="45" spans="1:6" ht="15.75" thickBot="1">
      <c r="A45" s="195"/>
      <c r="B45" s="195"/>
      <c r="C45" s="195"/>
      <c r="D45" s="195"/>
      <c r="E45" s="636"/>
      <c r="F45" s="631"/>
    </row>
    <row r="46" spans="1:6" ht="18.75">
      <c r="B46">
        <f>+B37/1.2</f>
        <v>1510</v>
      </c>
      <c r="D46" s="752" t="s">
        <v>1255</v>
      </c>
      <c r="E46" s="753">
        <f>E19+E33</f>
        <v>38492100</v>
      </c>
    </row>
    <row r="47" spans="1:6" ht="18.75">
      <c r="B47">
        <f>+B38/1.2</f>
        <v>1475</v>
      </c>
      <c r="D47" s="754" t="s">
        <v>1256</v>
      </c>
      <c r="E47" s="755">
        <f>E40+E44</f>
        <v>9015591</v>
      </c>
    </row>
    <row r="48" spans="1:6" ht="19.5" thickBot="1">
      <c r="D48" s="756" t="s">
        <v>33</v>
      </c>
      <c r="E48" s="757">
        <f>SUM(E46:E47)</f>
        <v>47507691</v>
      </c>
    </row>
  </sheetData>
  <mergeCells count="4">
    <mergeCell ref="A19:D19"/>
    <mergeCell ref="A33:D33"/>
    <mergeCell ref="A40:D40"/>
    <mergeCell ref="A44:D4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A764E-C6CC-4898-845E-207AA07E41E6}">
  <sheetPr codeName="Feuil27"/>
  <dimension ref="A1:M79"/>
  <sheetViews>
    <sheetView topLeftCell="A31" zoomScale="90" zoomScaleNormal="90" workbookViewId="0">
      <selection activeCell="B38" sqref="B38"/>
    </sheetView>
  </sheetViews>
  <sheetFormatPr baseColWidth="10" defaultRowHeight="15"/>
  <cols>
    <col min="1" max="1" width="46.5703125" customWidth="1"/>
    <col min="2" max="2" width="20.85546875" customWidth="1"/>
    <col min="3" max="3" width="19" customWidth="1"/>
    <col min="4" max="4" width="22.85546875" customWidth="1"/>
    <col min="5" max="5" width="20.28515625" bestFit="1" customWidth="1"/>
    <col min="6" max="6" width="23.42578125" customWidth="1"/>
    <col min="7" max="7" width="3.28515625" style="671" customWidth="1"/>
    <col min="8" max="8" width="37.140625" bestFit="1" customWidth="1"/>
    <col min="9" max="9" width="20" customWidth="1"/>
    <col min="10" max="10" width="8.85546875" bestFit="1" customWidth="1"/>
    <col min="11" max="11" width="12.7109375" bestFit="1" customWidth="1"/>
    <col min="12" max="12" width="15.5703125" customWidth="1"/>
    <col min="13" max="13" width="21.28515625" customWidth="1"/>
  </cols>
  <sheetData>
    <row r="1" spans="1:7">
      <c r="A1" t="s">
        <v>1161</v>
      </c>
    </row>
    <row r="2" spans="1:7">
      <c r="A2" t="s">
        <v>1162</v>
      </c>
      <c r="B2">
        <f>(100*B3)/80</f>
        <v>105</v>
      </c>
    </row>
    <row r="3" spans="1:7">
      <c r="A3" t="s">
        <v>1163</v>
      </c>
      <c r="B3">
        <v>84</v>
      </c>
      <c r="C3" t="s">
        <v>1164</v>
      </c>
      <c r="D3" t="s">
        <v>1165</v>
      </c>
    </row>
    <row r="4" spans="1:7">
      <c r="F4" s="97"/>
    </row>
    <row r="5" spans="1:7">
      <c r="A5" s="411"/>
      <c r="B5" s="672"/>
      <c r="F5" s="97"/>
    </row>
    <row r="6" spans="1:7">
      <c r="A6" s="624" t="s">
        <v>1166</v>
      </c>
      <c r="B6" s="673">
        <f>28*3</f>
        <v>84</v>
      </c>
      <c r="C6" s="624" t="s">
        <v>1167</v>
      </c>
      <c r="D6" s="624" t="s">
        <v>1168</v>
      </c>
      <c r="F6" s="97"/>
    </row>
    <row r="7" spans="1:7">
      <c r="A7" s="624" t="s">
        <v>1169</v>
      </c>
      <c r="B7" s="674">
        <v>425</v>
      </c>
      <c r="C7" s="674">
        <v>240</v>
      </c>
      <c r="D7" s="674">
        <f>B7-C7</f>
        <v>185</v>
      </c>
      <c r="F7" s="100"/>
    </row>
    <row r="8" spans="1:7">
      <c r="A8" s="624" t="s">
        <v>362</v>
      </c>
      <c r="B8" s="674">
        <f>B6*B7</f>
        <v>35700</v>
      </c>
      <c r="C8" s="674"/>
      <c r="D8" s="674"/>
      <c r="F8" s="100"/>
    </row>
    <row r="11" spans="1:7">
      <c r="A11" s="624" t="s">
        <v>1170</v>
      </c>
      <c r="B11" s="675">
        <v>4400</v>
      </c>
      <c r="C11" s="675"/>
      <c r="D11" s="675"/>
      <c r="E11" s="631"/>
      <c r="F11" s="676"/>
      <c r="G11" s="677"/>
    </row>
    <row r="12" spans="1:7">
      <c r="A12" s="678" t="s">
        <v>1171</v>
      </c>
      <c r="B12" s="679">
        <f>B8*B11</f>
        <v>157080000</v>
      </c>
      <c r="C12" s="679"/>
      <c r="D12" s="679"/>
      <c r="F12" s="676"/>
      <c r="G12" s="677"/>
    </row>
    <row r="13" spans="1:7">
      <c r="A13" s="411"/>
      <c r="B13" s="680"/>
      <c r="C13" s="680"/>
      <c r="D13" s="680"/>
      <c r="F13" s="676"/>
      <c r="G13" s="677"/>
    </row>
    <row r="14" spans="1:7">
      <c r="A14" s="624" t="s">
        <v>1172</v>
      </c>
      <c r="B14" s="674">
        <v>12495</v>
      </c>
      <c r="C14" s="674"/>
      <c r="D14" s="674"/>
      <c r="F14" s="100"/>
    </row>
    <row r="15" spans="1:7">
      <c r="A15" s="624" t="s">
        <v>1173</v>
      </c>
      <c r="B15" s="674">
        <f>B8-B14</f>
        <v>23205</v>
      </c>
      <c r="C15" s="674"/>
      <c r="D15" s="674"/>
      <c r="F15" s="100"/>
    </row>
    <row r="16" spans="1:7" ht="15.75" thickBot="1">
      <c r="B16" s="681"/>
      <c r="E16" s="631"/>
      <c r="F16" s="631"/>
      <c r="G16" s="682"/>
    </row>
    <row r="17" spans="1:13">
      <c r="A17" s="683" t="s">
        <v>1174</v>
      </c>
      <c r="B17" s="684"/>
      <c r="C17" s="685"/>
      <c r="D17" s="685"/>
      <c r="E17" s="686"/>
      <c r="F17" s="687"/>
    </row>
    <row r="18" spans="1:13">
      <c r="A18" s="688" t="s">
        <v>1120</v>
      </c>
      <c r="B18" s="621" t="s">
        <v>382</v>
      </c>
      <c r="C18" s="621" t="s">
        <v>1121</v>
      </c>
      <c r="D18" s="621" t="s">
        <v>928</v>
      </c>
      <c r="E18" s="621" t="s">
        <v>929</v>
      </c>
      <c r="F18" s="689" t="s">
        <v>1122</v>
      </c>
    </row>
    <row r="19" spans="1:13">
      <c r="A19" s="690" t="s">
        <v>1175</v>
      </c>
      <c r="B19" s="626">
        <v>450</v>
      </c>
      <c r="C19" s="691">
        <f>$B$2*1000</f>
        <v>105000</v>
      </c>
      <c r="D19" s="622" t="s">
        <v>1176</v>
      </c>
      <c r="E19" s="625">
        <f>B19*C19</f>
        <v>47250000</v>
      </c>
      <c r="F19" s="692" t="s">
        <v>1177</v>
      </c>
    </row>
    <row r="20" spans="1:13">
      <c r="A20" s="690" t="s">
        <v>1178</v>
      </c>
      <c r="B20" s="626">
        <v>80</v>
      </c>
      <c r="C20" s="691">
        <f>$B$3*1000</f>
        <v>84000</v>
      </c>
      <c r="D20" s="622" t="s">
        <v>1176</v>
      </c>
      <c r="E20" s="625">
        <f>B20*C20</f>
        <v>6720000</v>
      </c>
      <c r="F20" s="689"/>
    </row>
    <row r="21" spans="1:13">
      <c r="A21" s="690" t="s">
        <v>1179</v>
      </c>
      <c r="B21" s="626">
        <v>1812</v>
      </c>
      <c r="C21" s="693"/>
      <c r="D21" s="622" t="s">
        <v>1180</v>
      </c>
      <c r="E21" s="625">
        <f>B21*C21</f>
        <v>0</v>
      </c>
      <c r="F21" s="689"/>
    </row>
    <row r="22" spans="1:13" ht="15.75" thickBot="1">
      <c r="A22" s="694" t="s">
        <v>1181</v>
      </c>
      <c r="B22" s="633">
        <v>1770</v>
      </c>
      <c r="C22" s="695"/>
      <c r="D22" s="632" t="s">
        <v>1180</v>
      </c>
      <c r="E22" s="628">
        <f t="shared" ref="E22" si="0">B22*C22</f>
        <v>0</v>
      </c>
      <c r="F22" s="689"/>
    </row>
    <row r="23" spans="1:13" ht="15.75" thickBot="1">
      <c r="A23" s="1243" t="s">
        <v>1182</v>
      </c>
      <c r="B23" s="1244"/>
      <c r="C23" s="1244"/>
      <c r="D23" s="1244"/>
      <c r="E23" s="696">
        <f>SUM(E19:E22)</f>
        <v>53970000</v>
      </c>
      <c r="F23" s="697"/>
    </row>
    <row r="24" spans="1:13" ht="15.75" thickBot="1">
      <c r="A24" s="1243"/>
      <c r="B24" s="1244"/>
      <c r="C24" s="1244"/>
      <c r="D24" s="1244"/>
      <c r="E24" s="696"/>
      <c r="F24" s="698"/>
    </row>
    <row r="25" spans="1:13">
      <c r="A25" s="699"/>
      <c r="B25" s="699"/>
      <c r="C25" s="699"/>
      <c r="D25" s="699"/>
      <c r="E25" s="636"/>
    </row>
    <row r="26" spans="1:13">
      <c r="A26" s="1253" t="s">
        <v>1183</v>
      </c>
      <c r="B26" s="1253"/>
      <c r="C26" s="1253"/>
      <c r="D26" s="1253"/>
      <c r="E26" s="1253"/>
      <c r="F26" s="1253"/>
      <c r="H26" s="1254" t="s">
        <v>1184</v>
      </c>
      <c r="I26" s="1254"/>
      <c r="J26" s="1254"/>
      <c r="K26" s="1254"/>
      <c r="L26" s="1254"/>
      <c r="M26" s="1254"/>
    </row>
    <row r="27" spans="1:13">
      <c r="A27" s="700" t="s">
        <v>1185</v>
      </c>
      <c r="E27" s="631"/>
      <c r="H27" s="701" t="s">
        <v>1186</v>
      </c>
    </row>
    <row r="28" spans="1:13">
      <c r="A28" s="621" t="s">
        <v>1120</v>
      </c>
      <c r="B28" s="621" t="s">
        <v>382</v>
      </c>
      <c r="C28" s="621" t="s">
        <v>1121</v>
      </c>
      <c r="D28" s="621" t="s">
        <v>928</v>
      </c>
      <c r="E28" s="621" t="s">
        <v>929</v>
      </c>
      <c r="F28" s="621" t="s">
        <v>1122</v>
      </c>
      <c r="G28" s="702"/>
      <c r="H28" s="621" t="s">
        <v>1120</v>
      </c>
      <c r="I28" s="621" t="s">
        <v>382</v>
      </c>
      <c r="J28" s="621" t="s">
        <v>1121</v>
      </c>
      <c r="K28" s="621" t="s">
        <v>928</v>
      </c>
      <c r="L28" s="621" t="s">
        <v>929</v>
      </c>
      <c r="M28" s="621" t="s">
        <v>1122</v>
      </c>
    </row>
    <row r="29" spans="1:13">
      <c r="A29" s="622" t="s">
        <v>1187</v>
      </c>
      <c r="B29" s="626">
        <v>4500</v>
      </c>
      <c r="C29" s="693">
        <f>$B$6</f>
        <v>84</v>
      </c>
      <c r="D29" s="703" t="s">
        <v>1188</v>
      </c>
      <c r="E29" s="625">
        <f t="shared" ref="E29:E48" si="1">B29*C29</f>
        <v>378000</v>
      </c>
      <c r="F29" s="704"/>
      <c r="G29" s="705"/>
      <c r="H29" s="622" t="s">
        <v>1123</v>
      </c>
      <c r="I29" s="706">
        <f>$B$12</f>
        <v>157080000</v>
      </c>
      <c r="J29" s="623">
        <v>0.05</v>
      </c>
      <c r="K29" s="624" t="s">
        <v>1124</v>
      </c>
      <c r="L29" s="707">
        <v>3141600</v>
      </c>
      <c r="M29" s="624" t="s">
        <v>1189</v>
      </c>
    </row>
    <row r="30" spans="1:13">
      <c r="A30" s="622" t="s">
        <v>1190</v>
      </c>
      <c r="B30" s="626">
        <v>5500</v>
      </c>
      <c r="C30" s="693">
        <f>$B$6</f>
        <v>84</v>
      </c>
      <c r="D30" s="703" t="s">
        <v>1188</v>
      </c>
      <c r="E30" s="625">
        <f t="shared" si="1"/>
        <v>462000</v>
      </c>
      <c r="F30" s="624"/>
      <c r="H30" s="622" t="s">
        <v>1125</v>
      </c>
      <c r="I30" s="626">
        <v>110000</v>
      </c>
      <c r="J30" s="624">
        <v>3</v>
      </c>
      <c r="K30" s="624" t="s">
        <v>1126</v>
      </c>
      <c r="L30" s="625">
        <f t="shared" ref="L30:L39" si="2">I30*J30</f>
        <v>330000</v>
      </c>
      <c r="M30" s="624"/>
    </row>
    <row r="31" spans="1:13">
      <c r="A31" s="627" t="s">
        <v>1191</v>
      </c>
      <c r="B31" s="626">
        <v>30000</v>
      </c>
      <c r="C31" s="693">
        <v>2</v>
      </c>
      <c r="D31" s="703" t="s">
        <v>1128</v>
      </c>
      <c r="E31" s="625">
        <f t="shared" si="1"/>
        <v>60000</v>
      </c>
      <c r="F31" s="624"/>
      <c r="H31" s="622" t="s">
        <v>1192</v>
      </c>
      <c r="I31" s="626">
        <v>1250000</v>
      </c>
      <c r="J31" s="624">
        <v>3</v>
      </c>
      <c r="K31" s="624" t="s">
        <v>1126</v>
      </c>
      <c r="L31" s="625">
        <f t="shared" si="2"/>
        <v>3750000</v>
      </c>
      <c r="M31" s="624"/>
    </row>
    <row r="32" spans="1:13">
      <c r="A32" s="627" t="s">
        <v>1193</v>
      </c>
      <c r="B32" s="626">
        <v>20000</v>
      </c>
      <c r="C32" s="693">
        <v>1</v>
      </c>
      <c r="D32" s="624" t="s">
        <v>1128</v>
      </c>
      <c r="E32" s="625">
        <f t="shared" si="1"/>
        <v>20000</v>
      </c>
      <c r="F32" s="624"/>
      <c r="H32" s="622" t="s">
        <v>1127</v>
      </c>
      <c r="I32" s="626">
        <v>100000</v>
      </c>
      <c r="J32" s="624">
        <v>3</v>
      </c>
      <c r="K32" s="624" t="s">
        <v>1128</v>
      </c>
      <c r="L32" s="625">
        <f t="shared" si="2"/>
        <v>300000</v>
      </c>
      <c r="M32" s="624"/>
    </row>
    <row r="33" spans="1:13">
      <c r="A33" s="627" t="s">
        <v>1194</v>
      </c>
      <c r="B33" s="626">
        <v>60000</v>
      </c>
      <c r="C33" s="693">
        <v>2</v>
      </c>
      <c r="D33" s="624" t="s">
        <v>1128</v>
      </c>
      <c r="E33" s="625">
        <f t="shared" si="1"/>
        <v>120000</v>
      </c>
      <c r="F33" s="624"/>
      <c r="H33" s="622" t="s">
        <v>1129</v>
      </c>
      <c r="I33" s="626">
        <f>70000*2</f>
        <v>140000</v>
      </c>
      <c r="J33" s="624">
        <v>3</v>
      </c>
      <c r="K33" s="624" t="s">
        <v>1128</v>
      </c>
      <c r="L33" s="625">
        <f t="shared" si="2"/>
        <v>420000</v>
      </c>
      <c r="M33" s="624"/>
    </row>
    <row r="34" spans="1:13">
      <c r="A34" s="627" t="s">
        <v>1195</v>
      </c>
      <c r="B34" s="630">
        <v>4900</v>
      </c>
      <c r="C34" s="693">
        <v>20</v>
      </c>
      <c r="D34" s="703" t="s">
        <v>1196</v>
      </c>
      <c r="E34" s="625">
        <f t="shared" si="1"/>
        <v>98000</v>
      </c>
      <c r="F34" s="624"/>
      <c r="H34" s="622" t="s">
        <v>1130</v>
      </c>
      <c r="I34" s="626">
        <v>250000</v>
      </c>
      <c r="J34" s="624">
        <v>3</v>
      </c>
      <c r="K34" s="624" t="s">
        <v>1126</v>
      </c>
      <c r="L34" s="625">
        <f t="shared" si="2"/>
        <v>750000</v>
      </c>
      <c r="M34" s="624"/>
    </row>
    <row r="35" spans="1:13" ht="18" customHeight="1">
      <c r="A35" s="627" t="s">
        <v>1197</v>
      </c>
      <c r="B35" s="630">
        <v>15000</v>
      </c>
      <c r="C35" s="693">
        <v>2</v>
      </c>
      <c r="D35" s="703" t="s">
        <v>1128</v>
      </c>
      <c r="E35" s="625">
        <f t="shared" si="1"/>
        <v>30000</v>
      </c>
      <c r="F35" s="624"/>
      <c r="H35" s="622" t="s">
        <v>1131</v>
      </c>
      <c r="I35" s="626">
        <v>4000</v>
      </c>
      <c r="J35" s="703">
        <f>B3*3</f>
        <v>252</v>
      </c>
      <c r="K35" s="703" t="s">
        <v>1188</v>
      </c>
      <c r="L35" s="625">
        <f t="shared" si="2"/>
        <v>1008000</v>
      </c>
      <c r="M35" s="708" t="s">
        <v>1198</v>
      </c>
    </row>
    <row r="36" spans="1:13" ht="16.5" customHeight="1">
      <c r="A36" s="622" t="s">
        <v>1199</v>
      </c>
      <c r="B36" s="626">
        <v>200000</v>
      </c>
      <c r="C36" s="693">
        <v>3</v>
      </c>
      <c r="D36" s="624" t="s">
        <v>1135</v>
      </c>
      <c r="E36" s="625">
        <f t="shared" si="1"/>
        <v>600000</v>
      </c>
      <c r="F36" s="624"/>
      <c r="H36" s="709" t="s">
        <v>1200</v>
      </c>
      <c r="I36" s="626">
        <v>4900</v>
      </c>
      <c r="J36" s="703">
        <v>13</v>
      </c>
      <c r="K36" s="703" t="s">
        <v>1128</v>
      </c>
      <c r="L36" s="625">
        <f t="shared" si="2"/>
        <v>63700</v>
      </c>
      <c r="M36" s="624"/>
    </row>
    <row r="37" spans="1:13" ht="18" customHeight="1">
      <c r="A37" s="622" t="s">
        <v>1201</v>
      </c>
      <c r="B37" s="626">
        <v>3300</v>
      </c>
      <c r="C37" s="693">
        <f>$B$6</f>
        <v>84</v>
      </c>
      <c r="D37" s="624" t="s">
        <v>1188</v>
      </c>
      <c r="E37" s="625">
        <f t="shared" si="1"/>
        <v>277200</v>
      </c>
      <c r="F37" s="624"/>
      <c r="H37" s="709" t="s">
        <v>1202</v>
      </c>
      <c r="I37" s="626">
        <v>50000</v>
      </c>
      <c r="J37" s="703">
        <v>2</v>
      </c>
      <c r="K37" s="703" t="s">
        <v>1128</v>
      </c>
      <c r="L37" s="625">
        <f t="shared" si="2"/>
        <v>100000</v>
      </c>
      <c r="M37" s="624"/>
    </row>
    <row r="38" spans="1:13" ht="15.75" customHeight="1">
      <c r="A38" s="622" t="s">
        <v>1203</v>
      </c>
      <c r="B38" s="626">
        <v>110</v>
      </c>
      <c r="C38" s="693">
        <v>84000</v>
      </c>
      <c r="D38" s="624" t="s">
        <v>1176</v>
      </c>
      <c r="E38" s="625">
        <f>B38*C38</f>
        <v>9240000</v>
      </c>
      <c r="F38" s="624" t="s">
        <v>1204</v>
      </c>
      <c r="H38" s="710" t="s">
        <v>1205</v>
      </c>
      <c r="I38" s="633">
        <v>20000</v>
      </c>
      <c r="J38" s="634">
        <v>2</v>
      </c>
      <c r="K38" s="634" t="s">
        <v>1128</v>
      </c>
      <c r="L38" s="628">
        <f t="shared" si="2"/>
        <v>40000</v>
      </c>
      <c r="M38" s="624"/>
    </row>
    <row r="39" spans="1:13" ht="15.75" thickBot="1">
      <c r="A39" s="622" t="s">
        <v>1206</v>
      </c>
      <c r="B39" s="626">
        <v>5500</v>
      </c>
      <c r="C39" s="693">
        <f>$B$6</f>
        <v>84</v>
      </c>
      <c r="D39" s="624" t="s">
        <v>1188</v>
      </c>
      <c r="E39" s="625">
        <f t="shared" si="1"/>
        <v>462000</v>
      </c>
      <c r="F39" s="624"/>
      <c r="H39" s="632" t="s">
        <v>1207</v>
      </c>
      <c r="I39" s="633">
        <f>L30+L31+L32+L33+L34+L35+L36+L37+L38</f>
        <v>6761700</v>
      </c>
      <c r="J39" s="634">
        <v>0.05</v>
      </c>
      <c r="K39" s="634" t="s">
        <v>1124</v>
      </c>
      <c r="L39" s="628">
        <f t="shared" si="2"/>
        <v>338085</v>
      </c>
      <c r="M39" s="629"/>
    </row>
    <row r="40" spans="1:13" ht="15.75" thickBot="1">
      <c r="A40" s="622" t="s">
        <v>1208</v>
      </c>
      <c r="B40" s="626">
        <v>3000</v>
      </c>
      <c r="C40" s="693">
        <f>$B$6</f>
        <v>84</v>
      </c>
      <c r="D40" s="624" t="s">
        <v>1188</v>
      </c>
      <c r="E40" s="625">
        <f t="shared" si="1"/>
        <v>252000</v>
      </c>
      <c r="F40" s="624"/>
      <c r="H40" s="1245" t="s">
        <v>1209</v>
      </c>
      <c r="I40" s="1246"/>
      <c r="J40" s="1246"/>
      <c r="K40" s="1247"/>
      <c r="L40" s="711">
        <f>SUM(L29:L39)</f>
        <v>10241385</v>
      </c>
      <c r="M40" s="712"/>
    </row>
    <row r="41" spans="1:13">
      <c r="A41" s="622" t="s">
        <v>1210</v>
      </c>
      <c r="B41" s="626">
        <v>100000</v>
      </c>
      <c r="C41" s="693">
        <v>1</v>
      </c>
      <c r="D41" s="624" t="s">
        <v>1124</v>
      </c>
      <c r="E41" s="625">
        <f t="shared" si="1"/>
        <v>100000</v>
      </c>
      <c r="F41" s="624"/>
      <c r="H41" s="713"/>
      <c r="I41" s="713"/>
      <c r="J41" s="713"/>
      <c r="K41" s="714"/>
      <c r="L41" s="715"/>
      <c r="M41" s="624"/>
    </row>
    <row r="42" spans="1:13">
      <c r="A42" s="622" t="s">
        <v>1123</v>
      </c>
      <c r="B42" s="626">
        <f>$B$12</f>
        <v>157080000</v>
      </c>
      <c r="C42" s="716">
        <v>0.05</v>
      </c>
      <c r="D42" s="624" t="s">
        <v>1124</v>
      </c>
      <c r="E42" s="625">
        <f t="shared" si="1"/>
        <v>7854000</v>
      </c>
      <c r="F42" s="624"/>
      <c r="H42" s="717" t="s">
        <v>1211</v>
      </c>
      <c r="I42" s="626"/>
      <c r="J42" s="624"/>
      <c r="K42" s="624"/>
      <c r="L42" s="625"/>
      <c r="M42" s="678" t="s">
        <v>1122</v>
      </c>
    </row>
    <row r="43" spans="1:13">
      <c r="A43" s="622" t="s">
        <v>1212</v>
      </c>
      <c r="B43" s="626">
        <v>30000</v>
      </c>
      <c r="C43" s="693">
        <v>2</v>
      </c>
      <c r="D43" s="624" t="s">
        <v>1128</v>
      </c>
      <c r="E43" s="625">
        <f t="shared" si="1"/>
        <v>60000</v>
      </c>
      <c r="F43" s="624"/>
      <c r="H43" s="718" t="s">
        <v>1120</v>
      </c>
      <c r="I43" s="719" t="s">
        <v>382</v>
      </c>
      <c r="J43" s="678" t="s">
        <v>1121</v>
      </c>
      <c r="K43" s="678" t="s">
        <v>928</v>
      </c>
      <c r="L43" s="720" t="s">
        <v>929</v>
      </c>
      <c r="M43" s="624"/>
    </row>
    <row r="44" spans="1:13">
      <c r="A44" s="622" t="s">
        <v>1125</v>
      </c>
      <c r="B44" s="626">
        <v>110000</v>
      </c>
      <c r="C44" s="693">
        <v>3</v>
      </c>
      <c r="D44" s="624" t="s">
        <v>1126</v>
      </c>
      <c r="E44" s="625">
        <f>B44*C44</f>
        <v>330000</v>
      </c>
      <c r="F44" s="624"/>
      <c r="H44" s="622" t="s">
        <v>1132</v>
      </c>
      <c r="I44" s="626">
        <v>530000</v>
      </c>
      <c r="J44" s="624">
        <v>3</v>
      </c>
      <c r="K44" s="624" t="s">
        <v>1126</v>
      </c>
      <c r="L44" s="625">
        <f>I44*J44</f>
        <v>1590000</v>
      </c>
      <c r="M44" s="624" t="s">
        <v>1213</v>
      </c>
    </row>
    <row r="45" spans="1:13" ht="14.25" customHeight="1" thickBot="1">
      <c r="A45" s="622" t="s">
        <v>1214</v>
      </c>
      <c r="B45" s="630">
        <v>50000</v>
      </c>
      <c r="C45" s="693">
        <v>6</v>
      </c>
      <c r="D45" s="624" t="s">
        <v>1128</v>
      </c>
      <c r="E45" s="625">
        <f t="shared" si="1"/>
        <v>300000</v>
      </c>
      <c r="F45" s="624"/>
      <c r="H45" s="632" t="s">
        <v>1215</v>
      </c>
      <c r="I45" s="633">
        <f>(3239*B11)+120000</f>
        <v>14371600</v>
      </c>
      <c r="J45" s="634">
        <v>3</v>
      </c>
      <c r="K45" s="634" t="s">
        <v>1126</v>
      </c>
      <c r="L45" s="628">
        <f>I45*J45</f>
        <v>43114800</v>
      </c>
      <c r="M45" s="624" t="s">
        <v>1216</v>
      </c>
    </row>
    <row r="46" spans="1:13" ht="14.25" customHeight="1" thickBot="1">
      <c r="A46" s="622" t="s">
        <v>1217</v>
      </c>
      <c r="B46" s="626">
        <v>6000</v>
      </c>
      <c r="C46" s="693">
        <v>6</v>
      </c>
      <c r="D46" s="624" t="s">
        <v>1128</v>
      </c>
      <c r="E46" s="625">
        <f t="shared" si="1"/>
        <v>36000</v>
      </c>
      <c r="F46" s="624"/>
      <c r="H46" s="1251" t="s">
        <v>1218</v>
      </c>
      <c r="I46" s="1252"/>
      <c r="J46" s="1252"/>
      <c r="K46" s="1252"/>
      <c r="L46" s="721">
        <f>SUM(L44:L45)</f>
        <v>44704800</v>
      </c>
      <c r="M46" s="631"/>
    </row>
    <row r="47" spans="1:13" ht="14.25" customHeight="1">
      <c r="A47" s="622" t="s">
        <v>1219</v>
      </c>
      <c r="B47" s="626">
        <v>10000</v>
      </c>
      <c r="C47" s="693">
        <v>6</v>
      </c>
      <c r="D47" s="624" t="s">
        <v>1128</v>
      </c>
      <c r="E47" s="625">
        <f t="shared" si="1"/>
        <v>60000</v>
      </c>
      <c r="F47" s="624"/>
    </row>
    <row r="48" spans="1:13" ht="14.25" customHeight="1">
      <c r="A48" s="622" t="s">
        <v>1220</v>
      </c>
      <c r="B48" s="626">
        <v>7000</v>
      </c>
      <c r="C48" s="693">
        <v>6</v>
      </c>
      <c r="D48" s="624" t="s">
        <v>1128</v>
      </c>
      <c r="E48" s="625">
        <f t="shared" si="1"/>
        <v>42000</v>
      </c>
      <c r="F48" s="624"/>
    </row>
    <row r="49" spans="1:12" ht="14.25" customHeight="1" thickBot="1">
      <c r="A49" s="632" t="s">
        <v>1221</v>
      </c>
      <c r="B49" s="633"/>
      <c r="C49" s="695"/>
      <c r="D49" s="634"/>
      <c r="E49" s="628">
        <v>760000</v>
      </c>
      <c r="L49" s="631"/>
    </row>
    <row r="50" spans="1:12" ht="15.75" thickBot="1">
      <c r="A50" s="1245" t="s">
        <v>1222</v>
      </c>
      <c r="B50" s="1246"/>
      <c r="C50" s="1246"/>
      <c r="D50" s="1246"/>
      <c r="E50" s="635">
        <f>SUM(E29:E49)</f>
        <v>21541200</v>
      </c>
    </row>
    <row r="51" spans="1:12">
      <c r="A51" s="722"/>
      <c r="B51" s="722"/>
      <c r="C51" s="722"/>
      <c r="D51" s="722"/>
      <c r="E51" s="636"/>
      <c r="G51" s="682"/>
      <c r="H51" s="1255" t="s">
        <v>1223</v>
      </c>
      <c r="I51" s="1255"/>
      <c r="J51" s="1255"/>
      <c r="K51" s="1255"/>
      <c r="L51" s="723">
        <f>E23+L40</f>
        <v>64211385</v>
      </c>
    </row>
    <row r="52" spans="1:12">
      <c r="A52" s="622" t="s">
        <v>1224</v>
      </c>
      <c r="B52" s="626">
        <f>5500000-2100000</f>
        <v>3400000</v>
      </c>
      <c r="C52" s="693">
        <v>3</v>
      </c>
      <c r="D52" s="624" t="s">
        <v>1126</v>
      </c>
      <c r="E52" s="625">
        <f>B52*C52</f>
        <v>10200000</v>
      </c>
      <c r="F52" s="624" t="s">
        <v>1225</v>
      </c>
      <c r="G52" s="682"/>
      <c r="H52" s="1255" t="s">
        <v>1134</v>
      </c>
      <c r="I52" s="1255"/>
      <c r="J52" s="1255"/>
      <c r="K52" s="1255"/>
      <c r="L52" s="723">
        <f>L44+L45</f>
        <v>44704800</v>
      </c>
    </row>
    <row r="53" spans="1:12" ht="15.75" thickBot="1">
      <c r="A53" s="622" t="s">
        <v>1168</v>
      </c>
      <c r="B53" s="626">
        <f>989*4250</f>
        <v>4203250</v>
      </c>
      <c r="C53" s="693">
        <v>3</v>
      </c>
      <c r="D53" s="624" t="s">
        <v>1126</v>
      </c>
      <c r="E53" s="625">
        <f>B53*C53</f>
        <v>12609750</v>
      </c>
      <c r="F53" s="624" t="s">
        <v>1226</v>
      </c>
      <c r="G53" s="682"/>
      <c r="H53" s="1255" t="s">
        <v>1227</v>
      </c>
      <c r="I53" s="1255"/>
      <c r="J53" s="1255"/>
      <c r="K53" s="1255"/>
      <c r="L53" s="723">
        <f>L51+L52</f>
        <v>108916185</v>
      </c>
    </row>
    <row r="54" spans="1:12" ht="15.75" thickBot="1">
      <c r="A54" s="1248" t="s">
        <v>1228</v>
      </c>
      <c r="B54" s="1249"/>
      <c r="C54" s="1249"/>
      <c r="D54" s="1250"/>
      <c r="E54" s="635">
        <f>SUM(E52:E53)</f>
        <v>22809750</v>
      </c>
    </row>
    <row r="55" spans="1:12">
      <c r="A55" s="699"/>
      <c r="B55" s="699"/>
      <c r="C55" s="699"/>
      <c r="D55" s="699"/>
      <c r="E55" s="636"/>
      <c r="H55" s="631"/>
    </row>
    <row r="56" spans="1:12" ht="18.75">
      <c r="B56" s="681"/>
      <c r="H56" s="724" t="s">
        <v>1229</v>
      </c>
      <c r="I56" s="724">
        <f>L40+L46</f>
        <v>54946185</v>
      </c>
    </row>
    <row r="57" spans="1:12" ht="18.75">
      <c r="D57" t="s">
        <v>1230</v>
      </c>
      <c r="E57" s="631">
        <f>E50/3</f>
        <v>7180400</v>
      </c>
      <c r="F57" t="s">
        <v>1231</v>
      </c>
      <c r="H57" s="725" t="s">
        <v>1232</v>
      </c>
      <c r="I57" s="726">
        <f>I56+E23</f>
        <v>108916185</v>
      </c>
    </row>
    <row r="58" spans="1:12">
      <c r="D58" t="s">
        <v>1233</v>
      </c>
      <c r="E58" s="631">
        <f>E38/3</f>
        <v>3080000</v>
      </c>
      <c r="F58" s="631">
        <f>E58/4500</f>
        <v>684.44444444444446</v>
      </c>
    </row>
    <row r="60" spans="1:12">
      <c r="A60" s="624" t="s">
        <v>1234</v>
      </c>
      <c r="B60" s="723">
        <f>E50+E23</f>
        <v>75511200</v>
      </c>
      <c r="G60" s="702"/>
    </row>
    <row r="63" spans="1:12">
      <c r="D63" s="100"/>
    </row>
    <row r="64" spans="1:12" ht="18" customHeight="1">
      <c r="A64" s="727" t="s">
        <v>1235</v>
      </c>
      <c r="B64" s="724">
        <f>E50+E54</f>
        <v>44350950</v>
      </c>
      <c r="G64" s="705"/>
    </row>
    <row r="65" spans="1:7" ht="20.25" customHeight="1">
      <c r="A65" s="725" t="s">
        <v>1232</v>
      </c>
      <c r="B65" s="728">
        <f>B64+E23</f>
        <v>98320950</v>
      </c>
    </row>
    <row r="66" spans="1:7" ht="17.25" customHeight="1">
      <c r="D66" s="631"/>
    </row>
    <row r="67" spans="1:7" ht="15.75" customHeight="1"/>
    <row r="71" spans="1:7">
      <c r="G71" s="682"/>
    </row>
    <row r="72" spans="1:7">
      <c r="G72" s="729"/>
    </row>
    <row r="77" spans="1:7">
      <c r="G77" s="682"/>
    </row>
    <row r="79" spans="1:7">
      <c r="G79" s="682"/>
    </row>
  </sheetData>
  <mergeCells count="11">
    <mergeCell ref="A50:D50"/>
    <mergeCell ref="H51:K51"/>
    <mergeCell ref="H52:K52"/>
    <mergeCell ref="H53:K53"/>
    <mergeCell ref="A54:D54"/>
    <mergeCell ref="H46:K46"/>
    <mergeCell ref="A23:D23"/>
    <mergeCell ref="A24:D24"/>
    <mergeCell ref="A26:F26"/>
    <mergeCell ref="H26:M26"/>
    <mergeCell ref="H40:K40"/>
  </mergeCell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6D883-3EA7-4EE5-84BD-E277E26095DA}">
  <sheetPr codeName="Feuil28"/>
  <dimension ref="B2:BK245"/>
  <sheetViews>
    <sheetView showGridLines="0" topLeftCell="A203" zoomScale="76" zoomScaleNormal="98" workbookViewId="0">
      <selection activeCell="K211" sqref="K211"/>
    </sheetView>
  </sheetViews>
  <sheetFormatPr baseColWidth="10" defaultRowHeight="15.75"/>
  <cols>
    <col min="1" max="23" width="5.140625" style="487" customWidth="1"/>
    <col min="24" max="24" width="13.140625" style="487" customWidth="1"/>
    <col min="25" max="26" width="5.140625" style="487" customWidth="1"/>
    <col min="27" max="27" width="21.7109375" style="487" customWidth="1"/>
    <col min="28" max="28" width="6.140625" style="487" bestFit="1" customWidth="1"/>
    <col min="29" max="29" width="36" style="487" bestFit="1" customWidth="1"/>
    <col min="30" max="30" width="10.140625" style="487" bestFit="1" customWidth="1"/>
    <col min="31" max="32" width="11.7109375" style="487" bestFit="1" customWidth="1"/>
    <col min="33" max="33" width="5.140625" style="487" customWidth="1"/>
    <col min="34" max="34" width="17.140625" style="487" bestFit="1" customWidth="1"/>
    <col min="35" max="35" width="5.140625" style="487" customWidth="1"/>
    <col min="36" max="36" width="5.85546875" style="487" customWidth="1"/>
    <col min="37" max="52" width="5.140625" style="487" customWidth="1"/>
    <col min="53" max="53" width="3.85546875" style="487" customWidth="1"/>
    <col min="54" max="54" width="6.28515625" style="487" customWidth="1"/>
    <col min="55" max="55" width="3.85546875" style="487" customWidth="1"/>
    <col min="56" max="56" width="6.5703125" style="487" customWidth="1"/>
    <col min="57" max="61" width="3.85546875" style="487" customWidth="1"/>
    <col min="62" max="62" width="5.140625" style="487" customWidth="1"/>
    <col min="63" max="68" width="4" style="487" customWidth="1"/>
    <col min="69" max="16384" width="11.42578125" style="487"/>
  </cols>
  <sheetData>
    <row r="2" spans="2:61">
      <c r="B2" s="486" t="s">
        <v>987</v>
      </c>
      <c r="AC2" s="486" t="s">
        <v>988</v>
      </c>
    </row>
    <row r="3" spans="2:61">
      <c r="AL3" s="1209" t="s">
        <v>989</v>
      </c>
      <c r="AM3" s="1210"/>
      <c r="AN3" s="1210"/>
      <c r="AO3" s="1210"/>
      <c r="AP3" s="1210"/>
      <c r="AQ3" s="1211"/>
    </row>
    <row r="4" spans="2:61">
      <c r="H4" s="1209" t="s">
        <v>990</v>
      </c>
      <c r="I4" s="1210"/>
      <c r="J4" s="1210"/>
      <c r="K4" s="1210"/>
      <c r="L4" s="1210"/>
      <c r="M4" s="1211"/>
      <c r="AL4" s="1212"/>
      <c r="AM4" s="1213"/>
      <c r="AN4" s="1213"/>
      <c r="AO4" s="1213"/>
      <c r="AP4" s="1213"/>
      <c r="AQ4" s="1214"/>
    </row>
    <row r="5" spans="2:61">
      <c r="H5" s="1212"/>
      <c r="I5" s="1213"/>
      <c r="J5" s="1213"/>
      <c r="K5" s="1213"/>
      <c r="L5" s="1213"/>
      <c r="M5" s="1214"/>
      <c r="AE5" s="488"/>
      <c r="AF5" s="488"/>
      <c r="AG5" s="488"/>
      <c r="AH5" s="488"/>
      <c r="AI5" s="488"/>
      <c r="AJ5" s="488"/>
      <c r="AK5" s="488"/>
      <c r="AL5" s="488"/>
      <c r="AM5" s="488"/>
      <c r="AN5" s="488"/>
      <c r="AO5" s="489"/>
      <c r="AP5" s="488"/>
      <c r="AQ5" s="488"/>
      <c r="AR5" s="488"/>
      <c r="AS5" s="488"/>
      <c r="AT5" s="488"/>
      <c r="AU5" s="488"/>
      <c r="AV5" s="488"/>
      <c r="AW5" s="488"/>
      <c r="AX5" s="488"/>
    </row>
    <row r="6" spans="2:61">
      <c r="K6" s="490"/>
      <c r="AE6" s="489"/>
      <c r="AJ6" s="489"/>
      <c r="AO6" s="489"/>
      <c r="AT6" s="489"/>
      <c r="AY6" s="489"/>
    </row>
    <row r="7" spans="2:61" ht="15.75" customHeight="1">
      <c r="I7" s="1194" t="s">
        <v>991</v>
      </c>
      <c r="J7" s="1195"/>
      <c r="K7" s="1195"/>
      <c r="L7" s="1196"/>
      <c r="AC7" s="1230" t="s">
        <v>992</v>
      </c>
      <c r="AD7" s="1231"/>
      <c r="AE7" s="1231"/>
      <c r="AF7" s="1232"/>
      <c r="AH7" s="1230" t="s">
        <v>993</v>
      </c>
      <c r="AI7" s="1231"/>
      <c r="AJ7" s="1231"/>
      <c r="AK7" s="1232"/>
      <c r="AM7" s="1230" t="s">
        <v>994</v>
      </c>
      <c r="AN7" s="1231"/>
      <c r="AO7" s="1231"/>
      <c r="AP7" s="1232"/>
      <c r="AR7" s="1230" t="s">
        <v>995</v>
      </c>
      <c r="AS7" s="1231"/>
      <c r="AT7" s="1231"/>
      <c r="AU7" s="1232"/>
      <c r="AW7" s="1230" t="s">
        <v>996</v>
      </c>
      <c r="AX7" s="1231"/>
      <c r="AY7" s="1231"/>
      <c r="AZ7" s="1232"/>
    </row>
    <row r="8" spans="2:61">
      <c r="I8" s="1197"/>
      <c r="J8" s="1198"/>
      <c r="K8" s="1198"/>
      <c r="L8" s="1199"/>
      <c r="AC8" s="1233"/>
      <c r="AD8" s="1234"/>
      <c r="AE8" s="1234"/>
      <c r="AF8" s="1235"/>
      <c r="AH8" s="1233"/>
      <c r="AI8" s="1234"/>
      <c r="AJ8" s="1234"/>
      <c r="AK8" s="1235"/>
      <c r="AM8" s="1233"/>
      <c r="AN8" s="1234"/>
      <c r="AO8" s="1234"/>
      <c r="AP8" s="1235"/>
      <c r="AR8" s="1233"/>
      <c r="AS8" s="1234"/>
      <c r="AT8" s="1234"/>
      <c r="AU8" s="1235"/>
      <c r="AW8" s="1233"/>
      <c r="AX8" s="1234"/>
      <c r="AY8" s="1234"/>
      <c r="AZ8" s="1235"/>
    </row>
    <row r="9" spans="2:61">
      <c r="F9" s="488"/>
      <c r="G9" s="488"/>
      <c r="H9" s="488"/>
      <c r="I9" s="491"/>
      <c r="J9" s="491"/>
      <c r="K9" s="492"/>
      <c r="L9" s="491"/>
      <c r="M9" s="488"/>
      <c r="N9" s="488"/>
      <c r="O9" s="488"/>
    </row>
    <row r="10" spans="2:61">
      <c r="F10" s="493"/>
      <c r="P10" s="490"/>
    </row>
    <row r="11" spans="2:61">
      <c r="D11" s="1188" t="s">
        <v>997</v>
      </c>
      <c r="E11" s="1189"/>
      <c r="F11" s="1189"/>
      <c r="G11" s="1190"/>
      <c r="N11" s="1194" t="s">
        <v>998</v>
      </c>
      <c r="O11" s="1195"/>
      <c r="P11" s="1195"/>
      <c r="Q11" s="1196"/>
    </row>
    <row r="12" spans="2:61" ht="16.5" thickBot="1">
      <c r="D12" s="1191"/>
      <c r="E12" s="1192"/>
      <c r="F12" s="1192"/>
      <c r="G12" s="1193"/>
      <c r="N12" s="1197"/>
      <c r="O12" s="1198"/>
      <c r="P12" s="1198"/>
      <c r="Q12" s="1199"/>
      <c r="AC12" s="494" t="s">
        <v>999</v>
      </c>
    </row>
    <row r="13" spans="2:61" ht="16.5" thickBot="1">
      <c r="AC13" s="1187" t="s">
        <v>1000</v>
      </c>
      <c r="AD13" s="1187"/>
      <c r="AE13" s="1187"/>
      <c r="AF13" s="1187"/>
      <c r="AG13" s="1164" t="s">
        <v>1001</v>
      </c>
      <c r="AH13" s="1164"/>
      <c r="AI13" s="1164"/>
      <c r="AJ13" s="1164"/>
      <c r="AK13" s="1164"/>
      <c r="AL13" s="495" t="s">
        <v>1002</v>
      </c>
      <c r="AM13" s="1164" t="s">
        <v>1003</v>
      </c>
      <c r="AN13" s="1164"/>
      <c r="AO13" s="1164"/>
      <c r="AP13" s="1164"/>
      <c r="AQ13" s="1164"/>
      <c r="AR13" s="1164" t="s">
        <v>1004</v>
      </c>
      <c r="AS13" s="1164"/>
      <c r="AT13" s="1164"/>
      <c r="AU13" s="1164"/>
      <c r="AV13" s="1164"/>
      <c r="AW13" s="1164"/>
      <c r="AX13" s="1164"/>
      <c r="AY13" s="1164"/>
      <c r="AZ13" s="1164"/>
      <c r="BA13" s="1164"/>
      <c r="BB13" s="1164" t="s">
        <v>737</v>
      </c>
      <c r="BC13" s="1164"/>
      <c r="BD13" s="1164"/>
      <c r="BE13" s="1241" t="s">
        <v>362</v>
      </c>
      <c r="BF13" s="1164"/>
      <c r="BG13" s="1164"/>
      <c r="BH13" s="1164"/>
      <c r="BI13" s="1164"/>
    </row>
    <row r="14" spans="2:61">
      <c r="B14" s="1187" t="s">
        <v>1000</v>
      </c>
      <c r="C14" s="1187"/>
      <c r="D14" s="1187"/>
      <c r="E14" s="1187"/>
      <c r="F14" s="1164" t="s">
        <v>1001</v>
      </c>
      <c r="G14" s="1164"/>
      <c r="H14" s="1164"/>
      <c r="I14" s="1164"/>
      <c r="J14" s="1164"/>
      <c r="K14" s="496"/>
      <c r="L14" s="496"/>
      <c r="M14" s="495" t="s">
        <v>1002</v>
      </c>
      <c r="N14" s="1164" t="s">
        <v>1003</v>
      </c>
      <c r="O14" s="1164"/>
      <c r="P14" s="1164"/>
      <c r="Q14" s="1164"/>
      <c r="R14" s="1164"/>
      <c r="S14" s="1164" t="s">
        <v>737</v>
      </c>
      <c r="T14" s="1164"/>
      <c r="U14" s="1164"/>
      <c r="V14" s="1241" t="s">
        <v>362</v>
      </c>
      <c r="W14" s="1164"/>
      <c r="X14" s="1164"/>
      <c r="Y14" s="1164"/>
      <c r="Z14" s="1164"/>
      <c r="AC14" s="1220" t="s">
        <v>1005</v>
      </c>
      <c r="AD14" s="1220"/>
      <c r="AE14" s="1220"/>
      <c r="AF14" s="1220"/>
      <c r="AG14" s="1183">
        <v>300000</v>
      </c>
      <c r="AH14" s="1183"/>
      <c r="AI14" s="1183"/>
      <c r="AJ14" s="1183"/>
      <c r="AK14" s="487" t="s">
        <v>1006</v>
      </c>
      <c r="AL14" s="487">
        <v>1</v>
      </c>
      <c r="AM14" s="1174">
        <f>+AG14*AL14</f>
        <v>300000</v>
      </c>
      <c r="AN14" s="1168"/>
      <c r="AO14" s="1168"/>
      <c r="AP14" s="1168"/>
      <c r="AQ14" s="1168"/>
      <c r="AR14" s="1168" t="s">
        <v>737</v>
      </c>
      <c r="AS14" s="1168"/>
      <c r="AT14" s="510" t="s">
        <v>1007</v>
      </c>
      <c r="AU14" s="487" t="s">
        <v>1008</v>
      </c>
      <c r="BB14" s="1216">
        <f>+AM14*13%</f>
        <v>39000</v>
      </c>
      <c r="BC14" s="1216"/>
      <c r="BD14" s="1216"/>
      <c r="BE14" s="1174">
        <f>+AM14+BB14</f>
        <v>339000</v>
      </c>
      <c r="BF14" s="1168"/>
      <c r="BG14" s="1168"/>
      <c r="BH14" s="1168"/>
      <c r="BI14" s="1168"/>
    </row>
    <row r="15" spans="2:61">
      <c r="B15" s="1182" t="s">
        <v>990</v>
      </c>
      <c r="C15" s="1182"/>
      <c r="D15" s="1182"/>
      <c r="E15" s="1182"/>
      <c r="F15" s="1183">
        <v>300000</v>
      </c>
      <c r="G15" s="1183"/>
      <c r="H15" s="1183"/>
      <c r="I15" s="1183"/>
      <c r="J15" s="487" t="s">
        <v>1006</v>
      </c>
      <c r="K15" s="1168" t="s">
        <v>737</v>
      </c>
      <c r="L15" s="1168"/>
      <c r="M15" s="487">
        <v>1</v>
      </c>
      <c r="N15" s="1174">
        <v>300000</v>
      </c>
      <c r="O15" s="1168"/>
      <c r="P15" s="1168"/>
      <c r="Q15" s="1168"/>
      <c r="R15" s="1168"/>
      <c r="S15" s="1216">
        <f>+N15*13%</f>
        <v>39000</v>
      </c>
      <c r="T15" s="1216"/>
      <c r="U15" s="1216"/>
      <c r="V15" s="1174">
        <f>+N15+S15</f>
        <v>339000</v>
      </c>
      <c r="W15" s="1168"/>
      <c r="X15" s="1168"/>
      <c r="Y15" s="1168"/>
      <c r="Z15" s="1168"/>
      <c r="AC15" s="1220" t="s">
        <v>1009</v>
      </c>
      <c r="AD15" s="1220"/>
      <c r="AE15" s="1220"/>
      <c r="AF15" s="1220"/>
      <c r="AG15" s="1183">
        <v>200000</v>
      </c>
      <c r="AH15" s="1183"/>
      <c r="AI15" s="1183"/>
      <c r="AJ15" s="1183"/>
      <c r="AK15" s="487" t="s">
        <v>1006</v>
      </c>
      <c r="AL15" s="487">
        <v>6</v>
      </c>
      <c r="AM15" s="1174">
        <f t="shared" ref="AM15:AM20" si="0">+AG15*AL15</f>
        <v>1200000</v>
      </c>
      <c r="AN15" s="1168"/>
      <c r="AO15" s="1168"/>
      <c r="AP15" s="1168"/>
      <c r="AQ15" s="1168"/>
      <c r="AR15" s="1168" t="s">
        <v>737</v>
      </c>
      <c r="AS15" s="1168"/>
      <c r="AT15" s="510" t="s">
        <v>1007</v>
      </c>
      <c r="AU15" s="487" t="s">
        <v>1008</v>
      </c>
      <c r="BB15" s="1216">
        <f t="shared" ref="BB15:BB20" si="1">+AM15*13%</f>
        <v>156000</v>
      </c>
      <c r="BC15" s="1216"/>
      <c r="BD15" s="1216"/>
      <c r="BE15" s="1174">
        <f t="shared" ref="BE15:BE20" si="2">+AM15+BB15</f>
        <v>1356000</v>
      </c>
      <c r="BF15" s="1168"/>
      <c r="BG15" s="1168"/>
      <c r="BH15" s="1168"/>
      <c r="BI15" s="1168"/>
    </row>
    <row r="16" spans="2:61">
      <c r="B16" s="1182" t="s">
        <v>1010</v>
      </c>
      <c r="C16" s="1182"/>
      <c r="D16" s="1182"/>
      <c r="E16" s="1182"/>
      <c r="F16" s="1183">
        <v>275000</v>
      </c>
      <c r="G16" s="1183"/>
      <c r="H16" s="1183"/>
      <c r="I16" s="1183"/>
      <c r="J16" s="487" t="s">
        <v>1006</v>
      </c>
      <c r="K16" s="1168" t="s">
        <v>737</v>
      </c>
      <c r="L16" s="1168"/>
      <c r="M16" s="487">
        <v>1</v>
      </c>
      <c r="N16" s="1174">
        <v>275000</v>
      </c>
      <c r="O16" s="1168"/>
      <c r="P16" s="1168"/>
      <c r="Q16" s="1168"/>
      <c r="R16" s="1168"/>
      <c r="S16" s="1216">
        <f t="shared" ref="S16:S18" si="3">+N16*13%</f>
        <v>35750</v>
      </c>
      <c r="T16" s="1216"/>
      <c r="U16" s="1216"/>
      <c r="V16" s="1174">
        <f t="shared" ref="V16:V18" si="4">+N16+S16</f>
        <v>310750</v>
      </c>
      <c r="W16" s="1168"/>
      <c r="X16" s="1168"/>
      <c r="Y16" s="1168"/>
      <c r="Z16" s="1168"/>
      <c r="AC16" s="1220" t="s">
        <v>1011</v>
      </c>
      <c r="AD16" s="1220"/>
      <c r="AE16" s="1220"/>
      <c r="AF16" s="1220"/>
      <c r="AG16" s="1183">
        <v>100000</v>
      </c>
      <c r="AH16" s="1183"/>
      <c r="AI16" s="1183"/>
      <c r="AJ16" s="1183"/>
      <c r="AK16" s="487" t="s">
        <v>1006</v>
      </c>
      <c r="AL16" s="487">
        <v>6</v>
      </c>
      <c r="AM16" s="1174">
        <f t="shared" si="0"/>
        <v>600000</v>
      </c>
      <c r="AN16" s="1168"/>
      <c r="AO16" s="1168"/>
      <c r="AP16" s="1168"/>
      <c r="AQ16" s="1168"/>
      <c r="AR16" s="1168" t="s">
        <v>737</v>
      </c>
      <c r="AS16" s="1168"/>
      <c r="AT16" s="510" t="s">
        <v>1007</v>
      </c>
      <c r="AU16" s="487" t="s">
        <v>1012</v>
      </c>
      <c r="BB16" s="1216">
        <f t="shared" si="1"/>
        <v>78000</v>
      </c>
      <c r="BC16" s="1216"/>
      <c r="BD16" s="1216"/>
      <c r="BE16" s="1174">
        <f t="shared" si="2"/>
        <v>678000</v>
      </c>
      <c r="BF16" s="1168"/>
      <c r="BG16" s="1168"/>
      <c r="BH16" s="1168"/>
      <c r="BI16" s="1168"/>
    </row>
    <row r="17" spans="2:61">
      <c r="B17" s="1182" t="s">
        <v>1013</v>
      </c>
      <c r="C17" s="1182"/>
      <c r="D17" s="1182"/>
      <c r="E17" s="1182"/>
      <c r="F17" s="1183">
        <v>250000</v>
      </c>
      <c r="G17" s="1183"/>
      <c r="H17" s="1183"/>
      <c r="I17" s="1183"/>
      <c r="J17" s="487" t="s">
        <v>1006</v>
      </c>
      <c r="K17" s="1168" t="s">
        <v>737</v>
      </c>
      <c r="L17" s="1168"/>
      <c r="M17" s="487">
        <v>2</v>
      </c>
      <c r="N17" s="1174">
        <v>500000</v>
      </c>
      <c r="O17" s="1168"/>
      <c r="P17" s="1168"/>
      <c r="Q17" s="1168"/>
      <c r="R17" s="1168"/>
      <c r="S17" s="1216">
        <f t="shared" si="3"/>
        <v>65000</v>
      </c>
      <c r="T17" s="1216"/>
      <c r="U17" s="1216"/>
      <c r="V17" s="1174">
        <f t="shared" si="4"/>
        <v>565000</v>
      </c>
      <c r="W17" s="1168"/>
      <c r="X17" s="1168"/>
      <c r="Y17" s="1168"/>
      <c r="Z17" s="1168"/>
      <c r="AC17" s="1220" t="s">
        <v>1014</v>
      </c>
      <c r="AD17" s="1220"/>
      <c r="AE17" s="1220"/>
      <c r="AF17" s="1220"/>
      <c r="AG17" s="1183">
        <v>300000</v>
      </c>
      <c r="AH17" s="1183"/>
      <c r="AI17" s="1183"/>
      <c r="AJ17" s="1183"/>
      <c r="AK17" s="487" t="s">
        <v>1006</v>
      </c>
      <c r="AL17" s="487">
        <v>3</v>
      </c>
      <c r="AM17" s="1174">
        <f t="shared" si="0"/>
        <v>900000</v>
      </c>
      <c r="AN17" s="1168"/>
      <c r="AO17" s="1168"/>
      <c r="AP17" s="1168"/>
      <c r="AQ17" s="1168"/>
      <c r="AR17" s="1168" t="s">
        <v>737</v>
      </c>
      <c r="AS17" s="1168"/>
      <c r="AT17" s="510" t="s">
        <v>1007</v>
      </c>
      <c r="AU17" s="487" t="s">
        <v>1015</v>
      </c>
      <c r="BB17" s="1216">
        <f t="shared" si="1"/>
        <v>117000</v>
      </c>
      <c r="BC17" s="1216"/>
      <c r="BD17" s="1216"/>
      <c r="BE17" s="1174">
        <f t="shared" si="2"/>
        <v>1017000</v>
      </c>
      <c r="BF17" s="1168"/>
      <c r="BG17" s="1168"/>
      <c r="BH17" s="1168"/>
      <c r="BI17" s="1168"/>
    </row>
    <row r="18" spans="2:61">
      <c r="B18" s="1182" t="s">
        <v>1016</v>
      </c>
      <c r="C18" s="1182"/>
      <c r="D18" s="1182"/>
      <c r="E18" s="1182"/>
      <c r="F18" s="1225">
        <v>250000</v>
      </c>
      <c r="G18" s="1225"/>
      <c r="H18" s="1225"/>
      <c r="I18" s="1225"/>
      <c r="J18" s="487" t="s">
        <v>1006</v>
      </c>
      <c r="K18" s="1168" t="s">
        <v>1017</v>
      </c>
      <c r="L18" s="1168" t="s">
        <v>1018</v>
      </c>
      <c r="M18" s="488">
        <v>1</v>
      </c>
      <c r="N18" s="1236">
        <v>250000</v>
      </c>
      <c r="O18" s="1171"/>
      <c r="P18" s="1171"/>
      <c r="Q18" s="1171"/>
      <c r="R18" s="1171"/>
      <c r="S18" s="1226">
        <f t="shared" si="3"/>
        <v>32500</v>
      </c>
      <c r="T18" s="1226"/>
      <c r="U18" s="1226"/>
      <c r="V18" s="1236">
        <f t="shared" si="4"/>
        <v>282500</v>
      </c>
      <c r="W18" s="1171"/>
      <c r="X18" s="1171"/>
      <c r="Y18" s="1171"/>
      <c r="Z18" s="1171"/>
      <c r="AC18" s="1220" t="s">
        <v>1019</v>
      </c>
      <c r="AD18" s="1220"/>
      <c r="AE18" s="1220"/>
      <c r="AF18" s="1220"/>
      <c r="AG18" s="1183">
        <v>275000</v>
      </c>
      <c r="AH18" s="1183"/>
      <c r="AI18" s="1183"/>
      <c r="AJ18" s="1183"/>
      <c r="AK18" s="487" t="s">
        <v>1006</v>
      </c>
      <c r="AL18" s="487">
        <v>2</v>
      </c>
      <c r="AM18" s="1174">
        <f t="shared" si="0"/>
        <v>550000</v>
      </c>
      <c r="AN18" s="1168"/>
      <c r="AO18" s="1168"/>
      <c r="AP18" s="1168"/>
      <c r="AQ18" s="1168"/>
      <c r="AR18" s="1168" t="s">
        <v>737</v>
      </c>
      <c r="AS18" s="1168"/>
      <c r="AT18" s="510" t="s">
        <v>1007</v>
      </c>
      <c r="AU18" s="487" t="s">
        <v>1015</v>
      </c>
      <c r="BB18" s="1216">
        <f t="shared" si="1"/>
        <v>71500</v>
      </c>
      <c r="BC18" s="1216"/>
      <c r="BD18" s="1216"/>
      <c r="BE18" s="1174">
        <f t="shared" si="2"/>
        <v>621500</v>
      </c>
      <c r="BF18" s="1168"/>
      <c r="BG18" s="1168"/>
      <c r="BH18" s="1168"/>
      <c r="BI18" s="1168"/>
    </row>
    <row r="19" spans="2:61" ht="16.5" thickBot="1">
      <c r="B19" s="498" t="s">
        <v>362</v>
      </c>
      <c r="C19" s="498"/>
      <c r="D19" s="498"/>
      <c r="E19" s="498"/>
      <c r="F19" s="1237">
        <v>1075000</v>
      </c>
      <c r="G19" s="1237"/>
      <c r="H19" s="1237"/>
      <c r="I19" s="1237"/>
      <c r="J19" s="498"/>
      <c r="K19" s="498"/>
      <c r="L19" s="498"/>
      <c r="M19" s="498">
        <v>5</v>
      </c>
      <c r="N19" s="1176">
        <f>SUM(N15:R18)</f>
        <v>1325000</v>
      </c>
      <c r="O19" s="1175"/>
      <c r="P19" s="1175"/>
      <c r="Q19" s="1175"/>
      <c r="R19" s="1175"/>
      <c r="S19" s="1218">
        <f>SUM(S15:U18)</f>
        <v>172250</v>
      </c>
      <c r="T19" s="1218"/>
      <c r="U19" s="1218"/>
      <c r="V19" s="1176">
        <f>SUM(V15:Z18)</f>
        <v>1497250</v>
      </c>
      <c r="W19" s="1175"/>
      <c r="X19" s="1175"/>
      <c r="Y19" s="1175"/>
      <c r="Z19" s="1175"/>
      <c r="AC19" s="1220" t="s">
        <v>1020</v>
      </c>
      <c r="AD19" s="1220"/>
      <c r="AE19" s="1220"/>
      <c r="AF19" s="1220"/>
      <c r="AG19" s="1183">
        <v>275000</v>
      </c>
      <c r="AH19" s="1183"/>
      <c r="AI19" s="1183"/>
      <c r="AJ19" s="1183"/>
      <c r="AK19" s="487" t="s">
        <v>1006</v>
      </c>
      <c r="AL19" s="487">
        <v>3</v>
      </c>
      <c r="AM19" s="1174">
        <f t="shared" si="0"/>
        <v>825000</v>
      </c>
      <c r="AN19" s="1168"/>
      <c r="AO19" s="1168"/>
      <c r="AP19" s="1168"/>
      <c r="AQ19" s="1168"/>
      <c r="AR19" s="1168" t="s">
        <v>737</v>
      </c>
      <c r="AS19" s="1168"/>
      <c r="AT19" s="510" t="s">
        <v>1007</v>
      </c>
      <c r="AU19" s="487" t="s">
        <v>1015</v>
      </c>
      <c r="BB19" s="1216">
        <f t="shared" si="1"/>
        <v>107250</v>
      </c>
      <c r="BC19" s="1216"/>
      <c r="BD19" s="1216"/>
      <c r="BE19" s="1174">
        <f t="shared" si="2"/>
        <v>932250</v>
      </c>
      <c r="BF19" s="1168"/>
      <c r="BG19" s="1168"/>
      <c r="BH19" s="1168"/>
      <c r="BI19" s="1168"/>
    </row>
    <row r="20" spans="2:61">
      <c r="AC20" s="1220" t="s">
        <v>1021</v>
      </c>
      <c r="AD20" s="1220"/>
      <c r="AE20" s="1220"/>
      <c r="AF20" s="1220"/>
      <c r="AG20" s="1225">
        <v>275000</v>
      </c>
      <c r="AH20" s="1225"/>
      <c r="AI20" s="1225"/>
      <c r="AJ20" s="1225"/>
      <c r="AK20" s="487" t="s">
        <v>1006</v>
      </c>
      <c r="AL20" s="487">
        <v>1</v>
      </c>
      <c r="AM20" s="1174">
        <f t="shared" si="0"/>
        <v>275000</v>
      </c>
      <c r="AN20" s="1168"/>
      <c r="AO20" s="1168"/>
      <c r="AP20" s="1168"/>
      <c r="AQ20" s="1168"/>
      <c r="AR20" s="1171" t="s">
        <v>737</v>
      </c>
      <c r="AS20" s="1171"/>
      <c r="AT20" s="554" t="s">
        <v>1007</v>
      </c>
      <c r="AU20" s="488" t="s">
        <v>1015</v>
      </c>
      <c r="AV20" s="488"/>
      <c r="AW20" s="488"/>
      <c r="AX20" s="488"/>
      <c r="AY20" s="488"/>
      <c r="AZ20" s="488"/>
      <c r="BA20" s="488"/>
      <c r="BB20" s="1226">
        <f t="shared" si="1"/>
        <v>35750</v>
      </c>
      <c r="BC20" s="1226"/>
      <c r="BD20" s="1226"/>
      <c r="BE20" s="1236">
        <f t="shared" si="2"/>
        <v>310750</v>
      </c>
      <c r="BF20" s="1171"/>
      <c r="BG20" s="1171"/>
      <c r="BH20" s="1171"/>
      <c r="BI20" s="1171"/>
    </row>
    <row r="21" spans="2:61" ht="16.5" thickBot="1">
      <c r="B21" s="487" t="s">
        <v>1022</v>
      </c>
      <c r="F21" s="1183"/>
      <c r="G21" s="1183"/>
      <c r="H21" s="1183"/>
      <c r="I21" s="1183"/>
      <c r="N21" s="1174">
        <f>+N19</f>
        <v>1325000</v>
      </c>
      <c r="O21" s="1174"/>
      <c r="P21" s="1174"/>
      <c r="Q21" s="1174"/>
      <c r="R21" s="1174"/>
      <c r="S21" s="1216">
        <f>+S19</f>
        <v>172250</v>
      </c>
      <c r="T21" s="1216"/>
      <c r="U21" s="1216"/>
      <c r="V21" s="1236">
        <f>+N21+S21</f>
        <v>1497250</v>
      </c>
      <c r="W21" s="1171"/>
      <c r="X21" s="1171"/>
      <c r="Y21" s="1171"/>
      <c r="Z21" s="1171"/>
      <c r="AC21" s="498" t="s">
        <v>362</v>
      </c>
      <c r="AD21" s="498"/>
      <c r="AE21" s="498"/>
      <c r="AF21" s="498"/>
      <c r="AG21" s="1237">
        <v>1825000</v>
      </c>
      <c r="AH21" s="1237"/>
      <c r="AI21" s="1237"/>
      <c r="AJ21" s="1237"/>
      <c r="AK21" s="498"/>
      <c r="AL21" s="498">
        <v>22</v>
      </c>
      <c r="AM21" s="1176">
        <v>4750000</v>
      </c>
      <c r="AN21" s="1175"/>
      <c r="AO21" s="1175"/>
      <c r="AP21" s="1175"/>
      <c r="AQ21" s="1175"/>
      <c r="AR21" s="1166"/>
      <c r="AS21" s="1166"/>
      <c r="AT21" s="499"/>
      <c r="AU21" s="499"/>
      <c r="AV21" s="499"/>
      <c r="AW21" s="499"/>
      <c r="AX21" s="499"/>
      <c r="AY21" s="499"/>
      <c r="AZ21" s="499"/>
      <c r="BA21" s="499"/>
      <c r="BB21" s="1238">
        <f>SUM(BB14:BD20)</f>
        <v>604500</v>
      </c>
      <c r="BC21" s="1238"/>
      <c r="BD21" s="1238"/>
      <c r="BE21" s="1239">
        <f>SUM(BE14:BI20)</f>
        <v>5254500</v>
      </c>
      <c r="BF21" s="1240"/>
      <c r="BG21" s="1240"/>
      <c r="BH21" s="1240"/>
      <c r="BI21" s="1240"/>
    </row>
    <row r="22" spans="2:61" ht="4.5" customHeight="1">
      <c r="AC22" s="500"/>
      <c r="AD22" s="500"/>
      <c r="AE22" s="500"/>
      <c r="AF22" s="500"/>
      <c r="AG22" s="501"/>
      <c r="AH22" s="501"/>
      <c r="AI22" s="501"/>
      <c r="AJ22" s="501"/>
      <c r="AK22" s="500"/>
      <c r="AL22" s="500"/>
      <c r="AM22" s="502"/>
      <c r="AN22" s="503"/>
      <c r="AO22" s="503"/>
      <c r="AP22" s="503"/>
      <c r="AQ22" s="503"/>
      <c r="AR22" s="497"/>
      <c r="AS22" s="497"/>
      <c r="BB22" s="504"/>
      <c r="BC22" s="504"/>
      <c r="BD22" s="504"/>
      <c r="BE22" s="502"/>
      <c r="BF22" s="503"/>
      <c r="BG22" s="503"/>
      <c r="BH22" s="503"/>
      <c r="BI22" s="503"/>
    </row>
    <row r="23" spans="2:61">
      <c r="B23" s="486" t="s">
        <v>84</v>
      </c>
      <c r="AG23" s="1183"/>
      <c r="AH23" s="1183"/>
      <c r="AI23" s="1183"/>
      <c r="AJ23" s="1183"/>
      <c r="AM23" s="1174">
        <f>+SUMIF($AU$14:$AU$20,$AU$17,AM14:AQ20)</f>
        <v>2550000</v>
      </c>
      <c r="AN23" s="1168"/>
      <c r="AO23" s="1168"/>
      <c r="AP23" s="1168"/>
      <c r="AQ23" s="1168"/>
      <c r="BB23" s="1216">
        <f>+SUMIF($AU$14:$AU$20,$AU$17,BB14:BD20)</f>
        <v>331500</v>
      </c>
      <c r="BC23" s="1216"/>
      <c r="BD23" s="1216"/>
      <c r="BE23" s="1174">
        <f>+BB23+AM23</f>
        <v>2881500</v>
      </c>
      <c r="BF23" s="1168"/>
      <c r="BG23" s="1168"/>
      <c r="BH23" s="1168"/>
      <c r="BI23" s="1168"/>
    </row>
    <row r="24" spans="2:61" ht="16.5" thickBot="1">
      <c r="B24" s="486"/>
      <c r="AC24" s="486" t="s">
        <v>987</v>
      </c>
      <c r="AG24" s="589"/>
      <c r="AH24" s="589"/>
      <c r="AI24" s="589"/>
      <c r="AJ24" s="589"/>
      <c r="AM24" s="588"/>
      <c r="AN24" s="497"/>
      <c r="AO24" s="497"/>
      <c r="AP24" s="497"/>
      <c r="AQ24" s="497"/>
      <c r="BB24" s="590"/>
      <c r="BC24" s="590"/>
      <c r="BD24" s="590"/>
      <c r="BE24" s="588"/>
      <c r="BF24" s="497"/>
      <c r="BG24" s="497"/>
      <c r="BH24" s="497"/>
      <c r="BI24" s="497"/>
    </row>
    <row r="25" spans="2:61">
      <c r="B25" s="486"/>
      <c r="AC25" s="1187" t="s">
        <v>1000</v>
      </c>
      <c r="AD25" s="1187"/>
      <c r="AE25" s="1187"/>
      <c r="AF25" s="1187"/>
      <c r="AG25" s="1164" t="s">
        <v>1001</v>
      </c>
      <c r="AH25" s="1164"/>
      <c r="AI25" s="1164"/>
      <c r="AJ25" s="1164"/>
      <c r="AK25" s="1164"/>
      <c r="AL25" s="496"/>
      <c r="AM25" s="496"/>
      <c r="AN25" s="495" t="s">
        <v>1002</v>
      </c>
      <c r="AO25" s="1164" t="s">
        <v>1003</v>
      </c>
      <c r="AP25" s="1164"/>
      <c r="AQ25" s="1164"/>
      <c r="AR25" s="1164"/>
      <c r="AS25" s="1164"/>
      <c r="AT25" s="1164" t="s">
        <v>737</v>
      </c>
      <c r="AU25" s="1164"/>
      <c r="AV25" s="1164"/>
      <c r="AW25" s="1241" t="s">
        <v>362</v>
      </c>
      <c r="AX25" s="1164"/>
      <c r="AY25" s="1164"/>
      <c r="AZ25" s="1164"/>
      <c r="BA25" s="1164"/>
      <c r="BB25" s="590"/>
      <c r="BC25" s="590"/>
      <c r="BD25" s="590"/>
      <c r="BE25" s="588"/>
      <c r="BF25" s="497"/>
      <c r="BG25" s="497"/>
      <c r="BH25" s="497"/>
      <c r="BI25" s="497"/>
    </row>
    <row r="26" spans="2:61">
      <c r="B26" s="486"/>
      <c r="AC26" s="1182" t="s">
        <v>990</v>
      </c>
      <c r="AD26" s="1182"/>
      <c r="AE26" s="1182"/>
      <c r="AF26" s="1182"/>
      <c r="AG26" s="1183">
        <v>300000</v>
      </c>
      <c r="AH26" s="1183"/>
      <c r="AI26" s="1183"/>
      <c r="AJ26" s="1183"/>
      <c r="AK26" s="487" t="s">
        <v>1006</v>
      </c>
      <c r="AL26" s="1168" t="s">
        <v>737</v>
      </c>
      <c r="AM26" s="1168"/>
      <c r="AN26" s="487">
        <v>1</v>
      </c>
      <c r="AO26" s="1174">
        <v>300000</v>
      </c>
      <c r="AP26" s="1168"/>
      <c r="AQ26" s="1168"/>
      <c r="AR26" s="1168"/>
      <c r="AS26" s="1168"/>
      <c r="AT26" s="1216">
        <f>+AO26*13%</f>
        <v>39000</v>
      </c>
      <c r="AU26" s="1216"/>
      <c r="AV26" s="1216"/>
      <c r="AW26" s="1174">
        <f>+AO26+AT26</f>
        <v>339000</v>
      </c>
      <c r="AX26" s="1168"/>
      <c r="AY26" s="1168"/>
      <c r="AZ26" s="1168"/>
      <c r="BA26" s="1168"/>
      <c r="BB26" s="590"/>
      <c r="BC26" s="590"/>
      <c r="BD26" s="590"/>
      <c r="BE26" s="588"/>
      <c r="BF26" s="497"/>
      <c r="BG26" s="497"/>
      <c r="BH26" s="497"/>
      <c r="BI26" s="497"/>
    </row>
    <row r="27" spans="2:61">
      <c r="B27" s="486"/>
      <c r="AC27" s="1182" t="s">
        <v>1010</v>
      </c>
      <c r="AD27" s="1182"/>
      <c r="AE27" s="1182"/>
      <c r="AF27" s="1182"/>
      <c r="AG27" s="1183">
        <v>275000</v>
      </c>
      <c r="AH27" s="1183"/>
      <c r="AI27" s="1183"/>
      <c r="AJ27" s="1183"/>
      <c r="AK27" s="487" t="s">
        <v>1006</v>
      </c>
      <c r="AL27" s="1168" t="s">
        <v>737</v>
      </c>
      <c r="AM27" s="1168"/>
      <c r="AN27" s="487">
        <v>1</v>
      </c>
      <c r="AO27" s="1174">
        <v>275000</v>
      </c>
      <c r="AP27" s="1168"/>
      <c r="AQ27" s="1168"/>
      <c r="AR27" s="1168"/>
      <c r="AS27" s="1168"/>
      <c r="AT27" s="1216">
        <f t="shared" ref="AT27:AT29" si="5">+AO27*13%</f>
        <v>35750</v>
      </c>
      <c r="AU27" s="1216"/>
      <c r="AV27" s="1216"/>
      <c r="AW27" s="1174">
        <f t="shared" ref="AW27:AW29" si="6">+AO27+AT27</f>
        <v>310750</v>
      </c>
      <c r="AX27" s="1168"/>
      <c r="AY27" s="1168"/>
      <c r="AZ27" s="1168"/>
      <c r="BA27" s="1168"/>
      <c r="BB27" s="590"/>
      <c r="BC27" s="590"/>
      <c r="BD27" s="590"/>
      <c r="BE27" s="588"/>
      <c r="BF27" s="497"/>
      <c r="BG27" s="497"/>
      <c r="BH27" s="497"/>
      <c r="BI27" s="497"/>
    </row>
    <row r="28" spans="2:61">
      <c r="B28" s="486"/>
      <c r="AC28" s="1182" t="s">
        <v>1013</v>
      </c>
      <c r="AD28" s="1182"/>
      <c r="AE28" s="1182"/>
      <c r="AF28" s="1182"/>
      <c r="AG28" s="1183">
        <v>250000</v>
      </c>
      <c r="AH28" s="1183"/>
      <c r="AI28" s="1183"/>
      <c r="AJ28" s="1183"/>
      <c r="AK28" s="487" t="s">
        <v>1006</v>
      </c>
      <c r="AL28" s="1168" t="s">
        <v>737</v>
      </c>
      <c r="AM28" s="1168"/>
      <c r="AN28" s="487">
        <v>2</v>
      </c>
      <c r="AO28" s="1174">
        <v>500000</v>
      </c>
      <c r="AP28" s="1168"/>
      <c r="AQ28" s="1168"/>
      <c r="AR28" s="1168"/>
      <c r="AS28" s="1168"/>
      <c r="AT28" s="1216">
        <f t="shared" si="5"/>
        <v>65000</v>
      </c>
      <c r="AU28" s="1216"/>
      <c r="AV28" s="1216"/>
      <c r="AW28" s="1174">
        <f t="shared" si="6"/>
        <v>565000</v>
      </c>
      <c r="AX28" s="1168"/>
      <c r="AY28" s="1168"/>
      <c r="AZ28" s="1168"/>
      <c r="BA28" s="1168"/>
      <c r="BB28" s="590"/>
      <c r="BC28" s="590"/>
      <c r="BD28" s="590"/>
      <c r="BE28" s="588"/>
      <c r="BF28" s="497"/>
      <c r="BG28" s="497"/>
      <c r="BH28" s="497"/>
      <c r="BI28" s="497"/>
    </row>
    <row r="29" spans="2:61">
      <c r="B29" s="486"/>
      <c r="AC29" s="1182" t="s">
        <v>1016</v>
      </c>
      <c r="AD29" s="1182"/>
      <c r="AE29" s="1182"/>
      <c r="AF29" s="1182"/>
      <c r="AG29" s="1225">
        <v>250000</v>
      </c>
      <c r="AH29" s="1225"/>
      <c r="AI29" s="1225"/>
      <c r="AJ29" s="1225"/>
      <c r="AK29" s="487" t="s">
        <v>1006</v>
      </c>
      <c r="AL29" s="1168" t="s">
        <v>1017</v>
      </c>
      <c r="AM29" s="1168" t="s">
        <v>1018</v>
      </c>
      <c r="AN29" s="488">
        <v>1</v>
      </c>
      <c r="AO29" s="1236">
        <v>250000</v>
      </c>
      <c r="AP29" s="1171"/>
      <c r="AQ29" s="1171"/>
      <c r="AR29" s="1171"/>
      <c r="AS29" s="1171"/>
      <c r="AT29" s="1226">
        <f t="shared" si="5"/>
        <v>32500</v>
      </c>
      <c r="AU29" s="1226"/>
      <c r="AV29" s="1226"/>
      <c r="AW29" s="1236">
        <f t="shared" si="6"/>
        <v>282500</v>
      </c>
      <c r="AX29" s="1171"/>
      <c r="AY29" s="1171"/>
      <c r="AZ29" s="1171"/>
      <c r="BA29" s="1171"/>
      <c r="BB29" s="590"/>
      <c r="BC29" s="590"/>
      <c r="BD29" s="590"/>
      <c r="BE29" s="588"/>
      <c r="BF29" s="497"/>
      <c r="BG29" s="497"/>
      <c r="BH29" s="497"/>
      <c r="BI29" s="497"/>
    </row>
    <row r="30" spans="2:61" ht="16.5" thickBot="1">
      <c r="B30" s="486"/>
      <c r="AC30" s="498" t="s">
        <v>362</v>
      </c>
      <c r="AD30" s="498"/>
      <c r="AE30" s="498"/>
      <c r="AF30" s="498"/>
      <c r="AG30" s="1237">
        <v>1075000</v>
      </c>
      <c r="AH30" s="1237"/>
      <c r="AI30" s="1237"/>
      <c r="AJ30" s="1237"/>
      <c r="AK30" s="498"/>
      <c r="AL30" s="498"/>
      <c r="AM30" s="498"/>
      <c r="AN30" s="498">
        <v>5</v>
      </c>
      <c r="AO30" s="1176">
        <f>SUM(AO26:AS29)</f>
        <v>1325000</v>
      </c>
      <c r="AP30" s="1175"/>
      <c r="AQ30" s="1175"/>
      <c r="AR30" s="1175"/>
      <c r="AS30" s="1175"/>
      <c r="AT30" s="1218">
        <f>SUM(AT26:AV29)</f>
        <v>172250</v>
      </c>
      <c r="AU30" s="1218"/>
      <c r="AV30" s="1218"/>
      <c r="AW30" s="1176">
        <f>SUM(AW26:BA29)</f>
        <v>1497250</v>
      </c>
      <c r="AX30" s="1175"/>
      <c r="AY30" s="1175"/>
      <c r="AZ30" s="1175"/>
      <c r="BA30" s="1175"/>
      <c r="BB30" s="590"/>
      <c r="BC30" s="590"/>
      <c r="BD30" s="590"/>
      <c r="BE30" s="588"/>
      <c r="BF30" s="497"/>
      <c r="BG30" s="497"/>
      <c r="BH30" s="497"/>
      <c r="BI30" s="497"/>
    </row>
    <row r="31" spans="2:61">
      <c r="B31" s="486"/>
      <c r="AG31" s="589"/>
      <c r="AH31" s="589"/>
      <c r="AI31" s="589"/>
      <c r="AJ31" s="589"/>
      <c r="AM31" s="588"/>
      <c r="AN31" s="497"/>
      <c r="AO31" s="497"/>
      <c r="AP31" s="497"/>
      <c r="AQ31" s="497"/>
      <c r="BB31" s="590"/>
      <c r="BC31" s="590"/>
      <c r="BD31" s="590"/>
      <c r="BE31" s="588"/>
      <c r="BF31" s="497"/>
      <c r="BG31" s="497"/>
      <c r="BH31" s="497"/>
      <c r="BI31" s="497"/>
    </row>
    <row r="32" spans="2:61" ht="16.5" thickBot="1">
      <c r="B32" s="486"/>
      <c r="AC32" s="486" t="s">
        <v>84</v>
      </c>
      <c r="AG32" s="589"/>
      <c r="AH32" s="589"/>
      <c r="AI32" s="589"/>
      <c r="AJ32" s="589"/>
      <c r="AM32" s="588"/>
      <c r="AN32" s="497"/>
      <c r="AO32" s="497"/>
      <c r="AP32" s="497"/>
      <c r="AQ32" s="497"/>
      <c r="BB32" s="590"/>
      <c r="BC32" s="590"/>
      <c r="BD32" s="590"/>
      <c r="BE32" s="588"/>
      <c r="BF32" s="497"/>
      <c r="BG32" s="497"/>
      <c r="BH32" s="497"/>
      <c r="BI32" s="497"/>
    </row>
    <row r="33" spans="2:63">
      <c r="B33" s="486"/>
      <c r="AC33" s="1187" t="s">
        <v>1000</v>
      </c>
      <c r="AD33" s="1187"/>
      <c r="AE33" s="1187"/>
      <c r="AF33" s="1187"/>
      <c r="AG33" s="1164" t="s">
        <v>1001</v>
      </c>
      <c r="AH33" s="1164"/>
      <c r="AI33" s="1164"/>
      <c r="AJ33" s="1164"/>
      <c r="AK33" s="1164"/>
      <c r="AL33" s="496"/>
      <c r="AM33" s="496"/>
      <c r="AN33" s="508" t="s">
        <v>1002</v>
      </c>
      <c r="AO33" s="1164" t="s">
        <v>1003</v>
      </c>
      <c r="AP33" s="1164"/>
      <c r="AQ33" s="1164"/>
      <c r="AR33" s="1164"/>
      <c r="AS33" s="1164"/>
      <c r="AT33" s="1164"/>
      <c r="AU33" s="1164" t="s">
        <v>875</v>
      </c>
      <c r="AV33" s="1164"/>
      <c r="AW33" s="1164" t="s">
        <v>1004</v>
      </c>
      <c r="AX33" s="1164"/>
      <c r="AY33" s="1164"/>
      <c r="AZ33" s="1164"/>
      <c r="BA33" s="1164"/>
      <c r="BB33" s="1164"/>
      <c r="BC33" s="1164" t="s">
        <v>1032</v>
      </c>
      <c r="BD33" s="1164"/>
      <c r="BE33" s="1164"/>
      <c r="BF33" s="1164" t="s">
        <v>737</v>
      </c>
      <c r="BG33" s="1164"/>
      <c r="BH33" s="1164"/>
      <c r="BI33" s="508" t="s">
        <v>1033</v>
      </c>
      <c r="BJ33" s="508"/>
      <c r="BK33" s="508"/>
    </row>
    <row r="34" spans="2:63">
      <c r="B34" s="486"/>
      <c r="AC34" s="1182" t="s">
        <v>1005</v>
      </c>
      <c r="AD34" s="1182"/>
      <c r="AE34" s="1182"/>
      <c r="AF34" s="1182"/>
      <c r="AG34" s="1183">
        <v>300000</v>
      </c>
      <c r="AH34" s="1183"/>
      <c r="AI34" s="1183"/>
      <c r="AJ34" s="1183"/>
      <c r="AK34" s="487" t="s">
        <v>1006</v>
      </c>
      <c r="AL34" s="1168" t="s">
        <v>737</v>
      </c>
      <c r="AM34" s="1168"/>
      <c r="AN34" s="487">
        <v>1</v>
      </c>
      <c r="AO34" s="1174">
        <v>300000</v>
      </c>
      <c r="AP34" s="1168"/>
      <c r="AQ34" s="1168"/>
      <c r="AR34" s="1168"/>
      <c r="AS34" s="1168"/>
      <c r="AT34" s="487" t="s">
        <v>1006</v>
      </c>
      <c r="AU34" s="1168" t="s">
        <v>737</v>
      </c>
      <c r="AV34" s="1168"/>
      <c r="AW34" s="497" t="s">
        <v>1007</v>
      </c>
      <c r="AX34" s="487" t="s">
        <v>1034</v>
      </c>
      <c r="BC34" s="1174"/>
      <c r="BD34" s="1174"/>
      <c r="BE34" s="1174"/>
      <c r="BF34" s="1174">
        <f>+AO34*13%</f>
        <v>39000</v>
      </c>
      <c r="BG34" s="1174"/>
      <c r="BH34" s="1174"/>
      <c r="BI34" s="1174">
        <f>+AO34+BC34+BF34</f>
        <v>339000</v>
      </c>
      <c r="BJ34" s="1174"/>
      <c r="BK34" s="1174"/>
    </row>
    <row r="35" spans="2:63">
      <c r="B35" s="486"/>
      <c r="AC35" s="1182" t="s">
        <v>1009</v>
      </c>
      <c r="AD35" s="1182"/>
      <c r="AE35" s="1182"/>
      <c r="AF35" s="1182"/>
      <c r="AG35" s="1183">
        <v>200000</v>
      </c>
      <c r="AH35" s="1183"/>
      <c r="AI35" s="1183"/>
      <c r="AJ35" s="1183"/>
      <c r="AK35" s="487" t="s">
        <v>1006</v>
      </c>
      <c r="AL35" s="1168" t="s">
        <v>737</v>
      </c>
      <c r="AM35" s="1168"/>
      <c r="AN35" s="487">
        <v>6</v>
      </c>
      <c r="AO35" s="1174">
        <v>1200000</v>
      </c>
      <c r="AP35" s="1168"/>
      <c r="AQ35" s="1168"/>
      <c r="AR35" s="1168"/>
      <c r="AS35" s="1168"/>
      <c r="AT35" s="487" t="s">
        <v>1006</v>
      </c>
      <c r="AU35" s="1168" t="s">
        <v>737</v>
      </c>
      <c r="AV35" s="1168"/>
      <c r="AW35" s="497" t="s">
        <v>1007</v>
      </c>
      <c r="AX35" s="487" t="s">
        <v>1035</v>
      </c>
      <c r="BC35" s="1174"/>
      <c r="BD35" s="1174"/>
      <c r="BE35" s="1174"/>
      <c r="BF35" s="1174">
        <f>+AO35*13%</f>
        <v>156000</v>
      </c>
      <c r="BG35" s="1174"/>
      <c r="BH35" s="1174"/>
      <c r="BI35" s="1174">
        <f>+AO35+BC35+BF35</f>
        <v>1356000</v>
      </c>
      <c r="BJ35" s="1174"/>
      <c r="BK35" s="1174"/>
    </row>
    <row r="36" spans="2:63">
      <c r="B36" s="486"/>
      <c r="AC36" s="1182" t="s">
        <v>1036</v>
      </c>
      <c r="AD36" s="1182"/>
      <c r="AE36" s="1182"/>
      <c r="AF36" s="1182"/>
      <c r="AG36" s="1183">
        <v>100000</v>
      </c>
      <c r="AH36" s="1183"/>
      <c r="AI36" s="1183"/>
      <c r="AJ36" s="1183"/>
      <c r="AK36" s="487" t="s">
        <v>1006</v>
      </c>
      <c r="AL36" s="1168" t="s">
        <v>737</v>
      </c>
      <c r="AM36" s="1168"/>
      <c r="AN36" s="487">
        <v>6</v>
      </c>
      <c r="AO36" s="1174">
        <v>600000</v>
      </c>
      <c r="AP36" s="1168"/>
      <c r="AQ36" s="1168"/>
      <c r="AR36" s="1168"/>
      <c r="AS36" s="1168"/>
      <c r="AT36" s="487" t="s">
        <v>1006</v>
      </c>
      <c r="AU36" s="1168" t="s">
        <v>737</v>
      </c>
      <c r="AV36" s="1168"/>
      <c r="AW36" s="497" t="s">
        <v>1007</v>
      </c>
      <c r="AX36" s="487" t="s">
        <v>1012</v>
      </c>
      <c r="BC36" s="1174"/>
      <c r="BD36" s="1174"/>
      <c r="BE36" s="1174"/>
      <c r="BF36" s="1174">
        <f>+AO36*13%</f>
        <v>78000</v>
      </c>
      <c r="BG36" s="1174"/>
      <c r="BH36" s="1174"/>
      <c r="BI36" s="1174">
        <f>+AO36+BC36+BF36</f>
        <v>678000</v>
      </c>
      <c r="BJ36" s="1174"/>
      <c r="BK36" s="1174"/>
    </row>
    <row r="37" spans="2:63">
      <c r="B37" s="486"/>
      <c r="AC37" s="1182" t="s">
        <v>1014</v>
      </c>
      <c r="AD37" s="1182"/>
      <c r="AE37" s="1182"/>
      <c r="AF37" s="1182"/>
      <c r="AG37" s="1183">
        <v>300000</v>
      </c>
      <c r="AH37" s="1183"/>
      <c r="AI37" s="1183"/>
      <c r="AJ37" s="1183"/>
      <c r="AK37" s="487" t="s">
        <v>1006</v>
      </c>
      <c r="AL37" s="1168" t="s">
        <v>737</v>
      </c>
      <c r="AM37" s="1168"/>
      <c r="AN37" s="487">
        <v>3</v>
      </c>
      <c r="AO37" s="1174">
        <v>900000</v>
      </c>
      <c r="AP37" s="1168"/>
      <c r="AQ37" s="1168"/>
      <c r="AR37" s="1168"/>
      <c r="AS37" s="1168"/>
      <c r="AT37" s="487" t="s">
        <v>1006</v>
      </c>
      <c r="AU37" s="1168" t="s">
        <v>737</v>
      </c>
      <c r="AV37" s="1168"/>
      <c r="AW37" s="487" t="s">
        <v>1007</v>
      </c>
      <c r="AX37" s="487" t="s">
        <v>1015</v>
      </c>
      <c r="BC37" s="1174"/>
      <c r="BD37" s="1174"/>
      <c r="BE37" s="1174"/>
      <c r="BF37" s="1174">
        <f>+AO37*13%</f>
        <v>117000</v>
      </c>
      <c r="BG37" s="1174"/>
      <c r="BH37" s="1174"/>
      <c r="BI37" s="1174">
        <f>+AO37+BC37+BF37</f>
        <v>1017000</v>
      </c>
      <c r="BJ37" s="1174"/>
      <c r="BK37" s="1174"/>
    </row>
    <row r="38" spans="2:63" ht="16.5" thickBot="1">
      <c r="B38" s="486"/>
      <c r="AC38" s="1175" t="s">
        <v>362</v>
      </c>
      <c r="AD38" s="1175"/>
      <c r="AE38" s="1175"/>
      <c r="AF38" s="1175"/>
      <c r="AG38" s="1175"/>
      <c r="AH38" s="1175"/>
      <c r="AI38" s="1175"/>
      <c r="AJ38" s="1175"/>
      <c r="AK38" s="1175"/>
      <c r="AL38" s="1175"/>
      <c r="AM38" s="1175"/>
      <c r="AN38" s="498">
        <v>16</v>
      </c>
      <c r="AO38" s="1176">
        <f>SUM(AO34:AS37)</f>
        <v>3000000</v>
      </c>
      <c r="AP38" s="1175"/>
      <c r="AQ38" s="1175"/>
      <c r="AR38" s="1175"/>
      <c r="AS38" s="1175"/>
      <c r="AT38" s="509"/>
      <c r="AU38" s="509"/>
      <c r="AV38" s="509"/>
      <c r="AW38" s="509"/>
      <c r="AX38" s="509"/>
      <c r="AY38" s="509"/>
      <c r="AZ38" s="509"/>
      <c r="BA38" s="509"/>
      <c r="BB38" s="509"/>
      <c r="BC38" s="1215">
        <f>SUM(BC34:BE37)</f>
        <v>0</v>
      </c>
      <c r="BD38" s="1215"/>
      <c r="BE38" s="1215"/>
      <c r="BF38" s="1176">
        <f>SUM(BF34:BH37)</f>
        <v>390000</v>
      </c>
      <c r="BG38" s="1176"/>
      <c r="BH38" s="1176"/>
      <c r="BI38" s="1176">
        <f>SUM(BI34:BK37)</f>
        <v>3390000</v>
      </c>
      <c r="BJ38" s="1176"/>
      <c r="BK38" s="1176"/>
    </row>
    <row r="39" spans="2:63" ht="16.5" thickBot="1">
      <c r="B39" s="486"/>
      <c r="AG39" s="589"/>
      <c r="AH39" s="589"/>
      <c r="AI39" s="589"/>
      <c r="AJ39" s="589"/>
      <c r="AM39" s="588"/>
      <c r="AN39" s="497"/>
      <c r="AO39" s="497"/>
      <c r="AP39" s="497"/>
      <c r="AQ39" s="497"/>
      <c r="BB39" s="590"/>
      <c r="BC39" s="590"/>
      <c r="BD39" s="590"/>
      <c r="BE39" s="588"/>
      <c r="BF39" s="497"/>
      <c r="BG39" s="497"/>
      <c r="BH39" s="497"/>
      <c r="BI39" s="497"/>
    </row>
    <row r="40" spans="2:63">
      <c r="B40" s="486"/>
      <c r="AC40" s="1187" t="s">
        <v>1000</v>
      </c>
      <c r="AD40" s="1187"/>
      <c r="AE40" s="1187"/>
      <c r="AF40" s="1187"/>
      <c r="AG40" s="1164" t="s">
        <v>1001</v>
      </c>
      <c r="AH40" s="1164"/>
      <c r="AI40" s="1164"/>
      <c r="AJ40" s="1164"/>
      <c r="AK40" s="1164"/>
      <c r="AL40" s="496"/>
      <c r="AM40" s="496"/>
      <c r="AN40" s="508" t="s">
        <v>1002</v>
      </c>
      <c r="AO40" s="1164" t="s">
        <v>1003</v>
      </c>
      <c r="AP40" s="1164"/>
      <c r="AQ40" s="1164"/>
      <c r="AR40" s="1164"/>
      <c r="AS40" s="1164"/>
      <c r="AT40" s="1164"/>
      <c r="AU40" s="1164" t="s">
        <v>875</v>
      </c>
      <c r="AV40" s="1164"/>
      <c r="AW40" s="1164" t="s">
        <v>1004</v>
      </c>
      <c r="AX40" s="1164"/>
      <c r="AY40" s="1164"/>
      <c r="AZ40" s="1164"/>
      <c r="BA40" s="1164"/>
      <c r="BB40" s="1164"/>
      <c r="BC40" s="1164" t="s">
        <v>1032</v>
      </c>
      <c r="BD40" s="1164"/>
      <c r="BE40" s="1164"/>
      <c r="BF40" s="1164" t="s">
        <v>737</v>
      </c>
      <c r="BG40" s="1164"/>
      <c r="BH40" s="1164"/>
      <c r="BI40" s="508" t="s">
        <v>1033</v>
      </c>
      <c r="BJ40" s="508"/>
      <c r="BK40" s="508"/>
    </row>
    <row r="41" spans="2:63">
      <c r="B41" s="486"/>
      <c r="AC41" s="1220" t="str">
        <f>+AC34</f>
        <v>Resp Site</v>
      </c>
      <c r="AD41" s="1220"/>
      <c r="AE41" s="1220"/>
      <c r="AF41" s="1220"/>
      <c r="AG41" s="1183">
        <v>400000</v>
      </c>
      <c r="AH41" s="1183"/>
      <c r="AI41" s="1183"/>
      <c r="AJ41" s="1183"/>
      <c r="AK41" s="487" t="s">
        <v>1006</v>
      </c>
      <c r="AL41" s="1168" t="s">
        <v>737</v>
      </c>
      <c r="AM41" s="1168"/>
      <c r="AN41" s="487">
        <v>1</v>
      </c>
      <c r="AO41" s="1174">
        <v>300000</v>
      </c>
      <c r="AP41" s="1168"/>
      <c r="AQ41" s="1168"/>
      <c r="AR41" s="1168"/>
      <c r="AS41" s="1168"/>
      <c r="AT41" s="487" t="s">
        <v>1006</v>
      </c>
      <c r="AU41" s="1256" t="s">
        <v>737</v>
      </c>
      <c r="AV41" s="1256"/>
      <c r="AW41" s="497" t="s">
        <v>1007</v>
      </c>
      <c r="AX41" s="487" t="s">
        <v>1035</v>
      </c>
      <c r="AY41" s="598"/>
      <c r="AZ41" s="598"/>
      <c r="BA41" s="598"/>
      <c r="BB41" s="598"/>
      <c r="BD41" s="590"/>
      <c r="BE41" s="590"/>
      <c r="BF41" s="590"/>
      <c r="BG41" s="588"/>
      <c r="BH41" s="497"/>
      <c r="BI41" s="497"/>
      <c r="BJ41" s="497"/>
      <c r="BK41" s="497"/>
    </row>
    <row r="42" spans="2:63">
      <c r="B42" s="486"/>
      <c r="AC42" s="1224" t="s">
        <v>1106</v>
      </c>
      <c r="AD42" s="1224"/>
      <c r="AE42" s="1224"/>
      <c r="AF42" s="1224"/>
      <c r="AG42" s="1225">
        <v>250000</v>
      </c>
      <c r="AH42" s="1225"/>
      <c r="AI42" s="1225"/>
      <c r="AJ42" s="1225"/>
      <c r="AK42" s="487" t="s">
        <v>1006</v>
      </c>
      <c r="AL42" s="1168" t="s">
        <v>737</v>
      </c>
      <c r="AM42" s="1168"/>
      <c r="AN42" s="487">
        <v>2</v>
      </c>
      <c r="AO42" s="1174">
        <v>600000</v>
      </c>
      <c r="AP42" s="1168"/>
      <c r="AQ42" s="1168"/>
      <c r="AR42" s="1168"/>
      <c r="AS42" s="1168"/>
      <c r="AT42" s="487" t="s">
        <v>1006</v>
      </c>
      <c r="AU42" s="1222" t="s">
        <v>737</v>
      </c>
      <c r="AV42" s="1222"/>
      <c r="AW42" s="497" t="s">
        <v>1007</v>
      </c>
      <c r="AX42" s="487" t="s">
        <v>1012</v>
      </c>
      <c r="AY42" s="597"/>
      <c r="AZ42" s="597"/>
      <c r="BA42" s="597"/>
      <c r="BD42" s="590"/>
      <c r="BE42" s="590"/>
      <c r="BF42" s="590"/>
      <c r="BG42" s="588"/>
      <c r="BH42" s="497"/>
      <c r="BI42" s="497"/>
      <c r="BJ42" s="497"/>
      <c r="BK42" s="497"/>
    </row>
    <row r="43" spans="2:63" ht="16.5" thickBot="1">
      <c r="B43" s="486"/>
      <c r="AC43" s="1223" t="s">
        <v>362</v>
      </c>
      <c r="AD43" s="1223"/>
      <c r="AE43" s="1223"/>
      <c r="AF43" s="1223"/>
      <c r="AG43" s="1217">
        <f>+AG42+AG41</f>
        <v>650000</v>
      </c>
      <c r="AH43" s="1217"/>
      <c r="AI43" s="1217"/>
      <c r="AJ43" s="1217"/>
      <c r="AK43" s="591"/>
      <c r="AL43" s="498"/>
      <c r="AM43" s="1217">
        <f>+AN42+AN41</f>
        <v>3</v>
      </c>
      <c r="AN43" s="1217"/>
      <c r="AO43" s="1217"/>
      <c r="AP43" s="1217"/>
      <c r="AQ43" s="1218">
        <f>+AM43*0.13</f>
        <v>0.39</v>
      </c>
      <c r="AR43" s="1218"/>
      <c r="AS43" s="1218"/>
      <c r="AT43" s="1218">
        <f>+AM43*0.5</f>
        <v>1.5</v>
      </c>
      <c r="AU43" s="1218"/>
      <c r="AV43" s="1218"/>
      <c r="AW43" s="1219">
        <f>+AM43+AQ43+AT43</f>
        <v>4.8900000000000006</v>
      </c>
      <c r="AX43" s="1219"/>
      <c r="AY43" s="1219"/>
      <c r="AZ43" s="1219"/>
      <c r="BC43" s="590"/>
      <c r="BD43" s="590"/>
      <c r="BE43" s="590"/>
      <c r="BF43" s="588"/>
      <c r="BG43" s="497"/>
      <c r="BH43" s="497"/>
      <c r="BI43" s="497"/>
      <c r="BJ43" s="497"/>
    </row>
    <row r="44" spans="2:63">
      <c r="B44" s="486"/>
      <c r="AG44" s="589"/>
      <c r="AH44" s="589"/>
      <c r="AI44" s="589"/>
      <c r="AJ44" s="589"/>
      <c r="AM44" s="588"/>
      <c r="AN44" s="497"/>
      <c r="AO44" s="497"/>
      <c r="AP44" s="497"/>
      <c r="AQ44" s="497"/>
      <c r="BB44" s="590"/>
      <c r="BC44" s="590"/>
      <c r="BD44" s="590"/>
      <c r="BE44" s="588"/>
      <c r="BF44" s="497"/>
      <c r="BG44" s="497"/>
      <c r="BH44" s="497"/>
      <c r="BI44" s="497"/>
    </row>
    <row r="45" spans="2:63">
      <c r="B45" s="486"/>
      <c r="AG45" s="589"/>
      <c r="AH45" s="589"/>
      <c r="AI45" s="589"/>
      <c r="AJ45" s="589"/>
      <c r="AM45" s="588"/>
      <c r="AN45" s="497"/>
      <c r="AO45" s="497"/>
      <c r="AP45" s="497"/>
      <c r="AQ45" s="497"/>
      <c r="BB45" s="590"/>
      <c r="BC45" s="590"/>
      <c r="BD45" s="590"/>
      <c r="BE45" s="588"/>
      <c r="BF45" s="497"/>
      <c r="BG45" s="497"/>
      <c r="BH45" s="497"/>
      <c r="BI45" s="497"/>
    </row>
    <row r="46" spans="2:63">
      <c r="B46" s="486"/>
      <c r="AG46" s="589"/>
      <c r="AH46" s="589"/>
      <c r="AI46" s="589"/>
      <c r="AJ46" s="589"/>
      <c r="AM46" s="588"/>
      <c r="AN46" s="497"/>
      <c r="AO46" s="497"/>
      <c r="AP46" s="497"/>
      <c r="AQ46" s="497"/>
      <c r="BB46" s="590"/>
      <c r="BC46" s="590"/>
      <c r="BD46" s="590"/>
      <c r="BE46" s="588"/>
      <c r="BF46" s="497"/>
      <c r="BG46" s="497"/>
      <c r="BH46" s="497"/>
      <c r="BI46" s="497"/>
    </row>
    <row r="47" spans="2:63">
      <c r="B47" s="486"/>
      <c r="AG47" s="589"/>
      <c r="AH47" s="589"/>
      <c r="AI47" s="589"/>
      <c r="AJ47" s="589"/>
      <c r="AM47" s="588"/>
      <c r="AN47" s="497"/>
      <c r="AO47" s="497"/>
      <c r="AP47" s="497"/>
      <c r="AQ47" s="497"/>
      <c r="BB47" s="590"/>
      <c r="BC47" s="590"/>
      <c r="BD47" s="590"/>
      <c r="BE47" s="588"/>
      <c r="BF47" s="497"/>
      <c r="BG47" s="497"/>
      <c r="BH47" s="497"/>
      <c r="BI47" s="497"/>
    </row>
    <row r="48" spans="2:63">
      <c r="B48" s="486"/>
      <c r="AG48" s="589"/>
      <c r="AH48" s="589"/>
      <c r="AI48" s="589"/>
      <c r="AJ48" s="589"/>
      <c r="AM48" s="588"/>
      <c r="AN48" s="497"/>
      <c r="AO48" s="497"/>
      <c r="AP48" s="497"/>
      <c r="AQ48" s="497"/>
      <c r="BB48" s="590"/>
      <c r="BC48" s="590"/>
      <c r="BD48" s="590"/>
      <c r="BE48" s="588"/>
      <c r="BF48" s="497"/>
      <c r="BG48" s="497"/>
      <c r="BH48" s="497"/>
      <c r="BI48" s="497"/>
    </row>
    <row r="49" spans="2:61">
      <c r="B49" s="486"/>
      <c r="AG49" s="589"/>
      <c r="AH49" s="589"/>
      <c r="AI49" s="589"/>
      <c r="AJ49" s="589"/>
      <c r="AM49" s="588"/>
      <c r="AN49" s="497"/>
      <c r="AO49" s="497"/>
      <c r="AP49" s="497"/>
      <c r="AQ49" s="497"/>
      <c r="BB49" s="590"/>
      <c r="BC49" s="590"/>
      <c r="BD49" s="590"/>
      <c r="BE49" s="588"/>
      <c r="BF49" s="497"/>
      <c r="BG49" s="497"/>
      <c r="BH49" s="497"/>
      <c r="BI49" s="497"/>
    </row>
    <row r="50" spans="2:61">
      <c r="B50" s="486"/>
      <c r="AG50" s="589"/>
      <c r="AH50" s="589"/>
      <c r="AI50" s="589"/>
      <c r="AJ50" s="589"/>
      <c r="AM50" s="588"/>
      <c r="AN50" s="497"/>
      <c r="AO50" s="497"/>
      <c r="AP50" s="497"/>
      <c r="AQ50" s="497"/>
      <c r="BB50" s="590"/>
      <c r="BC50" s="590"/>
      <c r="BD50" s="590"/>
      <c r="BE50" s="588"/>
      <c r="BF50" s="497"/>
      <c r="BG50" s="497"/>
      <c r="BH50" s="497"/>
      <c r="BI50" s="497"/>
    </row>
    <row r="51" spans="2:61">
      <c r="B51" s="486"/>
      <c r="AG51" s="589"/>
      <c r="AH51" s="589"/>
      <c r="AI51" s="589"/>
      <c r="AJ51" s="589"/>
      <c r="AM51" s="588"/>
      <c r="AN51" s="497"/>
      <c r="AO51" s="497"/>
      <c r="AP51" s="497"/>
      <c r="AQ51" s="497"/>
      <c r="BB51" s="590"/>
      <c r="BC51" s="590"/>
      <c r="BD51" s="590"/>
      <c r="BE51" s="588"/>
      <c r="BF51" s="497"/>
      <c r="BG51" s="497"/>
      <c r="BH51" s="497"/>
      <c r="BI51" s="497"/>
    </row>
    <row r="52" spans="2:61">
      <c r="B52" s="486"/>
      <c r="AG52" s="589"/>
      <c r="AH52" s="589"/>
      <c r="AI52" s="589"/>
      <c r="AJ52" s="589"/>
      <c r="AM52" s="588"/>
      <c r="AN52" s="497"/>
      <c r="AO52" s="497"/>
      <c r="AP52" s="497"/>
      <c r="AQ52" s="497"/>
      <c r="BB52" s="590"/>
      <c r="BC52" s="590"/>
      <c r="BD52" s="590"/>
      <c r="BE52" s="588"/>
      <c r="BF52" s="497"/>
      <c r="BG52" s="497"/>
      <c r="BH52" s="497"/>
      <c r="BI52" s="497"/>
    </row>
    <row r="53" spans="2:61">
      <c r="B53" s="486"/>
      <c r="AG53" s="589"/>
      <c r="AH53" s="589"/>
      <c r="AI53" s="589"/>
      <c r="AJ53" s="589"/>
      <c r="AM53" s="588"/>
      <c r="AN53" s="497"/>
      <c r="AO53" s="497"/>
      <c r="AP53" s="497"/>
      <c r="AQ53" s="497"/>
      <c r="BB53" s="590"/>
      <c r="BC53" s="590"/>
      <c r="BD53" s="590"/>
      <c r="BE53" s="588"/>
      <c r="BF53" s="497"/>
      <c r="BG53" s="497"/>
      <c r="BH53" s="497"/>
      <c r="BI53" s="497"/>
    </row>
    <row r="54" spans="2:61">
      <c r="B54" s="486"/>
      <c r="AG54" s="589"/>
      <c r="AH54" s="589"/>
      <c r="AI54" s="589"/>
      <c r="AJ54" s="589"/>
      <c r="AM54" s="588"/>
      <c r="AN54" s="497"/>
      <c r="AO54" s="497"/>
      <c r="AP54" s="497"/>
      <c r="AQ54" s="497"/>
      <c r="BB54" s="590"/>
      <c r="BC54" s="590"/>
      <c r="BD54" s="590"/>
      <c r="BE54" s="588"/>
      <c r="BF54" s="497"/>
      <c r="BG54" s="497"/>
      <c r="BH54" s="497"/>
      <c r="BI54" s="497"/>
    </row>
    <row r="55" spans="2:61">
      <c r="B55" s="486"/>
      <c r="AG55" s="589"/>
      <c r="AH55" s="589"/>
      <c r="AI55" s="589"/>
      <c r="AJ55" s="589"/>
      <c r="AM55" s="588"/>
      <c r="AN55" s="497"/>
      <c r="AO55" s="497"/>
      <c r="AP55" s="497"/>
      <c r="AQ55" s="497"/>
      <c r="BB55" s="590"/>
      <c r="BC55" s="590"/>
      <c r="BD55" s="590"/>
      <c r="BE55" s="588"/>
      <c r="BF55" s="497"/>
      <c r="BG55" s="497"/>
      <c r="BH55" s="497"/>
      <c r="BI55" s="497"/>
    </row>
    <row r="56" spans="2:61">
      <c r="B56" s="486"/>
      <c r="AG56" s="589"/>
      <c r="AH56" s="589"/>
      <c r="AI56" s="589"/>
      <c r="AJ56" s="589"/>
      <c r="AM56" s="588"/>
      <c r="AN56" s="497"/>
      <c r="AO56" s="497"/>
      <c r="AP56" s="497"/>
      <c r="AQ56" s="497"/>
      <c r="BB56" s="590"/>
      <c r="BC56" s="590"/>
      <c r="BD56" s="590"/>
      <c r="BE56" s="588"/>
      <c r="BF56" s="497"/>
      <c r="BG56" s="497"/>
      <c r="BH56" s="497"/>
      <c r="BI56" s="497"/>
    </row>
    <row r="57" spans="2:61">
      <c r="B57" s="486"/>
      <c r="AG57" s="589"/>
      <c r="AH57" s="589"/>
      <c r="AI57" s="589"/>
      <c r="AJ57" s="589"/>
      <c r="AM57" s="588"/>
      <c r="AN57" s="497"/>
      <c r="AO57" s="497"/>
      <c r="AP57" s="497"/>
      <c r="AQ57" s="497"/>
      <c r="BB57" s="590"/>
      <c r="BC57" s="590"/>
      <c r="BD57" s="590"/>
      <c r="BE57" s="588"/>
      <c r="BF57" s="497"/>
      <c r="BG57" s="497"/>
      <c r="BH57" s="497"/>
      <c r="BI57" s="497"/>
    </row>
    <row r="58" spans="2:61">
      <c r="B58" s="486"/>
      <c r="AG58" s="589"/>
      <c r="AH58" s="589"/>
      <c r="AI58" s="589"/>
      <c r="AJ58" s="589"/>
      <c r="AM58" s="588"/>
      <c r="AN58" s="497"/>
      <c r="AO58" s="497"/>
      <c r="AP58" s="497"/>
      <c r="AQ58" s="497"/>
      <c r="BB58" s="590"/>
      <c r="BC58" s="590"/>
      <c r="BD58" s="590"/>
      <c r="BE58" s="588"/>
      <c r="BF58" s="497"/>
      <c r="BG58" s="497"/>
      <c r="BH58" s="497"/>
      <c r="BI58" s="497"/>
    </row>
    <row r="59" spans="2:61">
      <c r="B59" s="486"/>
      <c r="AG59" s="589"/>
      <c r="AH59" s="589"/>
      <c r="AI59" s="589"/>
      <c r="AJ59" s="589"/>
      <c r="AM59" s="588"/>
      <c r="AN59" s="497"/>
      <c r="AO59" s="497"/>
      <c r="AP59" s="497"/>
      <c r="AQ59" s="497"/>
      <c r="BB59" s="590"/>
      <c r="BC59" s="590"/>
      <c r="BD59" s="590"/>
      <c r="BE59" s="588"/>
      <c r="BF59" s="497"/>
      <c r="BG59" s="497"/>
      <c r="BH59" s="497"/>
      <c r="BI59" s="497"/>
    </row>
    <row r="60" spans="2:61">
      <c r="B60" s="486"/>
      <c r="AG60" s="589"/>
      <c r="AH60" s="589"/>
      <c r="AI60" s="589"/>
      <c r="AJ60" s="589"/>
      <c r="AM60" s="588"/>
      <c r="AN60" s="497"/>
      <c r="AO60" s="497"/>
      <c r="AP60" s="497"/>
      <c r="AQ60" s="497"/>
      <c r="BB60" s="590"/>
      <c r="BC60" s="590"/>
      <c r="BD60" s="590"/>
      <c r="BE60" s="588"/>
      <c r="BF60" s="497"/>
      <c r="BG60" s="497"/>
      <c r="BH60" s="497"/>
      <c r="BI60" s="497"/>
    </row>
    <row r="61" spans="2:61">
      <c r="B61" s="486"/>
      <c r="AG61" s="589"/>
      <c r="AH61" s="589"/>
      <c r="AI61" s="589"/>
      <c r="AJ61" s="589"/>
      <c r="AM61" s="588"/>
      <c r="AN61" s="497"/>
      <c r="AO61" s="497"/>
      <c r="AP61" s="497"/>
      <c r="AQ61" s="497"/>
      <c r="BB61" s="590"/>
      <c r="BC61" s="590"/>
      <c r="BD61" s="590"/>
      <c r="BE61" s="588"/>
      <c r="BF61" s="497"/>
      <c r="BG61" s="497"/>
      <c r="BH61" s="497"/>
      <c r="BI61" s="497"/>
    </row>
    <row r="62" spans="2:61">
      <c r="B62" s="486"/>
      <c r="AG62" s="589"/>
      <c r="AH62" s="589"/>
      <c r="AI62" s="589"/>
      <c r="AJ62" s="589"/>
      <c r="AM62" s="588"/>
      <c r="AN62" s="497"/>
      <c r="AO62" s="497"/>
      <c r="AP62" s="497"/>
      <c r="AQ62" s="497"/>
      <c r="BB62" s="590"/>
      <c r="BC62" s="590"/>
      <c r="BD62" s="590"/>
      <c r="BE62" s="588"/>
      <c r="BF62" s="497"/>
      <c r="BG62" s="497"/>
      <c r="BH62" s="497"/>
      <c r="BI62" s="497"/>
    </row>
    <row r="63" spans="2:61">
      <c r="B63" s="486"/>
      <c r="AG63" s="589"/>
      <c r="AH63" s="589"/>
      <c r="AI63" s="589"/>
      <c r="AJ63" s="589"/>
      <c r="AM63" s="588"/>
      <c r="AN63" s="497"/>
      <c r="AO63" s="497"/>
      <c r="AP63" s="497"/>
      <c r="AQ63" s="497"/>
      <c r="BB63" s="590"/>
      <c r="BC63" s="590"/>
      <c r="BD63" s="590"/>
      <c r="BE63" s="588"/>
      <c r="BF63" s="497"/>
      <c r="BG63" s="497"/>
      <c r="BH63" s="497"/>
      <c r="BI63" s="497"/>
    </row>
    <row r="64" spans="2:61">
      <c r="B64" s="486"/>
      <c r="AG64" s="589"/>
      <c r="AH64" s="589"/>
      <c r="AI64" s="589"/>
      <c r="AJ64" s="589"/>
      <c r="AM64" s="588"/>
      <c r="AN64" s="497"/>
      <c r="AO64" s="497"/>
      <c r="AP64" s="497"/>
      <c r="AQ64" s="497"/>
      <c r="BB64" s="590"/>
      <c r="BC64" s="590"/>
      <c r="BD64" s="590"/>
      <c r="BE64" s="588"/>
      <c r="BF64" s="497"/>
      <c r="BG64" s="497"/>
      <c r="BH64" s="497"/>
      <c r="BI64" s="497"/>
    </row>
    <row r="65" spans="2:61">
      <c r="B65" s="486"/>
      <c r="AG65" s="589"/>
      <c r="AH65" s="589"/>
      <c r="AI65" s="589"/>
      <c r="AJ65" s="589"/>
      <c r="AM65" s="588"/>
      <c r="AN65" s="497"/>
      <c r="AO65" s="497"/>
      <c r="AP65" s="497"/>
      <c r="AQ65" s="497"/>
      <c r="BB65" s="590"/>
      <c r="BC65" s="590"/>
      <c r="BD65" s="590"/>
      <c r="BE65" s="588"/>
      <c r="BF65" s="497"/>
      <c r="BG65" s="497"/>
      <c r="BH65" s="497"/>
      <c r="BI65" s="497"/>
    </row>
    <row r="66" spans="2:61">
      <c r="B66" s="486"/>
      <c r="AG66" s="589"/>
      <c r="AH66" s="589"/>
      <c r="AI66" s="589"/>
      <c r="AJ66" s="589"/>
      <c r="AM66" s="588"/>
      <c r="AN66" s="497"/>
      <c r="AO66" s="497"/>
      <c r="AP66" s="497"/>
      <c r="AQ66" s="497"/>
      <c r="BB66" s="590"/>
      <c r="BC66" s="590"/>
      <c r="BD66" s="590"/>
      <c r="BE66" s="588"/>
      <c r="BF66" s="497"/>
      <c r="BG66" s="497"/>
      <c r="BH66" s="497"/>
      <c r="BI66" s="497"/>
    </row>
    <row r="67" spans="2:61">
      <c r="B67" s="486"/>
      <c r="AG67" s="589"/>
      <c r="AH67" s="589"/>
      <c r="AI67" s="589"/>
      <c r="AJ67" s="589"/>
      <c r="AM67" s="588"/>
      <c r="AN67" s="497"/>
      <c r="AO67" s="497"/>
      <c r="AP67" s="497"/>
      <c r="AQ67" s="497"/>
      <c r="BB67" s="590"/>
      <c r="BC67" s="590"/>
      <c r="BD67" s="590"/>
      <c r="BE67" s="588"/>
      <c r="BF67" s="497"/>
      <c r="BG67" s="497"/>
      <c r="BH67" s="497"/>
      <c r="BI67" s="497"/>
    </row>
    <row r="68" spans="2:61">
      <c r="B68" s="486"/>
      <c r="AG68" s="589"/>
      <c r="AH68" s="589"/>
      <c r="AI68" s="589"/>
      <c r="AJ68" s="589"/>
      <c r="AM68" s="588"/>
      <c r="AN68" s="497"/>
      <c r="AO68" s="497"/>
      <c r="AP68" s="497"/>
      <c r="AQ68" s="497"/>
      <c r="BB68" s="590"/>
      <c r="BC68" s="590"/>
      <c r="BD68" s="590"/>
      <c r="BE68" s="588"/>
      <c r="BF68" s="497"/>
      <c r="BG68" s="497"/>
      <c r="BH68" s="497"/>
      <c r="BI68" s="497"/>
    </row>
    <row r="69" spans="2:61">
      <c r="B69" s="486"/>
      <c r="AG69" s="589"/>
      <c r="AH69" s="589"/>
      <c r="AI69" s="589"/>
      <c r="AJ69" s="589"/>
      <c r="AM69" s="588"/>
      <c r="AN69" s="497"/>
      <c r="AO69" s="497"/>
      <c r="AP69" s="497"/>
      <c r="AQ69" s="497"/>
      <c r="BB69" s="590"/>
      <c r="BC69" s="590"/>
      <c r="BD69" s="590"/>
      <c r="BE69" s="588"/>
      <c r="BF69" s="497"/>
      <c r="BG69" s="497"/>
      <c r="BH69" s="497"/>
      <c r="BI69" s="497"/>
    </row>
    <row r="70" spans="2:61">
      <c r="B70" s="486"/>
      <c r="AG70" s="589"/>
      <c r="AH70" s="589"/>
      <c r="AI70" s="589"/>
      <c r="AJ70" s="589"/>
      <c r="AM70" s="588"/>
      <c r="AN70" s="497"/>
      <c r="AO70" s="497"/>
      <c r="AP70" s="497"/>
      <c r="AQ70" s="497"/>
      <c r="BB70" s="590"/>
      <c r="BC70" s="590"/>
      <c r="BD70" s="590"/>
      <c r="BE70" s="588"/>
      <c r="BF70" s="497"/>
      <c r="BG70" s="497"/>
      <c r="BH70" s="497"/>
      <c r="BI70" s="497"/>
    </row>
    <row r="71" spans="2:61">
      <c r="B71" s="486"/>
      <c r="AG71" s="589"/>
      <c r="AH71" s="589"/>
      <c r="AI71" s="589"/>
      <c r="AJ71" s="589"/>
      <c r="AM71" s="588"/>
      <c r="AN71" s="497"/>
      <c r="AO71" s="497"/>
      <c r="AP71" s="497"/>
      <c r="AQ71" s="497"/>
      <c r="BB71" s="590"/>
      <c r="BC71" s="590"/>
      <c r="BD71" s="590"/>
      <c r="BE71" s="588"/>
      <c r="BF71" s="497"/>
      <c r="BG71" s="497"/>
      <c r="BH71" s="497"/>
      <c r="BI71" s="497"/>
    </row>
    <row r="72" spans="2:61">
      <c r="B72" s="486"/>
      <c r="AG72" s="589"/>
      <c r="AH72" s="589"/>
      <c r="AI72" s="589"/>
      <c r="AJ72" s="589"/>
      <c r="AM72" s="588"/>
      <c r="AN72" s="497"/>
      <c r="AO72" s="497"/>
      <c r="AP72" s="497"/>
      <c r="AQ72" s="497"/>
      <c r="BB72" s="590"/>
      <c r="BC72" s="590"/>
      <c r="BD72" s="590"/>
      <c r="BE72" s="588"/>
      <c r="BF72" s="497"/>
      <c r="BG72" s="497"/>
      <c r="BH72" s="497"/>
      <c r="BI72" s="497"/>
    </row>
    <row r="73" spans="2:61">
      <c r="B73" s="486"/>
      <c r="AG73" s="589"/>
      <c r="AH73" s="589"/>
      <c r="AI73" s="589"/>
      <c r="AJ73" s="589"/>
      <c r="AM73" s="588"/>
      <c r="AN73" s="497"/>
      <c r="AO73" s="497"/>
      <c r="AP73" s="497"/>
      <c r="AQ73" s="497"/>
      <c r="BB73" s="590"/>
      <c r="BC73" s="590"/>
      <c r="BD73" s="590"/>
      <c r="BE73" s="588"/>
      <c r="BF73" s="497"/>
      <c r="BG73" s="497"/>
      <c r="BH73" s="497"/>
      <c r="BI73" s="497"/>
    </row>
    <row r="74" spans="2:61">
      <c r="B74" s="486"/>
      <c r="AG74" s="589"/>
      <c r="AH74" s="589"/>
      <c r="AI74" s="589"/>
      <c r="AJ74" s="589"/>
      <c r="AM74" s="588"/>
      <c r="AN74" s="497"/>
      <c r="AO74" s="497"/>
      <c r="AP74" s="497"/>
      <c r="AQ74" s="497"/>
      <c r="BB74" s="590"/>
      <c r="BC74" s="590"/>
      <c r="BD74" s="590"/>
      <c r="BE74" s="588"/>
      <c r="BF74" s="497"/>
      <c r="BG74" s="497"/>
      <c r="BH74" s="497"/>
      <c r="BI74" s="497"/>
    </row>
    <row r="75" spans="2:61">
      <c r="B75" s="486"/>
      <c r="AG75" s="589"/>
      <c r="AH75" s="589"/>
      <c r="AI75" s="589"/>
      <c r="AJ75" s="589"/>
      <c r="AM75" s="588"/>
      <c r="AN75" s="497"/>
      <c r="AO75" s="497"/>
      <c r="AP75" s="497"/>
      <c r="AQ75" s="497"/>
      <c r="BB75" s="590"/>
      <c r="BC75" s="590"/>
      <c r="BD75" s="590"/>
      <c r="BE75" s="588"/>
      <c r="BF75" s="497"/>
      <c r="BG75" s="497"/>
      <c r="BH75" s="497"/>
      <c r="BI75" s="497"/>
    </row>
    <row r="76" spans="2:61">
      <c r="B76" s="486"/>
      <c r="AG76" s="589"/>
      <c r="AH76" s="589"/>
      <c r="AI76" s="589"/>
      <c r="AJ76" s="589"/>
      <c r="AM76" s="588"/>
      <c r="AN76" s="497"/>
      <c r="AO76" s="497"/>
      <c r="AP76" s="497"/>
      <c r="AQ76" s="497"/>
      <c r="BB76" s="590"/>
      <c r="BC76" s="590"/>
      <c r="BD76" s="590"/>
      <c r="BE76" s="588"/>
      <c r="BF76" s="497"/>
      <c r="BG76" s="497"/>
      <c r="BH76" s="497"/>
      <c r="BI76" s="497"/>
    </row>
    <row r="77" spans="2:61">
      <c r="B77" s="486"/>
      <c r="AG77" s="589"/>
      <c r="AH77" s="589"/>
      <c r="AI77" s="589"/>
      <c r="AJ77" s="589"/>
      <c r="AM77" s="588"/>
      <c r="AN77" s="497"/>
      <c r="AO77" s="497"/>
      <c r="AP77" s="497"/>
      <c r="AQ77" s="497"/>
      <c r="BB77" s="590"/>
      <c r="BC77" s="590"/>
      <c r="BD77" s="590"/>
      <c r="BE77" s="588"/>
      <c r="BF77" s="497"/>
      <c r="BG77" s="497"/>
      <c r="BH77" s="497"/>
      <c r="BI77" s="497"/>
    </row>
    <row r="78" spans="2:61">
      <c r="B78" s="486"/>
      <c r="AG78" s="589"/>
      <c r="AH78" s="589"/>
      <c r="AI78" s="589"/>
      <c r="AJ78" s="589"/>
      <c r="AM78" s="588"/>
      <c r="AN78" s="497"/>
      <c r="AO78" s="497"/>
      <c r="AP78" s="497"/>
      <c r="AQ78" s="497"/>
      <c r="BB78" s="590"/>
      <c r="BC78" s="590"/>
      <c r="BD78" s="590"/>
      <c r="BE78" s="588"/>
      <c r="BF78" s="497"/>
      <c r="BG78" s="497"/>
      <c r="BH78" s="497"/>
      <c r="BI78" s="497"/>
    </row>
    <row r="79" spans="2:61">
      <c r="B79" s="486"/>
      <c r="AG79" s="589"/>
      <c r="AH79" s="589"/>
      <c r="AI79" s="589"/>
      <c r="AJ79" s="589"/>
      <c r="AM79" s="588"/>
      <c r="AN79" s="497"/>
      <c r="AO79" s="497"/>
      <c r="AP79" s="497"/>
      <c r="AQ79" s="497"/>
      <c r="BB79" s="590"/>
      <c r="BC79" s="590"/>
      <c r="BD79" s="590"/>
      <c r="BE79" s="588"/>
      <c r="BF79" s="497"/>
      <c r="BG79" s="497"/>
      <c r="BH79" s="497"/>
      <c r="BI79" s="497"/>
    </row>
    <row r="80" spans="2:61">
      <c r="B80" s="486"/>
      <c r="AG80" s="589"/>
      <c r="AH80" s="589"/>
      <c r="AI80" s="589"/>
      <c r="AJ80" s="589"/>
      <c r="AM80" s="588"/>
      <c r="AN80" s="497"/>
      <c r="AO80" s="497"/>
      <c r="AP80" s="497"/>
      <c r="AQ80" s="497"/>
      <c r="BB80" s="590"/>
      <c r="BC80" s="590"/>
      <c r="BD80" s="590"/>
      <c r="BE80" s="588"/>
      <c r="BF80" s="497"/>
      <c r="BG80" s="497"/>
      <c r="BH80" s="497"/>
      <c r="BI80" s="497"/>
    </row>
    <row r="81" spans="2:61">
      <c r="B81" s="486"/>
      <c r="AG81" s="589"/>
      <c r="AH81" s="589"/>
      <c r="AI81" s="589"/>
      <c r="AJ81" s="589"/>
      <c r="AM81" s="588"/>
      <c r="AN81" s="497"/>
      <c r="AO81" s="497"/>
      <c r="AP81" s="497"/>
      <c r="AQ81" s="497"/>
      <c r="BB81" s="590"/>
      <c r="BC81" s="590"/>
      <c r="BD81" s="590"/>
      <c r="BE81" s="588"/>
      <c r="BF81" s="497"/>
      <c r="BG81" s="497"/>
      <c r="BH81" s="497"/>
      <c r="BI81" s="497"/>
    </row>
    <row r="82" spans="2:61">
      <c r="B82" s="486"/>
      <c r="AG82" s="589"/>
      <c r="AH82" s="589"/>
      <c r="AI82" s="589"/>
      <c r="AJ82" s="589"/>
      <c r="AM82" s="588"/>
      <c r="AN82" s="497"/>
      <c r="AO82" s="497"/>
      <c r="AP82" s="497"/>
      <c r="AQ82" s="497"/>
      <c r="BB82" s="590"/>
      <c r="BC82" s="590"/>
      <c r="BD82" s="590"/>
      <c r="BE82" s="588"/>
      <c r="BF82" s="497"/>
      <c r="BG82" s="497"/>
      <c r="BH82" s="497"/>
      <c r="BI82" s="497"/>
    </row>
    <row r="83" spans="2:61">
      <c r="B83" s="486"/>
      <c r="AG83" s="589"/>
      <c r="AH83" s="589"/>
      <c r="AI83" s="589"/>
      <c r="AJ83" s="589"/>
      <c r="AM83" s="588"/>
      <c r="AN83" s="497"/>
      <c r="AO83" s="497"/>
      <c r="AP83" s="497"/>
      <c r="AQ83" s="497"/>
      <c r="BB83" s="590"/>
      <c r="BC83" s="590"/>
      <c r="BD83" s="590"/>
      <c r="BE83" s="588"/>
      <c r="BF83" s="497"/>
      <c r="BG83" s="497"/>
      <c r="BH83" s="497"/>
      <c r="BI83" s="497"/>
    </row>
    <row r="84" spans="2:61">
      <c r="B84" s="486"/>
      <c r="AG84" s="589"/>
      <c r="AH84" s="589"/>
      <c r="AI84" s="589"/>
      <c r="AJ84" s="589"/>
      <c r="AM84" s="588"/>
      <c r="AN84" s="497"/>
      <c r="AO84" s="497"/>
      <c r="AP84" s="497"/>
      <c r="AQ84" s="497"/>
      <c r="BB84" s="590"/>
      <c r="BC84" s="590"/>
      <c r="BD84" s="590"/>
      <c r="BE84" s="588"/>
      <c r="BF84" s="497"/>
      <c r="BG84" s="497"/>
      <c r="BH84" s="497"/>
      <c r="BI84" s="497"/>
    </row>
    <row r="85" spans="2:61">
      <c r="B85" s="486"/>
      <c r="AG85" s="589"/>
      <c r="AH85" s="589"/>
      <c r="AI85" s="589"/>
      <c r="AJ85" s="589"/>
      <c r="AM85" s="588"/>
      <c r="AN85" s="497"/>
      <c r="AO85" s="497"/>
      <c r="AP85" s="497"/>
      <c r="AQ85" s="497"/>
      <c r="BB85" s="590"/>
      <c r="BC85" s="590"/>
      <c r="BD85" s="590"/>
      <c r="BE85" s="588"/>
      <c r="BF85" s="497"/>
      <c r="BG85" s="497"/>
      <c r="BH85" s="497"/>
      <c r="BI85" s="497"/>
    </row>
    <row r="86" spans="2:61">
      <c r="B86" s="486"/>
      <c r="AG86" s="589"/>
      <c r="AH86" s="589"/>
      <c r="AI86" s="589"/>
      <c r="AJ86" s="589"/>
      <c r="AM86" s="588"/>
      <c r="AN86" s="497"/>
      <c r="AO86" s="497"/>
      <c r="AP86" s="497"/>
      <c r="AQ86" s="497"/>
      <c r="BB86" s="590"/>
      <c r="BC86" s="590"/>
      <c r="BD86" s="590"/>
      <c r="BE86" s="588"/>
      <c r="BF86" s="497"/>
      <c r="BG86" s="497"/>
      <c r="BH86" s="497"/>
      <c r="BI86" s="497"/>
    </row>
    <row r="87" spans="2:61">
      <c r="B87" s="486"/>
      <c r="AG87" s="589"/>
      <c r="AH87" s="589"/>
      <c r="AI87" s="589"/>
      <c r="AJ87" s="589"/>
      <c r="AM87" s="588"/>
      <c r="AN87" s="497"/>
      <c r="AO87" s="497"/>
      <c r="AP87" s="497"/>
      <c r="AQ87" s="497"/>
      <c r="BB87" s="590"/>
      <c r="BC87" s="590"/>
      <c r="BD87" s="590"/>
      <c r="BE87" s="588"/>
      <c r="BF87" s="497"/>
      <c r="BG87" s="497"/>
      <c r="BH87" s="497"/>
      <c r="BI87" s="497"/>
    </row>
    <row r="88" spans="2:61">
      <c r="B88" s="486"/>
      <c r="AG88" s="589"/>
      <c r="AH88" s="589"/>
      <c r="AI88" s="589"/>
      <c r="AJ88" s="589"/>
      <c r="AM88" s="588"/>
      <c r="AN88" s="497"/>
      <c r="AO88" s="497"/>
      <c r="AP88" s="497"/>
      <c r="AQ88" s="497"/>
      <c r="BB88" s="590"/>
      <c r="BC88" s="590"/>
      <c r="BD88" s="590"/>
      <c r="BE88" s="588"/>
      <c r="BF88" s="497"/>
      <c r="BG88" s="497"/>
      <c r="BH88" s="497"/>
      <c r="BI88" s="497"/>
    </row>
    <row r="89" spans="2:61">
      <c r="B89" s="486"/>
      <c r="AG89" s="589"/>
      <c r="AH89" s="589"/>
      <c r="AI89" s="589"/>
      <c r="AJ89" s="589"/>
      <c r="AM89" s="588"/>
      <c r="AN89" s="497"/>
      <c r="AO89" s="497"/>
      <c r="AP89" s="497"/>
      <c r="AQ89" s="497"/>
      <c r="BB89" s="590"/>
      <c r="BC89" s="590"/>
      <c r="BD89" s="590"/>
      <c r="BE89" s="588"/>
      <c r="BF89" s="497"/>
      <c r="BG89" s="497"/>
      <c r="BH89" s="497"/>
      <c r="BI89" s="497"/>
    </row>
    <row r="90" spans="2:61">
      <c r="B90" s="486"/>
      <c r="AG90" s="589"/>
      <c r="AH90" s="589"/>
      <c r="AI90" s="589"/>
      <c r="AJ90" s="589"/>
      <c r="AM90" s="588"/>
      <c r="AN90" s="497"/>
      <c r="AO90" s="497"/>
      <c r="AP90" s="497"/>
      <c r="AQ90" s="497"/>
      <c r="BB90" s="590"/>
      <c r="BC90" s="590"/>
      <c r="BD90" s="590"/>
      <c r="BE90" s="588"/>
      <c r="BF90" s="497"/>
      <c r="BG90" s="497"/>
      <c r="BH90" s="497"/>
      <c r="BI90" s="497"/>
    </row>
    <row r="91" spans="2:61">
      <c r="B91" s="486"/>
      <c r="AG91" s="589"/>
      <c r="AH91" s="589"/>
      <c r="AI91" s="589"/>
      <c r="AJ91" s="589"/>
      <c r="AM91" s="588"/>
      <c r="AN91" s="497"/>
      <c r="AO91" s="497"/>
      <c r="AP91" s="497"/>
      <c r="AQ91" s="497"/>
      <c r="BB91" s="590"/>
      <c r="BC91" s="590"/>
      <c r="BD91" s="590"/>
      <c r="BE91" s="588"/>
      <c r="BF91" s="497"/>
      <c r="BG91" s="497"/>
      <c r="BH91" s="497"/>
      <c r="BI91" s="497"/>
    </row>
    <row r="92" spans="2:61">
      <c r="B92" s="486"/>
      <c r="AG92" s="589"/>
      <c r="AH92" s="589"/>
      <c r="AI92" s="589"/>
      <c r="AJ92" s="589"/>
      <c r="AM92" s="588"/>
      <c r="AN92" s="497"/>
      <c r="AO92" s="497"/>
      <c r="AP92" s="497"/>
      <c r="AQ92" s="497"/>
      <c r="BB92" s="590"/>
      <c r="BC92" s="590"/>
      <c r="BD92" s="590"/>
      <c r="BE92" s="588"/>
      <c r="BF92" s="497"/>
      <c r="BG92" s="497"/>
      <c r="BH92" s="497"/>
      <c r="BI92" s="497"/>
    </row>
    <row r="93" spans="2:61">
      <c r="B93" s="486"/>
      <c r="AG93" s="589"/>
      <c r="AH93" s="589"/>
      <c r="AI93" s="589"/>
      <c r="AJ93" s="589"/>
      <c r="AM93" s="588"/>
      <c r="AN93" s="497"/>
      <c r="AO93" s="497"/>
      <c r="AP93" s="497"/>
      <c r="AQ93" s="497"/>
      <c r="BB93" s="590"/>
      <c r="BC93" s="590"/>
      <c r="BD93" s="590"/>
      <c r="BE93" s="588"/>
      <c r="BF93" s="497"/>
      <c r="BG93" s="497"/>
      <c r="BH93" s="497"/>
      <c r="BI93" s="497"/>
    </row>
    <row r="94" spans="2:61">
      <c r="B94" s="486"/>
      <c r="AG94" s="589"/>
      <c r="AH94" s="589"/>
      <c r="AI94" s="589"/>
      <c r="AJ94" s="589"/>
      <c r="AM94" s="588"/>
      <c r="AN94" s="497"/>
      <c r="AO94" s="497"/>
      <c r="AP94" s="497"/>
      <c r="AQ94" s="497"/>
      <c r="BB94" s="590"/>
      <c r="BC94" s="590"/>
      <c r="BD94" s="590"/>
      <c r="BE94" s="588"/>
      <c r="BF94" s="497"/>
      <c r="BG94" s="497"/>
      <c r="BH94" s="497"/>
      <c r="BI94" s="497"/>
    </row>
    <row r="95" spans="2:61">
      <c r="B95" s="486"/>
      <c r="AG95" s="589"/>
      <c r="AH95" s="589"/>
      <c r="AI95" s="589"/>
      <c r="AJ95" s="589"/>
      <c r="AM95" s="588"/>
      <c r="AN95" s="497"/>
      <c r="AO95" s="497"/>
      <c r="AP95" s="497"/>
      <c r="AQ95" s="497"/>
      <c r="BB95" s="590"/>
      <c r="BC95" s="590"/>
      <c r="BD95" s="590"/>
      <c r="BE95" s="588"/>
      <c r="BF95" s="497"/>
      <c r="BG95" s="497"/>
      <c r="BH95" s="497"/>
      <c r="BI95" s="497"/>
    </row>
    <row r="96" spans="2:61">
      <c r="B96" s="486"/>
      <c r="AG96" s="589"/>
      <c r="AH96" s="589"/>
      <c r="AI96" s="589"/>
      <c r="AJ96" s="589"/>
      <c r="AM96" s="588"/>
      <c r="AN96" s="497"/>
      <c r="AO96" s="497"/>
      <c r="AP96" s="497"/>
      <c r="AQ96" s="497"/>
      <c r="BB96" s="590"/>
      <c r="BC96" s="590"/>
      <c r="BD96" s="590"/>
      <c r="BE96" s="588"/>
      <c r="BF96" s="497"/>
      <c r="BG96" s="497"/>
      <c r="BH96" s="497"/>
      <c r="BI96" s="497"/>
    </row>
    <row r="97" spans="2:61">
      <c r="B97" s="486"/>
      <c r="AG97" s="589"/>
      <c r="AH97" s="589"/>
      <c r="AI97" s="589"/>
      <c r="AJ97" s="589"/>
      <c r="AM97" s="588"/>
      <c r="AN97" s="497"/>
      <c r="AO97" s="497"/>
      <c r="AP97" s="497"/>
      <c r="AQ97" s="497"/>
      <c r="BB97" s="590"/>
      <c r="BC97" s="590"/>
      <c r="BD97" s="590"/>
      <c r="BE97" s="588"/>
      <c r="BF97" s="497"/>
      <c r="BG97" s="497"/>
      <c r="BH97" s="497"/>
      <c r="BI97" s="497"/>
    </row>
    <row r="98" spans="2:61">
      <c r="B98" s="486"/>
      <c r="AG98" s="589"/>
      <c r="AH98" s="589"/>
      <c r="AI98" s="589"/>
      <c r="AJ98" s="589"/>
      <c r="AM98" s="588"/>
      <c r="AN98" s="497"/>
      <c r="AO98" s="497"/>
      <c r="AP98" s="497"/>
      <c r="AQ98" s="497"/>
      <c r="BB98" s="590"/>
      <c r="BC98" s="590"/>
      <c r="BD98" s="590"/>
      <c r="BE98" s="588"/>
      <c r="BF98" s="497"/>
      <c r="BG98" s="497"/>
      <c r="BH98" s="497"/>
      <c r="BI98" s="497"/>
    </row>
    <row r="99" spans="2:61">
      <c r="B99" s="486"/>
      <c r="AG99" s="589"/>
      <c r="AH99" s="589"/>
      <c r="AI99" s="589"/>
      <c r="AJ99" s="589"/>
      <c r="AM99" s="588"/>
      <c r="AN99" s="497"/>
      <c r="AO99" s="497"/>
      <c r="AP99" s="497"/>
      <c r="AQ99" s="497"/>
      <c r="BB99" s="590"/>
      <c r="BC99" s="590"/>
      <c r="BD99" s="590"/>
      <c r="BE99" s="588"/>
      <c r="BF99" s="497"/>
      <c r="BG99" s="497"/>
      <c r="BH99" s="497"/>
      <c r="BI99" s="497"/>
    </row>
    <row r="100" spans="2:61">
      <c r="B100" s="486"/>
      <c r="AG100" s="589"/>
      <c r="AH100" s="589"/>
      <c r="AI100" s="589"/>
      <c r="AJ100" s="589"/>
      <c r="AM100" s="588"/>
      <c r="AN100" s="497"/>
      <c r="AO100" s="497"/>
      <c r="AP100" s="497"/>
      <c r="AQ100" s="497"/>
      <c r="BB100" s="590"/>
      <c r="BC100" s="590"/>
      <c r="BD100" s="590"/>
      <c r="BE100" s="588"/>
      <c r="BF100" s="497"/>
      <c r="BG100" s="497"/>
      <c r="BH100" s="497"/>
      <c r="BI100" s="497"/>
    </row>
    <row r="101" spans="2:61">
      <c r="B101" s="486"/>
      <c r="AG101" s="589"/>
      <c r="AH101" s="589"/>
      <c r="AI101" s="589"/>
      <c r="AJ101" s="589"/>
      <c r="AM101" s="588"/>
      <c r="AN101" s="497"/>
      <c r="AO101" s="497"/>
      <c r="AP101" s="497"/>
      <c r="AQ101" s="497"/>
      <c r="BB101" s="590"/>
      <c r="BC101" s="590"/>
      <c r="BD101" s="590"/>
      <c r="BE101" s="588"/>
      <c r="BF101" s="497"/>
      <c r="BG101" s="497"/>
      <c r="BH101" s="497"/>
      <c r="BI101" s="497"/>
    </row>
    <row r="102" spans="2:61">
      <c r="B102" s="486"/>
      <c r="AG102" s="589"/>
      <c r="AH102" s="589"/>
      <c r="AI102" s="589"/>
      <c r="AJ102" s="589"/>
      <c r="AM102" s="588"/>
      <c r="AN102" s="497"/>
      <c r="AO102" s="497"/>
      <c r="AP102" s="497"/>
      <c r="AQ102" s="497"/>
      <c r="BB102" s="590"/>
      <c r="BC102" s="590"/>
      <c r="BD102" s="590"/>
      <c r="BE102" s="588"/>
      <c r="BF102" s="497"/>
      <c r="BG102" s="497"/>
      <c r="BH102" s="497"/>
      <c r="BI102" s="497"/>
    </row>
    <row r="103" spans="2:61">
      <c r="B103" s="486"/>
      <c r="AG103" s="589"/>
      <c r="AH103" s="589"/>
      <c r="AI103" s="589"/>
      <c r="AJ103" s="589"/>
      <c r="AM103" s="588"/>
      <c r="AN103" s="497"/>
      <c r="AO103" s="497"/>
      <c r="AP103" s="497"/>
      <c r="AQ103" s="497"/>
      <c r="BB103" s="590"/>
      <c r="BC103" s="590"/>
      <c r="BD103" s="590"/>
      <c r="BE103" s="588"/>
      <c r="BF103" s="497"/>
      <c r="BG103" s="497"/>
      <c r="BH103" s="497"/>
      <c r="BI103" s="497"/>
    </row>
    <row r="104" spans="2:61">
      <c r="B104" s="486"/>
      <c r="AG104" s="589"/>
      <c r="AH104" s="589"/>
      <c r="AI104" s="589"/>
      <c r="AJ104" s="589"/>
      <c r="AM104" s="588"/>
      <c r="AN104" s="497"/>
      <c r="AO104" s="497"/>
      <c r="AP104" s="497"/>
      <c r="AQ104" s="497"/>
      <c r="BB104" s="590"/>
      <c r="BC104" s="590"/>
      <c r="BD104" s="590"/>
      <c r="BE104" s="588"/>
      <c r="BF104" s="497"/>
      <c r="BG104" s="497"/>
      <c r="BH104" s="497"/>
      <c r="BI104" s="497"/>
    </row>
    <row r="105" spans="2:61">
      <c r="B105" s="486"/>
      <c r="AG105" s="589"/>
      <c r="AH105" s="589"/>
      <c r="AI105" s="589"/>
      <c r="AJ105" s="589"/>
      <c r="AM105" s="588"/>
      <c r="AN105" s="497"/>
      <c r="AO105" s="497"/>
      <c r="AP105" s="497"/>
      <c r="AQ105" s="497"/>
      <c r="BB105" s="590"/>
      <c r="BC105" s="590"/>
      <c r="BD105" s="590"/>
      <c r="BE105" s="588"/>
      <c r="BF105" s="497"/>
      <c r="BG105" s="497"/>
      <c r="BH105" s="497"/>
      <c r="BI105" s="497"/>
    </row>
    <row r="106" spans="2:61">
      <c r="B106" s="486"/>
      <c r="AG106" s="589"/>
      <c r="AH106" s="589"/>
      <c r="AI106" s="589"/>
      <c r="AJ106" s="589"/>
      <c r="AM106" s="588"/>
      <c r="AN106" s="497"/>
      <c r="AO106" s="497"/>
      <c r="AP106" s="497"/>
      <c r="AQ106" s="497"/>
      <c r="BB106" s="590"/>
      <c r="BC106" s="590"/>
      <c r="BD106" s="590"/>
      <c r="BE106" s="588"/>
      <c r="BF106" s="497"/>
      <c r="BG106" s="497"/>
      <c r="BH106" s="497"/>
      <c r="BI106" s="497"/>
    </row>
    <row r="107" spans="2:61">
      <c r="B107" s="486"/>
      <c r="AG107" s="589"/>
      <c r="AH107" s="589"/>
      <c r="AI107" s="589"/>
      <c r="AJ107" s="589"/>
      <c r="AM107" s="588"/>
      <c r="AN107" s="497"/>
      <c r="AO107" s="497"/>
      <c r="AP107" s="497"/>
      <c r="AQ107" s="497"/>
      <c r="BB107" s="590"/>
      <c r="BC107" s="590"/>
      <c r="BD107" s="590"/>
      <c r="BE107" s="588"/>
      <c r="BF107" s="497"/>
      <c r="BG107" s="497"/>
      <c r="BH107" s="497"/>
      <c r="BI107" s="497"/>
    </row>
    <row r="108" spans="2:61">
      <c r="B108" s="486"/>
      <c r="AG108" s="589"/>
      <c r="AH108" s="589"/>
      <c r="AI108" s="589"/>
      <c r="AJ108" s="589"/>
      <c r="AM108" s="588"/>
      <c r="AN108" s="497"/>
      <c r="AO108" s="497"/>
      <c r="AP108" s="497"/>
      <c r="AQ108" s="497"/>
      <c r="BB108" s="590"/>
      <c r="BC108" s="590"/>
      <c r="BD108" s="590"/>
      <c r="BE108" s="588"/>
      <c r="BF108" s="497"/>
      <c r="BG108" s="497"/>
      <c r="BH108" s="497"/>
      <c r="BI108" s="497"/>
    </row>
    <row r="109" spans="2:61">
      <c r="B109" s="486"/>
      <c r="AG109" s="589"/>
      <c r="AH109" s="589"/>
      <c r="AI109" s="589"/>
      <c r="AJ109" s="589"/>
      <c r="AM109" s="588"/>
      <c r="AN109" s="497"/>
      <c r="AO109" s="497"/>
      <c r="AP109" s="497"/>
      <c r="AQ109" s="497"/>
      <c r="BB109" s="590"/>
      <c r="BC109" s="590"/>
      <c r="BD109" s="590"/>
      <c r="BE109" s="588"/>
      <c r="BF109" s="497"/>
      <c r="BG109" s="497"/>
      <c r="BH109" s="497"/>
      <c r="BI109" s="497"/>
    </row>
    <row r="110" spans="2:61">
      <c r="B110" s="486"/>
      <c r="AG110" s="589"/>
      <c r="AH110" s="589"/>
      <c r="AI110" s="589"/>
      <c r="AJ110" s="589"/>
      <c r="AM110" s="588"/>
      <c r="AN110" s="497"/>
      <c r="AO110" s="497"/>
      <c r="AP110" s="497"/>
      <c r="AQ110" s="497"/>
      <c r="BB110" s="590"/>
      <c r="BC110" s="590"/>
      <c r="BD110" s="590"/>
      <c r="BE110" s="588"/>
      <c r="BF110" s="497"/>
      <c r="BG110" s="497"/>
      <c r="BH110" s="497"/>
      <c r="BI110" s="497"/>
    </row>
    <row r="111" spans="2:61">
      <c r="B111" s="486"/>
      <c r="AG111" s="589"/>
      <c r="AH111" s="589"/>
      <c r="AI111" s="589"/>
      <c r="AJ111" s="589"/>
      <c r="AM111" s="588"/>
      <c r="AN111" s="497"/>
      <c r="AO111" s="497"/>
      <c r="AP111" s="497"/>
      <c r="AQ111" s="497"/>
      <c r="BB111" s="590"/>
      <c r="BC111" s="590"/>
      <c r="BD111" s="590"/>
      <c r="BE111" s="588"/>
      <c r="BF111" s="497"/>
      <c r="BG111" s="497"/>
      <c r="BH111" s="497"/>
      <c r="BI111" s="497"/>
    </row>
    <row r="112" spans="2:61">
      <c r="B112" s="486"/>
      <c r="AG112" s="589"/>
      <c r="AH112" s="589"/>
      <c r="AI112" s="589"/>
      <c r="AJ112" s="589"/>
      <c r="AM112" s="588"/>
      <c r="AN112" s="497"/>
      <c r="AO112" s="497"/>
      <c r="AP112" s="497"/>
      <c r="AQ112" s="497"/>
      <c r="BB112" s="590"/>
      <c r="BC112" s="590"/>
      <c r="BD112" s="590"/>
      <c r="BE112" s="588"/>
      <c r="BF112" s="497"/>
      <c r="BG112" s="497"/>
      <c r="BH112" s="497"/>
      <c r="BI112" s="497"/>
    </row>
    <row r="113" spans="2:61">
      <c r="B113" s="486"/>
      <c r="AG113" s="589"/>
      <c r="AH113" s="589"/>
      <c r="AI113" s="589"/>
      <c r="AJ113" s="589"/>
      <c r="AM113" s="588"/>
      <c r="AN113" s="497"/>
      <c r="AO113" s="497"/>
      <c r="AP113" s="497"/>
      <c r="AQ113" s="497"/>
      <c r="BB113" s="590"/>
      <c r="BC113" s="590"/>
      <c r="BD113" s="590"/>
      <c r="BE113" s="588"/>
      <c r="BF113" s="497"/>
      <c r="BG113" s="497"/>
      <c r="BH113" s="497"/>
      <c r="BI113" s="497"/>
    </row>
    <row r="114" spans="2:61">
      <c r="B114" s="486"/>
      <c r="AG114" s="589"/>
      <c r="AH114" s="589"/>
      <c r="AI114" s="589"/>
      <c r="AJ114" s="589"/>
      <c r="AM114" s="588"/>
      <c r="AN114" s="497"/>
      <c r="AO114" s="497"/>
      <c r="AP114" s="497"/>
      <c r="AQ114" s="497"/>
      <c r="BB114" s="590"/>
      <c r="BC114" s="590"/>
      <c r="BD114" s="590"/>
      <c r="BE114" s="588"/>
      <c r="BF114" s="497"/>
      <c r="BG114" s="497"/>
      <c r="BH114" s="497"/>
      <c r="BI114" s="497"/>
    </row>
    <row r="115" spans="2:61">
      <c r="B115" s="486"/>
      <c r="AG115" s="589"/>
      <c r="AH115" s="589"/>
      <c r="AI115" s="589"/>
      <c r="AJ115" s="589"/>
      <c r="AM115" s="588"/>
      <c r="AN115" s="497"/>
      <c r="AO115" s="497"/>
      <c r="AP115" s="497"/>
      <c r="AQ115" s="497"/>
      <c r="BB115" s="590"/>
      <c r="BC115" s="590"/>
      <c r="BD115" s="590"/>
      <c r="BE115" s="588"/>
      <c r="BF115" s="497"/>
      <c r="BG115" s="497"/>
      <c r="BH115" s="497"/>
      <c r="BI115" s="497"/>
    </row>
    <row r="116" spans="2:61">
      <c r="B116" s="486"/>
      <c r="AG116" s="589"/>
      <c r="AH116" s="589"/>
      <c r="AI116" s="589"/>
      <c r="AJ116" s="589"/>
      <c r="AM116" s="588"/>
      <c r="AN116" s="497"/>
      <c r="AO116" s="497"/>
      <c r="AP116" s="497"/>
      <c r="AQ116" s="497"/>
      <c r="BB116" s="590"/>
      <c r="BC116" s="590"/>
      <c r="BD116" s="590"/>
      <c r="BE116" s="588"/>
      <c r="BF116" s="497"/>
      <c r="BG116" s="497"/>
      <c r="BH116" s="497"/>
      <c r="BI116" s="497"/>
    </row>
    <row r="117" spans="2:61">
      <c r="B117" s="486"/>
      <c r="AG117" s="589"/>
      <c r="AH117" s="589"/>
      <c r="AI117" s="589"/>
      <c r="AJ117" s="589"/>
      <c r="AM117" s="588"/>
      <c r="AN117" s="497"/>
      <c r="AO117" s="497"/>
      <c r="AP117" s="497"/>
      <c r="AQ117" s="497"/>
      <c r="BB117" s="590"/>
      <c r="BC117" s="590"/>
      <c r="BD117" s="590"/>
      <c r="BE117" s="588"/>
      <c r="BF117" s="497"/>
      <c r="BG117" s="497"/>
      <c r="BH117" s="497"/>
      <c r="BI117" s="497"/>
    </row>
    <row r="118" spans="2:61">
      <c r="B118" s="486"/>
      <c r="AG118" s="589"/>
      <c r="AH118" s="589"/>
      <c r="AI118" s="589"/>
      <c r="AJ118" s="589"/>
      <c r="AM118" s="588"/>
      <c r="AN118" s="497"/>
      <c r="AO118" s="497"/>
      <c r="AP118" s="497"/>
      <c r="AQ118" s="497"/>
      <c r="BB118" s="590"/>
      <c r="BC118" s="590"/>
      <c r="BD118" s="590"/>
      <c r="BE118" s="588"/>
      <c r="BF118" s="497"/>
      <c r="BG118" s="497"/>
      <c r="BH118" s="497"/>
      <c r="BI118" s="497"/>
    </row>
    <row r="119" spans="2:61">
      <c r="B119" s="486"/>
      <c r="AG119" s="589"/>
      <c r="AH119" s="589"/>
      <c r="AI119" s="589"/>
      <c r="AJ119" s="589"/>
      <c r="AM119" s="588"/>
      <c r="AN119" s="497"/>
      <c r="AO119" s="497"/>
      <c r="AP119" s="497"/>
      <c r="AQ119" s="497"/>
      <c r="BB119" s="590"/>
      <c r="BC119" s="590"/>
      <c r="BD119" s="590"/>
      <c r="BE119" s="588"/>
      <c r="BF119" s="497"/>
      <c r="BG119" s="497"/>
      <c r="BH119" s="497"/>
      <c r="BI119" s="497"/>
    </row>
    <row r="120" spans="2:61">
      <c r="B120" s="486"/>
      <c r="AG120" s="589"/>
      <c r="AH120" s="589"/>
      <c r="AI120" s="589"/>
      <c r="AJ120" s="589"/>
      <c r="AM120" s="588"/>
      <c r="AN120" s="497"/>
      <c r="AO120" s="497"/>
      <c r="AP120" s="497"/>
      <c r="AQ120" s="497"/>
      <c r="BB120" s="590"/>
      <c r="BC120" s="590"/>
      <c r="BD120" s="590"/>
      <c r="BE120" s="588"/>
      <c r="BF120" s="497"/>
      <c r="BG120" s="497"/>
      <c r="BH120" s="497"/>
      <c r="BI120" s="497"/>
    </row>
    <row r="121" spans="2:61">
      <c r="B121" s="486"/>
      <c r="AG121" s="589"/>
      <c r="AH121" s="589"/>
      <c r="AI121" s="589"/>
      <c r="AJ121" s="589"/>
      <c r="AM121" s="588"/>
      <c r="AN121" s="497"/>
      <c r="AO121" s="497"/>
      <c r="AP121" s="497"/>
      <c r="AQ121" s="497"/>
      <c r="BB121" s="590"/>
      <c r="BC121" s="590"/>
      <c r="BD121" s="590"/>
      <c r="BE121" s="588"/>
      <c r="BF121" s="497"/>
      <c r="BG121" s="497"/>
      <c r="BH121" s="497"/>
      <c r="BI121" s="497"/>
    </row>
    <row r="122" spans="2:61">
      <c r="B122" s="486"/>
      <c r="AG122" s="589"/>
      <c r="AH122" s="589"/>
      <c r="AI122" s="589"/>
      <c r="AJ122" s="589"/>
      <c r="AM122" s="588"/>
      <c r="AN122" s="497"/>
      <c r="AO122" s="497"/>
      <c r="AP122" s="497"/>
      <c r="AQ122" s="497"/>
      <c r="BB122" s="590"/>
      <c r="BC122" s="590"/>
      <c r="BD122" s="590"/>
      <c r="BE122" s="588"/>
      <c r="BF122" s="497"/>
      <c r="BG122" s="497"/>
      <c r="BH122" s="497"/>
      <c r="BI122" s="497"/>
    </row>
    <row r="123" spans="2:61">
      <c r="B123" s="486"/>
      <c r="AG123" s="589"/>
      <c r="AH123" s="589"/>
      <c r="AI123" s="589"/>
      <c r="AJ123" s="589"/>
      <c r="AM123" s="588"/>
      <c r="AN123" s="497"/>
      <c r="AO123" s="497"/>
      <c r="AP123" s="497"/>
      <c r="AQ123" s="497"/>
      <c r="BB123" s="590"/>
      <c r="BC123" s="590"/>
      <c r="BD123" s="590"/>
      <c r="BE123" s="588"/>
      <c r="BF123" s="497"/>
      <c r="BG123" s="497"/>
      <c r="BH123" s="497"/>
      <c r="BI123" s="497"/>
    </row>
    <row r="124" spans="2:61">
      <c r="B124" s="486"/>
      <c r="AG124" s="589"/>
      <c r="AH124" s="589"/>
      <c r="AI124" s="589"/>
      <c r="AJ124" s="589"/>
      <c r="AM124" s="588"/>
      <c r="AN124" s="497"/>
      <c r="AO124" s="497"/>
      <c r="AP124" s="497"/>
      <c r="AQ124" s="497"/>
      <c r="BB124" s="590"/>
      <c r="BC124" s="590"/>
      <c r="BD124" s="590"/>
      <c r="BE124" s="588"/>
      <c r="BF124" s="497"/>
      <c r="BG124" s="497"/>
      <c r="BH124" s="497"/>
      <c r="BI124" s="497"/>
    </row>
    <row r="125" spans="2:61">
      <c r="B125" s="486"/>
      <c r="AG125" s="589"/>
      <c r="AH125" s="589"/>
      <c r="AI125" s="589"/>
      <c r="AJ125" s="589"/>
      <c r="AM125" s="588"/>
      <c r="AN125" s="497"/>
      <c r="AO125" s="497"/>
      <c r="AP125" s="497"/>
      <c r="AQ125" s="497"/>
      <c r="BB125" s="590"/>
      <c r="BC125" s="590"/>
      <c r="BD125" s="590"/>
      <c r="BE125" s="588"/>
      <c r="BF125" s="497"/>
      <c r="BG125" s="497"/>
      <c r="BH125" s="497"/>
      <c r="BI125" s="497"/>
    </row>
    <row r="126" spans="2:61">
      <c r="B126" s="486"/>
      <c r="AG126" s="589"/>
      <c r="AH126" s="589"/>
      <c r="AI126" s="589"/>
      <c r="AJ126" s="589"/>
      <c r="AM126" s="588"/>
      <c r="AN126" s="497"/>
      <c r="AO126" s="497"/>
      <c r="AP126" s="497"/>
      <c r="AQ126" s="497"/>
      <c r="BB126" s="590"/>
      <c r="BC126" s="590"/>
      <c r="BD126" s="590"/>
      <c r="BE126" s="588"/>
      <c r="BF126" s="497"/>
      <c r="BG126" s="497"/>
      <c r="BH126" s="497"/>
      <c r="BI126" s="497"/>
    </row>
    <row r="127" spans="2:61">
      <c r="B127" s="486"/>
      <c r="AG127" s="589"/>
      <c r="AH127" s="589"/>
      <c r="AI127" s="589"/>
      <c r="AJ127" s="589"/>
      <c r="AM127" s="588"/>
      <c r="AN127" s="497"/>
      <c r="AO127" s="497"/>
      <c r="AP127" s="497"/>
      <c r="AQ127" s="497"/>
      <c r="BB127" s="590"/>
      <c r="BC127" s="590"/>
      <c r="BD127" s="590"/>
      <c r="BE127" s="588"/>
      <c r="BF127" s="497"/>
      <c r="BG127" s="497"/>
      <c r="BH127" s="497"/>
      <c r="BI127" s="497"/>
    </row>
    <row r="128" spans="2:61">
      <c r="B128" s="486"/>
      <c r="AG128" s="589"/>
      <c r="AH128" s="589"/>
      <c r="AI128" s="589"/>
      <c r="AJ128" s="589"/>
      <c r="AM128" s="588"/>
      <c r="AN128" s="497"/>
      <c r="AO128" s="497"/>
      <c r="AP128" s="497"/>
      <c r="AQ128" s="497"/>
      <c r="BB128" s="590"/>
      <c r="BC128" s="590"/>
      <c r="BD128" s="590"/>
      <c r="BE128" s="588"/>
      <c r="BF128" s="497"/>
      <c r="BG128" s="497"/>
      <c r="BH128" s="497"/>
      <c r="BI128" s="497"/>
    </row>
    <row r="129" spans="2:62">
      <c r="B129" s="486"/>
      <c r="AG129" s="589"/>
      <c r="AH129" s="589"/>
      <c r="AI129" s="589"/>
      <c r="AJ129" s="589"/>
      <c r="AM129" s="588"/>
      <c r="AN129" s="497"/>
      <c r="AO129" s="497"/>
      <c r="AP129" s="497"/>
      <c r="AQ129" s="497"/>
      <c r="BB129" s="590"/>
      <c r="BC129" s="590"/>
      <c r="BD129" s="590"/>
      <c r="BE129" s="588"/>
      <c r="BF129" s="497"/>
      <c r="BG129" s="497"/>
      <c r="BH129" s="497"/>
      <c r="BI129" s="497"/>
    </row>
    <row r="130" spans="2:62" ht="15.75" customHeight="1">
      <c r="G130" s="505"/>
      <c r="H130" s="505"/>
      <c r="I130" s="1230" t="s">
        <v>1023</v>
      </c>
      <c r="J130" s="1231"/>
      <c r="K130" s="1231"/>
      <c r="L130" s="1232"/>
      <c r="AI130" s="500" t="s">
        <v>1024</v>
      </c>
      <c r="AM130" s="1230" t="s">
        <v>1023</v>
      </c>
      <c r="AN130" s="1231"/>
      <c r="AO130" s="1231"/>
      <c r="AP130" s="1232"/>
    </row>
    <row r="131" spans="2:62">
      <c r="G131" s="505"/>
      <c r="H131" s="505"/>
      <c r="I131" s="1233"/>
      <c r="J131" s="1234"/>
      <c r="K131" s="1234"/>
      <c r="L131" s="1235"/>
      <c r="AM131" s="1233"/>
      <c r="AN131" s="1234"/>
      <c r="AO131" s="1234"/>
      <c r="AP131" s="1235"/>
    </row>
    <row r="132" spans="2:62">
      <c r="F132" s="488"/>
      <c r="G132" s="488"/>
      <c r="H132" s="488"/>
      <c r="I132" s="488"/>
      <c r="J132" s="506"/>
      <c r="K132" s="489"/>
      <c r="L132" s="488"/>
      <c r="M132" s="488"/>
      <c r="N132" s="488"/>
      <c r="O132" s="488"/>
      <c r="AO132" s="507"/>
    </row>
    <row r="133" spans="2:62">
      <c r="F133" s="489"/>
      <c r="K133" s="489"/>
      <c r="P133" s="489"/>
      <c r="AM133" s="1188" t="s">
        <v>1025</v>
      </c>
      <c r="AN133" s="1189"/>
      <c r="AO133" s="1189"/>
      <c r="AP133" s="1190"/>
    </row>
    <row r="134" spans="2:62">
      <c r="D134" s="1194" t="s">
        <v>1026</v>
      </c>
      <c r="E134" s="1195"/>
      <c r="F134" s="1195"/>
      <c r="G134" s="1196"/>
      <c r="I134" s="1194" t="s">
        <v>1027</v>
      </c>
      <c r="J134" s="1195"/>
      <c r="K134" s="1195"/>
      <c r="L134" s="1196"/>
      <c r="N134" s="1194" t="s">
        <v>1028</v>
      </c>
      <c r="O134" s="1195"/>
      <c r="P134" s="1195"/>
      <c r="Q134" s="1196"/>
      <c r="AM134" s="1191"/>
      <c r="AN134" s="1192"/>
      <c r="AO134" s="1192"/>
      <c r="AP134" s="1193"/>
    </row>
    <row r="135" spans="2:62" ht="16.5" thickBot="1">
      <c r="D135" s="1197"/>
      <c r="E135" s="1198"/>
      <c r="F135" s="1198"/>
      <c r="G135" s="1199"/>
      <c r="I135" s="1197"/>
      <c r="J135" s="1198"/>
      <c r="K135" s="1198"/>
      <c r="L135" s="1199"/>
      <c r="N135" s="1197"/>
      <c r="O135" s="1198"/>
      <c r="P135" s="1198"/>
      <c r="Q135" s="1199"/>
    </row>
    <row r="136" spans="2:62">
      <c r="AN136" s="1187" t="s">
        <v>1000</v>
      </c>
      <c r="AO136" s="1187"/>
      <c r="AP136" s="1187"/>
      <c r="AQ136" s="1187"/>
      <c r="AR136" s="1227" t="s">
        <v>1029</v>
      </c>
      <c r="AS136" s="1227"/>
      <c r="AT136" s="1227"/>
      <c r="AU136" s="1227"/>
      <c r="AV136" s="508" t="s">
        <v>1002</v>
      </c>
      <c r="AW136" s="1227" t="s">
        <v>1030</v>
      </c>
      <c r="AX136" s="1227"/>
      <c r="AY136" s="1227"/>
      <c r="AZ136" s="1227"/>
      <c r="BA136" s="1228" t="s">
        <v>677</v>
      </c>
      <c r="BB136" s="1228"/>
      <c r="BC136" s="1228"/>
      <c r="BD136" s="1228" t="s">
        <v>1031</v>
      </c>
      <c r="BE136" s="1228"/>
      <c r="BF136" s="1228"/>
      <c r="BG136" s="1229" t="s">
        <v>362</v>
      </c>
      <c r="BH136" s="1229"/>
      <c r="BI136" s="1229"/>
      <c r="BJ136" s="1229"/>
    </row>
    <row r="137" spans="2:62" ht="16.5" thickBot="1">
      <c r="B137" s="494" t="s">
        <v>999</v>
      </c>
      <c r="C137" s="494"/>
      <c r="T137" s="497"/>
      <c r="AN137" s="1220" t="str">
        <f>+AM130</f>
        <v>(01) Resp Site</v>
      </c>
      <c r="AO137" s="1220"/>
      <c r="AP137" s="1220"/>
      <c r="AQ137" s="1220"/>
      <c r="AR137" s="1183">
        <v>400000</v>
      </c>
      <c r="AS137" s="1183"/>
      <c r="AT137" s="1183"/>
      <c r="AU137" s="1183"/>
      <c r="AV137" s="487">
        <v>1</v>
      </c>
      <c r="AW137" s="1183">
        <f>+AR137*AV137</f>
        <v>400000</v>
      </c>
      <c r="AX137" s="1183"/>
      <c r="AY137" s="1183"/>
      <c r="AZ137" s="1183"/>
      <c r="BA137" s="1216">
        <f>+AW137*0.13</f>
        <v>52000</v>
      </c>
      <c r="BB137" s="1216"/>
      <c r="BC137" s="1216"/>
      <c r="BD137" s="1216">
        <f>+AW137*0.5</f>
        <v>200000</v>
      </c>
      <c r="BE137" s="1216"/>
      <c r="BF137" s="1216"/>
      <c r="BG137" s="1221">
        <f>+AW137+BA137+BD137</f>
        <v>652000</v>
      </c>
      <c r="BH137" s="1221"/>
      <c r="BI137" s="1221"/>
      <c r="BJ137" s="1221"/>
    </row>
    <row r="138" spans="2:62">
      <c r="B138" s="1187" t="s">
        <v>1000</v>
      </c>
      <c r="C138" s="1187"/>
      <c r="D138" s="1187"/>
      <c r="E138" s="1187"/>
      <c r="F138" s="1164" t="s">
        <v>1001</v>
      </c>
      <c r="G138" s="1164"/>
      <c r="H138" s="1164"/>
      <c r="I138" s="1164"/>
      <c r="J138" s="1164"/>
      <c r="K138" s="496"/>
      <c r="L138" s="496"/>
      <c r="M138" s="508" t="s">
        <v>1002</v>
      </c>
      <c r="N138" s="1164" t="s">
        <v>1003</v>
      </c>
      <c r="O138" s="1164"/>
      <c r="P138" s="1164"/>
      <c r="Q138" s="1164"/>
      <c r="R138" s="1164"/>
      <c r="S138" s="1164"/>
      <c r="T138" s="1164" t="s">
        <v>875</v>
      </c>
      <c r="U138" s="1164"/>
      <c r="V138" s="1164" t="s">
        <v>1004</v>
      </c>
      <c r="W138" s="1164"/>
      <c r="X138" s="1164"/>
      <c r="Y138" s="1164"/>
      <c r="Z138" s="1164"/>
      <c r="AA138" s="1164"/>
      <c r="AB138" s="1164" t="s">
        <v>1032</v>
      </c>
      <c r="AC138" s="1164"/>
      <c r="AD138" s="1164"/>
      <c r="AE138" s="1164" t="s">
        <v>737</v>
      </c>
      <c r="AF138" s="1164"/>
      <c r="AG138" s="1164"/>
      <c r="AH138" s="508" t="s">
        <v>1033</v>
      </c>
      <c r="AI138" s="508"/>
      <c r="AJ138" s="508"/>
      <c r="AN138" s="1224" t="str">
        <f>+AM133</f>
        <v>(02) Assistant</v>
      </c>
      <c r="AO138" s="1224"/>
      <c r="AP138" s="1224"/>
      <c r="AQ138" s="1224"/>
      <c r="AR138" s="1225">
        <v>250000</v>
      </c>
      <c r="AS138" s="1225"/>
      <c r="AT138" s="1225"/>
      <c r="AU138" s="1225"/>
      <c r="AV138" s="488">
        <v>2</v>
      </c>
      <c r="AW138" s="1225">
        <f>+AR138*AV138</f>
        <v>500000</v>
      </c>
      <c r="AX138" s="1225"/>
      <c r="AY138" s="1225"/>
      <c r="AZ138" s="1225"/>
      <c r="BA138" s="1226">
        <f>+AW138*0.13</f>
        <v>65000</v>
      </c>
      <c r="BB138" s="1226"/>
      <c r="BC138" s="1226"/>
      <c r="BD138" s="1226">
        <f>+AW138*0.5</f>
        <v>250000</v>
      </c>
      <c r="BE138" s="1226"/>
      <c r="BF138" s="1226"/>
      <c r="BG138" s="1222">
        <f>+AW138+BA138+BD138</f>
        <v>815000</v>
      </c>
      <c r="BH138" s="1222"/>
      <c r="BI138" s="1222"/>
      <c r="BJ138" s="1222"/>
    </row>
    <row r="139" spans="2:62" ht="16.5" thickBot="1">
      <c r="B139" s="1182" t="s">
        <v>1005</v>
      </c>
      <c r="C139" s="1182"/>
      <c r="D139" s="1182"/>
      <c r="E139" s="1182"/>
      <c r="F139" s="1183">
        <v>300000</v>
      </c>
      <c r="G139" s="1183"/>
      <c r="H139" s="1183"/>
      <c r="I139" s="1183"/>
      <c r="J139" s="487" t="s">
        <v>1006</v>
      </c>
      <c r="K139" s="1168" t="s">
        <v>737</v>
      </c>
      <c r="L139" s="1168"/>
      <c r="M139" s="487">
        <v>1</v>
      </c>
      <c r="N139" s="1174">
        <v>300000</v>
      </c>
      <c r="O139" s="1168"/>
      <c r="P139" s="1168"/>
      <c r="Q139" s="1168"/>
      <c r="R139" s="1168"/>
      <c r="S139" s="487" t="s">
        <v>1006</v>
      </c>
      <c r="T139" s="1168" t="s">
        <v>737</v>
      </c>
      <c r="U139" s="1168"/>
      <c r="V139" s="497" t="s">
        <v>1007</v>
      </c>
      <c r="W139" s="487" t="s">
        <v>1034</v>
      </c>
      <c r="AB139" s="1174"/>
      <c r="AC139" s="1174"/>
      <c r="AD139" s="1174"/>
      <c r="AE139" s="1174">
        <f>+N139*13%</f>
        <v>39000</v>
      </c>
      <c r="AF139" s="1174"/>
      <c r="AG139" s="1174"/>
      <c r="AH139" s="1174">
        <f>+N139+AB139+AE139</f>
        <v>339000</v>
      </c>
      <c r="AI139" s="1174"/>
      <c r="AJ139" s="1174"/>
      <c r="AN139" s="1223" t="s">
        <v>362</v>
      </c>
      <c r="AO139" s="1223"/>
      <c r="AP139" s="1223"/>
      <c r="AQ139" s="1223"/>
      <c r="AR139" s="1217">
        <f>+AR138+AR137</f>
        <v>650000</v>
      </c>
      <c r="AS139" s="1217"/>
      <c r="AT139" s="1217"/>
      <c r="AU139" s="1217"/>
      <c r="AV139" s="498"/>
      <c r="AW139" s="1217">
        <f>+AW138+AW137</f>
        <v>900000</v>
      </c>
      <c r="AX139" s="1217"/>
      <c r="AY139" s="1217"/>
      <c r="AZ139" s="1217"/>
      <c r="BA139" s="1218">
        <f>+AW139*0.13</f>
        <v>117000</v>
      </c>
      <c r="BB139" s="1218"/>
      <c r="BC139" s="1218"/>
      <c r="BD139" s="1218">
        <f>+AW139*0.5</f>
        <v>450000</v>
      </c>
      <c r="BE139" s="1218"/>
      <c r="BF139" s="1218"/>
      <c r="BG139" s="1219">
        <f>+AW139+BA139+BD139</f>
        <v>1467000</v>
      </c>
      <c r="BH139" s="1219"/>
      <c r="BI139" s="1219"/>
      <c r="BJ139" s="1219"/>
    </row>
    <row r="140" spans="2:62">
      <c r="B140" s="1182" t="s">
        <v>1009</v>
      </c>
      <c r="C140" s="1182"/>
      <c r="D140" s="1182"/>
      <c r="E140" s="1182"/>
      <c r="F140" s="1183">
        <v>200000</v>
      </c>
      <c r="G140" s="1183"/>
      <c r="H140" s="1183"/>
      <c r="I140" s="1183"/>
      <c r="J140" s="487" t="s">
        <v>1006</v>
      </c>
      <c r="K140" s="1168" t="s">
        <v>737</v>
      </c>
      <c r="L140" s="1168"/>
      <c r="M140" s="487">
        <v>6</v>
      </c>
      <c r="N140" s="1174">
        <v>1200000</v>
      </c>
      <c r="O140" s="1168"/>
      <c r="P140" s="1168"/>
      <c r="Q140" s="1168"/>
      <c r="R140" s="1168"/>
      <c r="S140" s="487" t="s">
        <v>1006</v>
      </c>
      <c r="T140" s="1168" t="s">
        <v>737</v>
      </c>
      <c r="U140" s="1168"/>
      <c r="V140" s="497" t="s">
        <v>1007</v>
      </c>
      <c r="W140" s="487" t="s">
        <v>1035</v>
      </c>
      <c r="AB140" s="1174"/>
      <c r="AC140" s="1174"/>
      <c r="AD140" s="1174"/>
      <c r="AE140" s="1174">
        <f>+N140*13%</f>
        <v>156000</v>
      </c>
      <c r="AF140" s="1174"/>
      <c r="AG140" s="1174"/>
      <c r="AH140" s="1174">
        <f>+N140+AB140+AE140</f>
        <v>1356000</v>
      </c>
      <c r="AI140" s="1174"/>
      <c r="AJ140" s="1174"/>
    </row>
    <row r="141" spans="2:62">
      <c r="B141" s="1182" t="s">
        <v>1036</v>
      </c>
      <c r="C141" s="1182"/>
      <c r="D141" s="1182"/>
      <c r="E141" s="1182"/>
      <c r="F141" s="1183">
        <v>100000</v>
      </c>
      <c r="G141" s="1183"/>
      <c r="H141" s="1183"/>
      <c r="I141" s="1183"/>
      <c r="J141" s="487" t="s">
        <v>1006</v>
      </c>
      <c r="K141" s="1168" t="s">
        <v>737</v>
      </c>
      <c r="L141" s="1168"/>
      <c r="M141" s="487">
        <v>6</v>
      </c>
      <c r="N141" s="1174">
        <v>600000</v>
      </c>
      <c r="O141" s="1168"/>
      <c r="P141" s="1168"/>
      <c r="Q141" s="1168"/>
      <c r="R141" s="1168"/>
      <c r="S141" s="487" t="s">
        <v>1006</v>
      </c>
      <c r="T141" s="1168" t="s">
        <v>737</v>
      </c>
      <c r="U141" s="1168"/>
      <c r="V141" s="497" t="s">
        <v>1007</v>
      </c>
      <c r="W141" s="487" t="s">
        <v>1012</v>
      </c>
      <c r="AB141" s="1174"/>
      <c r="AC141" s="1174"/>
      <c r="AD141" s="1174"/>
      <c r="AE141" s="1174">
        <f>+N141*13%</f>
        <v>78000</v>
      </c>
      <c r="AF141" s="1174"/>
      <c r="AG141" s="1174"/>
      <c r="AH141" s="1174">
        <f>+N141+AB141+AE141</f>
        <v>678000</v>
      </c>
      <c r="AI141" s="1174"/>
      <c r="AJ141" s="1174"/>
    </row>
    <row r="142" spans="2:62">
      <c r="B142" s="1182" t="s">
        <v>1014</v>
      </c>
      <c r="C142" s="1182"/>
      <c r="D142" s="1182"/>
      <c r="E142" s="1182"/>
      <c r="F142" s="1183">
        <v>300000</v>
      </c>
      <c r="G142" s="1183"/>
      <c r="H142" s="1183"/>
      <c r="I142" s="1183"/>
      <c r="J142" s="487" t="s">
        <v>1006</v>
      </c>
      <c r="K142" s="1168" t="s">
        <v>737</v>
      </c>
      <c r="L142" s="1168"/>
      <c r="M142" s="487">
        <v>3</v>
      </c>
      <c r="N142" s="1174">
        <v>900000</v>
      </c>
      <c r="O142" s="1168"/>
      <c r="P142" s="1168"/>
      <c r="Q142" s="1168"/>
      <c r="R142" s="1168"/>
      <c r="S142" s="487" t="s">
        <v>1006</v>
      </c>
      <c r="T142" s="1168" t="s">
        <v>737</v>
      </c>
      <c r="U142" s="1168"/>
      <c r="V142" s="487" t="s">
        <v>1007</v>
      </c>
      <c r="W142" s="487" t="s">
        <v>1015</v>
      </c>
      <c r="AB142" s="1174"/>
      <c r="AC142" s="1174"/>
      <c r="AD142" s="1174"/>
      <c r="AE142" s="1174">
        <f>+N142*13%</f>
        <v>117000</v>
      </c>
      <c r="AF142" s="1174"/>
      <c r="AG142" s="1174"/>
      <c r="AH142" s="1174">
        <f>+N142+AB142+AE142</f>
        <v>1017000</v>
      </c>
      <c r="AI142" s="1174"/>
      <c r="AJ142" s="1174"/>
    </row>
    <row r="143" spans="2:62" ht="16.5" thickBot="1">
      <c r="B143" s="1175" t="s">
        <v>362</v>
      </c>
      <c r="C143" s="1175"/>
      <c r="D143" s="1175"/>
      <c r="E143" s="1175"/>
      <c r="F143" s="1175"/>
      <c r="G143" s="1175"/>
      <c r="H143" s="1175"/>
      <c r="I143" s="1175"/>
      <c r="J143" s="1175"/>
      <c r="K143" s="1175"/>
      <c r="L143" s="1175"/>
      <c r="M143" s="498">
        <v>16</v>
      </c>
      <c r="N143" s="1176">
        <f>SUM(N139:R142)</f>
        <v>3000000</v>
      </c>
      <c r="O143" s="1175"/>
      <c r="P143" s="1175"/>
      <c r="Q143" s="1175"/>
      <c r="R143" s="1175"/>
      <c r="S143" s="509"/>
      <c r="T143" s="509"/>
      <c r="U143" s="509"/>
      <c r="V143" s="509"/>
      <c r="W143" s="509"/>
      <c r="X143" s="509"/>
      <c r="Y143" s="509"/>
      <c r="Z143" s="509"/>
      <c r="AA143" s="509"/>
      <c r="AB143" s="1215">
        <f>SUM(AB139:AD142)</f>
        <v>0</v>
      </c>
      <c r="AC143" s="1215"/>
      <c r="AD143" s="1215"/>
      <c r="AE143" s="1176">
        <f>SUM(AE139:AG142)</f>
        <v>390000</v>
      </c>
      <c r="AF143" s="1176"/>
      <c r="AG143" s="1176"/>
      <c r="AH143" s="1176">
        <f>SUM(AH139:AJ142)</f>
        <v>3390000</v>
      </c>
      <c r="AI143" s="1176"/>
      <c r="AJ143" s="1176"/>
    </row>
    <row r="144" spans="2:62">
      <c r="B144" s="487" t="s">
        <v>1022</v>
      </c>
      <c r="N144" s="1174"/>
      <c r="O144" s="1168"/>
      <c r="P144" s="1168"/>
      <c r="Q144" s="1168"/>
      <c r="R144" s="1168"/>
      <c r="AD144" s="1216">
        <f>+AD142</f>
        <v>0</v>
      </c>
      <c r="AE144" s="1216"/>
      <c r="AF144" s="1216"/>
      <c r="AG144" s="1174"/>
      <c r="AH144" s="1168"/>
      <c r="AI144" s="1168"/>
      <c r="AJ144" s="1168"/>
      <c r="AK144" s="1168"/>
    </row>
    <row r="145" spans="2:45">
      <c r="B145" s="486" t="s">
        <v>353</v>
      </c>
    </row>
    <row r="146" spans="2:45">
      <c r="S146" s="1209" t="s">
        <v>1037</v>
      </c>
      <c r="T146" s="1210"/>
      <c r="U146" s="1210"/>
      <c r="V146" s="1210"/>
      <c r="W146" s="1210"/>
      <c r="X146" s="1211"/>
    </row>
    <row r="147" spans="2:45">
      <c r="S147" s="1212"/>
      <c r="T147" s="1213"/>
      <c r="U147" s="1213"/>
      <c r="V147" s="1213"/>
      <c r="W147" s="1213"/>
      <c r="X147" s="1214"/>
    </row>
    <row r="148" spans="2:45">
      <c r="N148" s="488"/>
      <c r="O148" s="488"/>
      <c r="P148" s="488"/>
      <c r="Q148" s="488"/>
      <c r="R148" s="488"/>
      <c r="S148" s="488"/>
      <c r="T148" s="488"/>
      <c r="U148" s="488"/>
      <c r="V148" s="507"/>
      <c r="W148" s="488"/>
      <c r="X148" s="488"/>
      <c r="Y148" s="488"/>
      <c r="Z148" s="488"/>
      <c r="AA148" s="488"/>
      <c r="AB148" s="488"/>
      <c r="AC148" s="488"/>
      <c r="AD148" s="488"/>
      <c r="AE148" s="488"/>
      <c r="AF148" s="488"/>
      <c r="AG148" s="488"/>
      <c r="AH148" s="488"/>
      <c r="AI148" s="488"/>
    </row>
    <row r="149" spans="2:45">
      <c r="N149" s="489"/>
      <c r="AJ149" s="489"/>
    </row>
    <row r="150" spans="2:45">
      <c r="F150" s="505"/>
      <c r="G150" s="505"/>
      <c r="H150" s="505"/>
      <c r="I150" s="505"/>
      <c r="J150" s="505"/>
      <c r="K150" s="1209" t="s">
        <v>1038</v>
      </c>
      <c r="L150" s="1210"/>
      <c r="M150" s="1210"/>
      <c r="N150" s="1210"/>
      <c r="O150" s="1210"/>
      <c r="P150" s="1210"/>
      <c r="Q150" s="1211"/>
      <c r="AG150" s="1209" t="s">
        <v>1039</v>
      </c>
      <c r="AH150" s="1210"/>
      <c r="AI150" s="1210"/>
      <c r="AJ150" s="1210"/>
      <c r="AK150" s="1210"/>
      <c r="AL150" s="1211"/>
    </row>
    <row r="151" spans="2:45">
      <c r="F151" s="505"/>
      <c r="G151" s="505"/>
      <c r="H151" s="505"/>
      <c r="I151" s="505"/>
      <c r="J151" s="505"/>
      <c r="K151" s="1212"/>
      <c r="L151" s="1213"/>
      <c r="M151" s="1213"/>
      <c r="N151" s="1213"/>
      <c r="O151" s="1213"/>
      <c r="P151" s="1213"/>
      <c r="Q151" s="1214"/>
      <c r="AG151" s="1212"/>
      <c r="AH151" s="1213"/>
      <c r="AI151" s="1213"/>
      <c r="AJ151" s="1213"/>
      <c r="AK151" s="1213"/>
      <c r="AL151" s="1214"/>
    </row>
    <row r="152" spans="2:45">
      <c r="D152" s="488"/>
      <c r="E152" s="488"/>
      <c r="F152" s="488"/>
      <c r="G152" s="488"/>
      <c r="H152" s="488"/>
      <c r="I152" s="488"/>
      <c r="J152" s="488"/>
      <c r="K152" s="488"/>
      <c r="L152" s="488"/>
      <c r="M152" s="488"/>
      <c r="N152" s="507"/>
      <c r="O152" s="488"/>
      <c r="P152" s="488"/>
      <c r="Q152" s="488"/>
      <c r="R152" s="488"/>
      <c r="S152" s="488"/>
      <c r="T152" s="488"/>
      <c r="U152" s="488"/>
      <c r="V152" s="488"/>
      <c r="W152" s="488"/>
      <c r="AJ152" s="490"/>
    </row>
    <row r="153" spans="2:45">
      <c r="D153" s="489"/>
      <c r="I153" s="489"/>
      <c r="N153" s="489"/>
      <c r="S153" s="489"/>
      <c r="X153" s="489"/>
      <c r="AG153" s="1188" t="s">
        <v>1040</v>
      </c>
      <c r="AH153" s="1189"/>
      <c r="AI153" s="1189"/>
      <c r="AJ153" s="1189"/>
      <c r="AK153" s="1189"/>
      <c r="AL153" s="1190"/>
    </row>
    <row r="154" spans="2:45">
      <c r="B154" s="1194" t="s">
        <v>1026</v>
      </c>
      <c r="C154" s="1195"/>
      <c r="D154" s="1195"/>
      <c r="E154" s="1196"/>
      <c r="G154" s="1194" t="s">
        <v>1041</v>
      </c>
      <c r="H154" s="1195"/>
      <c r="I154" s="1195"/>
      <c r="J154" s="1196"/>
      <c r="L154" s="1188" t="s">
        <v>1042</v>
      </c>
      <c r="M154" s="1189"/>
      <c r="N154" s="1189"/>
      <c r="O154" s="1190"/>
      <c r="Q154" s="1188" t="s">
        <v>1043</v>
      </c>
      <c r="R154" s="1189"/>
      <c r="S154" s="1189"/>
      <c r="T154" s="1190"/>
      <c r="V154" s="1194" t="s">
        <v>1044</v>
      </c>
      <c r="W154" s="1195"/>
      <c r="X154" s="1195"/>
      <c r="Y154" s="1196"/>
      <c r="AG154" s="1191"/>
      <c r="AH154" s="1192"/>
      <c r="AI154" s="1192"/>
      <c r="AJ154" s="1192"/>
      <c r="AK154" s="1192"/>
      <c r="AL154" s="1193"/>
    </row>
    <row r="155" spans="2:45">
      <c r="B155" s="1197"/>
      <c r="C155" s="1198"/>
      <c r="D155" s="1198"/>
      <c r="E155" s="1199"/>
      <c r="G155" s="1197"/>
      <c r="H155" s="1198"/>
      <c r="I155" s="1198"/>
      <c r="J155" s="1199"/>
      <c r="L155" s="1191"/>
      <c r="M155" s="1192"/>
      <c r="N155" s="1192"/>
      <c r="O155" s="1193"/>
      <c r="Q155" s="1191"/>
      <c r="R155" s="1192"/>
      <c r="S155" s="1192"/>
      <c r="T155" s="1193"/>
      <c r="V155" s="1197"/>
      <c r="W155" s="1198"/>
      <c r="X155" s="1198"/>
      <c r="Y155" s="1199"/>
      <c r="AE155" s="488"/>
      <c r="AF155" s="488"/>
      <c r="AG155" s="488"/>
      <c r="AH155" s="488"/>
      <c r="AI155" s="488"/>
      <c r="AJ155" s="489"/>
      <c r="AK155" s="488"/>
      <c r="AL155" s="488"/>
      <c r="AM155" s="488"/>
      <c r="AN155" s="488"/>
      <c r="AO155" s="488"/>
      <c r="AP155" s="488"/>
    </row>
    <row r="156" spans="2:45">
      <c r="I156" s="493"/>
      <c r="N156" s="507"/>
      <c r="S156" s="507"/>
      <c r="X156" s="507"/>
      <c r="AE156" s="489"/>
      <c r="AQ156" s="489"/>
    </row>
    <row r="157" spans="2:45" ht="15.75" customHeight="1">
      <c r="I157" s="490"/>
      <c r="L157" s="1188" t="s">
        <v>1045</v>
      </c>
      <c r="M157" s="1189"/>
      <c r="N157" s="1189"/>
      <c r="O157" s="1190"/>
      <c r="Q157" s="1188" t="s">
        <v>1046</v>
      </c>
      <c r="R157" s="1189"/>
      <c r="S157" s="1189"/>
      <c r="T157" s="1190"/>
      <c r="V157" s="1194" t="s">
        <v>1047</v>
      </c>
      <c r="W157" s="1195"/>
      <c r="X157" s="1195"/>
      <c r="Y157" s="1196"/>
      <c r="AB157" s="1200" t="s">
        <v>1048</v>
      </c>
      <c r="AC157" s="1201"/>
      <c r="AD157" s="1201"/>
      <c r="AE157" s="1201"/>
      <c r="AF157" s="1201"/>
      <c r="AG157" s="1202"/>
      <c r="AN157" s="1200" t="s">
        <v>1049</v>
      </c>
      <c r="AO157" s="1201"/>
      <c r="AP157" s="1201"/>
      <c r="AQ157" s="1201"/>
      <c r="AR157" s="1201"/>
      <c r="AS157" s="1202"/>
    </row>
    <row r="158" spans="2:45" ht="15.75" customHeight="1">
      <c r="I158" s="490"/>
      <c r="L158" s="1191"/>
      <c r="M158" s="1192"/>
      <c r="N158" s="1192"/>
      <c r="O158" s="1193"/>
      <c r="Q158" s="1191"/>
      <c r="R158" s="1192"/>
      <c r="S158" s="1192"/>
      <c r="T158" s="1193"/>
      <c r="V158" s="1197"/>
      <c r="W158" s="1198"/>
      <c r="X158" s="1198"/>
      <c r="Y158" s="1199"/>
      <c r="AB158" s="1203"/>
      <c r="AC158" s="1204"/>
      <c r="AD158" s="1204"/>
      <c r="AE158" s="1204"/>
      <c r="AF158" s="1204"/>
      <c r="AG158" s="1205"/>
      <c r="AN158" s="1203"/>
      <c r="AO158" s="1204"/>
      <c r="AP158" s="1204"/>
      <c r="AQ158" s="1204"/>
      <c r="AR158" s="1204"/>
      <c r="AS158" s="1205"/>
    </row>
    <row r="159" spans="2:45">
      <c r="F159" s="488"/>
      <c r="G159" s="488"/>
      <c r="H159" s="488"/>
      <c r="I159" s="489"/>
      <c r="J159" s="488"/>
      <c r="N159" s="507"/>
      <c r="X159" s="507"/>
    </row>
    <row r="160" spans="2:45">
      <c r="F160" s="493"/>
      <c r="K160" s="490"/>
      <c r="L160" s="1184" t="s">
        <v>1050</v>
      </c>
      <c r="M160" s="1185"/>
      <c r="N160" s="1185"/>
      <c r="O160" s="1186"/>
      <c r="V160" s="1194" t="s">
        <v>1051</v>
      </c>
      <c r="W160" s="1195"/>
      <c r="X160" s="1195"/>
      <c r="Y160" s="1196"/>
      <c r="AO160" s="497"/>
      <c r="AP160" s="497"/>
      <c r="AQ160" s="497"/>
      <c r="AR160" s="497"/>
      <c r="AS160" s="497"/>
    </row>
    <row r="161" spans="2:45">
      <c r="F161" s="490"/>
      <c r="K161" s="490"/>
      <c r="L161" s="510"/>
      <c r="M161" s="510"/>
      <c r="N161" s="510"/>
      <c r="O161" s="510"/>
      <c r="V161" s="1206"/>
      <c r="W161" s="1207"/>
      <c r="X161" s="1207"/>
      <c r="Y161" s="1208"/>
      <c r="AO161" s="497"/>
      <c r="AP161" s="497"/>
      <c r="AQ161" s="497"/>
      <c r="AR161" s="497"/>
      <c r="AS161" s="497"/>
    </row>
    <row r="162" spans="2:45">
      <c r="F162" s="490"/>
      <c r="I162" s="1188" t="s">
        <v>1052</v>
      </c>
      <c r="J162" s="1189"/>
      <c r="K162" s="1189"/>
      <c r="L162" s="1190"/>
      <c r="V162" s="1197"/>
      <c r="W162" s="1198"/>
      <c r="X162" s="1198"/>
      <c r="Y162" s="1199"/>
      <c r="AG162" s="497"/>
      <c r="AH162" s="497"/>
      <c r="AI162" s="497"/>
      <c r="AJ162" s="497"/>
      <c r="AK162" s="497"/>
    </row>
    <row r="163" spans="2:45">
      <c r="F163" s="490"/>
      <c r="I163" s="1191"/>
      <c r="J163" s="1192"/>
      <c r="K163" s="1192"/>
      <c r="L163" s="1193"/>
    </row>
    <row r="164" spans="2:45">
      <c r="F164" s="489"/>
      <c r="K164" s="507"/>
      <c r="Q164" s="511"/>
      <c r="R164" s="511"/>
      <c r="S164" s="511"/>
      <c r="T164" s="511"/>
      <c r="AG164" s="1168"/>
      <c r="AH164" s="1168"/>
      <c r="AI164" s="1168"/>
      <c r="AJ164" s="1168"/>
      <c r="AK164" s="1168"/>
    </row>
    <row r="165" spans="2:45">
      <c r="D165" s="1184" t="s">
        <v>1053</v>
      </c>
      <c r="E165" s="1185"/>
      <c r="F165" s="1185"/>
      <c r="G165" s="1186"/>
      <c r="I165" s="1184" t="s">
        <v>1054</v>
      </c>
      <c r="J165" s="1185"/>
      <c r="K165" s="1185"/>
      <c r="L165" s="1186"/>
      <c r="AG165" s="1168"/>
      <c r="AH165" s="1168"/>
      <c r="AI165" s="1168"/>
      <c r="AJ165" s="1168"/>
      <c r="AK165" s="1168"/>
    </row>
    <row r="167" spans="2:45" ht="16.5" thickBot="1">
      <c r="B167" s="494" t="s">
        <v>1055</v>
      </c>
    </row>
    <row r="168" spans="2:45">
      <c r="B168" s="1187" t="s">
        <v>1000</v>
      </c>
      <c r="C168" s="1187"/>
      <c r="D168" s="1187"/>
      <c r="E168" s="1187"/>
      <c r="F168" s="1164" t="s">
        <v>1001</v>
      </c>
      <c r="G168" s="1164"/>
      <c r="H168" s="1164"/>
      <c r="I168" s="1164"/>
      <c r="J168" s="1164"/>
      <c r="K168" s="496"/>
      <c r="L168" s="496"/>
      <c r="M168" s="508" t="s">
        <v>1002</v>
      </c>
      <c r="N168" s="1164" t="s">
        <v>1003</v>
      </c>
      <c r="O168" s="1164"/>
      <c r="P168" s="1164"/>
      <c r="Q168" s="1164"/>
      <c r="R168" s="1164"/>
      <c r="S168" s="1164"/>
      <c r="T168" s="1164" t="s">
        <v>875</v>
      </c>
      <c r="U168" s="1164"/>
      <c r="V168" s="1164" t="s">
        <v>1004</v>
      </c>
      <c r="W168" s="1164"/>
      <c r="X168" s="1164"/>
      <c r="Y168" s="1164"/>
      <c r="Z168" s="1164"/>
      <c r="AA168" s="1164"/>
      <c r="AB168" s="1164" t="s">
        <v>1032</v>
      </c>
      <c r="AC168" s="1164"/>
      <c r="AD168" s="1164"/>
      <c r="AE168" s="1164" t="s">
        <v>737</v>
      </c>
      <c r="AF168" s="1164"/>
      <c r="AG168" s="1164"/>
      <c r="AH168" s="508" t="s">
        <v>1033</v>
      </c>
      <c r="AI168" s="508"/>
      <c r="AJ168" s="508"/>
    </row>
    <row r="169" spans="2:45">
      <c r="B169" s="1182" t="s">
        <v>1056</v>
      </c>
      <c r="C169" s="1182"/>
      <c r="D169" s="1182"/>
      <c r="E169" s="1182"/>
      <c r="F169" s="1183">
        <v>2000000</v>
      </c>
      <c r="G169" s="1183"/>
      <c r="H169" s="1183"/>
      <c r="I169" s="1183"/>
      <c r="J169" s="487" t="s">
        <v>1006</v>
      </c>
      <c r="K169" s="1168" t="s">
        <v>737</v>
      </c>
      <c r="L169" s="1168"/>
      <c r="M169" s="487">
        <v>1</v>
      </c>
      <c r="N169" s="1174">
        <f>+F169*M169</f>
        <v>2000000</v>
      </c>
      <c r="O169" s="1168"/>
      <c r="P169" s="1168"/>
      <c r="Q169" s="1168"/>
      <c r="R169" s="1168"/>
      <c r="S169" s="487" t="s">
        <v>1006</v>
      </c>
      <c r="T169" s="1168" t="s">
        <v>737</v>
      </c>
      <c r="U169" s="1168"/>
      <c r="V169" s="497" t="s">
        <v>1007</v>
      </c>
      <c r="W169" s="487" t="s">
        <v>1012</v>
      </c>
      <c r="AB169" s="1174">
        <f t="shared" ref="AB169:AB187" si="7">+N169*5%</f>
        <v>100000</v>
      </c>
      <c r="AC169" s="1174"/>
      <c r="AD169" s="1174"/>
      <c r="AE169" s="1174">
        <f t="shared" ref="AE169:AE187" si="8">+N169*13%</f>
        <v>260000</v>
      </c>
      <c r="AF169" s="1174"/>
      <c r="AG169" s="1174"/>
      <c r="AH169" s="1174">
        <f t="shared" ref="AH169:AH187" si="9">+N169+AB169+AE169</f>
        <v>2360000</v>
      </c>
      <c r="AI169" s="1174"/>
      <c r="AJ169" s="1174"/>
    </row>
    <row r="170" spans="2:45">
      <c r="B170" s="1182" t="s">
        <v>1009</v>
      </c>
      <c r="C170" s="1182"/>
      <c r="D170" s="1182"/>
      <c r="E170" s="1182"/>
      <c r="F170" s="1183">
        <v>200000</v>
      </c>
      <c r="G170" s="1183"/>
      <c r="H170" s="1183"/>
      <c r="I170" s="1183"/>
      <c r="J170" s="487" t="s">
        <v>1006</v>
      </c>
      <c r="K170" s="1168" t="s">
        <v>737</v>
      </c>
      <c r="L170" s="1168"/>
      <c r="M170" s="487">
        <v>6</v>
      </c>
      <c r="N170" s="1174">
        <f t="shared" ref="N170:N186" si="10">+F170*M170</f>
        <v>1200000</v>
      </c>
      <c r="O170" s="1168"/>
      <c r="P170" s="1168"/>
      <c r="Q170" s="1168"/>
      <c r="R170" s="1168"/>
      <c r="S170" s="487" t="s">
        <v>1006</v>
      </c>
      <c r="T170" s="1168" t="s">
        <v>737</v>
      </c>
      <c r="U170" s="1168"/>
      <c r="V170" s="497" t="s">
        <v>1007</v>
      </c>
      <c r="W170" s="487" t="s">
        <v>1012</v>
      </c>
      <c r="AB170" s="1174">
        <f t="shared" si="7"/>
        <v>60000</v>
      </c>
      <c r="AC170" s="1174"/>
      <c r="AD170" s="1174"/>
      <c r="AE170" s="1174">
        <f t="shared" si="8"/>
        <v>156000</v>
      </c>
      <c r="AF170" s="1174"/>
      <c r="AG170" s="1174"/>
      <c r="AH170" s="1174">
        <f t="shared" si="9"/>
        <v>1416000</v>
      </c>
      <c r="AI170" s="1174"/>
      <c r="AJ170" s="1174"/>
    </row>
    <row r="171" spans="2:45">
      <c r="B171" s="1182" t="s">
        <v>1036</v>
      </c>
      <c r="C171" s="1182"/>
      <c r="D171" s="1182"/>
      <c r="E171" s="1182"/>
      <c r="F171" s="1183">
        <v>100000</v>
      </c>
      <c r="G171" s="1183"/>
      <c r="H171" s="1183"/>
      <c r="I171" s="1183"/>
      <c r="J171" s="487" t="s">
        <v>1006</v>
      </c>
      <c r="K171" s="1168" t="s">
        <v>737</v>
      </c>
      <c r="L171" s="1168"/>
      <c r="M171" s="487">
        <v>6</v>
      </c>
      <c r="N171" s="1174">
        <f t="shared" si="10"/>
        <v>600000</v>
      </c>
      <c r="O171" s="1168"/>
      <c r="P171" s="1168"/>
      <c r="Q171" s="1168"/>
      <c r="R171" s="1168"/>
      <c r="S171" s="487" t="s">
        <v>1006</v>
      </c>
      <c r="T171" s="1168" t="s">
        <v>737</v>
      </c>
      <c r="U171" s="1168"/>
      <c r="V171" s="497" t="s">
        <v>1007</v>
      </c>
      <c r="W171" s="487" t="s">
        <v>1012</v>
      </c>
      <c r="AB171" s="1174">
        <f t="shared" si="7"/>
        <v>30000</v>
      </c>
      <c r="AC171" s="1174"/>
      <c r="AD171" s="1174"/>
      <c r="AE171" s="1174">
        <f t="shared" si="8"/>
        <v>78000</v>
      </c>
      <c r="AF171" s="1174"/>
      <c r="AG171" s="1174"/>
      <c r="AH171" s="1174">
        <f t="shared" si="9"/>
        <v>708000</v>
      </c>
      <c r="AI171" s="1174"/>
      <c r="AJ171" s="1174"/>
    </row>
    <row r="172" spans="2:45">
      <c r="B172" s="1182" t="s">
        <v>1057</v>
      </c>
      <c r="C172" s="1182"/>
      <c r="D172" s="1182"/>
      <c r="E172" s="1182"/>
      <c r="F172" s="1183">
        <v>500000</v>
      </c>
      <c r="G172" s="1183"/>
      <c r="H172" s="1183"/>
      <c r="I172" s="1183"/>
      <c r="J172" s="487" t="s">
        <v>1006</v>
      </c>
      <c r="K172" s="1168" t="s">
        <v>737</v>
      </c>
      <c r="L172" s="1168"/>
      <c r="M172" s="487">
        <v>1</v>
      </c>
      <c r="N172" s="1174">
        <f t="shared" si="10"/>
        <v>500000</v>
      </c>
      <c r="O172" s="1168"/>
      <c r="P172" s="1168"/>
      <c r="Q172" s="1168"/>
      <c r="R172" s="1168"/>
      <c r="S172" s="487" t="s">
        <v>1006</v>
      </c>
      <c r="T172" s="1168" t="s">
        <v>737</v>
      </c>
      <c r="U172" s="1168"/>
      <c r="V172" s="497" t="s">
        <v>1007</v>
      </c>
      <c r="W172" s="487" t="s">
        <v>1015</v>
      </c>
      <c r="AB172" s="1174">
        <f t="shared" si="7"/>
        <v>25000</v>
      </c>
      <c r="AC172" s="1174"/>
      <c r="AD172" s="1174"/>
      <c r="AE172" s="1174">
        <f t="shared" si="8"/>
        <v>65000</v>
      </c>
      <c r="AF172" s="1174"/>
      <c r="AG172" s="1174"/>
      <c r="AH172" s="1174">
        <f t="shared" si="9"/>
        <v>590000</v>
      </c>
      <c r="AI172" s="1174"/>
      <c r="AJ172" s="1174"/>
    </row>
    <row r="173" spans="2:45">
      <c r="B173" s="1182" t="s">
        <v>1058</v>
      </c>
      <c r="C173" s="1182"/>
      <c r="D173" s="1182"/>
      <c r="E173" s="1182"/>
      <c r="F173" s="1183">
        <v>500000</v>
      </c>
      <c r="G173" s="1183"/>
      <c r="H173" s="1183"/>
      <c r="I173" s="1183"/>
      <c r="J173" s="487" t="s">
        <v>1006</v>
      </c>
      <c r="K173" s="1168" t="s">
        <v>737</v>
      </c>
      <c r="L173" s="1168"/>
      <c r="M173" s="487">
        <v>1</v>
      </c>
      <c r="N173" s="1174">
        <f t="shared" si="10"/>
        <v>500000</v>
      </c>
      <c r="O173" s="1168"/>
      <c r="P173" s="1168"/>
      <c r="Q173" s="1168"/>
      <c r="R173" s="1168"/>
      <c r="S173" s="487" t="s">
        <v>1006</v>
      </c>
      <c r="T173" s="1168" t="s">
        <v>737</v>
      </c>
      <c r="U173" s="1168"/>
      <c r="V173" s="487" t="s">
        <v>1007</v>
      </c>
      <c r="W173" s="487" t="s">
        <v>1015</v>
      </c>
      <c r="AB173" s="1174">
        <f t="shared" si="7"/>
        <v>25000</v>
      </c>
      <c r="AC173" s="1174"/>
      <c r="AD173" s="1174"/>
      <c r="AE173" s="1174">
        <f t="shared" si="8"/>
        <v>65000</v>
      </c>
      <c r="AF173" s="1174"/>
      <c r="AG173" s="1174"/>
      <c r="AH173" s="1174">
        <f t="shared" si="9"/>
        <v>590000</v>
      </c>
      <c r="AI173" s="1174"/>
      <c r="AJ173" s="1174"/>
    </row>
    <row r="174" spans="2:45">
      <c r="B174" s="1182" t="s">
        <v>1059</v>
      </c>
      <c r="C174" s="1182"/>
      <c r="D174" s="1182"/>
      <c r="E174" s="1182"/>
      <c r="F174" s="1183">
        <v>500000</v>
      </c>
      <c r="G174" s="1183"/>
      <c r="H174" s="1183"/>
      <c r="I174" s="1183"/>
      <c r="J174" s="487" t="s">
        <v>1006</v>
      </c>
      <c r="K174" s="1168" t="s">
        <v>737</v>
      </c>
      <c r="L174" s="1168"/>
      <c r="M174" s="487">
        <v>3</v>
      </c>
      <c r="N174" s="1174">
        <f t="shared" si="10"/>
        <v>1500000</v>
      </c>
      <c r="O174" s="1168"/>
      <c r="P174" s="1168"/>
      <c r="Q174" s="1168"/>
      <c r="R174" s="1168"/>
      <c r="S174" s="487" t="s">
        <v>1006</v>
      </c>
      <c r="T174" s="1168" t="s">
        <v>737</v>
      </c>
      <c r="U174" s="1168"/>
      <c r="V174" s="487" t="s">
        <v>1007</v>
      </c>
      <c r="W174" s="487" t="s">
        <v>1015</v>
      </c>
      <c r="AB174" s="1174">
        <f t="shared" si="7"/>
        <v>75000</v>
      </c>
      <c r="AC174" s="1174"/>
      <c r="AD174" s="1174"/>
      <c r="AE174" s="1174">
        <f t="shared" si="8"/>
        <v>195000</v>
      </c>
      <c r="AF174" s="1174"/>
      <c r="AG174" s="1174"/>
      <c r="AH174" s="1174">
        <f t="shared" si="9"/>
        <v>1770000</v>
      </c>
      <c r="AI174" s="1174"/>
      <c r="AJ174" s="1174"/>
    </row>
    <row r="175" spans="2:45">
      <c r="B175" s="1182" t="s">
        <v>1060</v>
      </c>
      <c r="C175" s="1182"/>
      <c r="D175" s="1182"/>
      <c r="E175" s="1182"/>
      <c r="F175" s="1183">
        <v>350000</v>
      </c>
      <c r="G175" s="1183"/>
      <c r="H175" s="1183"/>
      <c r="I175" s="1183"/>
      <c r="J175" s="487" t="s">
        <v>1006</v>
      </c>
      <c r="K175" s="1168" t="s">
        <v>737</v>
      </c>
      <c r="L175" s="1168"/>
      <c r="M175" s="487">
        <v>1</v>
      </c>
      <c r="N175" s="1174">
        <f t="shared" si="10"/>
        <v>350000</v>
      </c>
      <c r="O175" s="1168"/>
      <c r="P175" s="1168"/>
      <c r="Q175" s="1168"/>
      <c r="R175" s="1168"/>
      <c r="S175" s="487" t="s">
        <v>1006</v>
      </c>
      <c r="T175" s="1168" t="s">
        <v>737</v>
      </c>
      <c r="U175" s="1168"/>
      <c r="V175" s="487" t="s">
        <v>1007</v>
      </c>
      <c r="W175" s="487" t="s">
        <v>1015</v>
      </c>
      <c r="AB175" s="1174">
        <f t="shared" si="7"/>
        <v>17500</v>
      </c>
      <c r="AC175" s="1174"/>
      <c r="AD175" s="1174"/>
      <c r="AE175" s="1174">
        <f t="shared" si="8"/>
        <v>45500</v>
      </c>
      <c r="AF175" s="1174"/>
      <c r="AG175" s="1174"/>
      <c r="AH175" s="1174">
        <f t="shared" si="9"/>
        <v>413000</v>
      </c>
      <c r="AI175" s="1174"/>
      <c r="AJ175" s="1174"/>
    </row>
    <row r="176" spans="2:45">
      <c r="B176" s="1182" t="s">
        <v>1061</v>
      </c>
      <c r="C176" s="1182"/>
      <c r="D176" s="1182"/>
      <c r="E176" s="1182"/>
      <c r="F176" s="1183">
        <v>500000</v>
      </c>
      <c r="G176" s="1183"/>
      <c r="H176" s="1183"/>
      <c r="I176" s="1183"/>
      <c r="J176" s="487" t="s">
        <v>1006</v>
      </c>
      <c r="K176" s="1168" t="s">
        <v>737</v>
      </c>
      <c r="L176" s="1168"/>
      <c r="M176" s="487">
        <v>2</v>
      </c>
      <c r="N176" s="1174">
        <f t="shared" si="10"/>
        <v>1000000</v>
      </c>
      <c r="O176" s="1168"/>
      <c r="P176" s="1168"/>
      <c r="Q176" s="1168"/>
      <c r="R176" s="1168"/>
      <c r="S176" s="487" t="s">
        <v>1006</v>
      </c>
      <c r="T176" s="1168" t="s">
        <v>737</v>
      </c>
      <c r="U176" s="1168"/>
      <c r="V176" s="487" t="s">
        <v>1007</v>
      </c>
      <c r="W176" s="487" t="s">
        <v>1015</v>
      </c>
      <c r="AB176" s="1174">
        <f t="shared" si="7"/>
        <v>50000</v>
      </c>
      <c r="AC176" s="1174"/>
      <c r="AD176" s="1174"/>
      <c r="AE176" s="1174">
        <f t="shared" si="8"/>
        <v>130000</v>
      </c>
      <c r="AF176" s="1174"/>
      <c r="AG176" s="1174"/>
      <c r="AH176" s="1174">
        <f t="shared" si="9"/>
        <v>1180000</v>
      </c>
      <c r="AI176" s="1174"/>
      <c r="AJ176" s="1174"/>
    </row>
    <row r="177" spans="2:37">
      <c r="B177" s="512" t="s">
        <v>53</v>
      </c>
      <c r="C177" s="512"/>
      <c r="D177" s="512"/>
      <c r="E177" s="512"/>
      <c r="F177" s="1183">
        <v>250000</v>
      </c>
      <c r="G177" s="1183"/>
      <c r="H177" s="1183"/>
      <c r="I177" s="1183"/>
      <c r="J177" s="487" t="s">
        <v>1006</v>
      </c>
      <c r="K177" s="1168" t="s">
        <v>737</v>
      </c>
      <c r="L177" s="1168"/>
      <c r="M177" s="487">
        <v>12</v>
      </c>
      <c r="N177" s="1174">
        <f t="shared" si="10"/>
        <v>3000000</v>
      </c>
      <c r="O177" s="1168"/>
      <c r="P177" s="1168"/>
      <c r="Q177" s="1168"/>
      <c r="R177" s="1168"/>
      <c r="S177" s="487" t="s">
        <v>1006</v>
      </c>
      <c r="T177" s="1168" t="s">
        <v>737</v>
      </c>
      <c r="U177" s="1168"/>
      <c r="V177" s="487" t="s">
        <v>1007</v>
      </c>
      <c r="W177" s="487" t="s">
        <v>1015</v>
      </c>
      <c r="AB177" s="1174">
        <f t="shared" si="7"/>
        <v>150000</v>
      </c>
      <c r="AC177" s="1174"/>
      <c r="AD177" s="1174"/>
      <c r="AE177" s="1174">
        <f t="shared" si="8"/>
        <v>390000</v>
      </c>
      <c r="AF177" s="1174"/>
      <c r="AG177" s="1174"/>
      <c r="AH177" s="1174">
        <f t="shared" si="9"/>
        <v>3540000</v>
      </c>
      <c r="AI177" s="1174"/>
      <c r="AJ177" s="1174"/>
    </row>
    <row r="178" spans="2:37">
      <c r="B178" s="1182" t="s">
        <v>1062</v>
      </c>
      <c r="C178" s="1182"/>
      <c r="D178" s="1182"/>
      <c r="E178" s="1182"/>
      <c r="F178" s="1183">
        <v>250000</v>
      </c>
      <c r="G178" s="1183"/>
      <c r="H178" s="1183"/>
      <c r="I178" s="1183"/>
      <c r="J178" s="487" t="s">
        <v>1006</v>
      </c>
      <c r="K178" s="1168" t="s">
        <v>737</v>
      </c>
      <c r="L178" s="1168"/>
      <c r="M178" s="487">
        <v>3</v>
      </c>
      <c r="N178" s="1174">
        <f t="shared" si="10"/>
        <v>750000</v>
      </c>
      <c r="O178" s="1168"/>
      <c r="P178" s="1168"/>
      <c r="Q178" s="1168"/>
      <c r="R178" s="1168"/>
      <c r="S178" s="487" t="s">
        <v>1006</v>
      </c>
      <c r="T178" s="1168" t="s">
        <v>737</v>
      </c>
      <c r="U178" s="1168"/>
      <c r="V178" s="487" t="s">
        <v>1007</v>
      </c>
      <c r="W178" s="487" t="s">
        <v>1015</v>
      </c>
      <c r="AB178" s="1174">
        <f t="shared" si="7"/>
        <v>37500</v>
      </c>
      <c r="AC178" s="1174"/>
      <c r="AD178" s="1174"/>
      <c r="AE178" s="1174">
        <f t="shared" si="8"/>
        <v>97500</v>
      </c>
      <c r="AF178" s="1174"/>
      <c r="AG178" s="1174"/>
      <c r="AH178" s="1174">
        <f t="shared" si="9"/>
        <v>885000</v>
      </c>
      <c r="AI178" s="1174"/>
      <c r="AJ178" s="1174"/>
    </row>
    <row r="179" spans="2:37">
      <c r="B179" s="1182" t="s">
        <v>1063</v>
      </c>
      <c r="C179" s="1182"/>
      <c r="D179" s="1182"/>
      <c r="E179" s="1182"/>
      <c r="F179" s="1183">
        <v>230000</v>
      </c>
      <c r="G179" s="1183"/>
      <c r="H179" s="1183"/>
      <c r="I179" s="1183"/>
      <c r="J179" s="487" t="s">
        <v>1006</v>
      </c>
      <c r="K179" s="1168" t="s">
        <v>737</v>
      </c>
      <c r="L179" s="1168"/>
      <c r="M179" s="487">
        <v>1</v>
      </c>
      <c r="N179" s="1174">
        <f t="shared" si="10"/>
        <v>230000</v>
      </c>
      <c r="O179" s="1168"/>
      <c r="P179" s="1168"/>
      <c r="Q179" s="1168"/>
      <c r="R179" s="1168"/>
      <c r="S179" s="487" t="s">
        <v>1006</v>
      </c>
      <c r="T179" s="1168" t="s">
        <v>737</v>
      </c>
      <c r="U179" s="1168"/>
      <c r="V179" s="487" t="s">
        <v>1007</v>
      </c>
      <c r="W179" s="487" t="s">
        <v>1015</v>
      </c>
      <c r="AB179" s="1174">
        <f t="shared" si="7"/>
        <v>11500</v>
      </c>
      <c r="AC179" s="1174"/>
      <c r="AD179" s="1174"/>
      <c r="AE179" s="1174">
        <f t="shared" si="8"/>
        <v>29900</v>
      </c>
      <c r="AF179" s="1174"/>
      <c r="AG179" s="1174"/>
      <c r="AH179" s="1174">
        <f t="shared" si="9"/>
        <v>271400</v>
      </c>
      <c r="AI179" s="1174"/>
      <c r="AJ179" s="1174"/>
    </row>
    <row r="180" spans="2:37">
      <c r="B180" s="1182" t="s">
        <v>488</v>
      </c>
      <c r="C180" s="1182"/>
      <c r="D180" s="1182"/>
      <c r="E180" s="1182"/>
      <c r="F180" s="1183">
        <v>250000</v>
      </c>
      <c r="G180" s="1183"/>
      <c r="H180" s="1183"/>
      <c r="I180" s="1183"/>
      <c r="J180" s="487" t="s">
        <v>1006</v>
      </c>
      <c r="K180" s="1168" t="s">
        <v>737</v>
      </c>
      <c r="L180" s="1168"/>
      <c r="M180" s="487">
        <v>6</v>
      </c>
      <c r="N180" s="1174">
        <f t="shared" si="10"/>
        <v>1500000</v>
      </c>
      <c r="O180" s="1168"/>
      <c r="P180" s="1168"/>
      <c r="Q180" s="1168"/>
      <c r="R180" s="1168"/>
      <c r="S180" s="487" t="s">
        <v>1006</v>
      </c>
      <c r="T180" s="1168" t="s">
        <v>737</v>
      </c>
      <c r="U180" s="1168"/>
      <c r="V180" s="487" t="s">
        <v>1007</v>
      </c>
      <c r="W180" s="487" t="s">
        <v>1015</v>
      </c>
      <c r="AB180" s="1174">
        <f t="shared" si="7"/>
        <v>75000</v>
      </c>
      <c r="AC180" s="1174"/>
      <c r="AD180" s="1174"/>
      <c r="AE180" s="1174">
        <f t="shared" si="8"/>
        <v>195000</v>
      </c>
      <c r="AF180" s="1174"/>
      <c r="AG180" s="1174"/>
      <c r="AH180" s="1174">
        <f t="shared" si="9"/>
        <v>1770000</v>
      </c>
      <c r="AI180" s="1174"/>
      <c r="AJ180" s="1174"/>
    </row>
    <row r="181" spans="2:37">
      <c r="B181" s="1182" t="s">
        <v>73</v>
      </c>
      <c r="C181" s="1182"/>
      <c r="D181" s="1182"/>
      <c r="E181" s="1182"/>
      <c r="F181" s="1183">
        <v>275000</v>
      </c>
      <c r="G181" s="1183"/>
      <c r="H181" s="1183"/>
      <c r="I181" s="1183"/>
      <c r="J181" s="487" t="s">
        <v>1006</v>
      </c>
      <c r="K181" s="1168" t="s">
        <v>737</v>
      </c>
      <c r="L181" s="1168"/>
      <c r="M181" s="487">
        <v>1</v>
      </c>
      <c r="N181" s="1174">
        <f t="shared" si="10"/>
        <v>275000</v>
      </c>
      <c r="O181" s="1168"/>
      <c r="P181" s="1168"/>
      <c r="Q181" s="1168"/>
      <c r="R181" s="1168"/>
      <c r="S181" s="487" t="s">
        <v>1006</v>
      </c>
      <c r="T181" s="1168" t="s">
        <v>737</v>
      </c>
      <c r="U181" s="1168"/>
      <c r="V181" s="487" t="s">
        <v>1007</v>
      </c>
      <c r="W181" s="487" t="s">
        <v>1015</v>
      </c>
      <c r="AB181" s="1174">
        <f t="shared" si="7"/>
        <v>13750</v>
      </c>
      <c r="AC181" s="1174"/>
      <c r="AD181" s="1174"/>
      <c r="AE181" s="1174">
        <f t="shared" si="8"/>
        <v>35750</v>
      </c>
      <c r="AF181" s="1174"/>
      <c r="AG181" s="1174"/>
      <c r="AH181" s="1174">
        <f t="shared" si="9"/>
        <v>324500</v>
      </c>
      <c r="AI181" s="1174"/>
      <c r="AJ181" s="1174"/>
    </row>
    <row r="182" spans="2:37">
      <c r="B182" s="1182" t="s">
        <v>77</v>
      </c>
      <c r="C182" s="1182"/>
      <c r="D182" s="1182"/>
      <c r="E182" s="1182"/>
      <c r="F182" s="1183">
        <v>250000</v>
      </c>
      <c r="G182" s="1183"/>
      <c r="H182" s="1183"/>
      <c r="I182" s="1183"/>
      <c r="J182" s="487" t="s">
        <v>1006</v>
      </c>
      <c r="K182" s="1168" t="s">
        <v>737</v>
      </c>
      <c r="L182" s="1168"/>
      <c r="M182" s="487">
        <v>1</v>
      </c>
      <c r="N182" s="1174">
        <f t="shared" si="10"/>
        <v>250000</v>
      </c>
      <c r="O182" s="1168"/>
      <c r="P182" s="1168"/>
      <c r="Q182" s="1168"/>
      <c r="R182" s="1168"/>
      <c r="S182" s="487" t="s">
        <v>1006</v>
      </c>
      <c r="T182" s="1168" t="s">
        <v>737</v>
      </c>
      <c r="U182" s="1168"/>
      <c r="V182" s="487" t="s">
        <v>1007</v>
      </c>
      <c r="W182" s="487" t="s">
        <v>1015</v>
      </c>
      <c r="AB182" s="1174">
        <f t="shared" si="7"/>
        <v>12500</v>
      </c>
      <c r="AC182" s="1174"/>
      <c r="AD182" s="1174"/>
      <c r="AE182" s="1174">
        <f t="shared" si="8"/>
        <v>32500</v>
      </c>
      <c r="AF182" s="1174"/>
      <c r="AG182" s="1174"/>
      <c r="AH182" s="1174">
        <f t="shared" si="9"/>
        <v>295000</v>
      </c>
      <c r="AI182" s="1174"/>
      <c r="AJ182" s="1174"/>
    </row>
    <row r="183" spans="2:37">
      <c r="B183" s="512" t="s">
        <v>1064</v>
      </c>
      <c r="C183" s="512"/>
      <c r="D183" s="512"/>
      <c r="E183" s="512"/>
      <c r="F183" s="1183">
        <v>250000</v>
      </c>
      <c r="G183" s="1183"/>
      <c r="H183" s="1183"/>
      <c r="I183" s="1183"/>
      <c r="J183" s="487" t="s">
        <v>1006</v>
      </c>
      <c r="K183" s="1168" t="s">
        <v>737</v>
      </c>
      <c r="L183" s="1168"/>
      <c r="M183" s="487">
        <v>1</v>
      </c>
      <c r="N183" s="1174">
        <f t="shared" si="10"/>
        <v>250000</v>
      </c>
      <c r="O183" s="1168"/>
      <c r="P183" s="1168"/>
      <c r="Q183" s="1168"/>
      <c r="R183" s="1168"/>
      <c r="S183" s="487" t="s">
        <v>1006</v>
      </c>
      <c r="T183" s="1168" t="s">
        <v>737</v>
      </c>
      <c r="U183" s="1168"/>
      <c r="V183" s="487" t="s">
        <v>1007</v>
      </c>
      <c r="W183" s="487" t="s">
        <v>1015</v>
      </c>
      <c r="AB183" s="1174">
        <f t="shared" si="7"/>
        <v>12500</v>
      </c>
      <c r="AC183" s="1174"/>
      <c r="AD183" s="1174"/>
      <c r="AE183" s="1174">
        <f t="shared" si="8"/>
        <v>32500</v>
      </c>
      <c r="AF183" s="1174"/>
      <c r="AG183" s="1174"/>
      <c r="AH183" s="1174">
        <f t="shared" si="9"/>
        <v>295000</v>
      </c>
      <c r="AI183" s="1174"/>
      <c r="AJ183" s="1174"/>
    </row>
    <row r="184" spans="2:37">
      <c r="B184" s="1182" t="s">
        <v>58</v>
      </c>
      <c r="C184" s="1182"/>
      <c r="D184" s="1182"/>
      <c r="E184" s="1182"/>
      <c r="F184" s="1183">
        <v>1500000</v>
      </c>
      <c r="G184" s="1183"/>
      <c r="H184" s="1183"/>
      <c r="I184" s="1183"/>
      <c r="J184" s="487" t="s">
        <v>1006</v>
      </c>
      <c r="K184" s="1168" t="s">
        <v>737</v>
      </c>
      <c r="L184" s="1168"/>
      <c r="M184" s="487">
        <v>1</v>
      </c>
      <c r="N184" s="1174">
        <f t="shared" si="10"/>
        <v>1500000</v>
      </c>
      <c r="O184" s="1168"/>
      <c r="P184" s="1168"/>
      <c r="Q184" s="1168"/>
      <c r="R184" s="1168"/>
      <c r="S184" s="487" t="s">
        <v>1006</v>
      </c>
      <c r="T184" s="1168" t="s">
        <v>737</v>
      </c>
      <c r="U184" s="1168"/>
      <c r="V184" s="487" t="s">
        <v>1007</v>
      </c>
      <c r="W184" s="487" t="s">
        <v>1015</v>
      </c>
      <c r="AB184" s="1174">
        <f t="shared" si="7"/>
        <v>75000</v>
      </c>
      <c r="AC184" s="1174"/>
      <c r="AD184" s="1174"/>
      <c r="AE184" s="1174">
        <f t="shared" si="8"/>
        <v>195000</v>
      </c>
      <c r="AF184" s="1174"/>
      <c r="AG184" s="1174"/>
      <c r="AH184" s="1174">
        <f t="shared" si="9"/>
        <v>1770000</v>
      </c>
      <c r="AI184" s="1174"/>
      <c r="AJ184" s="1174"/>
    </row>
    <row r="185" spans="2:37">
      <c r="B185" s="1182" t="s">
        <v>1065</v>
      </c>
      <c r="C185" s="1182"/>
      <c r="D185" s="1182"/>
      <c r="E185" s="1182"/>
      <c r="F185" s="1183">
        <v>500000</v>
      </c>
      <c r="G185" s="1183"/>
      <c r="H185" s="1183"/>
      <c r="I185" s="1183"/>
      <c r="J185" s="487" t="s">
        <v>1006</v>
      </c>
      <c r="K185" s="1168" t="s">
        <v>737</v>
      </c>
      <c r="L185" s="1168"/>
      <c r="M185" s="487">
        <v>1</v>
      </c>
      <c r="N185" s="1174">
        <f t="shared" si="10"/>
        <v>500000</v>
      </c>
      <c r="O185" s="1168"/>
      <c r="P185" s="1168"/>
      <c r="Q185" s="1168"/>
      <c r="R185" s="1168"/>
      <c r="S185" s="487" t="s">
        <v>1006</v>
      </c>
      <c r="T185" s="1168" t="s">
        <v>737</v>
      </c>
      <c r="U185" s="1168"/>
      <c r="V185" s="487" t="s">
        <v>1007</v>
      </c>
      <c r="W185" s="487" t="s">
        <v>1015</v>
      </c>
      <c r="AB185" s="1174">
        <f t="shared" si="7"/>
        <v>25000</v>
      </c>
      <c r="AC185" s="1174"/>
      <c r="AD185" s="1174"/>
      <c r="AE185" s="1174">
        <f t="shared" si="8"/>
        <v>65000</v>
      </c>
      <c r="AF185" s="1174"/>
      <c r="AG185" s="1174"/>
      <c r="AH185" s="1174">
        <f t="shared" si="9"/>
        <v>590000</v>
      </c>
      <c r="AI185" s="1174"/>
      <c r="AJ185" s="1174"/>
    </row>
    <row r="186" spans="2:37">
      <c r="B186" s="1182" t="s">
        <v>1066</v>
      </c>
      <c r="C186" s="1182"/>
      <c r="D186" s="1182"/>
      <c r="E186" s="1182"/>
      <c r="F186" s="1183">
        <v>300000</v>
      </c>
      <c r="G186" s="1183"/>
      <c r="H186" s="1183"/>
      <c r="I186" s="1183"/>
      <c r="J186" s="487" t="s">
        <v>1006</v>
      </c>
      <c r="K186" s="1168" t="s">
        <v>737</v>
      </c>
      <c r="L186" s="1168"/>
      <c r="M186" s="487">
        <v>2</v>
      </c>
      <c r="N186" s="1174">
        <f t="shared" si="10"/>
        <v>600000</v>
      </c>
      <c r="O186" s="1168"/>
      <c r="P186" s="1168"/>
      <c r="Q186" s="1168"/>
      <c r="R186" s="1168"/>
      <c r="S186" s="487" t="s">
        <v>1006</v>
      </c>
      <c r="T186" s="1168" t="s">
        <v>737</v>
      </c>
      <c r="U186" s="1168"/>
      <c r="V186" s="487" t="s">
        <v>1007</v>
      </c>
      <c r="W186" s="487" t="s">
        <v>1015</v>
      </c>
      <c r="AB186" s="1174">
        <f t="shared" si="7"/>
        <v>30000</v>
      </c>
      <c r="AC186" s="1174"/>
      <c r="AD186" s="1174"/>
      <c r="AE186" s="1174">
        <f t="shared" si="8"/>
        <v>78000</v>
      </c>
      <c r="AF186" s="1174"/>
      <c r="AG186" s="1174"/>
      <c r="AH186" s="1174">
        <f t="shared" si="9"/>
        <v>708000</v>
      </c>
      <c r="AI186" s="1174"/>
      <c r="AJ186" s="1174"/>
    </row>
    <row r="187" spans="2:37" ht="16.5" thickBot="1">
      <c r="B187" s="1175" t="s">
        <v>362</v>
      </c>
      <c r="C187" s="1175"/>
      <c r="D187" s="1175"/>
      <c r="E187" s="1175"/>
      <c r="F187" s="1175"/>
      <c r="G187" s="1175"/>
      <c r="H187" s="1175"/>
      <c r="I187" s="1175"/>
      <c r="J187" s="1175"/>
      <c r="K187" s="1175"/>
      <c r="L187" s="1175"/>
      <c r="M187" s="498">
        <f>SUM(M169:M186)</f>
        <v>50</v>
      </c>
      <c r="N187" s="1176">
        <f>SUM(N169:R186)</f>
        <v>16505000</v>
      </c>
      <c r="O187" s="1175"/>
      <c r="P187" s="1175"/>
      <c r="Q187" s="1175"/>
      <c r="R187" s="1175"/>
      <c r="S187" s="509"/>
      <c r="T187" s="509"/>
      <c r="U187" s="509"/>
      <c r="V187" s="509"/>
      <c r="W187" s="509"/>
      <c r="X187" s="509"/>
      <c r="Y187" s="509"/>
      <c r="Z187" s="509"/>
      <c r="AA187" s="509"/>
      <c r="AB187" s="1176">
        <f t="shared" si="7"/>
        <v>825250</v>
      </c>
      <c r="AC187" s="1176"/>
      <c r="AD187" s="1176"/>
      <c r="AE187" s="1176">
        <f t="shared" si="8"/>
        <v>2145650</v>
      </c>
      <c r="AF187" s="1176"/>
      <c r="AG187" s="1176"/>
      <c r="AH187" s="1176">
        <f t="shared" si="9"/>
        <v>19475900</v>
      </c>
      <c r="AI187" s="1176"/>
      <c r="AJ187" s="1176"/>
    </row>
    <row r="188" spans="2:37" ht="16.5" thickBot="1">
      <c r="B188" s="503"/>
      <c r="C188" s="503"/>
      <c r="D188" s="503"/>
      <c r="E188" s="503"/>
      <c r="F188" s="503"/>
      <c r="G188" s="503"/>
      <c r="H188" s="503"/>
      <c r="I188" s="503"/>
      <c r="J188" s="503"/>
      <c r="K188" s="503"/>
      <c r="L188" s="503"/>
      <c r="M188" s="500"/>
      <c r="N188" s="502"/>
      <c r="O188" s="503"/>
      <c r="P188" s="503"/>
      <c r="Q188" s="503"/>
      <c r="R188" s="503"/>
      <c r="AD188" s="504"/>
      <c r="AE188" s="504"/>
      <c r="AF188" s="504"/>
      <c r="AG188" s="502"/>
      <c r="AH188" s="503"/>
      <c r="AI188" s="503"/>
      <c r="AJ188" s="503"/>
      <c r="AK188" s="503"/>
    </row>
    <row r="189" spans="2:37" ht="16.5" thickBot="1">
      <c r="B189" s="1178" t="s">
        <v>1022</v>
      </c>
      <c r="C189" s="1178"/>
      <c r="D189" s="1178"/>
      <c r="E189" s="1178"/>
      <c r="F189" s="1179">
        <f>+SUMIF(W169:W186,W172,F169:I186)</f>
        <v>6405000</v>
      </c>
      <c r="G189" s="1179"/>
      <c r="H189" s="1179"/>
      <c r="I189" s="1179"/>
      <c r="J189" s="513"/>
      <c r="K189" s="1180"/>
      <c r="L189" s="1180"/>
      <c r="M189" s="513">
        <f>+SUMIF(W169:W186,W175,M169:M186)</f>
        <v>37</v>
      </c>
      <c r="N189" s="1181">
        <f>+SUMIF(W169:W186,W176,N169:R186)</f>
        <v>12705000</v>
      </c>
      <c r="O189" s="1180"/>
      <c r="P189" s="1180"/>
      <c r="Q189" s="1180"/>
      <c r="R189" s="1180"/>
      <c r="S189" s="513"/>
      <c r="T189" s="1180"/>
      <c r="U189" s="1180"/>
      <c r="V189" s="513"/>
      <c r="W189" s="513"/>
      <c r="X189" s="513"/>
      <c r="Y189" s="513"/>
      <c r="Z189" s="513"/>
      <c r="AA189" s="513"/>
      <c r="AB189" s="1177">
        <f>+N189*5%</f>
        <v>635250</v>
      </c>
      <c r="AC189" s="1177"/>
      <c r="AD189" s="1177"/>
      <c r="AE189" s="1177">
        <f>+N189*13%</f>
        <v>1651650</v>
      </c>
      <c r="AF189" s="1177"/>
      <c r="AG189" s="1177"/>
      <c r="AH189" s="1177">
        <f>+N189+AB189+AE189</f>
        <v>14991900</v>
      </c>
      <c r="AI189" s="1177"/>
      <c r="AJ189" s="1177"/>
    </row>
    <row r="190" spans="2:37">
      <c r="B190" s="503"/>
      <c r="C190" s="503"/>
      <c r="D190" s="503"/>
      <c r="E190" s="503"/>
      <c r="F190" s="503"/>
      <c r="G190" s="503"/>
      <c r="H190" s="503"/>
      <c r="I190" s="503"/>
      <c r="J190" s="503"/>
      <c r="K190" s="503"/>
      <c r="L190" s="503"/>
      <c r="M190" s="500"/>
      <c r="N190" s="1174"/>
      <c r="O190" s="1168"/>
      <c r="P190" s="1168"/>
      <c r="Q190" s="1168"/>
      <c r="R190" s="1168"/>
      <c r="AD190" s="504"/>
      <c r="AE190" s="504"/>
      <c r="AF190" s="504"/>
      <c r="AG190" s="502"/>
      <c r="AH190" s="503"/>
      <c r="AI190" s="503"/>
      <c r="AJ190" s="503"/>
      <c r="AK190" s="503"/>
    </row>
    <row r="191" spans="2:37">
      <c r="B191" s="503"/>
      <c r="C191" s="503"/>
      <c r="D191" s="503"/>
      <c r="E191" s="503"/>
      <c r="F191" s="503"/>
      <c r="G191" s="503"/>
      <c r="H191" s="503"/>
      <c r="I191" s="503"/>
      <c r="J191" s="503"/>
      <c r="K191" s="503"/>
      <c r="L191" s="503"/>
      <c r="M191" s="500"/>
      <c r="N191" s="502"/>
      <c r="O191" s="503"/>
      <c r="P191" s="503"/>
      <c r="Q191" s="503"/>
      <c r="R191" s="503"/>
      <c r="AD191" s="504"/>
      <c r="AE191" s="504"/>
      <c r="AF191" s="504"/>
      <c r="AG191" s="502"/>
      <c r="AH191" s="503"/>
      <c r="AI191" s="503"/>
      <c r="AJ191" s="503"/>
      <c r="AK191" s="503"/>
    </row>
    <row r="192" spans="2:37" ht="16.5" thickBot="1"/>
    <row r="193" spans="2:23">
      <c r="B193" s="508" t="s">
        <v>1067</v>
      </c>
      <c r="C193" s="508"/>
      <c r="D193" s="508"/>
      <c r="E193" s="508"/>
      <c r="F193" s="1164" t="s">
        <v>1068</v>
      </c>
      <c r="G193" s="1164"/>
      <c r="H193" s="1164"/>
      <c r="I193" s="1164"/>
      <c r="J193" s="1164"/>
      <c r="K193" s="1164" t="s">
        <v>677</v>
      </c>
      <c r="L193" s="1164"/>
      <c r="M193" s="1164"/>
      <c r="N193" s="1164" t="s">
        <v>1069</v>
      </c>
      <c r="O193" s="1164"/>
      <c r="P193" s="1164"/>
      <c r="Q193" s="1164" t="s">
        <v>362</v>
      </c>
      <c r="R193" s="1164"/>
      <c r="S193" s="1164"/>
      <c r="T193" s="1164"/>
    </row>
    <row r="194" spans="2:23">
      <c r="B194" s="1173" t="s">
        <v>987</v>
      </c>
      <c r="C194" s="1173"/>
      <c r="D194" s="1173"/>
      <c r="E194" s="1173"/>
      <c r="F194" s="1174">
        <f>+N19</f>
        <v>1325000</v>
      </c>
      <c r="G194" s="1168"/>
      <c r="H194" s="1168"/>
      <c r="I194" s="1168"/>
      <c r="J194" s="1168"/>
      <c r="K194" s="1174">
        <f>+S19</f>
        <v>172250</v>
      </c>
      <c r="L194" s="1168"/>
      <c r="M194" s="1168"/>
      <c r="N194" s="1174">
        <v>0</v>
      </c>
      <c r="O194" s="1168"/>
      <c r="P194" s="1168"/>
      <c r="Q194" s="1174">
        <f>+F194+K194+N194</f>
        <v>1497250</v>
      </c>
      <c r="R194" s="1168"/>
      <c r="S194" s="1168"/>
      <c r="T194" s="1168"/>
    </row>
    <row r="195" spans="2:23">
      <c r="B195" s="1173" t="s">
        <v>988</v>
      </c>
      <c r="C195" s="1173"/>
      <c r="D195" s="1173"/>
      <c r="E195" s="1173"/>
      <c r="F195" s="1174">
        <f>+AM21</f>
        <v>4750000</v>
      </c>
      <c r="G195" s="1168"/>
      <c r="H195" s="1168"/>
      <c r="I195" s="1168"/>
      <c r="J195" s="1168"/>
      <c r="K195" s="1174">
        <f>+BB21</f>
        <v>604500</v>
      </c>
      <c r="L195" s="1168"/>
      <c r="M195" s="1168"/>
      <c r="N195" s="1174"/>
      <c r="O195" s="1168"/>
      <c r="P195" s="1168"/>
      <c r="Q195" s="1174">
        <f t="shared" ref="Q195:Q198" si="11">+F195+K195+N195</f>
        <v>5354500</v>
      </c>
      <c r="R195" s="1168"/>
      <c r="S195" s="1168"/>
      <c r="T195" s="1168"/>
    </row>
    <row r="196" spans="2:23">
      <c r="B196" s="1173" t="s">
        <v>84</v>
      </c>
      <c r="C196" s="1173"/>
      <c r="D196" s="1173"/>
      <c r="E196" s="1173"/>
      <c r="F196" s="1174">
        <f>+N143</f>
        <v>3000000</v>
      </c>
      <c r="G196" s="1168"/>
      <c r="H196" s="1168"/>
      <c r="I196" s="1168"/>
      <c r="J196" s="1168"/>
      <c r="K196" s="1174">
        <f>+AE143</f>
        <v>390000</v>
      </c>
      <c r="L196" s="1168"/>
      <c r="M196" s="1168"/>
      <c r="N196" s="1174"/>
      <c r="O196" s="1168"/>
      <c r="P196" s="1168"/>
      <c r="Q196" s="1174">
        <f t="shared" si="11"/>
        <v>3390000</v>
      </c>
      <c r="R196" s="1168"/>
      <c r="S196" s="1168"/>
      <c r="T196" s="1168"/>
    </row>
    <row r="197" spans="2:23">
      <c r="B197" s="514" t="str">
        <f>+AI130</f>
        <v>Toamasina</v>
      </c>
      <c r="C197" s="514"/>
      <c r="D197" s="514"/>
      <c r="E197" s="514"/>
      <c r="F197" s="1174">
        <f>+AW139</f>
        <v>900000</v>
      </c>
      <c r="G197" s="1168"/>
      <c r="H197" s="1168"/>
      <c r="I197" s="1168"/>
      <c r="J197" s="1168"/>
      <c r="K197" s="1174">
        <f>+BA139</f>
        <v>117000</v>
      </c>
      <c r="L197" s="1168"/>
      <c r="M197" s="1168"/>
      <c r="N197" s="1174">
        <f>+BD139</f>
        <v>450000</v>
      </c>
      <c r="O197" s="1168"/>
      <c r="P197" s="1168"/>
      <c r="Q197" s="1174">
        <f t="shared" si="11"/>
        <v>1467000</v>
      </c>
      <c r="R197" s="1168"/>
      <c r="S197" s="1168"/>
      <c r="T197" s="1168"/>
    </row>
    <row r="198" spans="2:23">
      <c r="B198" s="1173" t="s">
        <v>353</v>
      </c>
      <c r="C198" s="1173"/>
      <c r="D198" s="1173"/>
      <c r="E198" s="1173"/>
      <c r="F198" s="1174">
        <f>+N187</f>
        <v>16505000</v>
      </c>
      <c r="G198" s="1168"/>
      <c r="H198" s="1168"/>
      <c r="I198" s="1168"/>
      <c r="J198" s="1168"/>
      <c r="K198" s="1174">
        <f>+AE187</f>
        <v>2145650</v>
      </c>
      <c r="L198" s="1168"/>
      <c r="M198" s="1168"/>
      <c r="N198" s="1174">
        <f>+AB187</f>
        <v>825250</v>
      </c>
      <c r="O198" s="1168"/>
      <c r="P198" s="1168"/>
      <c r="Q198" s="1174">
        <f t="shared" si="11"/>
        <v>19475900</v>
      </c>
      <c r="R198" s="1168"/>
      <c r="S198" s="1168"/>
      <c r="T198" s="1168"/>
    </row>
    <row r="199" spans="2:23" ht="16.5" thickBot="1">
      <c r="B199" s="1175" t="s">
        <v>362</v>
      </c>
      <c r="C199" s="1175"/>
      <c r="D199" s="1175"/>
      <c r="E199" s="1175"/>
      <c r="F199" s="1176">
        <v>21980000</v>
      </c>
      <c r="G199" s="1175"/>
      <c r="H199" s="1175"/>
      <c r="I199" s="1175"/>
      <c r="J199" s="1175"/>
      <c r="K199" s="1176">
        <v>219800</v>
      </c>
      <c r="L199" s="1175"/>
      <c r="M199" s="1175"/>
      <c r="N199" s="1176">
        <v>219800</v>
      </c>
      <c r="O199" s="1175"/>
      <c r="P199" s="1175"/>
      <c r="Q199" s="1176">
        <v>22199800</v>
      </c>
      <c r="R199" s="1175"/>
      <c r="S199" s="1175"/>
      <c r="T199" s="1175"/>
    </row>
    <row r="200" spans="2:23" ht="16.5" thickBot="1"/>
    <row r="201" spans="2:23">
      <c r="B201" s="1170" t="s">
        <v>1070</v>
      </c>
      <c r="C201" s="1170"/>
      <c r="D201" s="1170"/>
      <c r="L201" s="1164" t="s">
        <v>1071</v>
      </c>
      <c r="M201" s="1164"/>
      <c r="N201" s="1164"/>
      <c r="O201" s="1164"/>
      <c r="P201" s="1164"/>
      <c r="Q201" s="1164"/>
      <c r="R201" s="1164"/>
      <c r="S201" s="1164"/>
      <c r="T201" s="1164"/>
      <c r="U201" s="1164"/>
      <c r="V201" s="1164"/>
      <c r="W201" s="1164"/>
    </row>
    <row r="202" spans="2:23">
      <c r="B202" s="514" t="s">
        <v>1072</v>
      </c>
      <c r="L202" s="1171" t="s">
        <v>1073</v>
      </c>
      <c r="M202" s="1171"/>
      <c r="N202" s="1171"/>
      <c r="O202" s="1171"/>
      <c r="P202" s="1171" t="s">
        <v>1005</v>
      </c>
      <c r="Q202" s="1171"/>
      <c r="R202" s="1171"/>
      <c r="S202" s="1171"/>
      <c r="T202" s="1171" t="s">
        <v>1074</v>
      </c>
      <c r="U202" s="1171"/>
      <c r="V202" s="1171"/>
      <c r="W202" s="1171"/>
    </row>
    <row r="203" spans="2:23" ht="16.5" thickBot="1">
      <c r="B203" s="514" t="s">
        <v>1075</v>
      </c>
      <c r="L203" s="1172">
        <v>2.5</v>
      </c>
      <c r="M203" s="1172"/>
      <c r="N203" s="1172"/>
      <c r="O203" s="1172"/>
      <c r="P203" s="1172">
        <v>1.5</v>
      </c>
      <c r="Q203" s="1172"/>
      <c r="R203" s="1172"/>
      <c r="S203" s="1172"/>
      <c r="T203" s="1172">
        <v>15</v>
      </c>
      <c r="U203" s="1172"/>
      <c r="V203" s="1172"/>
      <c r="W203" s="1172"/>
    </row>
    <row r="204" spans="2:23">
      <c r="B204" s="514" t="s">
        <v>1076</v>
      </c>
    </row>
    <row r="205" spans="2:23">
      <c r="B205" s="487" t="s">
        <v>1077</v>
      </c>
    </row>
    <row r="206" spans="2:23" ht="16.5" thickBot="1">
      <c r="B206" s="487" t="s">
        <v>831</v>
      </c>
    </row>
    <row r="207" spans="2:23" ht="16.5">
      <c r="B207" s="515" t="s">
        <v>1078</v>
      </c>
      <c r="C207" s="516"/>
      <c r="D207" s="516"/>
      <c r="E207" s="516"/>
      <c r="F207" s="516"/>
      <c r="G207" s="516"/>
      <c r="H207" s="516"/>
      <c r="I207" s="517" t="s">
        <v>1067</v>
      </c>
      <c r="J207" s="518" t="s">
        <v>1067</v>
      </c>
      <c r="K207" s="519"/>
      <c r="L207" s="519"/>
      <c r="M207" s="519"/>
      <c r="N207" s="520">
        <v>0.5</v>
      </c>
      <c r="O207" s="520">
        <v>0.6</v>
      </c>
      <c r="P207" s="520">
        <v>0.65</v>
      </c>
      <c r="Q207" s="520">
        <v>0.7</v>
      </c>
      <c r="R207" s="520">
        <v>0.75</v>
      </c>
      <c r="S207" s="520">
        <v>0.85</v>
      </c>
      <c r="T207" s="520">
        <v>0.95</v>
      </c>
    </row>
    <row r="208" spans="2:23" ht="16.5">
      <c r="B208" s="515"/>
      <c r="C208" s="515">
        <v>6</v>
      </c>
      <c r="D208" s="515" t="s">
        <v>1079</v>
      </c>
      <c r="E208" s="515">
        <v>2.5</v>
      </c>
      <c r="F208" s="1169">
        <v>15</v>
      </c>
      <c r="G208" s="1169"/>
      <c r="H208" s="1169"/>
      <c r="I208" s="517" t="s">
        <v>1080</v>
      </c>
      <c r="J208" s="515"/>
      <c r="K208" s="515"/>
      <c r="L208" s="515"/>
      <c r="M208" s="515"/>
      <c r="N208" s="582">
        <v>7.5</v>
      </c>
      <c r="O208" s="582">
        <v>9</v>
      </c>
      <c r="P208" s="582">
        <v>9.75</v>
      </c>
      <c r="Q208" s="582">
        <v>10.5</v>
      </c>
      <c r="R208" s="582">
        <v>11.25</v>
      </c>
      <c r="S208" s="582">
        <v>12.75</v>
      </c>
      <c r="T208" s="582">
        <v>14.25</v>
      </c>
    </row>
    <row r="209" spans="2:29" ht="16.5">
      <c r="B209" s="515"/>
      <c r="C209" s="515">
        <v>6</v>
      </c>
      <c r="D209" s="515" t="s">
        <v>1079</v>
      </c>
      <c r="E209" s="515">
        <v>2.5</v>
      </c>
      <c r="F209" s="1169">
        <v>15</v>
      </c>
      <c r="G209" s="1169"/>
      <c r="H209" s="1169"/>
      <c r="I209" s="517" t="s">
        <v>467</v>
      </c>
      <c r="J209" s="521"/>
      <c r="K209" s="521"/>
      <c r="L209" s="521"/>
      <c r="M209" s="521"/>
      <c r="N209" s="583">
        <v>7.5</v>
      </c>
      <c r="O209" s="583">
        <v>9</v>
      </c>
      <c r="P209" s="583">
        <v>9.75</v>
      </c>
      <c r="Q209" s="583">
        <v>10.5</v>
      </c>
      <c r="R209" s="583">
        <v>11.25</v>
      </c>
      <c r="S209" s="583">
        <v>12.75</v>
      </c>
      <c r="T209" s="583">
        <v>14.25</v>
      </c>
    </row>
    <row r="210" spans="2:29" ht="16.5">
      <c r="B210" s="515" t="s">
        <v>1081</v>
      </c>
      <c r="C210" s="515"/>
      <c r="D210" s="515"/>
      <c r="E210" s="515"/>
      <c r="F210" s="522"/>
      <c r="G210" s="522"/>
      <c r="H210" s="522"/>
      <c r="I210" s="523"/>
      <c r="J210" s="524" t="s">
        <v>1082</v>
      </c>
      <c r="K210" s="525"/>
      <c r="L210" s="525"/>
      <c r="M210" s="525"/>
      <c r="N210" s="584">
        <v>15</v>
      </c>
      <c r="O210" s="584">
        <v>18</v>
      </c>
      <c r="P210" s="584">
        <v>19.5</v>
      </c>
      <c r="Q210" s="584">
        <v>21</v>
      </c>
      <c r="R210" s="584">
        <v>22.5</v>
      </c>
      <c r="S210" s="584">
        <v>25.5</v>
      </c>
      <c r="T210" s="584">
        <v>28.5</v>
      </c>
    </row>
    <row r="211" spans="2:29" ht="16.5">
      <c r="C211" s="515">
        <v>6</v>
      </c>
      <c r="D211" s="515" t="s">
        <v>1079</v>
      </c>
      <c r="E211" s="515">
        <v>5</v>
      </c>
      <c r="F211" s="1169">
        <v>30</v>
      </c>
      <c r="G211" s="1169"/>
      <c r="H211" s="1169"/>
      <c r="I211" s="526" t="s">
        <v>851</v>
      </c>
      <c r="J211" s="488"/>
      <c r="K211" s="488"/>
      <c r="L211" s="488"/>
      <c r="M211" s="488"/>
      <c r="N211" s="583">
        <v>15</v>
      </c>
      <c r="O211" s="583">
        <v>18</v>
      </c>
      <c r="P211" s="583">
        <v>19.5</v>
      </c>
      <c r="Q211" s="583">
        <v>21</v>
      </c>
      <c r="R211" s="583">
        <v>22.5</v>
      </c>
      <c r="S211" s="583">
        <v>25.5</v>
      </c>
      <c r="T211" s="583">
        <v>28.5</v>
      </c>
    </row>
    <row r="212" spans="2:29" ht="17.25" thickBot="1">
      <c r="B212" s="516"/>
      <c r="C212" s="515"/>
      <c r="D212" s="515"/>
      <c r="E212" s="515"/>
      <c r="F212" s="522"/>
      <c r="G212" s="522"/>
      <c r="H212" s="522"/>
      <c r="I212" s="526"/>
      <c r="J212" s="498" t="s">
        <v>975</v>
      </c>
      <c r="K212" s="509"/>
      <c r="L212" s="509"/>
      <c r="M212" s="509"/>
      <c r="N212" s="585">
        <v>30</v>
      </c>
      <c r="O212" s="585">
        <v>36</v>
      </c>
      <c r="P212" s="585">
        <v>39</v>
      </c>
      <c r="Q212" s="585">
        <v>42</v>
      </c>
      <c r="R212" s="585">
        <v>45</v>
      </c>
      <c r="S212" s="585">
        <v>51</v>
      </c>
      <c r="T212" s="585">
        <v>57</v>
      </c>
    </row>
    <row r="213" spans="2:29" ht="3" customHeight="1" thickBot="1">
      <c r="C213" s="515"/>
      <c r="D213" s="515"/>
      <c r="E213" s="515"/>
      <c r="F213" s="522"/>
      <c r="G213" s="522"/>
      <c r="H213" s="522"/>
    </row>
    <row r="214" spans="2:29" ht="16.5">
      <c r="J214" s="508" t="s">
        <v>1083</v>
      </c>
      <c r="K214" s="496"/>
      <c r="L214" s="496"/>
      <c r="M214" s="496"/>
      <c r="N214" s="520">
        <v>0.5</v>
      </c>
      <c r="O214" s="520">
        <v>0.6</v>
      </c>
      <c r="P214" s="520">
        <v>0.65</v>
      </c>
      <c r="Q214" s="520">
        <v>0.7</v>
      </c>
      <c r="R214" s="520">
        <v>0.75</v>
      </c>
      <c r="S214" s="520">
        <v>0.85</v>
      </c>
      <c r="T214" s="520">
        <v>0.95</v>
      </c>
    </row>
    <row r="215" spans="2:29" ht="16.5">
      <c r="J215" s="527" t="s">
        <v>414</v>
      </c>
      <c r="N215" s="582">
        <v>30</v>
      </c>
      <c r="O215" s="582">
        <v>36</v>
      </c>
      <c r="P215" s="582">
        <v>39</v>
      </c>
      <c r="Q215" s="582">
        <v>42</v>
      </c>
      <c r="R215" s="582">
        <v>45</v>
      </c>
      <c r="S215" s="582">
        <v>51</v>
      </c>
      <c r="T215" s="582">
        <v>57</v>
      </c>
    </row>
    <row r="216" spans="2:29" ht="16.5">
      <c r="J216" s="527" t="s">
        <v>415</v>
      </c>
      <c r="N216" s="582">
        <v>150</v>
      </c>
      <c r="O216" s="582">
        <v>180</v>
      </c>
      <c r="P216" s="582">
        <v>195</v>
      </c>
      <c r="Q216" s="582">
        <v>210</v>
      </c>
      <c r="R216" s="582">
        <v>225</v>
      </c>
      <c r="S216" s="582">
        <v>255</v>
      </c>
      <c r="T216" s="582">
        <v>285</v>
      </c>
    </row>
    <row r="217" spans="2:29" ht="17.25" thickBot="1">
      <c r="J217" s="528" t="s">
        <v>381</v>
      </c>
      <c r="K217" s="499"/>
      <c r="L217" s="499"/>
      <c r="M217" s="499"/>
      <c r="N217" s="586">
        <f>+N215*25</f>
        <v>750</v>
      </c>
      <c r="O217" s="586">
        <f t="shared" ref="O217:T217" si="12">+O215*25</f>
        <v>900</v>
      </c>
      <c r="P217" s="586">
        <f t="shared" si="12"/>
        <v>975</v>
      </c>
      <c r="Q217" s="586">
        <f t="shared" si="12"/>
        <v>1050</v>
      </c>
      <c r="R217" s="586">
        <f t="shared" si="12"/>
        <v>1125</v>
      </c>
      <c r="S217" s="586">
        <f t="shared" si="12"/>
        <v>1275</v>
      </c>
      <c r="T217" s="586">
        <f t="shared" si="12"/>
        <v>1425</v>
      </c>
    </row>
    <row r="218" spans="2:29" ht="4.5" customHeight="1" thickBot="1"/>
    <row r="219" spans="2:29">
      <c r="B219" s="508" t="s">
        <v>1084</v>
      </c>
      <c r="C219" s="508"/>
      <c r="D219" s="508"/>
      <c r="E219" s="508"/>
      <c r="F219" s="508"/>
      <c r="G219" s="508"/>
      <c r="H219" s="508"/>
      <c r="I219" s="508"/>
      <c r="J219" s="1165">
        <v>0.5</v>
      </c>
      <c r="K219" s="1164"/>
      <c r="L219" s="1165">
        <v>0.6</v>
      </c>
      <c r="M219" s="1164"/>
      <c r="N219" s="1165">
        <v>0.65</v>
      </c>
      <c r="O219" s="1164"/>
      <c r="P219" s="1165">
        <v>0.7</v>
      </c>
      <c r="Q219" s="1164"/>
      <c r="R219" s="1165">
        <v>0.75</v>
      </c>
      <c r="S219" s="1164"/>
      <c r="T219" s="1165">
        <v>0.85</v>
      </c>
      <c r="U219" s="1164"/>
      <c r="V219" s="1165">
        <v>0.95</v>
      </c>
      <c r="W219" s="1164"/>
      <c r="X219" s="611">
        <v>1</v>
      </c>
    </row>
    <row r="220" spans="2:29">
      <c r="B220" s="514" t="s">
        <v>1085</v>
      </c>
      <c r="J220" s="1161">
        <v>1875000</v>
      </c>
      <c r="K220" s="1161">
        <v>0</v>
      </c>
      <c r="L220" s="1161">
        <v>2250000</v>
      </c>
      <c r="M220" s="1161">
        <v>0</v>
      </c>
      <c r="N220" s="1161">
        <v>2437500</v>
      </c>
      <c r="O220" s="1161">
        <v>0</v>
      </c>
      <c r="P220" s="1161">
        <v>2625000</v>
      </c>
      <c r="Q220" s="1161">
        <v>0</v>
      </c>
      <c r="R220" s="1161">
        <v>2812500</v>
      </c>
      <c r="S220" s="1161">
        <v>0</v>
      </c>
      <c r="T220" s="1161">
        <v>3187500</v>
      </c>
      <c r="U220" s="1161">
        <v>0</v>
      </c>
      <c r="V220" s="1161">
        <v>3562500</v>
      </c>
      <c r="W220" s="1161">
        <v>0</v>
      </c>
      <c r="X220" s="592">
        <f>+J220*2</f>
        <v>3750000</v>
      </c>
      <c r="Z220" s="587"/>
      <c r="AA220" s="587"/>
      <c r="AB220" s="587"/>
      <c r="AC220" s="587"/>
    </row>
    <row r="221" spans="2:29">
      <c r="B221" s="514" t="s">
        <v>1086</v>
      </c>
      <c r="J221" s="1161">
        <v>281250</v>
      </c>
      <c r="K221" s="1161">
        <v>0</v>
      </c>
      <c r="L221" s="1161">
        <v>337500</v>
      </c>
      <c r="M221" s="1161">
        <v>0</v>
      </c>
      <c r="N221" s="1161">
        <v>365625</v>
      </c>
      <c r="O221" s="1161">
        <v>0</v>
      </c>
      <c r="P221" s="1161">
        <v>393750</v>
      </c>
      <c r="Q221" s="1161">
        <v>1</v>
      </c>
      <c r="R221" s="1161">
        <v>421875</v>
      </c>
      <c r="S221" s="1161">
        <v>0</v>
      </c>
      <c r="T221" s="1161">
        <v>478125</v>
      </c>
      <c r="U221" s="1161">
        <v>0</v>
      </c>
      <c r="V221" s="1161">
        <v>534375</v>
      </c>
      <c r="W221" s="1161">
        <v>0</v>
      </c>
      <c r="X221" s="592">
        <f t="shared" ref="X221:X223" si="13">+J221*2</f>
        <v>562500</v>
      </c>
      <c r="Z221" s="587"/>
      <c r="AA221" s="587"/>
      <c r="AB221" s="587"/>
      <c r="AC221" s="587"/>
    </row>
    <row r="222" spans="2:29">
      <c r="B222" s="514" t="s">
        <v>1087</v>
      </c>
      <c r="J222" s="1161">
        <v>2812500</v>
      </c>
      <c r="K222" s="1161">
        <v>0</v>
      </c>
      <c r="L222" s="1161">
        <v>3375000</v>
      </c>
      <c r="M222" s="1161">
        <v>0</v>
      </c>
      <c r="N222" s="1161">
        <v>3656250</v>
      </c>
      <c r="O222" s="1161">
        <v>0</v>
      </c>
      <c r="P222" s="1161">
        <v>3937500</v>
      </c>
      <c r="Q222" s="1161">
        <v>0</v>
      </c>
      <c r="R222" s="1161">
        <v>4218750</v>
      </c>
      <c r="S222" s="1161">
        <v>0</v>
      </c>
      <c r="T222" s="1161">
        <v>4781250</v>
      </c>
      <c r="U222" s="1161">
        <v>0</v>
      </c>
      <c r="V222" s="1161">
        <v>5343750</v>
      </c>
      <c r="W222" s="1161">
        <v>0</v>
      </c>
      <c r="X222" s="592">
        <f t="shared" si="13"/>
        <v>5625000</v>
      </c>
      <c r="Y222" s="587"/>
      <c r="Z222" s="587"/>
      <c r="AA222" s="587"/>
      <c r="AB222" s="587"/>
      <c r="AC222" s="587"/>
    </row>
    <row r="223" spans="2:29" ht="16.5" thickBot="1">
      <c r="B223" s="529" t="s">
        <v>1088</v>
      </c>
      <c r="C223" s="499"/>
      <c r="D223" s="499"/>
      <c r="E223" s="499"/>
      <c r="F223" s="499"/>
      <c r="G223" s="499"/>
      <c r="H223" s="499"/>
      <c r="I223" s="499"/>
      <c r="J223" s="1167">
        <v>3750000</v>
      </c>
      <c r="K223" s="1167">
        <v>0</v>
      </c>
      <c r="L223" s="1167">
        <v>4500000</v>
      </c>
      <c r="M223" s="1167">
        <v>0</v>
      </c>
      <c r="N223" s="1167">
        <v>4875000</v>
      </c>
      <c r="O223" s="1167">
        <v>0</v>
      </c>
      <c r="P223" s="1167">
        <v>5250000</v>
      </c>
      <c r="Q223" s="1167">
        <v>0</v>
      </c>
      <c r="R223" s="1167">
        <v>5625000</v>
      </c>
      <c r="S223" s="1167">
        <v>0</v>
      </c>
      <c r="T223" s="1167">
        <v>6375000</v>
      </c>
      <c r="U223" s="1167">
        <v>0</v>
      </c>
      <c r="V223" s="1167">
        <v>7125000</v>
      </c>
      <c r="W223" s="1167">
        <v>0</v>
      </c>
      <c r="X223" s="593">
        <f t="shared" si="13"/>
        <v>7500000</v>
      </c>
      <c r="AA223" s="587"/>
    </row>
    <row r="224" spans="2:29" ht="6" customHeight="1" thickBot="1"/>
    <row r="225" spans="2:32">
      <c r="B225" s="530" t="s">
        <v>1089</v>
      </c>
      <c r="C225" s="496"/>
      <c r="D225" s="496"/>
      <c r="E225" s="496"/>
      <c r="F225" s="496"/>
      <c r="G225" s="1164" t="s">
        <v>1002</v>
      </c>
      <c r="H225" s="1164"/>
      <c r="I225" s="1164"/>
      <c r="J225" s="1165">
        <v>0.5</v>
      </c>
      <c r="K225" s="1164"/>
      <c r="L225" s="1165">
        <v>0.6</v>
      </c>
      <c r="M225" s="1164"/>
      <c r="N225" s="1165">
        <v>0.65</v>
      </c>
      <c r="O225" s="1164"/>
      <c r="P225" s="1165">
        <v>0.7</v>
      </c>
      <c r="Q225" s="1164"/>
      <c r="R225" s="1165">
        <v>0.75</v>
      </c>
      <c r="S225" s="1164"/>
      <c r="T225" s="1165">
        <v>0.85</v>
      </c>
      <c r="U225" s="1164"/>
      <c r="V225" s="1165">
        <v>0.95</v>
      </c>
      <c r="W225" s="1164"/>
      <c r="X225" s="611">
        <v>1</v>
      </c>
    </row>
    <row r="226" spans="2:32">
      <c r="B226" s="531" t="s">
        <v>467</v>
      </c>
      <c r="G226" s="1168">
        <v>12</v>
      </c>
      <c r="H226" s="1168"/>
      <c r="I226" s="1168"/>
      <c r="J226" s="1161">
        <v>234375</v>
      </c>
      <c r="K226" s="1161"/>
      <c r="L226" s="1161">
        <v>281250</v>
      </c>
      <c r="M226" s="1161"/>
      <c r="N226" s="1161">
        <v>304687.5</v>
      </c>
      <c r="O226" s="1161"/>
      <c r="P226" s="1161">
        <v>328125</v>
      </c>
      <c r="Q226" s="1161"/>
      <c r="R226" s="1161">
        <v>351562.5</v>
      </c>
      <c r="S226" s="1161"/>
      <c r="T226" s="1161">
        <v>398437.5</v>
      </c>
      <c r="U226" s="1161"/>
      <c r="V226" s="1161">
        <v>445312.5</v>
      </c>
      <c r="W226" s="1161"/>
      <c r="X226" s="592">
        <f t="shared" ref="X226:X228" si="14">+J226*2</f>
        <v>468750</v>
      </c>
      <c r="AB226" s="487">
        <v>0.5</v>
      </c>
      <c r="AC226" s="609">
        <v>1875000</v>
      </c>
      <c r="AD226" s="609">
        <v>281250</v>
      </c>
      <c r="AE226" s="609">
        <v>2812500</v>
      </c>
      <c r="AF226" s="609">
        <v>3750000</v>
      </c>
    </row>
    <row r="227" spans="2:32">
      <c r="B227" s="531" t="s">
        <v>1080</v>
      </c>
      <c r="G227" s="1168">
        <v>12</v>
      </c>
      <c r="H227" s="1168"/>
      <c r="I227" s="1168"/>
      <c r="J227" s="1161">
        <v>234375</v>
      </c>
      <c r="K227" s="1161"/>
      <c r="L227" s="1161">
        <v>281250</v>
      </c>
      <c r="M227" s="1161"/>
      <c r="N227" s="1161">
        <v>304687.5</v>
      </c>
      <c r="O227" s="1161"/>
      <c r="P227" s="1161">
        <v>328125</v>
      </c>
      <c r="Q227" s="1161"/>
      <c r="R227" s="1161">
        <v>351562.5</v>
      </c>
      <c r="S227" s="1161"/>
      <c r="T227" s="1161">
        <v>398437.5</v>
      </c>
      <c r="U227" s="1161"/>
      <c r="V227" s="1161">
        <v>445312.5</v>
      </c>
      <c r="W227" s="1161"/>
      <c r="X227" s="592">
        <f t="shared" si="14"/>
        <v>468750</v>
      </c>
      <c r="AB227" s="487">
        <v>0.6</v>
      </c>
      <c r="AC227" s="609">
        <v>2250000</v>
      </c>
      <c r="AD227" s="609">
        <v>337500</v>
      </c>
      <c r="AE227" s="609">
        <v>3375000</v>
      </c>
      <c r="AF227" s="609">
        <v>4500000</v>
      </c>
    </row>
    <row r="228" spans="2:32" ht="16.5" thickBot="1">
      <c r="B228" s="532" t="s">
        <v>851</v>
      </c>
      <c r="C228" s="499"/>
      <c r="D228" s="499"/>
      <c r="E228" s="499"/>
      <c r="F228" s="499"/>
      <c r="G228" s="1166">
        <v>12</v>
      </c>
      <c r="H228" s="1166"/>
      <c r="I228" s="1166"/>
      <c r="J228" s="1167">
        <v>312500</v>
      </c>
      <c r="K228" s="1167"/>
      <c r="L228" s="1167">
        <v>375000</v>
      </c>
      <c r="M228" s="1167"/>
      <c r="N228" s="1167">
        <v>406250</v>
      </c>
      <c r="O228" s="1167"/>
      <c r="P228" s="1167">
        <v>437500</v>
      </c>
      <c r="Q228" s="1167"/>
      <c r="R228" s="1167">
        <v>468750</v>
      </c>
      <c r="S228" s="1167"/>
      <c r="T228" s="1167">
        <v>531250</v>
      </c>
      <c r="U228" s="1167"/>
      <c r="V228" s="1167">
        <v>593750</v>
      </c>
      <c r="W228" s="1167"/>
      <c r="X228" s="612">
        <f t="shared" si="14"/>
        <v>625000</v>
      </c>
      <c r="AB228" s="487">
        <v>0.65</v>
      </c>
      <c r="AC228" s="609">
        <v>2437500</v>
      </c>
      <c r="AD228" s="609">
        <v>365625</v>
      </c>
      <c r="AE228" s="609">
        <v>3656250</v>
      </c>
      <c r="AF228" s="609">
        <v>4875000</v>
      </c>
    </row>
    <row r="229" spans="2:32" ht="14.25" customHeight="1" thickBot="1">
      <c r="Y229" s="613"/>
      <c r="AC229" s="609">
        <v>0</v>
      </c>
      <c r="AD229" s="609">
        <v>0</v>
      </c>
      <c r="AE229" s="609">
        <v>0</v>
      </c>
      <c r="AF229" s="609">
        <v>0</v>
      </c>
    </row>
    <row r="230" spans="2:32">
      <c r="B230" s="530" t="s">
        <v>1090</v>
      </c>
      <c r="C230" s="496"/>
      <c r="D230" s="496"/>
      <c r="E230" s="496"/>
      <c r="F230" s="496"/>
      <c r="G230" s="1164"/>
      <c r="H230" s="1164"/>
      <c r="I230" s="1164"/>
      <c r="J230" s="1165">
        <v>0.5</v>
      </c>
      <c r="K230" s="1164"/>
      <c r="L230" s="1165">
        <v>0.6</v>
      </c>
      <c r="M230" s="1164"/>
      <c r="N230" s="1165">
        <v>0.65</v>
      </c>
      <c r="O230" s="1164"/>
      <c r="P230" s="1165">
        <v>0.7</v>
      </c>
      <c r="Q230" s="1164"/>
      <c r="R230" s="1165">
        <v>0.75</v>
      </c>
      <c r="S230" s="1164"/>
      <c r="T230" s="1165">
        <v>0.85</v>
      </c>
      <c r="U230" s="1164"/>
      <c r="V230" s="1165">
        <v>0.95</v>
      </c>
      <c r="W230" s="1164"/>
      <c r="X230" s="611">
        <v>1</v>
      </c>
      <c r="AB230" s="487">
        <v>0.7</v>
      </c>
      <c r="AC230" s="609">
        <v>2625000</v>
      </c>
      <c r="AD230" s="609">
        <v>393750</v>
      </c>
      <c r="AE230" s="609">
        <v>3937500</v>
      </c>
      <c r="AF230" s="609">
        <v>5250000</v>
      </c>
    </row>
    <row r="231" spans="2:32">
      <c r="B231" s="533" t="s">
        <v>1009</v>
      </c>
      <c r="G231" s="503"/>
      <c r="H231" s="503"/>
      <c r="I231" s="503"/>
      <c r="J231" s="534"/>
      <c r="K231" s="503"/>
      <c r="L231" s="534"/>
      <c r="M231" s="503"/>
      <c r="N231" s="534"/>
      <c r="O231" s="503"/>
      <c r="P231" s="534"/>
      <c r="Q231" s="503"/>
      <c r="R231" s="534"/>
      <c r="S231" s="503"/>
      <c r="T231" s="534"/>
      <c r="U231" s="503"/>
      <c r="V231" s="534"/>
      <c r="W231" s="503"/>
      <c r="X231" s="592"/>
      <c r="AC231" s="609">
        <v>0</v>
      </c>
      <c r="AD231" s="609">
        <v>1</v>
      </c>
      <c r="AE231" s="609">
        <v>0</v>
      </c>
      <c r="AF231" s="609">
        <v>0</v>
      </c>
    </row>
    <row r="232" spans="2:32">
      <c r="B232" s="514" t="s">
        <v>1091</v>
      </c>
      <c r="J232" s="1161">
        <f>+F170</f>
        <v>200000</v>
      </c>
      <c r="K232" s="1161"/>
      <c r="L232" s="1161">
        <f>+J232</f>
        <v>200000</v>
      </c>
      <c r="M232" s="1161"/>
      <c r="N232" s="1161">
        <f t="shared" ref="N232" si="15">+L232</f>
        <v>200000</v>
      </c>
      <c r="O232" s="1161"/>
      <c r="P232" s="1161">
        <f t="shared" ref="P232" si="16">+N232</f>
        <v>200000</v>
      </c>
      <c r="Q232" s="1161"/>
      <c r="R232" s="1161">
        <f t="shared" ref="R232" si="17">+P232</f>
        <v>200000</v>
      </c>
      <c r="S232" s="1161"/>
      <c r="T232" s="1161">
        <f t="shared" ref="T232" si="18">+R232</f>
        <v>200000</v>
      </c>
      <c r="U232" s="1161"/>
      <c r="V232" s="1161">
        <f t="shared" ref="V232" si="19">+T232</f>
        <v>200000</v>
      </c>
      <c r="W232" s="1161"/>
      <c r="X232" s="592">
        <f t="shared" ref="X232:X238" si="20">+J232*2</f>
        <v>400000</v>
      </c>
      <c r="AB232" s="487">
        <v>0.75</v>
      </c>
      <c r="AC232" s="609">
        <v>2812500</v>
      </c>
      <c r="AD232" s="609">
        <v>421875</v>
      </c>
      <c r="AE232" s="609">
        <v>4218750</v>
      </c>
      <c r="AF232" s="609">
        <v>5625000</v>
      </c>
    </row>
    <row r="233" spans="2:32">
      <c r="B233" s="514" t="s">
        <v>1092</v>
      </c>
      <c r="J233" s="1161">
        <f>+J226</f>
        <v>234375</v>
      </c>
      <c r="K233" s="1161"/>
      <c r="L233" s="1161">
        <f t="shared" ref="L233" si="21">+L226</f>
        <v>281250</v>
      </c>
      <c r="M233" s="1161"/>
      <c r="N233" s="1161">
        <f t="shared" ref="N233" si="22">+N226</f>
        <v>304687.5</v>
      </c>
      <c r="O233" s="1161"/>
      <c r="P233" s="1161">
        <f t="shared" ref="P233" si="23">+P226</f>
        <v>328125</v>
      </c>
      <c r="Q233" s="1161"/>
      <c r="R233" s="1161">
        <f t="shared" ref="R233" si="24">+R226</f>
        <v>351562.5</v>
      </c>
      <c r="S233" s="1161"/>
      <c r="T233" s="1161">
        <f t="shared" ref="T233" si="25">+T226</f>
        <v>398437.5</v>
      </c>
      <c r="U233" s="1161"/>
      <c r="V233" s="1161">
        <f t="shared" ref="V233" si="26">+V226</f>
        <v>445312.5</v>
      </c>
      <c r="W233" s="1161"/>
      <c r="X233" s="592">
        <f t="shared" si="20"/>
        <v>468750</v>
      </c>
      <c r="AC233" s="609">
        <v>0</v>
      </c>
      <c r="AD233" s="609">
        <v>0</v>
      </c>
      <c r="AE233" s="609">
        <v>0</v>
      </c>
      <c r="AF233" s="609">
        <v>0</v>
      </c>
    </row>
    <row r="234" spans="2:32">
      <c r="B234" s="535" t="s">
        <v>1093</v>
      </c>
      <c r="C234" s="535"/>
      <c r="D234" s="535"/>
      <c r="E234" s="535"/>
      <c r="F234" s="535"/>
      <c r="G234" s="535"/>
      <c r="H234" s="535"/>
      <c r="I234" s="535"/>
      <c r="J234" s="1163">
        <v>434375</v>
      </c>
      <c r="K234" s="1163"/>
      <c r="L234" s="1163">
        <v>481250</v>
      </c>
      <c r="M234" s="1163"/>
      <c r="N234" s="1163">
        <v>504687.5</v>
      </c>
      <c r="O234" s="1163"/>
      <c r="P234" s="1163">
        <v>528125</v>
      </c>
      <c r="Q234" s="1163"/>
      <c r="R234" s="1163">
        <v>551562.5</v>
      </c>
      <c r="S234" s="1163"/>
      <c r="T234" s="1163">
        <v>598437.5</v>
      </c>
      <c r="U234" s="1163"/>
      <c r="V234" s="1163">
        <v>645312.5</v>
      </c>
      <c r="W234" s="1163"/>
      <c r="X234" s="594">
        <f t="shared" si="20"/>
        <v>868750</v>
      </c>
      <c r="AB234" s="487">
        <v>0.85</v>
      </c>
      <c r="AC234" s="609">
        <v>3187500</v>
      </c>
      <c r="AD234" s="609">
        <v>478125</v>
      </c>
      <c r="AE234" s="609">
        <v>4781250</v>
      </c>
      <c r="AF234" s="609">
        <v>6375000</v>
      </c>
    </row>
    <row r="235" spans="2:32">
      <c r="B235" s="533" t="s">
        <v>1036</v>
      </c>
      <c r="J235" s="536"/>
      <c r="K235" s="536"/>
      <c r="L235" s="536"/>
      <c r="M235" s="536"/>
      <c r="N235" s="536"/>
      <c r="O235" s="536"/>
      <c r="P235" s="536"/>
      <c r="Q235" s="536"/>
      <c r="R235" s="536"/>
      <c r="S235" s="536"/>
      <c r="T235" s="536"/>
      <c r="U235" s="536"/>
      <c r="V235" s="536"/>
      <c r="W235" s="536"/>
      <c r="X235" s="592"/>
      <c r="AC235" s="609">
        <v>0</v>
      </c>
      <c r="AD235" s="609">
        <v>0</v>
      </c>
      <c r="AE235" s="609">
        <v>0</v>
      </c>
      <c r="AF235" s="609">
        <v>0</v>
      </c>
    </row>
    <row r="236" spans="2:32">
      <c r="B236" s="514" t="s">
        <v>1091</v>
      </c>
      <c r="J236" s="1161">
        <f>+F171</f>
        <v>100000</v>
      </c>
      <c r="K236" s="1161"/>
      <c r="L236" s="1161">
        <f>+J236</f>
        <v>100000</v>
      </c>
      <c r="M236" s="1161"/>
      <c r="N236" s="1161">
        <f t="shared" ref="N236" si="27">+L236</f>
        <v>100000</v>
      </c>
      <c r="O236" s="1161"/>
      <c r="P236" s="1161">
        <f t="shared" ref="P236" si="28">+N236</f>
        <v>100000</v>
      </c>
      <c r="Q236" s="1161"/>
      <c r="R236" s="1161">
        <f t="shared" ref="R236" si="29">+P236</f>
        <v>100000</v>
      </c>
      <c r="S236" s="1161"/>
      <c r="T236" s="1161">
        <f t="shared" ref="T236" si="30">+R236</f>
        <v>100000</v>
      </c>
      <c r="U236" s="1161"/>
      <c r="V236" s="1161">
        <f t="shared" ref="V236" si="31">+T236</f>
        <v>100000</v>
      </c>
      <c r="W236" s="1161"/>
      <c r="X236" s="592">
        <f t="shared" si="20"/>
        <v>200000</v>
      </c>
      <c r="AB236" s="487">
        <v>0.95</v>
      </c>
      <c r="AC236" s="609">
        <v>3562500</v>
      </c>
      <c r="AD236" s="609">
        <v>534375</v>
      </c>
      <c r="AE236" s="609">
        <v>5343750</v>
      </c>
      <c r="AF236" s="609">
        <v>7125000</v>
      </c>
    </row>
    <row r="237" spans="2:32">
      <c r="B237" s="537" t="s">
        <v>1092</v>
      </c>
      <c r="C237" s="488"/>
      <c r="D237" s="488"/>
      <c r="E237" s="488"/>
      <c r="F237" s="488"/>
      <c r="G237" s="488"/>
      <c r="H237" s="488"/>
      <c r="I237" s="488"/>
      <c r="J237" s="1162">
        <f>+J227</f>
        <v>234375</v>
      </c>
      <c r="K237" s="1162"/>
      <c r="L237" s="1162">
        <f t="shared" ref="L237" si="32">+L227</f>
        <v>281250</v>
      </c>
      <c r="M237" s="1162"/>
      <c r="N237" s="1162">
        <f t="shared" ref="N237" si="33">+N227</f>
        <v>304687.5</v>
      </c>
      <c r="O237" s="1162"/>
      <c r="P237" s="1162">
        <f t="shared" ref="P237" si="34">+P227</f>
        <v>328125</v>
      </c>
      <c r="Q237" s="1162"/>
      <c r="R237" s="1162">
        <f t="shared" ref="R237" si="35">+R227</f>
        <v>351562.5</v>
      </c>
      <c r="S237" s="1162"/>
      <c r="T237" s="1162">
        <f t="shared" ref="T237" si="36">+T227</f>
        <v>398437.5</v>
      </c>
      <c r="U237" s="1162"/>
      <c r="V237" s="1162">
        <f t="shared" ref="V237" si="37">+V227</f>
        <v>445312.5</v>
      </c>
      <c r="W237" s="1162"/>
      <c r="X237" s="596">
        <f t="shared" si="20"/>
        <v>468750</v>
      </c>
      <c r="AB237" s="610">
        <v>1</v>
      </c>
      <c r="AC237" s="609">
        <f>+AC226*2</f>
        <v>3750000</v>
      </c>
      <c r="AD237" s="609">
        <f t="shared" ref="AD237:AF237" si="38">+AD226*2</f>
        <v>562500</v>
      </c>
      <c r="AE237" s="609">
        <f t="shared" si="38"/>
        <v>5625000</v>
      </c>
      <c r="AF237" s="609">
        <f t="shared" si="38"/>
        <v>7500000</v>
      </c>
    </row>
    <row r="238" spans="2:32" ht="16.5" thickBot="1">
      <c r="B238" s="509" t="s">
        <v>1093</v>
      </c>
      <c r="C238" s="509"/>
      <c r="D238" s="509"/>
      <c r="E238" s="509"/>
      <c r="F238" s="509"/>
      <c r="G238" s="509"/>
      <c r="H238" s="509"/>
      <c r="I238" s="509"/>
      <c r="J238" s="1160">
        <v>334375</v>
      </c>
      <c r="K238" s="1160"/>
      <c r="L238" s="1160">
        <v>381250</v>
      </c>
      <c r="M238" s="1160"/>
      <c r="N238" s="1160">
        <v>404687.5</v>
      </c>
      <c r="O238" s="1160"/>
      <c r="P238" s="1160">
        <v>428125</v>
      </c>
      <c r="Q238" s="1160"/>
      <c r="R238" s="1160">
        <v>451562.5</v>
      </c>
      <c r="S238" s="1160"/>
      <c r="T238" s="1160">
        <v>498437.5</v>
      </c>
      <c r="U238" s="1160"/>
      <c r="V238" s="1160">
        <v>545312.5</v>
      </c>
      <c r="W238" s="1160"/>
      <c r="X238" s="595">
        <f t="shared" si="20"/>
        <v>668750</v>
      </c>
    </row>
    <row r="241" spans="2:24">
      <c r="K241" s="487">
        <v>500</v>
      </c>
      <c r="L241" s="487">
        <f>+$K$241*(1+L230)</f>
        <v>800</v>
      </c>
      <c r="N241" s="487">
        <f t="shared" ref="N241:V241" si="39">+$K$241*(1+N230)</f>
        <v>825</v>
      </c>
      <c r="P241" s="487">
        <f t="shared" si="39"/>
        <v>850</v>
      </c>
      <c r="R241" s="487">
        <f>+$K$241*(1+R230)</f>
        <v>875</v>
      </c>
      <c r="T241" s="487">
        <f t="shared" si="39"/>
        <v>925</v>
      </c>
      <c r="V241" s="487">
        <f t="shared" si="39"/>
        <v>975</v>
      </c>
      <c r="X241" s="487">
        <v>1000</v>
      </c>
    </row>
    <row r="242" spans="2:24">
      <c r="B242" s="514" t="s">
        <v>1085</v>
      </c>
      <c r="K242" s="487">
        <f>+K241*2.5</f>
        <v>1250</v>
      </c>
    </row>
    <row r="243" spans="2:24">
      <c r="B243" s="514" t="s">
        <v>1086</v>
      </c>
      <c r="K243" s="487">
        <f>+K241*1.5</f>
        <v>750</v>
      </c>
    </row>
    <row r="244" spans="2:24">
      <c r="B244" s="514" t="s">
        <v>1087</v>
      </c>
      <c r="K244" s="487">
        <f>+K241*15</f>
        <v>7500</v>
      </c>
    </row>
    <row r="245" spans="2:24">
      <c r="B245" s="514" t="s">
        <v>1088</v>
      </c>
      <c r="K245" s="487">
        <f>+K241*10</f>
        <v>5000</v>
      </c>
    </row>
  </sheetData>
  <mergeCells count="625">
    <mergeCell ref="BC40:BE40"/>
    <mergeCell ref="BF40:BH40"/>
    <mergeCell ref="AO41:AS41"/>
    <mergeCell ref="AO42:AS42"/>
    <mergeCell ref="AU41:AV41"/>
    <mergeCell ref="AU42:AV42"/>
    <mergeCell ref="AC43:AF43"/>
    <mergeCell ref="AG43:AJ43"/>
    <mergeCell ref="AM43:AP43"/>
    <mergeCell ref="AQ43:AS43"/>
    <mergeCell ref="AT43:AV43"/>
    <mergeCell ref="AW43:AZ43"/>
    <mergeCell ref="AC42:AF42"/>
    <mergeCell ref="AG42:AJ42"/>
    <mergeCell ref="AL42:AM42"/>
    <mergeCell ref="AC41:AF41"/>
    <mergeCell ref="AG41:AJ41"/>
    <mergeCell ref="AL41:AM41"/>
    <mergeCell ref="AG40:AK40"/>
    <mergeCell ref="AO40:AT40"/>
    <mergeCell ref="AC38:AM38"/>
    <mergeCell ref="AO38:AS38"/>
    <mergeCell ref="BC38:BE38"/>
    <mergeCell ref="BF38:BH38"/>
    <mergeCell ref="BI38:BK38"/>
    <mergeCell ref="AC40:AF40"/>
    <mergeCell ref="BF36:BH36"/>
    <mergeCell ref="BI36:BK36"/>
    <mergeCell ref="AC37:AF37"/>
    <mergeCell ref="AG37:AJ37"/>
    <mergeCell ref="AL37:AM37"/>
    <mergeCell ref="AO37:AS37"/>
    <mergeCell ref="AU37:AV37"/>
    <mergeCell ref="BC37:BE37"/>
    <mergeCell ref="BF37:BH37"/>
    <mergeCell ref="BI37:BK37"/>
    <mergeCell ref="AC36:AF36"/>
    <mergeCell ref="AG36:AJ36"/>
    <mergeCell ref="AL36:AM36"/>
    <mergeCell ref="AO36:AS36"/>
    <mergeCell ref="AU36:AV36"/>
    <mergeCell ref="BC36:BE36"/>
    <mergeCell ref="AU40:AV40"/>
    <mergeCell ref="AW40:BB40"/>
    <mergeCell ref="BI34:BK34"/>
    <mergeCell ref="AC35:AF35"/>
    <mergeCell ref="AG35:AJ35"/>
    <mergeCell ref="AL35:AM35"/>
    <mergeCell ref="AO35:AS35"/>
    <mergeCell ref="AU35:AV35"/>
    <mergeCell ref="BC35:BE35"/>
    <mergeCell ref="BF35:BH35"/>
    <mergeCell ref="BI35:BK35"/>
    <mergeCell ref="BC33:BE33"/>
    <mergeCell ref="BF33:BH33"/>
    <mergeCell ref="AC34:AF34"/>
    <mergeCell ref="AG34:AJ34"/>
    <mergeCell ref="AL34:AM34"/>
    <mergeCell ref="AO34:AS34"/>
    <mergeCell ref="AU34:AV34"/>
    <mergeCell ref="BC34:BE34"/>
    <mergeCell ref="BF34:BH34"/>
    <mergeCell ref="AG30:AJ30"/>
    <mergeCell ref="AO30:AS30"/>
    <mergeCell ref="AT30:AV30"/>
    <mergeCell ref="AW30:BA30"/>
    <mergeCell ref="AC33:AF33"/>
    <mergeCell ref="AG33:AK33"/>
    <mergeCell ref="AO33:AT33"/>
    <mergeCell ref="AU33:AV33"/>
    <mergeCell ref="AW33:BB33"/>
    <mergeCell ref="AC28:AF28"/>
    <mergeCell ref="AG28:AJ28"/>
    <mergeCell ref="AL28:AM28"/>
    <mergeCell ref="AO28:AS28"/>
    <mergeCell ref="AT28:AV28"/>
    <mergeCell ref="AW28:BA28"/>
    <mergeCell ref="AO27:AS27"/>
    <mergeCell ref="AC26:AF26"/>
    <mergeCell ref="AG26:AJ26"/>
    <mergeCell ref="AL26:AM26"/>
    <mergeCell ref="AO26:AS26"/>
    <mergeCell ref="AT26:AV26"/>
    <mergeCell ref="V238:W238"/>
    <mergeCell ref="J238:K238"/>
    <mergeCell ref="L238:M238"/>
    <mergeCell ref="N238:O238"/>
    <mergeCell ref="P238:Q238"/>
    <mergeCell ref="R238:S238"/>
    <mergeCell ref="T238:U238"/>
    <mergeCell ref="V236:W236"/>
    <mergeCell ref="J237:K237"/>
    <mergeCell ref="L237:M237"/>
    <mergeCell ref="N237:O237"/>
    <mergeCell ref="P237:Q237"/>
    <mergeCell ref="R237:S237"/>
    <mergeCell ref="T237:U237"/>
    <mergeCell ref="V237:W237"/>
    <mergeCell ref="J236:K236"/>
    <mergeCell ref="L236:M236"/>
    <mergeCell ref="N236:O236"/>
    <mergeCell ref="P236:Q236"/>
    <mergeCell ref="R236:S236"/>
    <mergeCell ref="T236:U236"/>
    <mergeCell ref="J232:K232"/>
    <mergeCell ref="L232:M232"/>
    <mergeCell ref="N232:O232"/>
    <mergeCell ref="P232:Q232"/>
    <mergeCell ref="R232:S232"/>
    <mergeCell ref="T232:U232"/>
    <mergeCell ref="V232:W232"/>
    <mergeCell ref="L234:M234"/>
    <mergeCell ref="N234:O234"/>
    <mergeCell ref="P234:Q234"/>
    <mergeCell ref="R234:S234"/>
    <mergeCell ref="T234:U234"/>
    <mergeCell ref="V234:W234"/>
    <mergeCell ref="J233:K233"/>
    <mergeCell ref="L233:M233"/>
    <mergeCell ref="N233:O233"/>
    <mergeCell ref="P233:Q233"/>
    <mergeCell ref="R233:S233"/>
    <mergeCell ref="T233:U233"/>
    <mergeCell ref="V233:W233"/>
    <mergeCell ref="J234:K234"/>
    <mergeCell ref="G230:I230"/>
    <mergeCell ref="J230:K230"/>
    <mergeCell ref="L230:M230"/>
    <mergeCell ref="N230:O230"/>
    <mergeCell ref="P230:Q230"/>
    <mergeCell ref="R230:S230"/>
    <mergeCell ref="T227:U227"/>
    <mergeCell ref="V227:W227"/>
    <mergeCell ref="G228:I228"/>
    <mergeCell ref="J228:K228"/>
    <mergeCell ref="L228:M228"/>
    <mergeCell ref="N228:O228"/>
    <mergeCell ref="P228:Q228"/>
    <mergeCell ref="R228:S228"/>
    <mergeCell ref="T228:U228"/>
    <mergeCell ref="V228:W228"/>
    <mergeCell ref="G227:I227"/>
    <mergeCell ref="J227:K227"/>
    <mergeCell ref="L227:M227"/>
    <mergeCell ref="N227:O227"/>
    <mergeCell ref="P227:Q227"/>
    <mergeCell ref="R227:S227"/>
    <mergeCell ref="T230:U230"/>
    <mergeCell ref="V230:W230"/>
    <mergeCell ref="T225:U225"/>
    <mergeCell ref="V225:W225"/>
    <mergeCell ref="G226:I226"/>
    <mergeCell ref="J226:K226"/>
    <mergeCell ref="L226:M226"/>
    <mergeCell ref="N226:O226"/>
    <mergeCell ref="P226:Q226"/>
    <mergeCell ref="R226:S226"/>
    <mergeCell ref="T226:U226"/>
    <mergeCell ref="V226:W226"/>
    <mergeCell ref="G225:I225"/>
    <mergeCell ref="J225:K225"/>
    <mergeCell ref="L225:M225"/>
    <mergeCell ref="N225:O225"/>
    <mergeCell ref="P225:Q225"/>
    <mergeCell ref="R225:S225"/>
    <mergeCell ref="V222:W222"/>
    <mergeCell ref="J223:K223"/>
    <mergeCell ref="L223:M223"/>
    <mergeCell ref="N223:O223"/>
    <mergeCell ref="P223:Q223"/>
    <mergeCell ref="R223:S223"/>
    <mergeCell ref="T223:U223"/>
    <mergeCell ref="V223:W223"/>
    <mergeCell ref="J222:K222"/>
    <mergeCell ref="L222:M222"/>
    <mergeCell ref="N222:O222"/>
    <mergeCell ref="P222:Q222"/>
    <mergeCell ref="R222:S222"/>
    <mergeCell ref="T222:U222"/>
    <mergeCell ref="V220:W220"/>
    <mergeCell ref="J221:K221"/>
    <mergeCell ref="L221:M221"/>
    <mergeCell ref="N221:O221"/>
    <mergeCell ref="P221:Q221"/>
    <mergeCell ref="R221:S221"/>
    <mergeCell ref="T221:U221"/>
    <mergeCell ref="V221:W221"/>
    <mergeCell ref="P219:Q219"/>
    <mergeCell ref="R219:S219"/>
    <mergeCell ref="T219:U219"/>
    <mergeCell ref="V219:W219"/>
    <mergeCell ref="J220:K220"/>
    <mergeCell ref="L220:M220"/>
    <mergeCell ref="N220:O220"/>
    <mergeCell ref="P220:Q220"/>
    <mergeCell ref="R220:S220"/>
    <mergeCell ref="T220:U220"/>
    <mergeCell ref="F208:H208"/>
    <mergeCell ref="F209:H209"/>
    <mergeCell ref="F211:H211"/>
    <mergeCell ref="J219:K219"/>
    <mergeCell ref="L219:M219"/>
    <mergeCell ref="N219:O219"/>
    <mergeCell ref="B201:D201"/>
    <mergeCell ref="L201:W201"/>
    <mergeCell ref="L202:O202"/>
    <mergeCell ref="P202:S202"/>
    <mergeCell ref="T202:W202"/>
    <mergeCell ref="L203:O203"/>
    <mergeCell ref="P203:S203"/>
    <mergeCell ref="T203:W203"/>
    <mergeCell ref="B198:E198"/>
    <mergeCell ref="F198:J198"/>
    <mergeCell ref="K198:M198"/>
    <mergeCell ref="N198:P198"/>
    <mergeCell ref="Q198:T198"/>
    <mergeCell ref="B199:E199"/>
    <mergeCell ref="F199:J199"/>
    <mergeCell ref="K199:M199"/>
    <mergeCell ref="N199:P199"/>
    <mergeCell ref="Q199:T199"/>
    <mergeCell ref="B196:E196"/>
    <mergeCell ref="F196:J196"/>
    <mergeCell ref="K196:M196"/>
    <mergeCell ref="N196:P196"/>
    <mergeCell ref="Q196:T196"/>
    <mergeCell ref="F197:J197"/>
    <mergeCell ref="K197:M197"/>
    <mergeCell ref="N197:P197"/>
    <mergeCell ref="Q197:T197"/>
    <mergeCell ref="B194:E194"/>
    <mergeCell ref="F194:J194"/>
    <mergeCell ref="K194:M194"/>
    <mergeCell ref="N194:P194"/>
    <mergeCell ref="Q194:T194"/>
    <mergeCell ref="B195:E195"/>
    <mergeCell ref="F195:J195"/>
    <mergeCell ref="K195:M195"/>
    <mergeCell ref="N195:P195"/>
    <mergeCell ref="Q195:T195"/>
    <mergeCell ref="AB189:AD189"/>
    <mergeCell ref="AE189:AG189"/>
    <mergeCell ref="AH189:AJ189"/>
    <mergeCell ref="N190:R190"/>
    <mergeCell ref="F193:J193"/>
    <mergeCell ref="K193:M193"/>
    <mergeCell ref="N193:P193"/>
    <mergeCell ref="Q193:T193"/>
    <mergeCell ref="B187:L187"/>
    <mergeCell ref="N187:R187"/>
    <mergeCell ref="AB187:AD187"/>
    <mergeCell ref="AE187:AG187"/>
    <mergeCell ref="AH187:AJ187"/>
    <mergeCell ref="B189:E189"/>
    <mergeCell ref="F189:I189"/>
    <mergeCell ref="K189:L189"/>
    <mergeCell ref="N189:R189"/>
    <mergeCell ref="T189:U189"/>
    <mergeCell ref="AE185:AG185"/>
    <mergeCell ref="AH185:AJ185"/>
    <mergeCell ref="B186:E186"/>
    <mergeCell ref="F186:I186"/>
    <mergeCell ref="K186:L186"/>
    <mergeCell ref="N186:R186"/>
    <mergeCell ref="T186:U186"/>
    <mergeCell ref="AB186:AD186"/>
    <mergeCell ref="AE186:AG186"/>
    <mergeCell ref="AH186:AJ186"/>
    <mergeCell ref="B185:E185"/>
    <mergeCell ref="F185:I185"/>
    <mergeCell ref="K185:L185"/>
    <mergeCell ref="N185:R185"/>
    <mergeCell ref="T185:U185"/>
    <mergeCell ref="AB185:AD185"/>
    <mergeCell ref="AH183:AJ183"/>
    <mergeCell ref="B184:E184"/>
    <mergeCell ref="F184:I184"/>
    <mergeCell ref="K184:L184"/>
    <mergeCell ref="N184:R184"/>
    <mergeCell ref="T184:U184"/>
    <mergeCell ref="AB184:AD184"/>
    <mergeCell ref="AE184:AG184"/>
    <mergeCell ref="AH184:AJ184"/>
    <mergeCell ref="F183:I183"/>
    <mergeCell ref="K183:L183"/>
    <mergeCell ref="N183:R183"/>
    <mergeCell ref="T183:U183"/>
    <mergeCell ref="AB183:AD183"/>
    <mergeCell ref="AE183:AG183"/>
    <mergeCell ref="AE181:AG181"/>
    <mergeCell ref="AH181:AJ181"/>
    <mergeCell ref="B182:E182"/>
    <mergeCell ref="F182:I182"/>
    <mergeCell ref="K182:L182"/>
    <mergeCell ref="N182:R182"/>
    <mergeCell ref="T182:U182"/>
    <mergeCell ref="AB182:AD182"/>
    <mergeCell ref="AE182:AG182"/>
    <mergeCell ref="AH182:AJ182"/>
    <mergeCell ref="B181:E181"/>
    <mergeCell ref="F181:I181"/>
    <mergeCell ref="K181:L181"/>
    <mergeCell ref="N181:R181"/>
    <mergeCell ref="T181:U181"/>
    <mergeCell ref="AB181:AD181"/>
    <mergeCell ref="AE179:AG179"/>
    <mergeCell ref="AH179:AJ179"/>
    <mergeCell ref="B180:E180"/>
    <mergeCell ref="F180:I180"/>
    <mergeCell ref="K180:L180"/>
    <mergeCell ref="N180:R180"/>
    <mergeCell ref="T180:U180"/>
    <mergeCell ref="AB180:AD180"/>
    <mergeCell ref="AE180:AG180"/>
    <mergeCell ref="AH180:AJ180"/>
    <mergeCell ref="B179:E179"/>
    <mergeCell ref="F179:I179"/>
    <mergeCell ref="K179:L179"/>
    <mergeCell ref="N179:R179"/>
    <mergeCell ref="T179:U179"/>
    <mergeCell ref="AB179:AD179"/>
    <mergeCell ref="AH177:AJ177"/>
    <mergeCell ref="B178:E178"/>
    <mergeCell ref="F178:I178"/>
    <mergeCell ref="K178:L178"/>
    <mergeCell ref="N178:R178"/>
    <mergeCell ref="T178:U178"/>
    <mergeCell ref="AB178:AD178"/>
    <mergeCell ref="AE178:AG178"/>
    <mergeCell ref="AH178:AJ178"/>
    <mergeCell ref="F177:I177"/>
    <mergeCell ref="K177:L177"/>
    <mergeCell ref="N177:R177"/>
    <mergeCell ref="T177:U177"/>
    <mergeCell ref="AB177:AD177"/>
    <mergeCell ref="AE177:AG177"/>
    <mergeCell ref="AE175:AG175"/>
    <mergeCell ref="AH175:AJ175"/>
    <mergeCell ref="B176:E176"/>
    <mergeCell ref="F176:I176"/>
    <mergeCell ref="K176:L176"/>
    <mergeCell ref="N176:R176"/>
    <mergeCell ref="T176:U176"/>
    <mergeCell ref="AB176:AD176"/>
    <mergeCell ref="AE176:AG176"/>
    <mergeCell ref="AH176:AJ176"/>
    <mergeCell ref="B175:E175"/>
    <mergeCell ref="F175:I175"/>
    <mergeCell ref="K175:L175"/>
    <mergeCell ref="N175:R175"/>
    <mergeCell ref="T175:U175"/>
    <mergeCell ref="AB175:AD175"/>
    <mergeCell ref="AE173:AG173"/>
    <mergeCell ref="AH173:AJ173"/>
    <mergeCell ref="B174:E174"/>
    <mergeCell ref="F174:I174"/>
    <mergeCell ref="K174:L174"/>
    <mergeCell ref="N174:R174"/>
    <mergeCell ref="T174:U174"/>
    <mergeCell ref="AB174:AD174"/>
    <mergeCell ref="AE174:AG174"/>
    <mergeCell ref="AH174:AJ174"/>
    <mergeCell ref="B173:E173"/>
    <mergeCell ref="F173:I173"/>
    <mergeCell ref="K173:L173"/>
    <mergeCell ref="N173:R173"/>
    <mergeCell ref="T173:U173"/>
    <mergeCell ref="AB173:AD173"/>
    <mergeCell ref="AE171:AG171"/>
    <mergeCell ref="AH171:AJ171"/>
    <mergeCell ref="B172:E172"/>
    <mergeCell ref="F172:I172"/>
    <mergeCell ref="K172:L172"/>
    <mergeCell ref="N172:R172"/>
    <mergeCell ref="T172:U172"/>
    <mergeCell ref="AB172:AD172"/>
    <mergeCell ref="AE172:AG172"/>
    <mergeCell ref="AH172:AJ172"/>
    <mergeCell ref="B171:E171"/>
    <mergeCell ref="F171:I171"/>
    <mergeCell ref="K171:L171"/>
    <mergeCell ref="N171:R171"/>
    <mergeCell ref="T171:U171"/>
    <mergeCell ref="AB171:AD171"/>
    <mergeCell ref="AE169:AG169"/>
    <mergeCell ref="AH169:AJ169"/>
    <mergeCell ref="B170:E170"/>
    <mergeCell ref="F170:I170"/>
    <mergeCell ref="K170:L170"/>
    <mergeCell ref="N170:R170"/>
    <mergeCell ref="T170:U170"/>
    <mergeCell ref="AB170:AD170"/>
    <mergeCell ref="AE170:AG170"/>
    <mergeCell ref="AH170:AJ170"/>
    <mergeCell ref="B169:E169"/>
    <mergeCell ref="F169:I169"/>
    <mergeCell ref="K169:L169"/>
    <mergeCell ref="N169:R169"/>
    <mergeCell ref="T169:U169"/>
    <mergeCell ref="AB169:AD169"/>
    <mergeCell ref="AG164:AK165"/>
    <mergeCell ref="D165:G165"/>
    <mergeCell ref="I165:L165"/>
    <mergeCell ref="B168:E168"/>
    <mergeCell ref="F168:J168"/>
    <mergeCell ref="N168:S168"/>
    <mergeCell ref="T168:U168"/>
    <mergeCell ref="V168:AA168"/>
    <mergeCell ref="AB168:AD168"/>
    <mergeCell ref="AE168:AG168"/>
    <mergeCell ref="L157:O158"/>
    <mergeCell ref="Q157:T158"/>
    <mergeCell ref="V157:Y158"/>
    <mergeCell ref="AB157:AG158"/>
    <mergeCell ref="AN157:AS158"/>
    <mergeCell ref="L160:O160"/>
    <mergeCell ref="V160:Y162"/>
    <mergeCell ref="I162:L163"/>
    <mergeCell ref="S146:X147"/>
    <mergeCell ref="K150:Q151"/>
    <mergeCell ref="AG150:AL151"/>
    <mergeCell ref="AG153:AL154"/>
    <mergeCell ref="B154:E155"/>
    <mergeCell ref="G154:J155"/>
    <mergeCell ref="L154:O155"/>
    <mergeCell ref="Q154:T155"/>
    <mergeCell ref="V154:Y155"/>
    <mergeCell ref="B143:L143"/>
    <mergeCell ref="N143:R143"/>
    <mergeCell ref="AB143:AD143"/>
    <mergeCell ref="AE143:AG143"/>
    <mergeCell ref="B141:E141"/>
    <mergeCell ref="F141:I141"/>
    <mergeCell ref="K141:L141"/>
    <mergeCell ref="N141:R141"/>
    <mergeCell ref="T141:U141"/>
    <mergeCell ref="AB141:AD141"/>
    <mergeCell ref="AE141:AG141"/>
    <mergeCell ref="AH143:AJ143"/>
    <mergeCell ref="N144:R144"/>
    <mergeCell ref="AD144:AF144"/>
    <mergeCell ref="AG144:AK144"/>
    <mergeCell ref="AH141:AJ141"/>
    <mergeCell ref="B142:E142"/>
    <mergeCell ref="F142:I142"/>
    <mergeCell ref="K142:L142"/>
    <mergeCell ref="N142:R142"/>
    <mergeCell ref="T142:U142"/>
    <mergeCell ref="AB142:AD142"/>
    <mergeCell ref="AE142:AG142"/>
    <mergeCell ref="AH142:AJ142"/>
    <mergeCell ref="BG139:BJ139"/>
    <mergeCell ref="B140:E140"/>
    <mergeCell ref="F140:I140"/>
    <mergeCell ref="K140:L140"/>
    <mergeCell ref="N140:R140"/>
    <mergeCell ref="T140:U140"/>
    <mergeCell ref="AB140:AD140"/>
    <mergeCell ref="AE140:AG140"/>
    <mergeCell ref="AH140:AJ140"/>
    <mergeCell ref="F138:J138"/>
    <mergeCell ref="N138:S138"/>
    <mergeCell ref="T138:U138"/>
    <mergeCell ref="V138:AA138"/>
    <mergeCell ref="AB138:AD138"/>
    <mergeCell ref="AR139:AU139"/>
    <mergeCell ref="AW139:AZ139"/>
    <mergeCell ref="BA139:BC139"/>
    <mergeCell ref="BD139:BF139"/>
    <mergeCell ref="BG136:BJ136"/>
    <mergeCell ref="AN137:AQ137"/>
    <mergeCell ref="AR137:AU137"/>
    <mergeCell ref="AW137:AZ137"/>
    <mergeCell ref="BA137:BC137"/>
    <mergeCell ref="BD137:BF137"/>
    <mergeCell ref="BG137:BJ137"/>
    <mergeCell ref="BG138:BJ138"/>
    <mergeCell ref="B139:E139"/>
    <mergeCell ref="F139:I139"/>
    <mergeCell ref="K139:L139"/>
    <mergeCell ref="N139:R139"/>
    <mergeCell ref="T139:U139"/>
    <mergeCell ref="AB139:AD139"/>
    <mergeCell ref="AE139:AG139"/>
    <mergeCell ref="AH139:AJ139"/>
    <mergeCell ref="AN139:AQ139"/>
    <mergeCell ref="AE138:AG138"/>
    <mergeCell ref="AN138:AQ138"/>
    <mergeCell ref="AR138:AU138"/>
    <mergeCell ref="AW138:AZ138"/>
    <mergeCell ref="BA138:BC138"/>
    <mergeCell ref="BD138:BF138"/>
    <mergeCell ref="B138:E138"/>
    <mergeCell ref="AM133:AP134"/>
    <mergeCell ref="D134:G135"/>
    <mergeCell ref="I134:L135"/>
    <mergeCell ref="N134:Q135"/>
    <mergeCell ref="AN136:AQ136"/>
    <mergeCell ref="AR136:AU136"/>
    <mergeCell ref="AG23:AJ23"/>
    <mergeCell ref="AM23:AQ23"/>
    <mergeCell ref="BB23:BD23"/>
    <mergeCell ref="AW136:AZ136"/>
    <mergeCell ref="BA136:BC136"/>
    <mergeCell ref="BD136:BF136"/>
    <mergeCell ref="AW26:BA26"/>
    <mergeCell ref="AG29:AJ29"/>
    <mergeCell ref="AO29:AS29"/>
    <mergeCell ref="AT29:AV29"/>
    <mergeCell ref="AW29:BA29"/>
    <mergeCell ref="AC25:AF25"/>
    <mergeCell ref="AG25:AK25"/>
    <mergeCell ref="AO25:AS25"/>
    <mergeCell ref="AC27:AF27"/>
    <mergeCell ref="AG27:AJ27"/>
    <mergeCell ref="AL27:AM27"/>
    <mergeCell ref="AT27:AV27"/>
    <mergeCell ref="BE19:BI19"/>
    <mergeCell ref="AC20:AF20"/>
    <mergeCell ref="AG20:AJ20"/>
    <mergeCell ref="AM20:AQ20"/>
    <mergeCell ref="AR20:AS20"/>
    <mergeCell ref="BB20:BD20"/>
    <mergeCell ref="BE23:BI23"/>
    <mergeCell ref="I130:L131"/>
    <mergeCell ref="AM130:AP131"/>
    <mergeCell ref="AT25:AV25"/>
    <mergeCell ref="AW25:BA25"/>
    <mergeCell ref="AC29:AF29"/>
    <mergeCell ref="AL29:AM29"/>
    <mergeCell ref="BE20:BI20"/>
    <mergeCell ref="F21:I21"/>
    <mergeCell ref="N21:R21"/>
    <mergeCell ref="S21:U21"/>
    <mergeCell ref="V21:Z21"/>
    <mergeCell ref="AG21:AJ21"/>
    <mergeCell ref="AM21:AQ21"/>
    <mergeCell ref="AR21:AS21"/>
    <mergeCell ref="BB21:BD21"/>
    <mergeCell ref="BE21:BI21"/>
    <mergeCell ref="AW27:BA27"/>
    <mergeCell ref="F19:I19"/>
    <mergeCell ref="N19:R19"/>
    <mergeCell ref="S19:U19"/>
    <mergeCell ref="V19:Z19"/>
    <mergeCell ref="AC19:AF19"/>
    <mergeCell ref="AG19:AJ19"/>
    <mergeCell ref="AM19:AQ19"/>
    <mergeCell ref="AR19:AS19"/>
    <mergeCell ref="BB19:BD19"/>
    <mergeCell ref="AR17:AS17"/>
    <mergeCell ref="BB17:BD17"/>
    <mergeCell ref="BE17:BI17"/>
    <mergeCell ref="B18:E18"/>
    <mergeCell ref="F18:I18"/>
    <mergeCell ref="K18:L18"/>
    <mergeCell ref="N18:R18"/>
    <mergeCell ref="S18:U18"/>
    <mergeCell ref="V18:Z18"/>
    <mergeCell ref="AC18:AF18"/>
    <mergeCell ref="AG18:AJ18"/>
    <mergeCell ref="AM18:AQ18"/>
    <mergeCell ref="AR18:AS18"/>
    <mergeCell ref="BB18:BD18"/>
    <mergeCell ref="BE18:BI18"/>
    <mergeCell ref="B17:E17"/>
    <mergeCell ref="F17:I17"/>
    <mergeCell ref="K17:L17"/>
    <mergeCell ref="N17:R17"/>
    <mergeCell ref="S17:U17"/>
    <mergeCell ref="V17:Z17"/>
    <mergeCell ref="AC17:AF17"/>
    <mergeCell ref="AG17:AJ17"/>
    <mergeCell ref="AM17:AQ17"/>
    <mergeCell ref="AR15:AS15"/>
    <mergeCell ref="BB15:BD15"/>
    <mergeCell ref="BE15:BI15"/>
    <mergeCell ref="B16:E16"/>
    <mergeCell ref="F16:I16"/>
    <mergeCell ref="K16:L16"/>
    <mergeCell ref="N16:R16"/>
    <mergeCell ref="S16:U16"/>
    <mergeCell ref="BE16:BI16"/>
    <mergeCell ref="V16:Z16"/>
    <mergeCell ref="AC16:AF16"/>
    <mergeCell ref="AG16:AJ16"/>
    <mergeCell ref="AM16:AQ16"/>
    <mergeCell ref="AR16:AS16"/>
    <mergeCell ref="BB16:BD16"/>
    <mergeCell ref="B15:E15"/>
    <mergeCell ref="F15:I15"/>
    <mergeCell ref="K15:L15"/>
    <mergeCell ref="N15:R15"/>
    <mergeCell ref="S15:U15"/>
    <mergeCell ref="V15:Z15"/>
    <mergeCell ref="AC15:AF15"/>
    <mergeCell ref="AG15:AJ15"/>
    <mergeCell ref="AM15:AQ15"/>
    <mergeCell ref="BB13:BD13"/>
    <mergeCell ref="BE13:BI13"/>
    <mergeCell ref="B14:E14"/>
    <mergeCell ref="F14:J14"/>
    <mergeCell ref="N14:R14"/>
    <mergeCell ref="S14:U14"/>
    <mergeCell ref="V14:Z14"/>
    <mergeCell ref="AC14:AF14"/>
    <mergeCell ref="AG14:AJ14"/>
    <mergeCell ref="AM14:AQ14"/>
    <mergeCell ref="AR14:AS14"/>
    <mergeCell ref="BB14:BD14"/>
    <mergeCell ref="BE14:BI14"/>
    <mergeCell ref="AR7:AU8"/>
    <mergeCell ref="AW7:AZ8"/>
    <mergeCell ref="D11:G12"/>
    <mergeCell ref="N11:Q12"/>
    <mergeCell ref="AC13:AF13"/>
    <mergeCell ref="AG13:AK13"/>
    <mergeCell ref="AM13:AQ13"/>
    <mergeCell ref="AR13:BA13"/>
    <mergeCell ref="AL3:AQ4"/>
    <mergeCell ref="H4:M5"/>
    <mergeCell ref="I7:L8"/>
    <mergeCell ref="AC7:AF8"/>
    <mergeCell ref="AH7:AK8"/>
    <mergeCell ref="AM7:AP8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P55"/>
  <sheetViews>
    <sheetView showGridLines="0" topLeftCell="B27" zoomScale="112" zoomScaleNormal="112" workbookViewId="0">
      <selection activeCell="H27" sqref="H27"/>
    </sheetView>
  </sheetViews>
  <sheetFormatPr baseColWidth="10" defaultRowHeight="15"/>
  <cols>
    <col min="4" max="4" width="15.85546875" bestFit="1" customWidth="1"/>
    <col min="7" max="7" width="14.5703125" customWidth="1"/>
    <col min="10" max="10" width="12.85546875" customWidth="1"/>
    <col min="12" max="12" width="15.140625" customWidth="1"/>
    <col min="16" max="16" width="18.140625" customWidth="1"/>
  </cols>
  <sheetData>
    <row r="1" spans="1:13" ht="15.75" thickBot="1">
      <c r="A1" s="59"/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</row>
    <row r="2" spans="1:13">
      <c r="A2" s="59"/>
      <c r="B2" s="59"/>
      <c r="C2" s="59"/>
      <c r="D2" s="59"/>
      <c r="E2" s="59"/>
      <c r="F2" s="1261" t="s">
        <v>35</v>
      </c>
      <c r="G2" s="1262"/>
      <c r="H2" s="59"/>
      <c r="I2" s="59"/>
      <c r="J2" s="59"/>
      <c r="K2" s="59"/>
      <c r="L2" s="59"/>
      <c r="M2" s="59"/>
    </row>
    <row r="3" spans="1:13" ht="15.75" thickBot="1">
      <c r="A3" s="59"/>
      <c r="B3" s="59"/>
      <c r="C3" s="59"/>
      <c r="D3" s="59"/>
      <c r="E3" s="59"/>
      <c r="F3" s="1263" t="s">
        <v>36</v>
      </c>
      <c r="G3" s="1264"/>
      <c r="H3" s="59"/>
      <c r="I3" s="59"/>
      <c r="J3" s="59"/>
      <c r="K3" s="59"/>
      <c r="L3" s="59"/>
      <c r="M3" s="59"/>
    </row>
    <row r="4" spans="1:13">
      <c r="A4" s="59"/>
      <c r="B4" s="59"/>
      <c r="C4" s="60"/>
      <c r="D4" s="60"/>
      <c r="E4" s="60"/>
      <c r="F4" s="60"/>
      <c r="G4" s="61"/>
      <c r="H4" s="60"/>
      <c r="I4" s="60"/>
      <c r="J4" s="60"/>
      <c r="K4" s="59"/>
      <c r="L4" s="59"/>
      <c r="M4" s="59"/>
    </row>
    <row r="5" spans="1:13" ht="15.75" thickBot="1">
      <c r="A5" s="59"/>
      <c r="B5" s="59"/>
      <c r="C5" s="62"/>
      <c r="D5" s="59"/>
      <c r="E5" s="59"/>
      <c r="F5" s="59"/>
      <c r="G5" s="61"/>
      <c r="H5" s="59"/>
      <c r="I5" s="59"/>
      <c r="J5" s="59"/>
      <c r="K5" s="61"/>
      <c r="L5" s="59"/>
      <c r="M5" s="59"/>
    </row>
    <row r="6" spans="1:13">
      <c r="A6" s="59"/>
      <c r="B6" s="1261" t="s">
        <v>37</v>
      </c>
      <c r="C6" s="1262"/>
      <c r="D6" s="59"/>
      <c r="E6" s="59"/>
      <c r="F6" s="1261" t="s">
        <v>38</v>
      </c>
      <c r="G6" s="1262"/>
      <c r="H6" s="59"/>
      <c r="I6" s="59"/>
      <c r="J6" s="1261" t="s">
        <v>39</v>
      </c>
      <c r="K6" s="1262"/>
      <c r="L6" s="59"/>
      <c r="M6" s="59"/>
    </row>
    <row r="7" spans="1:13" ht="15.75" thickBot="1">
      <c r="A7" s="59"/>
      <c r="B7" s="1263" t="s">
        <v>40</v>
      </c>
      <c r="C7" s="1264"/>
      <c r="D7" s="59"/>
      <c r="E7" s="59"/>
      <c r="F7" s="1263" t="s">
        <v>40</v>
      </c>
      <c r="G7" s="1264"/>
      <c r="H7" s="59" t="str">
        <f>+'FORT DAUPHIN'!B108</f>
        <v>RATOMBOTSOA</v>
      </c>
      <c r="I7" s="59"/>
      <c r="J7" s="1263" t="s">
        <v>40</v>
      </c>
      <c r="K7" s="1264"/>
      <c r="L7" s="59"/>
      <c r="M7" s="59"/>
    </row>
    <row r="8" spans="1:13">
      <c r="A8" s="59"/>
      <c r="B8" s="59"/>
      <c r="C8" s="62"/>
      <c r="D8" s="59"/>
      <c r="E8" s="59"/>
      <c r="F8" s="59"/>
      <c r="G8" s="63"/>
      <c r="H8" s="59"/>
      <c r="I8" s="59"/>
      <c r="J8" s="59"/>
      <c r="K8" s="63"/>
      <c r="L8" s="59"/>
      <c r="M8" s="59"/>
    </row>
    <row r="9" spans="1:13">
      <c r="A9" s="59"/>
      <c r="B9" s="64"/>
      <c r="C9" s="65"/>
      <c r="D9" s="59"/>
      <c r="E9" s="59"/>
      <c r="F9" s="59"/>
      <c r="G9" s="62"/>
      <c r="H9" s="59"/>
      <c r="I9" s="59"/>
      <c r="J9" s="59"/>
      <c r="K9" s="62"/>
      <c r="L9" s="59"/>
      <c r="M9" s="59"/>
    </row>
    <row r="10" spans="1:13">
      <c r="A10" s="59"/>
      <c r="B10" s="59"/>
      <c r="C10" s="66"/>
      <c r="D10" s="67" t="s">
        <v>41</v>
      </c>
      <c r="E10" s="59"/>
      <c r="F10" s="59"/>
      <c r="G10" s="62"/>
      <c r="H10" s="59"/>
      <c r="I10" s="59"/>
      <c r="J10" s="59"/>
      <c r="K10" s="66"/>
      <c r="L10" s="67" t="s">
        <v>42</v>
      </c>
      <c r="M10" s="59"/>
    </row>
    <row r="11" spans="1:13">
      <c r="A11" s="59"/>
      <c r="B11" s="59"/>
      <c r="C11" s="62"/>
      <c r="D11" s="67" t="s">
        <v>43</v>
      </c>
      <c r="E11" s="59"/>
      <c r="F11" s="59"/>
      <c r="G11" s="62"/>
      <c r="H11" s="59"/>
      <c r="I11" s="59"/>
      <c r="J11" s="59"/>
      <c r="K11" s="62"/>
      <c r="L11" s="67" t="s">
        <v>43</v>
      </c>
      <c r="M11" s="59"/>
    </row>
    <row r="12" spans="1:13">
      <c r="A12" s="59"/>
      <c r="B12" s="59"/>
      <c r="C12" s="62"/>
      <c r="D12" s="59"/>
      <c r="E12" s="59"/>
      <c r="F12" s="59"/>
      <c r="G12" s="62"/>
      <c r="H12" s="59"/>
      <c r="I12" s="59"/>
      <c r="J12" s="59"/>
      <c r="K12" s="62"/>
      <c r="L12" s="59"/>
      <c r="M12" s="59"/>
    </row>
    <row r="13" spans="1:13">
      <c r="A13" s="59"/>
      <c r="B13" s="59"/>
      <c r="C13" s="66"/>
      <c r="D13" s="67" t="s">
        <v>44</v>
      </c>
      <c r="E13" s="59"/>
      <c r="F13" s="59"/>
      <c r="G13" s="62"/>
      <c r="H13" s="59"/>
      <c r="I13" s="59"/>
      <c r="J13" s="59"/>
      <c r="K13" s="66"/>
      <c r="L13" s="67" t="s">
        <v>45</v>
      </c>
      <c r="M13" s="59"/>
    </row>
    <row r="14" spans="1:13">
      <c r="A14" s="59"/>
      <c r="B14" s="59"/>
      <c r="C14" s="62"/>
      <c r="D14" s="67" t="s">
        <v>43</v>
      </c>
      <c r="E14" s="59"/>
      <c r="F14" s="59"/>
      <c r="G14" s="62"/>
      <c r="H14" s="59"/>
      <c r="I14" s="59"/>
      <c r="J14" s="59"/>
      <c r="K14" s="62"/>
      <c r="L14" s="67" t="s">
        <v>43</v>
      </c>
      <c r="M14" s="59"/>
    </row>
    <row r="15" spans="1:13">
      <c r="A15" s="59"/>
      <c r="B15" s="59"/>
      <c r="C15" s="62"/>
      <c r="D15" s="59"/>
      <c r="E15" s="59"/>
      <c r="F15" s="59"/>
      <c r="G15" s="62"/>
      <c r="H15" s="59"/>
      <c r="I15" s="59"/>
      <c r="J15" s="59"/>
      <c r="K15" s="62"/>
      <c r="L15" s="59"/>
      <c r="M15" s="59"/>
    </row>
    <row r="16" spans="1:13">
      <c r="A16" s="59"/>
      <c r="B16" s="59"/>
      <c r="C16" s="66"/>
      <c r="D16" s="67" t="s">
        <v>46</v>
      </c>
      <c r="E16" s="59"/>
      <c r="F16" s="59"/>
      <c r="G16" s="62"/>
      <c r="H16" s="59"/>
      <c r="I16" s="59"/>
      <c r="J16" s="59"/>
      <c r="K16" s="66"/>
      <c r="L16" s="67" t="s">
        <v>47</v>
      </c>
      <c r="M16" s="59"/>
    </row>
    <row r="17" spans="1:16">
      <c r="A17" s="59"/>
      <c r="B17" s="59"/>
      <c r="C17" s="62"/>
      <c r="D17" s="67" t="s">
        <v>43</v>
      </c>
      <c r="E17" s="59"/>
      <c r="F17" s="59"/>
      <c r="G17" s="62"/>
      <c r="H17" s="59"/>
      <c r="I17" s="59"/>
      <c r="J17" s="59"/>
      <c r="K17" s="62"/>
      <c r="L17" s="67" t="s">
        <v>43</v>
      </c>
      <c r="M17" s="59"/>
    </row>
    <row r="18" spans="1:16">
      <c r="A18" s="59"/>
      <c r="B18" s="59"/>
      <c r="C18" s="62"/>
      <c r="D18" s="59"/>
      <c r="E18" s="59"/>
      <c r="F18" s="59"/>
      <c r="G18" s="62"/>
      <c r="H18" s="59"/>
      <c r="I18" s="59"/>
      <c r="J18" s="59"/>
      <c r="K18" s="62"/>
      <c r="L18" s="59"/>
      <c r="M18" s="59"/>
    </row>
    <row r="19" spans="1:16">
      <c r="A19" s="59"/>
      <c r="B19" s="1266" t="s">
        <v>48</v>
      </c>
      <c r="C19" s="1266"/>
      <c r="D19" s="59"/>
      <c r="E19" s="59"/>
      <c r="F19" s="1266" t="s">
        <v>48</v>
      </c>
      <c r="G19" s="1266"/>
      <c r="H19" s="59" t="str">
        <f>+'FORT DAUPHIN'!B109&amp;" "&amp;'FORT DAUPHIN'!C109</f>
        <v>RAZANADIMBY Fara</v>
      </c>
      <c r="I19" s="59"/>
      <c r="J19" s="1266" t="s">
        <v>48</v>
      </c>
      <c r="K19" s="1266"/>
      <c r="L19" s="59"/>
      <c r="M19" s="59"/>
    </row>
    <row r="20" spans="1:16">
      <c r="A20" s="59"/>
      <c r="B20" s="1266" t="s">
        <v>49</v>
      </c>
      <c r="C20" s="1266"/>
      <c r="D20" s="59"/>
      <c r="E20" s="59"/>
      <c r="F20" s="1266" t="s">
        <v>49</v>
      </c>
      <c r="G20" s="1266"/>
      <c r="H20" s="59"/>
      <c r="I20" s="59"/>
      <c r="J20" s="1266" t="s">
        <v>49</v>
      </c>
      <c r="K20" s="1266"/>
      <c r="L20" s="59"/>
      <c r="M20" s="59"/>
    </row>
    <row r="21" spans="1:16">
      <c r="A21" s="59"/>
      <c r="B21" s="59"/>
      <c r="C21" s="62"/>
      <c r="D21" s="59"/>
      <c r="E21" s="59"/>
      <c r="F21" s="59"/>
      <c r="G21" s="62"/>
      <c r="H21" s="59"/>
      <c r="I21" s="59"/>
      <c r="J21" s="59"/>
      <c r="K21" s="59"/>
      <c r="L21" s="59"/>
      <c r="M21" s="59"/>
    </row>
    <row r="22" spans="1:16">
      <c r="A22" s="59"/>
      <c r="B22" s="1266" t="s">
        <v>50</v>
      </c>
      <c r="C22" s="1266"/>
      <c r="D22" s="59"/>
      <c r="E22" s="59"/>
      <c r="F22" s="1266" t="s">
        <v>50</v>
      </c>
      <c r="G22" s="1266"/>
      <c r="H22" s="59"/>
      <c r="I22" s="59"/>
      <c r="J22" s="59"/>
      <c r="K22" s="59"/>
      <c r="L22" s="59"/>
      <c r="M22" s="59"/>
    </row>
    <row r="23" spans="1:16">
      <c r="A23" s="59"/>
      <c r="B23" s="1266" t="s">
        <v>51</v>
      </c>
      <c r="C23" s="1266"/>
      <c r="D23" s="59"/>
      <c r="E23" s="59"/>
      <c r="F23" s="1266" t="s">
        <v>52</v>
      </c>
      <c r="G23" s="1266"/>
      <c r="H23" s="59"/>
      <c r="I23" s="59"/>
      <c r="J23" s="59"/>
      <c r="K23" s="59"/>
      <c r="L23" s="59"/>
      <c r="M23" s="59"/>
    </row>
    <row r="24" spans="1:16">
      <c r="A24" s="59"/>
      <c r="B24" s="59"/>
      <c r="C24" s="62"/>
      <c r="D24" s="59"/>
      <c r="E24" s="59"/>
      <c r="F24" s="59"/>
      <c r="G24" s="68"/>
      <c r="H24" s="59"/>
      <c r="I24" s="59"/>
      <c r="J24" s="59"/>
      <c r="K24" s="59"/>
      <c r="L24" s="59"/>
      <c r="M24" s="59"/>
    </row>
    <row r="25" spans="1:16">
      <c r="A25" s="59"/>
      <c r="B25" s="1266" t="s">
        <v>53</v>
      </c>
      <c r="C25" s="1266"/>
      <c r="D25" s="59"/>
      <c r="E25" s="59"/>
      <c r="F25" s="1266" t="s">
        <v>53</v>
      </c>
      <c r="G25" s="1266"/>
      <c r="H25" s="59"/>
      <c r="I25" s="59"/>
      <c r="J25" s="1265"/>
      <c r="K25" s="1265"/>
      <c r="L25" s="59"/>
      <c r="M25" s="59"/>
    </row>
    <row r="26" spans="1:16">
      <c r="A26" s="59"/>
      <c r="B26" s="1266" t="s">
        <v>54</v>
      </c>
      <c r="C26" s="1266"/>
      <c r="D26" s="59"/>
      <c r="E26" s="59"/>
      <c r="F26" s="1266" t="s">
        <v>55</v>
      </c>
      <c r="G26" s="1266"/>
      <c r="H26" s="59"/>
      <c r="I26" s="59"/>
      <c r="J26" s="1265"/>
      <c r="K26" s="1265"/>
      <c r="L26" s="59"/>
      <c r="M26" s="59"/>
    </row>
    <row r="27" spans="1:16">
      <c r="A27" s="59"/>
      <c r="B27" s="59"/>
      <c r="C27" s="62"/>
      <c r="D27" s="59"/>
      <c r="E27" s="59"/>
      <c r="F27" s="59"/>
      <c r="G27" s="59"/>
      <c r="H27" s="59"/>
      <c r="I27" s="59"/>
      <c r="J27" s="59"/>
      <c r="K27" s="59"/>
      <c r="L27" s="59"/>
      <c r="M27" s="59"/>
    </row>
    <row r="28" spans="1:16">
      <c r="A28" s="59"/>
      <c r="B28" s="1266" t="s">
        <v>56</v>
      </c>
      <c r="C28" s="1266"/>
      <c r="D28" s="59"/>
      <c r="E28" s="59"/>
      <c r="F28" s="59"/>
      <c r="G28" s="59"/>
      <c r="H28" s="59"/>
      <c r="I28" s="59"/>
      <c r="J28" s="59"/>
      <c r="K28" s="59"/>
      <c r="L28" s="59"/>
      <c r="M28" s="59"/>
    </row>
    <row r="29" spans="1:16">
      <c r="B29" s="1266" t="s">
        <v>57</v>
      </c>
      <c r="C29" s="1266"/>
      <c r="D29" s="59"/>
      <c r="E29" s="59"/>
      <c r="F29" s="59"/>
      <c r="G29" s="59"/>
      <c r="H29" s="59"/>
      <c r="I29" s="59"/>
      <c r="J29" s="59"/>
      <c r="K29" s="59"/>
      <c r="L29" s="59"/>
      <c r="M29" s="59"/>
    </row>
    <row r="30" spans="1:16">
      <c r="A30" s="59"/>
      <c r="B30" s="64"/>
      <c r="C30" s="64"/>
      <c r="D30" s="59"/>
      <c r="E30" s="59"/>
      <c r="F30" s="59"/>
      <c r="G30" s="59"/>
      <c r="H30" s="59"/>
      <c r="I30" s="59"/>
      <c r="J30" s="59"/>
      <c r="K30" s="59"/>
      <c r="L30" s="59"/>
      <c r="M30" s="59"/>
    </row>
    <row r="31" spans="1:16" ht="15.75" thickBot="1">
      <c r="A31" s="59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</row>
    <row r="32" spans="1:16">
      <c r="A32" s="59"/>
      <c r="B32" s="59"/>
      <c r="C32" s="59"/>
      <c r="D32" s="59"/>
      <c r="E32" s="59"/>
      <c r="F32" s="59"/>
      <c r="G32" s="59"/>
      <c r="H32" s="1261" t="s">
        <v>35</v>
      </c>
      <c r="I32" s="1262"/>
      <c r="J32" s="59"/>
      <c r="K32" s="59"/>
      <c r="L32" s="59"/>
      <c r="M32" s="59"/>
      <c r="N32" s="59"/>
      <c r="O32" s="59"/>
      <c r="P32" s="59"/>
    </row>
    <row r="33" spans="1:16" ht="15.75" thickBot="1">
      <c r="A33" s="59"/>
      <c r="B33" s="59"/>
      <c r="C33" s="59"/>
      <c r="D33" s="59"/>
      <c r="E33" s="59"/>
      <c r="F33" s="59"/>
      <c r="G33" s="59"/>
      <c r="H33" s="1263" t="s">
        <v>36</v>
      </c>
      <c r="I33" s="1264"/>
      <c r="J33" s="59"/>
      <c r="K33" s="59"/>
      <c r="L33" s="59"/>
      <c r="M33" s="59"/>
      <c r="N33" s="59"/>
      <c r="O33" s="59"/>
      <c r="P33" s="59"/>
    </row>
    <row r="34" spans="1:16" ht="15.75" thickBot="1">
      <c r="A34" s="59"/>
      <c r="B34" s="59"/>
      <c r="C34" s="59"/>
      <c r="D34" s="59"/>
      <c r="E34" s="59"/>
      <c r="F34" s="59"/>
      <c r="G34" s="59"/>
      <c r="H34" s="59"/>
      <c r="I34" s="62"/>
      <c r="J34" s="59"/>
      <c r="K34" s="59"/>
      <c r="L34" s="59"/>
      <c r="M34" s="59"/>
      <c r="N34" s="59"/>
      <c r="O34" s="59"/>
      <c r="P34" s="59"/>
    </row>
    <row r="35" spans="1:16">
      <c r="A35" s="59"/>
      <c r="B35" s="59"/>
      <c r="C35" s="59"/>
      <c r="D35" s="59"/>
      <c r="E35" s="59"/>
      <c r="F35" s="59"/>
      <c r="G35" s="59"/>
      <c r="H35" s="1261" t="s">
        <v>58</v>
      </c>
      <c r="I35" s="1262"/>
      <c r="J35" s="59"/>
      <c r="K35" s="59"/>
      <c r="L35" s="59"/>
      <c r="M35" s="59"/>
      <c r="N35" s="59"/>
      <c r="O35" s="59"/>
      <c r="P35" s="59"/>
    </row>
    <row r="36" spans="1:16" ht="15.75" thickBot="1">
      <c r="A36" s="59"/>
      <c r="B36" s="59"/>
      <c r="C36" s="59"/>
      <c r="D36" s="59"/>
      <c r="E36" s="59"/>
      <c r="F36" s="59"/>
      <c r="G36" s="59"/>
      <c r="H36" s="1263" t="s">
        <v>59</v>
      </c>
      <c r="I36" s="1264"/>
      <c r="J36" s="59"/>
      <c r="K36" s="59"/>
      <c r="L36" s="59"/>
      <c r="M36" s="59"/>
      <c r="N36" s="59"/>
      <c r="O36" s="59"/>
      <c r="P36" s="59"/>
    </row>
    <row r="37" spans="1:16">
      <c r="A37" s="59"/>
      <c r="B37" s="59"/>
      <c r="C37" s="60"/>
      <c r="D37" s="60"/>
      <c r="E37" s="60"/>
      <c r="F37" s="60"/>
      <c r="G37" s="60"/>
      <c r="H37" s="60"/>
      <c r="I37" s="61"/>
      <c r="J37" s="60"/>
      <c r="K37" s="60"/>
      <c r="L37" s="60"/>
      <c r="M37" s="60"/>
      <c r="N37" s="60"/>
      <c r="O37" s="59"/>
      <c r="P37" s="59"/>
    </row>
    <row r="38" spans="1:16" ht="15.75" thickBot="1">
      <c r="A38" s="59"/>
      <c r="B38" s="59"/>
      <c r="C38" s="62"/>
      <c r="D38" s="59"/>
      <c r="E38" s="59"/>
      <c r="F38" s="62"/>
      <c r="G38" s="59"/>
      <c r="H38" s="59"/>
      <c r="I38" s="62"/>
      <c r="J38" s="59"/>
      <c r="K38" s="59"/>
      <c r="L38" s="62"/>
      <c r="M38" s="59"/>
      <c r="N38" s="59"/>
      <c r="O38" s="62"/>
      <c r="P38" s="59"/>
    </row>
    <row r="39" spans="1:16">
      <c r="A39" s="59"/>
      <c r="B39" s="1257" t="s">
        <v>60</v>
      </c>
      <c r="C39" s="1258"/>
      <c r="D39" s="59"/>
      <c r="E39" s="1257" t="s">
        <v>61</v>
      </c>
      <c r="F39" s="1258"/>
      <c r="G39" s="59"/>
      <c r="H39" s="1257" t="s">
        <v>62</v>
      </c>
      <c r="I39" s="1258"/>
      <c r="J39" s="59"/>
      <c r="K39" s="1257" t="s">
        <v>63</v>
      </c>
      <c r="L39" s="1258"/>
      <c r="M39" s="59"/>
      <c r="N39" s="1257" t="s">
        <v>64</v>
      </c>
      <c r="O39" s="1258"/>
      <c r="P39" s="59"/>
    </row>
    <row r="40" spans="1:16" ht="15.75" thickBot="1">
      <c r="A40" s="59"/>
      <c r="B40" s="1259" t="s">
        <v>49</v>
      </c>
      <c r="C40" s="1260"/>
      <c r="D40" s="59"/>
      <c r="E40" s="1259" t="s">
        <v>49</v>
      </c>
      <c r="F40" s="1260"/>
      <c r="G40" s="59"/>
      <c r="H40" s="1259" t="s">
        <v>49</v>
      </c>
      <c r="I40" s="1260"/>
      <c r="J40" s="59"/>
      <c r="K40" s="1259" t="s">
        <v>49</v>
      </c>
      <c r="L40" s="1260"/>
      <c r="M40" s="59"/>
      <c r="N40" s="1259" t="s">
        <v>49</v>
      </c>
      <c r="O40" s="1260"/>
      <c r="P40" s="59"/>
    </row>
    <row r="41" spans="1:16" ht="15.75" thickBot="1">
      <c r="A41" s="59"/>
      <c r="B41" s="69"/>
      <c r="C41" s="70"/>
      <c r="D41" s="59"/>
      <c r="E41" s="69"/>
      <c r="F41" s="70"/>
      <c r="G41" s="59"/>
      <c r="H41" s="69"/>
      <c r="I41" s="70"/>
      <c r="J41" s="59"/>
      <c r="K41" s="59"/>
      <c r="L41" s="59"/>
      <c r="M41" s="59"/>
      <c r="N41" s="59"/>
      <c r="O41" s="71"/>
      <c r="P41" s="59"/>
    </row>
    <row r="42" spans="1:16">
      <c r="A42" s="59"/>
      <c r="B42" s="69"/>
      <c r="C42" s="70"/>
      <c r="D42" s="59"/>
      <c r="E42" s="69"/>
      <c r="F42" s="70"/>
      <c r="G42" s="59"/>
      <c r="H42" s="69"/>
      <c r="I42" s="70"/>
      <c r="J42" s="59"/>
      <c r="K42" s="59"/>
      <c r="L42" s="59"/>
      <c r="M42" s="59"/>
      <c r="N42" s="1257" t="s">
        <v>65</v>
      </c>
      <c r="O42" s="1258"/>
      <c r="P42" s="72" t="s">
        <v>66</v>
      </c>
    </row>
    <row r="43" spans="1:16" ht="15.75" thickBot="1">
      <c r="A43" s="59"/>
      <c r="B43" s="69"/>
      <c r="C43" s="70"/>
      <c r="D43" s="59"/>
      <c r="E43" s="69"/>
      <c r="F43" s="70"/>
      <c r="G43" s="59"/>
      <c r="H43" s="69"/>
      <c r="I43" s="70"/>
      <c r="J43" s="59"/>
      <c r="K43" s="59"/>
      <c r="L43" s="59"/>
      <c r="M43" s="59"/>
      <c r="N43" s="1259" t="s">
        <v>67</v>
      </c>
      <c r="O43" s="1260"/>
      <c r="P43" s="59"/>
    </row>
    <row r="44" spans="1:16">
      <c r="A44" s="59"/>
      <c r="B44" s="69"/>
      <c r="C44" s="70"/>
      <c r="D44" s="59"/>
      <c r="E44" s="69"/>
      <c r="F44" s="70"/>
      <c r="G44" s="59"/>
      <c r="H44" s="69"/>
      <c r="I44" s="70"/>
      <c r="J44" s="59"/>
      <c r="K44" s="59"/>
      <c r="L44" s="59"/>
      <c r="M44" s="59"/>
      <c r="N44" s="59"/>
      <c r="O44" s="62"/>
      <c r="P44" s="59"/>
    </row>
    <row r="45" spans="1:16">
      <c r="A45" s="59"/>
      <c r="B45" s="59"/>
      <c r="C45" s="61"/>
      <c r="D45" s="67" t="s">
        <v>68</v>
      </c>
      <c r="E45" s="59"/>
      <c r="F45" s="61"/>
      <c r="G45" s="67" t="s">
        <v>68</v>
      </c>
      <c r="H45" s="59"/>
      <c r="I45" s="61"/>
      <c r="J45" s="67" t="s">
        <v>69</v>
      </c>
      <c r="K45" s="59"/>
      <c r="L45" s="59"/>
      <c r="M45" s="59"/>
      <c r="N45" s="59"/>
      <c r="O45" s="61"/>
      <c r="P45" s="67" t="s">
        <v>50</v>
      </c>
    </row>
    <row r="46" spans="1:16">
      <c r="A46" s="59"/>
      <c r="B46" s="59"/>
      <c r="C46" s="62"/>
      <c r="D46" s="67" t="s">
        <v>59</v>
      </c>
      <c r="E46" s="59"/>
      <c r="F46" s="63"/>
      <c r="G46" s="67" t="s">
        <v>59</v>
      </c>
      <c r="H46" s="59"/>
      <c r="I46" s="59"/>
      <c r="J46" s="67" t="s">
        <v>70</v>
      </c>
      <c r="K46" s="59"/>
      <c r="L46" s="59"/>
      <c r="M46" s="59"/>
      <c r="N46" s="59"/>
      <c r="O46" s="62"/>
      <c r="P46" s="67" t="s">
        <v>71</v>
      </c>
    </row>
    <row r="47" spans="1:16">
      <c r="A47" s="59"/>
      <c r="B47" s="59"/>
      <c r="C47" s="62"/>
      <c r="D47" s="59"/>
      <c r="E47" s="59"/>
      <c r="F47" s="62"/>
      <c r="G47" s="59"/>
      <c r="H47" s="59"/>
      <c r="I47" s="59"/>
      <c r="J47" s="59"/>
      <c r="K47" s="59"/>
      <c r="L47" s="59"/>
      <c r="M47" s="59"/>
      <c r="N47" s="59"/>
      <c r="O47" s="62"/>
      <c r="P47" s="59"/>
    </row>
    <row r="48" spans="1:16">
      <c r="A48" s="59"/>
      <c r="B48" s="59"/>
      <c r="C48" s="61"/>
      <c r="D48" s="67" t="s">
        <v>72</v>
      </c>
      <c r="E48" s="59"/>
      <c r="F48" s="66"/>
      <c r="G48" s="67" t="s">
        <v>73</v>
      </c>
      <c r="H48" s="59"/>
      <c r="I48" s="59"/>
      <c r="J48" s="59"/>
      <c r="K48" s="59"/>
      <c r="L48" s="59"/>
      <c r="M48" s="59"/>
      <c r="N48" s="59"/>
      <c r="O48" s="61"/>
      <c r="P48" s="67" t="s">
        <v>74</v>
      </c>
    </row>
    <row r="49" spans="1:16">
      <c r="A49" s="59"/>
      <c r="B49" s="59"/>
      <c r="C49" s="59"/>
      <c r="D49" s="67" t="s">
        <v>59</v>
      </c>
      <c r="E49" s="59"/>
      <c r="F49" s="62"/>
      <c r="G49" s="73" t="s">
        <v>75</v>
      </c>
      <c r="H49" s="59"/>
      <c r="I49" s="59"/>
      <c r="J49" s="59"/>
      <c r="K49" s="59"/>
      <c r="L49" s="59"/>
      <c r="M49" s="59"/>
      <c r="N49" s="59"/>
      <c r="O49" s="62"/>
      <c r="P49" s="67" t="s">
        <v>76</v>
      </c>
    </row>
    <row r="50" spans="1:16">
      <c r="A50" s="59"/>
      <c r="B50" s="59"/>
      <c r="C50" s="59"/>
      <c r="D50" s="59"/>
      <c r="E50" s="59"/>
      <c r="F50" s="62"/>
      <c r="G50" s="59"/>
      <c r="H50" s="59"/>
      <c r="I50" s="59"/>
      <c r="J50" s="59"/>
      <c r="K50" s="59"/>
      <c r="L50" s="59"/>
      <c r="M50" s="59"/>
      <c r="N50" s="59"/>
      <c r="O50" s="62"/>
      <c r="P50" s="59"/>
    </row>
    <row r="51" spans="1:16">
      <c r="A51" s="59"/>
      <c r="B51" s="59"/>
      <c r="C51" s="59"/>
      <c r="D51" s="59"/>
      <c r="E51" s="59"/>
      <c r="F51" s="61"/>
      <c r="G51" s="67" t="s">
        <v>77</v>
      </c>
      <c r="H51" s="59"/>
      <c r="I51" s="59"/>
      <c r="J51" s="59"/>
      <c r="K51" s="59"/>
      <c r="L51" s="59"/>
      <c r="M51" s="59"/>
      <c r="N51" s="59"/>
      <c r="O51" s="61"/>
      <c r="P51" s="67" t="s">
        <v>78</v>
      </c>
    </row>
    <row r="52" spans="1:16">
      <c r="A52" s="59"/>
      <c r="B52" s="59"/>
      <c r="C52" s="59"/>
      <c r="D52" s="59"/>
      <c r="E52" s="59"/>
      <c r="F52" s="63"/>
      <c r="G52" s="73" t="s">
        <v>75</v>
      </c>
      <c r="H52" s="59"/>
      <c r="I52" s="59"/>
      <c r="J52" s="59"/>
      <c r="K52" s="59"/>
      <c r="L52" s="59"/>
      <c r="M52" s="59"/>
      <c r="N52" s="59"/>
      <c r="O52" s="59"/>
      <c r="P52" s="67" t="s">
        <v>79</v>
      </c>
    </row>
    <row r="53" spans="1:16">
      <c r="A53" s="59"/>
      <c r="B53" s="59"/>
      <c r="C53" s="59"/>
      <c r="D53" s="59"/>
      <c r="E53" s="59"/>
      <c r="F53" s="62"/>
      <c r="G53" s="59"/>
      <c r="H53" s="59"/>
      <c r="I53" s="59"/>
      <c r="J53" s="59"/>
      <c r="K53" s="59"/>
      <c r="L53" s="59"/>
      <c r="M53" s="59"/>
      <c r="N53" s="59"/>
      <c r="O53" s="59"/>
      <c r="P53" s="59"/>
    </row>
    <row r="54" spans="1:16">
      <c r="B54" s="59"/>
      <c r="C54" s="59"/>
      <c r="D54" s="59"/>
      <c r="E54" s="59"/>
      <c r="F54" s="66"/>
      <c r="G54" s="67" t="s">
        <v>80</v>
      </c>
      <c r="H54" s="59"/>
      <c r="I54" s="59"/>
      <c r="J54" s="59"/>
      <c r="K54" s="59"/>
      <c r="L54" s="59"/>
      <c r="M54" s="59"/>
      <c r="N54" s="59"/>
      <c r="O54" s="59"/>
      <c r="P54" s="59"/>
    </row>
    <row r="55" spans="1:16">
      <c r="B55" s="59"/>
      <c r="C55" s="59"/>
      <c r="D55" s="59"/>
      <c r="E55" s="59"/>
      <c r="F55" s="59"/>
      <c r="G55" s="73" t="s">
        <v>75</v>
      </c>
      <c r="H55" s="59"/>
      <c r="I55" s="59"/>
      <c r="J55" s="59"/>
      <c r="K55" s="59"/>
      <c r="L55" s="59"/>
      <c r="M55" s="59"/>
      <c r="N55" s="59"/>
      <c r="O55" s="59"/>
      <c r="P55" s="59"/>
    </row>
  </sheetData>
  <mergeCells count="42">
    <mergeCell ref="B7:C7"/>
    <mergeCell ref="F7:G7"/>
    <mergeCell ref="J7:K7"/>
    <mergeCell ref="F2:G2"/>
    <mergeCell ref="F3:G3"/>
    <mergeCell ref="B6:C6"/>
    <mergeCell ref="F6:G6"/>
    <mergeCell ref="J6:K6"/>
    <mergeCell ref="B19:C19"/>
    <mergeCell ref="F19:G19"/>
    <mergeCell ref="J19:K19"/>
    <mergeCell ref="B20:C20"/>
    <mergeCell ref="F20:G20"/>
    <mergeCell ref="J20:K20"/>
    <mergeCell ref="B29:C29"/>
    <mergeCell ref="B22:C22"/>
    <mergeCell ref="F22:G22"/>
    <mergeCell ref="B23:C23"/>
    <mergeCell ref="F23:G23"/>
    <mergeCell ref="B25:C25"/>
    <mergeCell ref="F25:G25"/>
    <mergeCell ref="J25:K25"/>
    <mergeCell ref="B26:C26"/>
    <mergeCell ref="F26:G26"/>
    <mergeCell ref="J26:K26"/>
    <mergeCell ref="B28:C28"/>
    <mergeCell ref="H32:I32"/>
    <mergeCell ref="H33:I33"/>
    <mergeCell ref="H35:I35"/>
    <mergeCell ref="H36:I36"/>
    <mergeCell ref="B39:C39"/>
    <mergeCell ref="E39:F39"/>
    <mergeCell ref="H39:I39"/>
    <mergeCell ref="N42:O42"/>
    <mergeCell ref="N43:O43"/>
    <mergeCell ref="K39:L39"/>
    <mergeCell ref="N39:O39"/>
    <mergeCell ref="B40:C40"/>
    <mergeCell ref="E40:F40"/>
    <mergeCell ref="H40:I40"/>
    <mergeCell ref="K40:L40"/>
    <mergeCell ref="N40:O40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O16"/>
  <sheetViews>
    <sheetView showGridLines="0" workbookViewId="0">
      <selection activeCell="L18" sqref="L18"/>
    </sheetView>
  </sheetViews>
  <sheetFormatPr baseColWidth="10" defaultRowHeight="11.25"/>
  <cols>
    <col min="1" max="1" width="1.5703125" style="1" customWidth="1"/>
    <col min="2" max="2" width="4" style="1" customWidth="1"/>
    <col min="3" max="3" width="10.7109375" style="3" customWidth="1"/>
    <col min="4" max="4" width="12.5703125" style="3" bestFit="1" customWidth="1"/>
    <col min="5" max="5" width="10.28515625" style="3" customWidth="1"/>
    <col min="6" max="6" width="12.42578125" style="3" customWidth="1"/>
    <col min="7" max="7" width="9.7109375" style="3" customWidth="1"/>
    <col min="8" max="8" width="11.7109375" style="3" bestFit="1" customWidth="1"/>
    <col min="9" max="9" width="9.85546875" style="4" customWidth="1"/>
    <col min="10" max="10" width="8.7109375" style="5" customWidth="1"/>
    <col min="11" max="12" width="10.7109375" style="6" customWidth="1"/>
    <col min="13" max="13" width="12.5703125" style="7" bestFit="1" customWidth="1"/>
    <col min="14" max="14" width="10.7109375" style="7" customWidth="1"/>
    <col min="15" max="15" width="12.5703125" style="7" bestFit="1" customWidth="1"/>
    <col min="16" max="16384" width="11.42578125" style="1"/>
  </cols>
  <sheetData>
    <row r="1" spans="1:15" ht="15.75">
      <c r="B1" s="2" t="s">
        <v>0</v>
      </c>
    </row>
    <row r="3" spans="1:15">
      <c r="B3" s="1" t="s">
        <v>1</v>
      </c>
      <c r="O3" s="8">
        <f ca="1">TODAY()</f>
        <v>46168</v>
      </c>
    </row>
    <row r="4" spans="1:15">
      <c r="B4" s="1" t="s">
        <v>2</v>
      </c>
    </row>
    <row r="5" spans="1:15">
      <c r="B5" s="9" t="s">
        <v>3</v>
      </c>
    </row>
    <row r="7" spans="1:15" s="10" customFormat="1" ht="30" customHeight="1">
      <c r="B7" s="11" t="s">
        <v>4</v>
      </c>
      <c r="C7" s="12" t="s">
        <v>5</v>
      </c>
      <c r="D7" s="13" t="s">
        <v>6</v>
      </c>
      <c r="E7" s="14" t="s">
        <v>7</v>
      </c>
      <c r="F7" s="14" t="s">
        <v>8</v>
      </c>
      <c r="G7" s="13" t="s">
        <v>9</v>
      </c>
      <c r="H7" s="13" t="s">
        <v>10</v>
      </c>
      <c r="I7" s="15" t="s">
        <v>11</v>
      </c>
      <c r="J7" s="15" t="s">
        <v>12</v>
      </c>
      <c r="K7" s="16" t="s">
        <v>13</v>
      </c>
      <c r="L7" s="17" t="s">
        <v>14</v>
      </c>
      <c r="M7" s="18" t="s">
        <v>15</v>
      </c>
      <c r="N7" s="18" t="s">
        <v>16</v>
      </c>
      <c r="O7" s="18" t="s">
        <v>17</v>
      </c>
    </row>
    <row r="8" spans="1:15" s="10" customFormat="1" ht="24.95" customHeight="1">
      <c r="B8" s="13">
        <v>317</v>
      </c>
      <c r="C8" s="19">
        <v>93989</v>
      </c>
      <c r="D8" s="13">
        <v>7581200</v>
      </c>
      <c r="E8" s="20">
        <v>253450</v>
      </c>
      <c r="F8" s="21">
        <v>25440300</v>
      </c>
      <c r="G8" s="21">
        <v>0</v>
      </c>
      <c r="H8" s="21">
        <v>0</v>
      </c>
      <c r="I8" s="21">
        <v>0</v>
      </c>
      <c r="J8" s="21">
        <v>0</v>
      </c>
      <c r="K8" s="21">
        <v>0</v>
      </c>
      <c r="L8" s="21">
        <v>0</v>
      </c>
      <c r="M8" s="19">
        <f>'Recap coupeuses FD'!D8+F8</f>
        <v>33021500</v>
      </c>
      <c r="N8" s="19">
        <f>B8*2000</f>
        <v>634000</v>
      </c>
      <c r="O8" s="19">
        <f>M8-N8</f>
        <v>32387500</v>
      </c>
    </row>
    <row r="9" spans="1:15" s="22" customFormat="1" ht="24.95" customHeight="1">
      <c r="A9" s="1"/>
      <c r="B9" s="11">
        <v>18</v>
      </c>
      <c r="C9" s="19">
        <v>6968</v>
      </c>
      <c r="D9" s="19">
        <v>487760</v>
      </c>
      <c r="E9" s="19"/>
      <c r="F9" s="19"/>
      <c r="G9" s="19"/>
      <c r="H9" s="19"/>
      <c r="I9" s="19"/>
      <c r="J9" s="19"/>
      <c r="K9" s="19"/>
      <c r="L9" s="19"/>
      <c r="M9" s="19">
        <f>'Recap coupeuses FD'!D9</f>
        <v>487760</v>
      </c>
      <c r="N9" s="19">
        <f>B9*2000</f>
        <v>36000</v>
      </c>
      <c r="O9" s="19">
        <f>M9-N9</f>
        <v>451760</v>
      </c>
    </row>
    <row r="10" spans="1:15" s="22" customFormat="1" ht="24.95" customHeight="1">
      <c r="A10" s="1"/>
      <c r="B10" s="11">
        <v>10</v>
      </c>
      <c r="C10" s="19">
        <v>42765</v>
      </c>
      <c r="D10" s="19">
        <v>2993550</v>
      </c>
      <c r="E10" s="19"/>
      <c r="F10" s="19"/>
      <c r="G10" s="19"/>
      <c r="H10" s="19"/>
      <c r="I10" s="19"/>
      <c r="J10" s="19"/>
      <c r="K10" s="19"/>
      <c r="L10" s="19"/>
      <c r="M10" s="19">
        <f>'Recap coupeuses FD'!D10</f>
        <v>2993550</v>
      </c>
      <c r="N10" s="19">
        <f>B10*2000</f>
        <v>20000</v>
      </c>
      <c r="O10" s="19">
        <f>M10-N10</f>
        <v>2973550</v>
      </c>
    </row>
    <row r="11" spans="1:15">
      <c r="B11" s="23">
        <f>SUM(B8:B10)</f>
        <v>345</v>
      </c>
      <c r="C11" s="24">
        <f>SUM(C8:C10)</f>
        <v>143722</v>
      </c>
      <c r="D11" s="24">
        <f t="shared" ref="D11:O11" si="0">SUM(D8:D10)</f>
        <v>11062510</v>
      </c>
      <c r="E11" s="24">
        <f t="shared" si="0"/>
        <v>253450</v>
      </c>
      <c r="F11" s="24">
        <f t="shared" si="0"/>
        <v>25440300</v>
      </c>
      <c r="G11" s="24">
        <f t="shared" si="0"/>
        <v>0</v>
      </c>
      <c r="H11" s="24">
        <f t="shared" si="0"/>
        <v>0</v>
      </c>
      <c r="I11" s="24">
        <f t="shared" si="0"/>
        <v>0</v>
      </c>
      <c r="J11" s="24">
        <f t="shared" si="0"/>
        <v>0</v>
      </c>
      <c r="K11" s="24">
        <f t="shared" si="0"/>
        <v>0</v>
      </c>
      <c r="L11" s="24">
        <f t="shared" si="0"/>
        <v>0</v>
      </c>
      <c r="M11" s="24">
        <f t="shared" si="0"/>
        <v>36502810</v>
      </c>
      <c r="N11" s="24">
        <f>SUM(N8:N10)</f>
        <v>690000</v>
      </c>
      <c r="O11" s="24">
        <f t="shared" si="0"/>
        <v>35812810</v>
      </c>
    </row>
    <row r="13" spans="1:15">
      <c r="B13" s="22"/>
    </row>
    <row r="15" spans="1:15">
      <c r="M15" s="25"/>
      <c r="N15" s="1267"/>
      <c r="O15" s="1267"/>
    </row>
    <row r="16" spans="1:15">
      <c r="K16" s="26"/>
    </row>
  </sheetData>
  <mergeCells count="1">
    <mergeCell ref="N15:O15"/>
  </mergeCells>
  <pageMargins left="0.2" right="0.2" top="0.74803149606299213" bottom="0.74803149606299213" header="0.31496062992125984" footer="0.31496062992125984"/>
  <pageSetup paperSize="9" scale="75" orientation="landscape" vertic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W78"/>
  <sheetViews>
    <sheetView topLeftCell="H27" workbookViewId="0">
      <selection activeCell="U74" sqref="U74"/>
    </sheetView>
  </sheetViews>
  <sheetFormatPr baseColWidth="10" defaultRowHeight="11.25"/>
  <cols>
    <col min="1" max="6" width="11.42578125" style="1"/>
    <col min="7" max="7" width="12.5703125" style="27" bestFit="1" customWidth="1"/>
    <col min="8" max="13" width="11.5703125" style="27" bestFit="1" customWidth="1"/>
    <col min="14" max="14" width="12.5703125" style="27" bestFit="1" customWidth="1"/>
    <col min="15" max="19" width="11.5703125" style="27" bestFit="1" customWidth="1"/>
    <col min="20" max="20" width="12.5703125" style="27" bestFit="1" customWidth="1"/>
    <col min="21" max="16384" width="11.42578125" style="1"/>
  </cols>
  <sheetData>
    <row r="1" spans="1:23">
      <c r="A1" s="29" t="str">
        <f>"Matricule"</f>
        <v>Matricule</v>
      </c>
      <c r="B1" s="29" t="str">
        <f>"NOM"</f>
        <v>NOM</v>
      </c>
      <c r="C1" s="29" t="str">
        <f>"PRENOMS"</f>
        <v>PRENOMS</v>
      </c>
      <c r="D1" s="29" t="str">
        <f>"FONCTION"</f>
        <v>FONCTION</v>
      </c>
      <c r="E1" s="29" t="str">
        <f>"entree"</f>
        <v>entree</v>
      </c>
      <c r="F1" s="29" t="str">
        <f>"CAT"</f>
        <v>CAT</v>
      </c>
      <c r="G1" s="30" t="str">
        <f>"Base"</f>
        <v>Base</v>
      </c>
      <c r="H1" s="30" t="str">
        <f>"ALLOCATION DE CONGES"</f>
        <v>ALLOCATION DE CONGES</v>
      </c>
      <c r="I1" s="30" t="str">
        <f>"HEURES SUPP"</f>
        <v>HEURES SUPP</v>
      </c>
      <c r="J1" s="30" t="str">
        <f>"NBRES"</f>
        <v>NBRES</v>
      </c>
      <c r="K1" s="30" t="str">
        <f>"ABSENCE"</f>
        <v>ABSENCE</v>
      </c>
      <c r="L1" s="30" t="str">
        <f>"INDEMNITE"</f>
        <v>INDEMNITE</v>
      </c>
      <c r="M1" s="30" t="str">
        <f>"RAPPEL SUR SALAIRE"</f>
        <v>RAPPEL SUR SALAIRE</v>
      </c>
      <c r="N1" s="30" t="str">
        <f>"BRUT"</f>
        <v>BRUT</v>
      </c>
      <c r="O1" s="30" t="str">
        <f>"IRSA"</f>
        <v>IRSA</v>
      </c>
      <c r="P1" s="30" t="str">
        <f>"RET CNAPS"</f>
        <v>RET CNAPS</v>
      </c>
      <c r="Q1" s="30" t="str">
        <f>"PAIEMENT ESP"</f>
        <v>PAIEMENT ESP</v>
      </c>
      <c r="R1" s="30" t="str">
        <f>"ANC ARR"</f>
        <v>ANC ARR</v>
      </c>
      <c r="S1" s="30" t="str">
        <f>"NOUV ARR"</f>
        <v>NOUV ARR</v>
      </c>
      <c r="T1" s="30" t="str">
        <f>"NET A PAYER"</f>
        <v>NET A PAYER</v>
      </c>
      <c r="U1" s="29" t="str">
        <f>"UNITE"</f>
        <v>UNITE</v>
      </c>
      <c r="V1" s="29" t="str">
        <f>"Intitulé établissement"</f>
        <v>Intitulé établissement</v>
      </c>
      <c r="W1" s="29" t="str">
        <f>"MODE DE PAIEMENT"</f>
        <v>MODE DE PAIEMENT</v>
      </c>
    </row>
    <row r="2" spans="1:23">
      <c r="A2" s="29" t="str">
        <f>" 0760"</f>
        <v xml:space="preserve"> 0760</v>
      </c>
      <c r="B2" s="29" t="str">
        <f>"REFILA"</f>
        <v>REFILA</v>
      </c>
      <c r="C2" s="29" t="str">
        <f>"Mosa"</f>
        <v>Mosa</v>
      </c>
      <c r="D2" s="29" t="str">
        <f>"TEMP CENTRALE"</f>
        <v>TEMP CENTRALE</v>
      </c>
      <c r="E2" s="31">
        <v>42339</v>
      </c>
      <c r="F2" s="29" t="str">
        <f>"M1"</f>
        <v>M1</v>
      </c>
      <c r="G2" s="30">
        <v>155523</v>
      </c>
      <c r="H2" s="30">
        <v>0</v>
      </c>
      <c r="I2" s="30">
        <v>20529.54</v>
      </c>
      <c r="J2" s="30">
        <v>0</v>
      </c>
      <c r="K2" s="30">
        <v>0</v>
      </c>
      <c r="L2" s="30">
        <v>0</v>
      </c>
      <c r="M2" s="30">
        <v>0</v>
      </c>
      <c r="N2" s="30">
        <v>176052.54</v>
      </c>
      <c r="O2" s="30">
        <v>2000</v>
      </c>
      <c r="P2" s="30">
        <v>0</v>
      </c>
      <c r="Q2" s="30">
        <v>0</v>
      </c>
      <c r="R2" s="30">
        <v>3.08</v>
      </c>
      <c r="S2" s="30">
        <v>55.62</v>
      </c>
      <c r="T2" s="30">
        <v>174000</v>
      </c>
      <c r="U2" s="29" t="str">
        <f>"TEMPORAIRE"</f>
        <v>TEMPORAIRE</v>
      </c>
      <c r="V2" s="29" t="str">
        <f t="shared" ref="V2:V65" si="0">"SOCIETE DES MINES D'AMPANDRANDAVA"</f>
        <v>SOCIETE DES MINES D'AMPANDRANDAVA</v>
      </c>
      <c r="W2" s="29" t="str">
        <f t="shared" ref="W2:W9" si="1">"Espèces"</f>
        <v>Espèces</v>
      </c>
    </row>
    <row r="3" spans="1:23">
      <c r="A3" s="29" t="str">
        <f>"01096"</f>
        <v>01096</v>
      </c>
      <c r="B3" s="29" t="str">
        <f>"TOLISOA"</f>
        <v>TOLISOA</v>
      </c>
      <c r="C3" s="29" t="str">
        <f>""</f>
        <v/>
      </c>
      <c r="D3" s="29" t="str">
        <f>"AGENT DE SECURITE"</f>
        <v>AGENT DE SECURITE</v>
      </c>
      <c r="E3" s="31">
        <v>34360</v>
      </c>
      <c r="F3" s="29" t="str">
        <f>"4A"</f>
        <v>4A</v>
      </c>
      <c r="G3" s="30">
        <v>212393</v>
      </c>
      <c r="H3" s="30">
        <v>0</v>
      </c>
      <c r="I3" s="30">
        <v>0</v>
      </c>
      <c r="J3" s="30">
        <v>0</v>
      </c>
      <c r="K3" s="30">
        <v>0</v>
      </c>
      <c r="L3" s="30">
        <v>0</v>
      </c>
      <c r="M3" s="30">
        <v>0</v>
      </c>
      <c r="N3" s="30">
        <v>212393</v>
      </c>
      <c r="O3" s="30">
        <v>2000</v>
      </c>
      <c r="P3" s="30">
        <v>2123.9299999999998</v>
      </c>
      <c r="Q3" s="30">
        <v>0</v>
      </c>
      <c r="R3" s="30">
        <v>71.98</v>
      </c>
      <c r="S3" s="30">
        <v>41.05</v>
      </c>
      <c r="T3" s="30">
        <v>208300</v>
      </c>
      <c r="U3" s="29" t="str">
        <f>"PERMANENT"</f>
        <v>PERMANENT</v>
      </c>
      <c r="V3" s="29" t="str">
        <f t="shared" si="0"/>
        <v>SOCIETE DES MINES D'AMPANDRANDAVA</v>
      </c>
      <c r="W3" s="29" t="str">
        <f t="shared" si="1"/>
        <v>Espèces</v>
      </c>
    </row>
    <row r="4" spans="1:23">
      <c r="A4" s="29" t="str">
        <f>"01120"</f>
        <v>01120</v>
      </c>
      <c r="B4" s="29" t="str">
        <f>"JEAN BAPTISTE"</f>
        <v>JEAN BAPTISTE</v>
      </c>
      <c r="C4" s="29" t="str">
        <f>""</f>
        <v/>
      </c>
      <c r="D4" s="29" t="str">
        <f>"MECANICIEN"</f>
        <v>MECANICIEN</v>
      </c>
      <c r="E4" s="31">
        <v>32874</v>
      </c>
      <c r="F4" s="29" t="str">
        <f>"OP3"</f>
        <v>OP3</v>
      </c>
      <c r="G4" s="30">
        <v>315108</v>
      </c>
      <c r="H4" s="30">
        <v>0</v>
      </c>
      <c r="I4" s="30">
        <v>90716.71</v>
      </c>
      <c r="J4" s="30">
        <v>0</v>
      </c>
      <c r="K4" s="30">
        <v>0</v>
      </c>
      <c r="L4" s="30">
        <v>0</v>
      </c>
      <c r="M4" s="30">
        <v>0</v>
      </c>
      <c r="N4" s="30">
        <v>405824.71</v>
      </c>
      <c r="O4" s="30">
        <v>24340</v>
      </c>
      <c r="P4" s="30">
        <v>4058.25</v>
      </c>
      <c r="Q4" s="30">
        <v>0</v>
      </c>
      <c r="R4" s="30">
        <v>15.63</v>
      </c>
      <c r="S4" s="30">
        <v>42.09</v>
      </c>
      <c r="T4" s="30">
        <v>377400</v>
      </c>
      <c r="U4" s="29" t="str">
        <f>"PERMANENT"</f>
        <v>PERMANENT</v>
      </c>
      <c r="V4" s="29" t="str">
        <f t="shared" si="0"/>
        <v>SOCIETE DES MINES D'AMPANDRANDAVA</v>
      </c>
      <c r="W4" s="29" t="str">
        <f t="shared" si="1"/>
        <v>Espèces</v>
      </c>
    </row>
    <row r="5" spans="1:23">
      <c r="A5" s="29" t="str">
        <f>"01196"</f>
        <v>01196</v>
      </c>
      <c r="B5" s="29" t="str">
        <f>"BRUNO"</f>
        <v>BRUNO</v>
      </c>
      <c r="C5" s="29" t="str">
        <f>""</f>
        <v/>
      </c>
      <c r="D5" s="29" t="str">
        <f>"AGENT DE SECURITE"</f>
        <v>AGENT DE SECURITE</v>
      </c>
      <c r="E5" s="31">
        <v>42060</v>
      </c>
      <c r="F5" s="29" t="str">
        <f>"5A"</f>
        <v>5A</v>
      </c>
      <c r="G5" s="30">
        <v>246051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246051</v>
      </c>
      <c r="O5" s="30">
        <v>2000</v>
      </c>
      <c r="P5" s="30">
        <v>2460.5100000000002</v>
      </c>
      <c r="Q5" s="30">
        <v>0</v>
      </c>
      <c r="R5" s="30">
        <v>77.849999999999994</v>
      </c>
      <c r="S5" s="30">
        <v>68.34</v>
      </c>
      <c r="T5" s="30">
        <v>241600</v>
      </c>
      <c r="U5" s="29" t="str">
        <f>"PERMANENT"</f>
        <v>PERMANENT</v>
      </c>
      <c r="V5" s="29" t="str">
        <f t="shared" si="0"/>
        <v>SOCIETE DES MINES D'AMPANDRANDAVA</v>
      </c>
      <c r="W5" s="29" t="str">
        <f t="shared" si="1"/>
        <v>Espèces</v>
      </c>
    </row>
    <row r="6" spans="1:23">
      <c r="A6" s="29" t="str">
        <f>"01227"</f>
        <v>01227</v>
      </c>
      <c r="B6" s="29" t="str">
        <f>"RAYMOND NOEL"</f>
        <v>RAYMOND NOEL</v>
      </c>
      <c r="C6" s="29" t="str">
        <f>""</f>
        <v/>
      </c>
      <c r="D6" s="29" t="str">
        <f>"AGENT DE SECURITE"</f>
        <v>AGENT DE SECURITE</v>
      </c>
      <c r="E6" s="31">
        <v>34209</v>
      </c>
      <c r="F6" s="29" t="str">
        <f>"3B"</f>
        <v>3B</v>
      </c>
      <c r="G6" s="30">
        <v>200207</v>
      </c>
      <c r="H6" s="30">
        <v>0</v>
      </c>
      <c r="I6" s="30">
        <v>0</v>
      </c>
      <c r="J6" s="30">
        <v>0</v>
      </c>
      <c r="K6" s="30">
        <v>0</v>
      </c>
      <c r="L6" s="30">
        <v>0</v>
      </c>
      <c r="M6" s="30">
        <v>0</v>
      </c>
      <c r="N6" s="30">
        <v>200207</v>
      </c>
      <c r="O6" s="30">
        <v>2000</v>
      </c>
      <c r="P6" s="30">
        <v>2002.07</v>
      </c>
      <c r="Q6" s="30">
        <v>0</v>
      </c>
      <c r="R6" s="30">
        <v>11.7</v>
      </c>
      <c r="S6" s="30">
        <v>16.63</v>
      </c>
      <c r="T6" s="30">
        <v>196200</v>
      </c>
      <c r="U6" s="29" t="str">
        <f>"PERMANENT"</f>
        <v>PERMANENT</v>
      </c>
      <c r="V6" s="29" t="str">
        <f t="shared" si="0"/>
        <v>SOCIETE DES MINES D'AMPANDRANDAVA</v>
      </c>
      <c r="W6" s="29" t="str">
        <f t="shared" si="1"/>
        <v>Espèces</v>
      </c>
    </row>
    <row r="7" spans="1:23">
      <c r="A7" s="29" t="str">
        <f>"01276"</f>
        <v>01276</v>
      </c>
      <c r="B7" s="29" t="str">
        <f>"ANDRIANJAKASOA"</f>
        <v>ANDRIANJAKASOA</v>
      </c>
      <c r="C7" s="29" t="str">
        <f>"Lala"</f>
        <v>Lala</v>
      </c>
      <c r="D7" s="29" t="str">
        <f>"CHEF D'EXPLOITATION"</f>
        <v>CHEF D'EXPLOITATION</v>
      </c>
      <c r="E7" s="31">
        <v>35236</v>
      </c>
      <c r="F7" s="29" t="str">
        <f>"HC"</f>
        <v>HC</v>
      </c>
      <c r="G7" s="30">
        <v>295000</v>
      </c>
      <c r="H7" s="30">
        <v>0</v>
      </c>
      <c r="I7" s="30">
        <v>0</v>
      </c>
      <c r="J7" s="30">
        <v>22</v>
      </c>
      <c r="K7" s="30">
        <v>0</v>
      </c>
      <c r="L7" s="30">
        <v>80000</v>
      </c>
      <c r="M7" s="30">
        <v>0</v>
      </c>
      <c r="N7" s="30">
        <v>375000</v>
      </c>
      <c r="O7" s="30">
        <v>9000</v>
      </c>
      <c r="P7" s="30">
        <v>0</v>
      </c>
      <c r="Q7" s="30">
        <v>0</v>
      </c>
      <c r="R7" s="30">
        <v>0</v>
      </c>
      <c r="S7" s="30">
        <v>0</v>
      </c>
      <c r="T7" s="30">
        <v>366000</v>
      </c>
      <c r="U7" s="29" t="str">
        <f>"TEMPORAIRE"</f>
        <v>TEMPORAIRE</v>
      </c>
      <c r="V7" s="29" t="str">
        <f t="shared" si="0"/>
        <v>SOCIETE DES MINES D'AMPANDRANDAVA</v>
      </c>
      <c r="W7" s="29" t="str">
        <f t="shared" si="1"/>
        <v>Espèces</v>
      </c>
    </row>
    <row r="8" spans="1:23">
      <c r="A8" s="29" t="str">
        <f>"01319"</f>
        <v>01319</v>
      </c>
      <c r="B8" s="29" t="str">
        <f>"FAHAMARO"</f>
        <v>FAHAMARO</v>
      </c>
      <c r="C8" s="29" t="str">
        <f>"Olivier"</f>
        <v>Olivier</v>
      </c>
      <c r="D8" s="29" t="str">
        <f>"AGENT DE SECURITE"</f>
        <v>AGENT DE SECURITE</v>
      </c>
      <c r="E8" s="31">
        <v>37105</v>
      </c>
      <c r="F8" s="29" t="str">
        <f>"4A"</f>
        <v>4A</v>
      </c>
      <c r="G8" s="30">
        <v>212393</v>
      </c>
      <c r="H8" s="30">
        <v>0</v>
      </c>
      <c r="I8" s="30">
        <v>0</v>
      </c>
      <c r="J8" s="30">
        <v>0</v>
      </c>
      <c r="K8" s="30">
        <v>0</v>
      </c>
      <c r="L8" s="30">
        <v>0</v>
      </c>
      <c r="M8" s="30">
        <v>0</v>
      </c>
      <c r="N8" s="30">
        <v>212393</v>
      </c>
      <c r="O8" s="30">
        <v>2000</v>
      </c>
      <c r="P8" s="30">
        <v>2123.9299999999998</v>
      </c>
      <c r="Q8" s="30">
        <v>0</v>
      </c>
      <c r="R8" s="30">
        <v>55.61</v>
      </c>
      <c r="S8" s="30">
        <v>24.68</v>
      </c>
      <c r="T8" s="30">
        <v>208300</v>
      </c>
      <c r="U8" s="29" t="str">
        <f>"PERMANENT"</f>
        <v>PERMANENT</v>
      </c>
      <c r="V8" s="29" t="str">
        <f t="shared" si="0"/>
        <v>SOCIETE DES MINES D'AMPANDRANDAVA</v>
      </c>
      <c r="W8" s="29" t="str">
        <f t="shared" si="1"/>
        <v>Espèces</v>
      </c>
    </row>
    <row r="9" spans="1:23">
      <c r="A9" s="29" t="str">
        <f>"01322"</f>
        <v>01322</v>
      </c>
      <c r="B9" s="29" t="str">
        <f>"RAZAFINDRALAMBO"</f>
        <v>RAZAFINDRALAMBO</v>
      </c>
      <c r="C9" s="29" t="str">
        <f>"Odilon"</f>
        <v>Odilon</v>
      </c>
      <c r="D9" s="29" t="str">
        <f>"MACON"</f>
        <v>MACON</v>
      </c>
      <c r="E9" s="31">
        <v>37773</v>
      </c>
      <c r="F9" s="29" t="str">
        <f>"OP1B"</f>
        <v>OP1B</v>
      </c>
      <c r="G9" s="30">
        <v>212393</v>
      </c>
      <c r="H9" s="30">
        <v>0</v>
      </c>
      <c r="I9" s="30">
        <v>0</v>
      </c>
      <c r="J9" s="30">
        <v>0</v>
      </c>
      <c r="K9" s="30">
        <v>0</v>
      </c>
      <c r="L9" s="30">
        <v>0</v>
      </c>
      <c r="M9" s="30">
        <v>0</v>
      </c>
      <c r="N9" s="30">
        <v>212393</v>
      </c>
      <c r="O9" s="30">
        <v>2000</v>
      </c>
      <c r="P9" s="30">
        <v>2123.9299999999998</v>
      </c>
      <c r="Q9" s="30">
        <v>0</v>
      </c>
      <c r="R9" s="30">
        <v>61.1</v>
      </c>
      <c r="S9" s="30">
        <v>30.17</v>
      </c>
      <c r="T9" s="30">
        <v>208300</v>
      </c>
      <c r="U9" s="29" t="str">
        <f>"PERMANENT"</f>
        <v>PERMANENT</v>
      </c>
      <c r="V9" s="29" t="str">
        <f t="shared" si="0"/>
        <v>SOCIETE DES MINES D'AMPANDRANDAVA</v>
      </c>
      <c r="W9" s="29" t="str">
        <f t="shared" si="1"/>
        <v>Espèces</v>
      </c>
    </row>
    <row r="10" spans="1:23">
      <c r="A10" s="29" t="str">
        <f>"01325"</f>
        <v>01325</v>
      </c>
      <c r="B10" s="29" t="str">
        <f>"RAHERINIAINA"</f>
        <v>RAHERINIAINA</v>
      </c>
      <c r="C10" s="29" t="str">
        <f>"Elie Charl"</f>
        <v>Elie Charl</v>
      </c>
      <c r="D10" s="29" t="str">
        <f>"CHEF DE POSTE"</f>
        <v>CHEF DE POSTE</v>
      </c>
      <c r="E10" s="31">
        <v>39023</v>
      </c>
      <c r="F10" s="29" t="str">
        <f>"3A"</f>
        <v>3A</v>
      </c>
      <c r="G10" s="30">
        <v>182797</v>
      </c>
      <c r="H10" s="30">
        <v>30466.15</v>
      </c>
      <c r="I10" s="30">
        <v>0</v>
      </c>
      <c r="J10" s="30">
        <v>0</v>
      </c>
      <c r="K10" s="30">
        <v>30466.15</v>
      </c>
      <c r="L10" s="30">
        <v>0</v>
      </c>
      <c r="M10" s="30">
        <v>0</v>
      </c>
      <c r="N10" s="30">
        <v>182797</v>
      </c>
      <c r="O10" s="30">
        <v>2000</v>
      </c>
      <c r="P10" s="30">
        <v>1827.97</v>
      </c>
      <c r="Q10" s="30">
        <v>0</v>
      </c>
      <c r="R10" s="30">
        <v>11.96</v>
      </c>
      <c r="S10" s="30">
        <v>80.989999999999995</v>
      </c>
      <c r="T10" s="30">
        <v>178900</v>
      </c>
      <c r="U10" s="29" t="str">
        <f>"PERMANENT"</f>
        <v>PERMANENT</v>
      </c>
      <c r="V10" s="29" t="str">
        <f t="shared" si="0"/>
        <v>SOCIETE DES MINES D'AMPANDRANDAVA</v>
      </c>
      <c r="W10" s="29" t="str">
        <f>"Virement"</f>
        <v>Virement</v>
      </c>
    </row>
    <row r="11" spans="1:23">
      <c r="A11" s="29" t="str">
        <f>"01326"</f>
        <v>01326</v>
      </c>
      <c r="B11" s="29" t="str">
        <f>"LAHA"</f>
        <v>LAHA</v>
      </c>
      <c r="C11" s="29" t="str">
        <f>"Claude Fra"</f>
        <v>Claude Fra</v>
      </c>
      <c r="D11" s="29" t="str">
        <f>"AGENT DE SECURITE"</f>
        <v>AGENT DE SECURITE</v>
      </c>
      <c r="E11" s="31">
        <v>39023</v>
      </c>
      <c r="F11" s="29" t="str">
        <f>"3A"</f>
        <v>3A</v>
      </c>
      <c r="G11" s="30">
        <v>182797</v>
      </c>
      <c r="H11" s="30">
        <v>0</v>
      </c>
      <c r="I11" s="30">
        <v>0</v>
      </c>
      <c r="J11" s="30">
        <v>0</v>
      </c>
      <c r="K11" s="30">
        <v>0</v>
      </c>
      <c r="L11" s="30">
        <v>0</v>
      </c>
      <c r="M11" s="30">
        <v>0</v>
      </c>
      <c r="N11" s="30">
        <v>182797</v>
      </c>
      <c r="O11" s="30">
        <v>2000</v>
      </c>
      <c r="P11" s="30">
        <v>1827.97</v>
      </c>
      <c r="Q11" s="30">
        <v>0</v>
      </c>
      <c r="R11" s="30">
        <v>4.5599999999999996</v>
      </c>
      <c r="S11" s="30">
        <v>73.59</v>
      </c>
      <c r="T11" s="30">
        <v>178900</v>
      </c>
      <c r="U11" s="29" t="str">
        <f>"PERMANENT"</f>
        <v>PERMANENT</v>
      </c>
      <c r="V11" s="29" t="str">
        <f t="shared" si="0"/>
        <v>SOCIETE DES MINES D'AMPANDRANDAVA</v>
      </c>
      <c r="W11" s="29" t="str">
        <f t="shared" ref="W11:W32" si="2">"Espèces"</f>
        <v>Espèces</v>
      </c>
    </row>
    <row r="12" spans="1:23">
      <c r="A12" s="29" t="str">
        <f>"01327"</f>
        <v>01327</v>
      </c>
      <c r="B12" s="29" t="str">
        <f>"MAKA"</f>
        <v>MAKA</v>
      </c>
      <c r="C12" s="29" t="str">
        <f>"Gilbert"</f>
        <v>Gilbert</v>
      </c>
      <c r="D12" s="29" t="str">
        <f>"AIDE MECANICIEN"</f>
        <v>AIDE MECANICIEN</v>
      </c>
      <c r="E12" s="31">
        <v>39167</v>
      </c>
      <c r="F12" s="29" t="str">
        <f>"M2"</f>
        <v>M2</v>
      </c>
      <c r="G12" s="30">
        <v>164227</v>
      </c>
      <c r="H12" s="30">
        <v>0</v>
      </c>
      <c r="I12" s="30">
        <v>0</v>
      </c>
      <c r="J12" s="30">
        <v>26</v>
      </c>
      <c r="K12" s="30">
        <v>0</v>
      </c>
      <c r="L12" s="30">
        <v>0</v>
      </c>
      <c r="M12" s="30">
        <v>0</v>
      </c>
      <c r="N12" s="30">
        <v>164227</v>
      </c>
      <c r="O12" s="30">
        <v>2000</v>
      </c>
      <c r="P12" s="30">
        <v>0</v>
      </c>
      <c r="Q12" s="30">
        <v>0</v>
      </c>
      <c r="R12" s="30">
        <v>83.49</v>
      </c>
      <c r="S12" s="30">
        <v>10.49</v>
      </c>
      <c r="T12" s="30">
        <v>162300</v>
      </c>
      <c r="U12" s="29" t="str">
        <f>"TEMPORAIRE"</f>
        <v>TEMPORAIRE</v>
      </c>
      <c r="V12" s="29" t="str">
        <f t="shared" si="0"/>
        <v>SOCIETE DES MINES D'AMPANDRANDAVA</v>
      </c>
      <c r="W12" s="29" t="str">
        <f t="shared" si="2"/>
        <v>Espèces</v>
      </c>
    </row>
    <row r="13" spans="1:23">
      <c r="A13" s="29" t="str">
        <f>"01331"</f>
        <v>01331</v>
      </c>
      <c r="B13" s="29" t="str">
        <f>"FANAHIA"</f>
        <v>FANAHIA</v>
      </c>
      <c r="C13" s="29" t="str">
        <f>"Bertrand G"</f>
        <v>Bertrand G</v>
      </c>
      <c r="D13" s="29" t="str">
        <f>"AGENT DE SECURITE"</f>
        <v>AGENT DE SECURITE</v>
      </c>
      <c r="E13" s="31">
        <v>40447</v>
      </c>
      <c r="F13" s="29" t="str">
        <f>"2B"</f>
        <v>2B</v>
      </c>
      <c r="G13" s="30">
        <v>172352</v>
      </c>
      <c r="H13" s="30">
        <v>0</v>
      </c>
      <c r="I13" s="30">
        <v>0</v>
      </c>
      <c r="J13" s="30">
        <v>0</v>
      </c>
      <c r="K13" s="30">
        <v>0</v>
      </c>
      <c r="L13" s="30">
        <v>0</v>
      </c>
      <c r="M13" s="30">
        <v>0</v>
      </c>
      <c r="N13" s="30">
        <v>172352</v>
      </c>
      <c r="O13" s="30">
        <v>2000</v>
      </c>
      <c r="P13" s="30">
        <v>1723.52</v>
      </c>
      <c r="Q13" s="30">
        <v>0</v>
      </c>
      <c r="R13" s="30">
        <v>1.77</v>
      </c>
      <c r="S13" s="30">
        <v>30.25</v>
      </c>
      <c r="T13" s="30">
        <v>168600</v>
      </c>
      <c r="U13" s="29" t="str">
        <f>"PERMANENT"</f>
        <v>PERMANENT</v>
      </c>
      <c r="V13" s="29" t="str">
        <f t="shared" si="0"/>
        <v>SOCIETE DES MINES D'AMPANDRANDAVA</v>
      </c>
      <c r="W13" s="29" t="str">
        <f t="shared" si="2"/>
        <v>Espèces</v>
      </c>
    </row>
    <row r="14" spans="1:23">
      <c r="A14" s="29" t="str">
        <f>"01334"</f>
        <v>01334</v>
      </c>
      <c r="B14" s="29" t="str">
        <f>"HOVA"</f>
        <v>HOVA</v>
      </c>
      <c r="C14" s="29" t="str">
        <f>"Claudine"</f>
        <v>Claudine</v>
      </c>
      <c r="D14" s="29" t="str">
        <f>"FEMME DE MENAGE"</f>
        <v>FEMME DE MENAGE</v>
      </c>
      <c r="E14" s="31">
        <v>40447</v>
      </c>
      <c r="F14" s="29" t="str">
        <f>"M1"</f>
        <v>M1</v>
      </c>
      <c r="G14" s="30">
        <v>159585</v>
      </c>
      <c r="H14" s="30">
        <v>0</v>
      </c>
      <c r="I14" s="30">
        <v>0</v>
      </c>
      <c r="J14" s="30">
        <v>0</v>
      </c>
      <c r="K14" s="30">
        <v>0</v>
      </c>
      <c r="L14" s="30">
        <v>0</v>
      </c>
      <c r="M14" s="30">
        <v>0</v>
      </c>
      <c r="N14" s="30">
        <v>159585</v>
      </c>
      <c r="O14" s="30">
        <v>2000</v>
      </c>
      <c r="P14" s="30">
        <v>1595.85</v>
      </c>
      <c r="Q14" s="30">
        <v>0</v>
      </c>
      <c r="R14" s="30">
        <v>43.96</v>
      </c>
      <c r="S14" s="30">
        <v>33.11</v>
      </c>
      <c r="T14" s="30">
        <v>156000</v>
      </c>
      <c r="U14" s="29" t="str">
        <f>"PERMANENT"</f>
        <v>PERMANENT</v>
      </c>
      <c r="V14" s="29" t="str">
        <f t="shared" si="0"/>
        <v>SOCIETE DES MINES D'AMPANDRANDAVA</v>
      </c>
      <c r="W14" s="29" t="str">
        <f t="shared" si="2"/>
        <v>Espèces</v>
      </c>
    </row>
    <row r="15" spans="1:23">
      <c r="A15" s="29" t="str">
        <f>"10027"</f>
        <v>10027</v>
      </c>
      <c r="B15" s="29" t="str">
        <f>"MILASOA"</f>
        <v>MILASOA</v>
      </c>
      <c r="C15" s="29" t="str">
        <f>"Gaetan"</f>
        <v>Gaetan</v>
      </c>
      <c r="D15" s="29" t="str">
        <f>"MAGASINIER"</f>
        <v>MAGASINIER</v>
      </c>
      <c r="E15" s="31">
        <v>33817</v>
      </c>
      <c r="F15" s="29" t="str">
        <f>"OP2A"</f>
        <v>OP2A</v>
      </c>
      <c r="G15" s="30">
        <v>240828</v>
      </c>
      <c r="H15" s="30">
        <v>0</v>
      </c>
      <c r="I15" s="30">
        <v>36124.92</v>
      </c>
      <c r="J15" s="30">
        <v>0</v>
      </c>
      <c r="K15" s="30">
        <v>0</v>
      </c>
      <c r="L15" s="30">
        <v>0</v>
      </c>
      <c r="M15" s="30">
        <v>0</v>
      </c>
      <c r="N15" s="30">
        <v>276952.92</v>
      </c>
      <c r="O15" s="30">
        <v>4820</v>
      </c>
      <c r="P15" s="30">
        <v>2769.53</v>
      </c>
      <c r="Q15" s="30">
        <v>0</v>
      </c>
      <c r="R15" s="30">
        <v>18.34</v>
      </c>
      <c r="S15" s="30">
        <v>81.73</v>
      </c>
      <c r="T15" s="30">
        <v>269300</v>
      </c>
      <c r="U15" s="29" t="str">
        <f>"PERMANENT"</f>
        <v>PERMANENT</v>
      </c>
      <c r="V15" s="29" t="str">
        <f t="shared" si="0"/>
        <v>SOCIETE DES MINES D'AMPANDRANDAVA</v>
      </c>
      <c r="W15" s="29" t="str">
        <f t="shared" si="2"/>
        <v>Espèces</v>
      </c>
    </row>
    <row r="16" spans="1:23">
      <c r="A16" s="29" t="str">
        <f>"10072"</f>
        <v>10072</v>
      </c>
      <c r="B16" s="29" t="str">
        <f>"RAZANAMAHEFA"</f>
        <v>RAZANAMAHEFA</v>
      </c>
      <c r="C16" s="29" t="str">
        <f>"Monique"</f>
        <v>Monique</v>
      </c>
      <c r="D16" s="29" t="str">
        <f>"RESP MICA"</f>
        <v>RESP MICA</v>
      </c>
      <c r="E16" s="31">
        <v>33817</v>
      </c>
      <c r="F16" s="29" t="str">
        <f>"OP1A"</f>
        <v>OP1A</v>
      </c>
      <c r="G16" s="30">
        <v>200207</v>
      </c>
      <c r="H16" s="30">
        <v>0</v>
      </c>
      <c r="I16" s="30">
        <v>108113.62</v>
      </c>
      <c r="J16" s="30">
        <v>0</v>
      </c>
      <c r="K16" s="30">
        <v>0</v>
      </c>
      <c r="L16" s="30">
        <v>0</v>
      </c>
      <c r="M16" s="30">
        <v>0</v>
      </c>
      <c r="N16" s="30">
        <v>308320.62</v>
      </c>
      <c r="O16" s="30">
        <v>11040</v>
      </c>
      <c r="P16" s="30">
        <v>3083.21</v>
      </c>
      <c r="Q16" s="30">
        <v>0</v>
      </c>
      <c r="R16" s="30">
        <v>70.91</v>
      </c>
      <c r="S16" s="30">
        <v>68.319999999999993</v>
      </c>
      <c r="T16" s="30">
        <v>294200</v>
      </c>
      <c r="U16" s="29" t="str">
        <f>"PERMANENT"</f>
        <v>PERMANENT</v>
      </c>
      <c r="V16" s="29" t="str">
        <f t="shared" si="0"/>
        <v>SOCIETE DES MINES D'AMPANDRANDAVA</v>
      </c>
      <c r="W16" s="29" t="str">
        <f t="shared" si="2"/>
        <v>Espèces</v>
      </c>
    </row>
    <row r="17" spans="1:23">
      <c r="A17" s="29" t="str">
        <f>"10100"</f>
        <v>10100</v>
      </c>
      <c r="B17" s="29" t="str">
        <f>"RASOAMAMPIONONA"</f>
        <v>RASOAMAMPIONONA</v>
      </c>
      <c r="C17" s="29" t="str">
        <f>"Alice"</f>
        <v>Alice</v>
      </c>
      <c r="D17" s="29" t="str">
        <f>"LINGERIE"</f>
        <v>LINGERIE</v>
      </c>
      <c r="E17" s="31">
        <v>36284</v>
      </c>
      <c r="F17" s="29" t="str">
        <f>"M2"</f>
        <v>M2</v>
      </c>
      <c r="G17" s="30">
        <v>164227</v>
      </c>
      <c r="H17" s="30">
        <v>0</v>
      </c>
      <c r="I17" s="30">
        <v>0</v>
      </c>
      <c r="J17" s="30">
        <v>0</v>
      </c>
      <c r="K17" s="30">
        <v>0</v>
      </c>
      <c r="L17" s="30">
        <v>0</v>
      </c>
      <c r="M17" s="30">
        <v>0</v>
      </c>
      <c r="N17" s="30">
        <v>164227</v>
      </c>
      <c r="O17" s="30">
        <v>2000</v>
      </c>
      <c r="P17" s="30">
        <v>1642.27</v>
      </c>
      <c r="Q17" s="30">
        <v>0</v>
      </c>
      <c r="R17" s="30">
        <v>16.190000000000001</v>
      </c>
      <c r="S17" s="30">
        <v>0.92</v>
      </c>
      <c r="T17" s="30">
        <v>160600</v>
      </c>
      <c r="U17" s="29" t="str">
        <f>"PERMANENT"</f>
        <v>PERMANENT</v>
      </c>
      <c r="V17" s="29" t="str">
        <f t="shared" si="0"/>
        <v>SOCIETE DES MINES D'AMPANDRANDAVA</v>
      </c>
      <c r="W17" s="29" t="str">
        <f t="shared" si="2"/>
        <v>Espèces</v>
      </c>
    </row>
    <row r="18" spans="1:23">
      <c r="A18" s="29" t="str">
        <f>"10101"</f>
        <v>10101</v>
      </c>
      <c r="B18" s="29" t="str">
        <f>"RALAIVAO"</f>
        <v>RALAIVAO</v>
      </c>
      <c r="C18" s="29" t="str">
        <f>"Seth Norbe"</f>
        <v>Seth Norbe</v>
      </c>
      <c r="D18" s="29" t="str">
        <f>"RECEPTIONNISTE"</f>
        <v>RECEPTIONNISTE</v>
      </c>
      <c r="E18" s="31">
        <v>36284</v>
      </c>
      <c r="F18" s="29" t="str">
        <f>"HC"</f>
        <v>HC</v>
      </c>
      <c r="G18" s="30">
        <v>295000</v>
      </c>
      <c r="H18" s="30">
        <v>0</v>
      </c>
      <c r="I18" s="30">
        <v>0</v>
      </c>
      <c r="J18" s="30">
        <v>0</v>
      </c>
      <c r="K18" s="30">
        <v>0</v>
      </c>
      <c r="L18" s="30">
        <v>0</v>
      </c>
      <c r="M18" s="30">
        <v>0</v>
      </c>
      <c r="N18" s="30">
        <v>295000</v>
      </c>
      <c r="O18" s="30">
        <v>7000</v>
      </c>
      <c r="P18" s="30">
        <v>0</v>
      </c>
      <c r="Q18" s="30">
        <v>0</v>
      </c>
      <c r="R18" s="30">
        <v>18.8</v>
      </c>
      <c r="S18" s="30">
        <v>18.8</v>
      </c>
      <c r="T18" s="30">
        <v>288000</v>
      </c>
      <c r="U18" s="29" t="str">
        <f>"TEMPORAIRE"</f>
        <v>TEMPORAIRE</v>
      </c>
      <c r="V18" s="29" t="str">
        <f t="shared" si="0"/>
        <v>SOCIETE DES MINES D'AMPANDRANDAVA</v>
      </c>
      <c r="W18" s="29" t="str">
        <f t="shared" si="2"/>
        <v>Espèces</v>
      </c>
    </row>
    <row r="19" spans="1:23">
      <c r="A19" s="29" t="str">
        <f>"11339"</f>
        <v>11339</v>
      </c>
      <c r="B19" s="29" t="str">
        <f>"MANOLOSOA"</f>
        <v>MANOLOSOA</v>
      </c>
      <c r="C19" s="29" t="str">
        <f>"Tsify"</f>
        <v>Tsify</v>
      </c>
      <c r="D19" s="29" t="str">
        <f>"MACHINISTE"</f>
        <v>MACHINISTE</v>
      </c>
      <c r="E19" s="31">
        <v>41755</v>
      </c>
      <c r="F19" s="29" t="str">
        <f>"OS2"</f>
        <v>OS2</v>
      </c>
      <c r="G19" s="30">
        <v>161906</v>
      </c>
      <c r="H19" s="30">
        <v>0</v>
      </c>
      <c r="I19" s="30">
        <v>61276.3</v>
      </c>
      <c r="J19" s="30">
        <v>0</v>
      </c>
      <c r="K19" s="30">
        <v>0</v>
      </c>
      <c r="L19" s="30">
        <v>0</v>
      </c>
      <c r="M19" s="30">
        <v>0</v>
      </c>
      <c r="N19" s="30">
        <v>223182.3</v>
      </c>
      <c r="O19" s="30">
        <v>2000</v>
      </c>
      <c r="P19" s="30">
        <v>2231.8200000000002</v>
      </c>
      <c r="Q19" s="30">
        <v>0</v>
      </c>
      <c r="R19" s="30">
        <v>86.63</v>
      </c>
      <c r="S19" s="30">
        <v>37.11</v>
      </c>
      <c r="T19" s="30">
        <v>219000</v>
      </c>
      <c r="U19" s="29" t="str">
        <f t="shared" ref="U19:U24" si="3">"PERMANENT"</f>
        <v>PERMANENT</v>
      </c>
      <c r="V19" s="29" t="str">
        <f t="shared" si="0"/>
        <v>SOCIETE DES MINES D'AMPANDRANDAVA</v>
      </c>
      <c r="W19" s="29" t="str">
        <f t="shared" si="2"/>
        <v>Espèces</v>
      </c>
    </row>
    <row r="20" spans="1:23">
      <c r="A20" s="29" t="str">
        <f>"11340"</f>
        <v>11340</v>
      </c>
      <c r="B20" s="29" t="str">
        <f>"TSIVERY"</f>
        <v>TSIVERY</v>
      </c>
      <c r="C20" s="29" t="str">
        <f>"Leonce"</f>
        <v>Leonce</v>
      </c>
      <c r="D20" s="29" t="str">
        <f>"AIDE MACHINISTE"</f>
        <v>AIDE MACHINISTE</v>
      </c>
      <c r="E20" s="31">
        <v>41755</v>
      </c>
      <c r="F20" s="29" t="str">
        <f>"M2"</f>
        <v>M2</v>
      </c>
      <c r="G20" s="30">
        <v>156103</v>
      </c>
      <c r="H20" s="30">
        <v>0</v>
      </c>
      <c r="I20" s="30">
        <v>59080.02</v>
      </c>
      <c r="J20" s="30">
        <v>0</v>
      </c>
      <c r="K20" s="30">
        <v>0</v>
      </c>
      <c r="L20" s="30">
        <v>0</v>
      </c>
      <c r="M20" s="30">
        <v>0</v>
      </c>
      <c r="N20" s="30">
        <v>215183.02</v>
      </c>
      <c r="O20" s="30">
        <v>2000</v>
      </c>
      <c r="P20" s="30">
        <v>2151.83</v>
      </c>
      <c r="Q20" s="30">
        <v>0</v>
      </c>
      <c r="R20" s="30">
        <v>94.47</v>
      </c>
      <c r="S20" s="30">
        <v>25.66</v>
      </c>
      <c r="T20" s="30">
        <v>211100</v>
      </c>
      <c r="U20" s="29" t="str">
        <f t="shared" si="3"/>
        <v>PERMANENT</v>
      </c>
      <c r="V20" s="29" t="str">
        <f t="shared" si="0"/>
        <v>SOCIETE DES MINES D'AMPANDRANDAVA</v>
      </c>
      <c r="W20" s="29" t="str">
        <f t="shared" si="2"/>
        <v>Espèces</v>
      </c>
    </row>
    <row r="21" spans="1:23">
      <c r="A21" s="29" t="str">
        <f>"11341"</f>
        <v>11341</v>
      </c>
      <c r="B21" s="29" t="str">
        <f>"RASOLO"</f>
        <v>RASOLO</v>
      </c>
      <c r="C21" s="29" t="str">
        <f>"Louis Sera"</f>
        <v>Louis Sera</v>
      </c>
      <c r="D21" s="29" t="str">
        <f>"AIDE MACHINISTE"</f>
        <v>AIDE MACHINISTE</v>
      </c>
      <c r="E21" s="31">
        <v>41755</v>
      </c>
      <c r="F21" s="29" t="str">
        <f>"M2"</f>
        <v>M2</v>
      </c>
      <c r="G21" s="30">
        <v>156103</v>
      </c>
      <c r="H21" s="30">
        <v>0</v>
      </c>
      <c r="I21" s="30">
        <v>59080.02</v>
      </c>
      <c r="J21" s="30">
        <v>0</v>
      </c>
      <c r="K21" s="30">
        <v>0</v>
      </c>
      <c r="L21" s="30">
        <v>0</v>
      </c>
      <c r="M21" s="30">
        <v>0</v>
      </c>
      <c r="N21" s="30">
        <v>215183.02</v>
      </c>
      <c r="O21" s="30">
        <v>2000</v>
      </c>
      <c r="P21" s="30">
        <v>2151.83</v>
      </c>
      <c r="Q21" s="30">
        <v>0</v>
      </c>
      <c r="R21" s="30">
        <v>65.37</v>
      </c>
      <c r="S21" s="30">
        <v>96.56</v>
      </c>
      <c r="T21" s="30">
        <v>211000</v>
      </c>
      <c r="U21" s="29" t="str">
        <f t="shared" si="3"/>
        <v>PERMANENT</v>
      </c>
      <c r="V21" s="29" t="str">
        <f t="shared" si="0"/>
        <v>SOCIETE DES MINES D'AMPANDRANDAVA</v>
      </c>
      <c r="W21" s="29" t="str">
        <f t="shared" si="2"/>
        <v>Espèces</v>
      </c>
    </row>
    <row r="22" spans="1:23">
      <c r="A22" s="29" t="str">
        <f>"11342"</f>
        <v>11342</v>
      </c>
      <c r="B22" s="29" t="str">
        <f>"ZAFINDRAZA"</f>
        <v>ZAFINDRAZA</v>
      </c>
      <c r="C22" s="29" t="str">
        <f>""</f>
        <v/>
      </c>
      <c r="D22" s="29" t="str">
        <f>"GARDIEN"</f>
        <v>GARDIEN</v>
      </c>
      <c r="E22" s="31">
        <v>41755</v>
      </c>
      <c r="F22" s="29" t="str">
        <f>"M1"</f>
        <v>M1</v>
      </c>
      <c r="G22" s="30">
        <v>155523</v>
      </c>
      <c r="H22" s="30">
        <v>0</v>
      </c>
      <c r="I22" s="30">
        <v>0</v>
      </c>
      <c r="J22" s="30">
        <v>0</v>
      </c>
      <c r="K22" s="30">
        <v>0</v>
      </c>
      <c r="L22" s="30">
        <v>0</v>
      </c>
      <c r="M22" s="30">
        <v>0</v>
      </c>
      <c r="N22" s="30">
        <v>155523</v>
      </c>
      <c r="O22" s="30">
        <v>2000</v>
      </c>
      <c r="P22" s="30">
        <v>1555.23</v>
      </c>
      <c r="Q22" s="30">
        <v>0</v>
      </c>
      <c r="R22" s="30">
        <v>43.49</v>
      </c>
      <c r="S22" s="30">
        <v>11.26</v>
      </c>
      <c r="T22" s="30">
        <v>152000</v>
      </c>
      <c r="U22" s="29" t="str">
        <f t="shared" si="3"/>
        <v>PERMANENT</v>
      </c>
      <c r="V22" s="29" t="str">
        <f t="shared" si="0"/>
        <v>SOCIETE DES MINES D'AMPANDRANDAVA</v>
      </c>
      <c r="W22" s="29" t="str">
        <f t="shared" si="2"/>
        <v>Espèces</v>
      </c>
    </row>
    <row r="23" spans="1:23">
      <c r="A23" s="29" t="str">
        <f>"11343"</f>
        <v>11343</v>
      </c>
      <c r="B23" s="29" t="str">
        <f>"TSANGANAVELO"</f>
        <v>TSANGANAVELO</v>
      </c>
      <c r="C23" s="29" t="str">
        <f>""</f>
        <v/>
      </c>
      <c r="D23" s="29" t="str">
        <f>"GARDIEN"</f>
        <v>GARDIEN</v>
      </c>
      <c r="E23" s="31">
        <v>41755</v>
      </c>
      <c r="F23" s="29" t="str">
        <f>"M1"</f>
        <v>M1</v>
      </c>
      <c r="G23" s="30">
        <v>155523</v>
      </c>
      <c r="H23" s="30">
        <v>0</v>
      </c>
      <c r="I23" s="30">
        <v>0</v>
      </c>
      <c r="J23" s="30">
        <v>0</v>
      </c>
      <c r="K23" s="30">
        <v>0</v>
      </c>
      <c r="L23" s="30">
        <v>0</v>
      </c>
      <c r="M23" s="30">
        <v>0</v>
      </c>
      <c r="N23" s="30">
        <v>155523</v>
      </c>
      <c r="O23" s="30">
        <v>2000</v>
      </c>
      <c r="P23" s="30">
        <v>1555.23</v>
      </c>
      <c r="Q23" s="30">
        <v>0</v>
      </c>
      <c r="R23" s="30">
        <v>62.95</v>
      </c>
      <c r="S23" s="30">
        <v>30.72</v>
      </c>
      <c r="T23" s="30">
        <v>152000</v>
      </c>
      <c r="U23" s="29" t="str">
        <f t="shared" si="3"/>
        <v>PERMANENT</v>
      </c>
      <c r="V23" s="29" t="str">
        <f t="shared" si="0"/>
        <v>SOCIETE DES MINES D'AMPANDRANDAVA</v>
      </c>
      <c r="W23" s="29" t="str">
        <f t="shared" si="2"/>
        <v>Espèces</v>
      </c>
    </row>
    <row r="24" spans="1:23">
      <c r="A24" s="29" t="str">
        <f>"11346"</f>
        <v>11346</v>
      </c>
      <c r="B24" s="29" t="str">
        <f>"AVISOA"</f>
        <v>AVISOA</v>
      </c>
      <c r="C24" s="29" t="str">
        <f>"Mahonjo"</f>
        <v>Mahonjo</v>
      </c>
      <c r="D24" s="29" t="str">
        <f>"AIDE MECANICIEN"</f>
        <v>AIDE MECANICIEN</v>
      </c>
      <c r="E24" s="31">
        <v>41755</v>
      </c>
      <c r="F24" s="29" t="str">
        <f>"M2"</f>
        <v>M2</v>
      </c>
      <c r="G24" s="30">
        <v>156103</v>
      </c>
      <c r="H24" s="30">
        <v>0</v>
      </c>
      <c r="I24" s="30">
        <v>33862.94</v>
      </c>
      <c r="J24" s="30">
        <v>0</v>
      </c>
      <c r="K24" s="30">
        <v>0</v>
      </c>
      <c r="L24" s="30">
        <v>0</v>
      </c>
      <c r="M24" s="30">
        <v>0</v>
      </c>
      <c r="N24" s="30">
        <v>189965.94</v>
      </c>
      <c r="O24" s="30">
        <v>2000</v>
      </c>
      <c r="P24" s="30">
        <v>1899.66</v>
      </c>
      <c r="Q24" s="30">
        <v>0</v>
      </c>
      <c r="R24" s="30">
        <v>87.28</v>
      </c>
      <c r="S24" s="30">
        <v>53.56</v>
      </c>
      <c r="T24" s="30">
        <v>186100</v>
      </c>
      <c r="U24" s="29" t="str">
        <f t="shared" si="3"/>
        <v>PERMANENT</v>
      </c>
      <c r="V24" s="29" t="str">
        <f t="shared" si="0"/>
        <v>SOCIETE DES MINES D'AMPANDRANDAVA</v>
      </c>
      <c r="W24" s="29" t="str">
        <f t="shared" si="2"/>
        <v>Espèces</v>
      </c>
    </row>
    <row r="25" spans="1:23">
      <c r="A25" s="29" t="str">
        <f>"11348"</f>
        <v>11348</v>
      </c>
      <c r="B25" s="29" t="str">
        <f>"MANJOSOA"</f>
        <v>MANJOSOA</v>
      </c>
      <c r="C25" s="29" t="str">
        <f>""</f>
        <v/>
      </c>
      <c r="D25" s="29" t="str">
        <f>"TREUILLISTE"</f>
        <v>TREUILLISTE</v>
      </c>
      <c r="E25" s="31">
        <v>41816</v>
      </c>
      <c r="F25" s="29" t="str">
        <f>"OS1"</f>
        <v>OS1</v>
      </c>
      <c r="G25" s="30">
        <v>93000</v>
      </c>
      <c r="H25" s="30">
        <v>0</v>
      </c>
      <c r="I25" s="30">
        <v>0</v>
      </c>
      <c r="J25" s="30">
        <v>31</v>
      </c>
      <c r="K25" s="30">
        <v>0</v>
      </c>
      <c r="L25" s="30">
        <v>0</v>
      </c>
      <c r="M25" s="30">
        <v>0</v>
      </c>
      <c r="N25" s="30">
        <v>93000</v>
      </c>
      <c r="O25" s="30">
        <v>2000</v>
      </c>
      <c r="P25" s="30">
        <v>0</v>
      </c>
      <c r="Q25" s="30">
        <v>0</v>
      </c>
      <c r="R25" s="30">
        <v>0</v>
      </c>
      <c r="S25" s="30">
        <v>0</v>
      </c>
      <c r="T25" s="30">
        <v>91000</v>
      </c>
      <c r="U25" s="29" t="str">
        <f>"JOURNALIER"</f>
        <v>JOURNALIER</v>
      </c>
      <c r="V25" s="29" t="str">
        <f t="shared" si="0"/>
        <v>SOCIETE DES MINES D'AMPANDRANDAVA</v>
      </c>
      <c r="W25" s="29" t="str">
        <f t="shared" si="2"/>
        <v>Espèces</v>
      </c>
    </row>
    <row r="26" spans="1:23">
      <c r="A26" s="29" t="str">
        <f>"11349"</f>
        <v>11349</v>
      </c>
      <c r="B26" s="29" t="str">
        <f>"MANAFOKO"</f>
        <v>MANAFOKO</v>
      </c>
      <c r="C26" s="29" t="str">
        <f>""</f>
        <v/>
      </c>
      <c r="D26" s="29" t="str">
        <f>"MACHINISTE"</f>
        <v>MACHINISTE</v>
      </c>
      <c r="E26" s="31">
        <v>41816</v>
      </c>
      <c r="F26" s="29" t="str">
        <f>""</f>
        <v/>
      </c>
      <c r="G26" s="30">
        <v>90000</v>
      </c>
      <c r="H26" s="30">
        <v>0</v>
      </c>
      <c r="I26" s="30">
        <v>0</v>
      </c>
      <c r="J26" s="30">
        <v>30</v>
      </c>
      <c r="K26" s="30">
        <v>0</v>
      </c>
      <c r="L26" s="30">
        <v>0</v>
      </c>
      <c r="M26" s="30">
        <v>0</v>
      </c>
      <c r="N26" s="30">
        <v>90000</v>
      </c>
      <c r="O26" s="30">
        <v>2000</v>
      </c>
      <c r="P26" s="30">
        <v>0</v>
      </c>
      <c r="Q26" s="30">
        <v>0</v>
      </c>
      <c r="R26" s="30">
        <v>0</v>
      </c>
      <c r="S26" s="30">
        <v>0</v>
      </c>
      <c r="T26" s="30">
        <v>88000</v>
      </c>
      <c r="U26" s="29" t="str">
        <f>"JOURNALIER"</f>
        <v>JOURNALIER</v>
      </c>
      <c r="V26" s="29" t="str">
        <f t="shared" si="0"/>
        <v>SOCIETE DES MINES D'AMPANDRANDAVA</v>
      </c>
      <c r="W26" s="29" t="str">
        <f t="shared" si="2"/>
        <v>Espèces</v>
      </c>
    </row>
    <row r="27" spans="1:23">
      <c r="A27" s="29" t="str">
        <f>"11350"</f>
        <v>11350</v>
      </c>
      <c r="B27" s="29" t="str">
        <f>"SOAZARA"</f>
        <v>SOAZARA</v>
      </c>
      <c r="C27" s="29" t="str">
        <f>"Jean Paul"</f>
        <v>Jean Paul</v>
      </c>
      <c r="D27" s="29" t="str">
        <f>"TREUILLISTE"</f>
        <v>TREUILLISTE</v>
      </c>
      <c r="E27" s="31">
        <v>41816</v>
      </c>
      <c r="F27" s="29" t="str">
        <f>"OS1"</f>
        <v>OS1</v>
      </c>
      <c r="G27" s="30">
        <v>93000</v>
      </c>
      <c r="H27" s="30">
        <v>0</v>
      </c>
      <c r="I27" s="30">
        <v>0</v>
      </c>
      <c r="J27" s="30">
        <v>31</v>
      </c>
      <c r="K27" s="30">
        <v>0</v>
      </c>
      <c r="L27" s="30">
        <v>0</v>
      </c>
      <c r="M27" s="30">
        <v>0</v>
      </c>
      <c r="N27" s="30">
        <v>93000</v>
      </c>
      <c r="O27" s="30">
        <v>2000</v>
      </c>
      <c r="P27" s="30">
        <v>0</v>
      </c>
      <c r="Q27" s="30">
        <v>0</v>
      </c>
      <c r="R27" s="30">
        <v>0</v>
      </c>
      <c r="S27" s="30">
        <v>0</v>
      </c>
      <c r="T27" s="30">
        <v>91000</v>
      </c>
      <c r="U27" s="29" t="str">
        <f>"JOURNALIER"</f>
        <v>JOURNALIER</v>
      </c>
      <c r="V27" s="29" t="str">
        <f t="shared" si="0"/>
        <v>SOCIETE DES MINES D'AMPANDRANDAVA</v>
      </c>
      <c r="W27" s="29" t="str">
        <f t="shared" si="2"/>
        <v>Espèces</v>
      </c>
    </row>
    <row r="28" spans="1:23">
      <c r="A28" s="29" t="str">
        <f>"11351"</f>
        <v>11351</v>
      </c>
      <c r="B28" s="29" t="str">
        <f>"SAMBOMANA"</f>
        <v>SAMBOMANA</v>
      </c>
      <c r="C28" s="29" t="str">
        <f>""</f>
        <v/>
      </c>
      <c r="D28" s="29" t="str">
        <f>"TREUILLISTE"</f>
        <v>TREUILLISTE</v>
      </c>
      <c r="E28" s="31">
        <v>41816</v>
      </c>
      <c r="F28" s="29" t="str">
        <f>"M1"</f>
        <v>M1</v>
      </c>
      <c r="G28" s="30">
        <v>155523</v>
      </c>
      <c r="H28" s="30">
        <v>0</v>
      </c>
      <c r="I28" s="30">
        <v>83984.47</v>
      </c>
      <c r="J28" s="30">
        <v>0</v>
      </c>
      <c r="K28" s="30">
        <v>0</v>
      </c>
      <c r="L28" s="30">
        <v>0</v>
      </c>
      <c r="M28" s="30">
        <v>0</v>
      </c>
      <c r="N28" s="30">
        <v>239507.47</v>
      </c>
      <c r="O28" s="30">
        <v>2000</v>
      </c>
      <c r="P28" s="30">
        <v>2395.0700000000002</v>
      </c>
      <c r="Q28" s="30">
        <v>0</v>
      </c>
      <c r="R28" s="30">
        <v>54.32</v>
      </c>
      <c r="S28" s="30">
        <v>66.72</v>
      </c>
      <c r="T28" s="30">
        <v>235100</v>
      </c>
      <c r="U28" s="29" t="str">
        <f>"PERMANENT"</f>
        <v>PERMANENT</v>
      </c>
      <c r="V28" s="29" t="str">
        <f t="shared" si="0"/>
        <v>SOCIETE DES MINES D'AMPANDRANDAVA</v>
      </c>
      <c r="W28" s="29" t="str">
        <f t="shared" si="2"/>
        <v>Espèces</v>
      </c>
    </row>
    <row r="29" spans="1:23">
      <c r="A29" s="29" t="str">
        <f>"11352"</f>
        <v>11352</v>
      </c>
      <c r="B29" s="29" t="str">
        <f>"RANDRIAMANDAMINA"</f>
        <v>RANDRIAMANDAMINA</v>
      </c>
      <c r="C29" s="29" t="str">
        <f>"Bernardin"</f>
        <v>Bernardin</v>
      </c>
      <c r="D29" s="29" t="str">
        <f>"BOUTE FEUX"</f>
        <v>BOUTE FEUX</v>
      </c>
      <c r="E29" s="31">
        <v>41816</v>
      </c>
      <c r="F29" s="29" t="str">
        <f>"OS1"</f>
        <v>OS1</v>
      </c>
      <c r="G29" s="30">
        <v>91500</v>
      </c>
      <c r="H29" s="30">
        <v>0</v>
      </c>
      <c r="I29" s="30">
        <v>0</v>
      </c>
      <c r="J29" s="30">
        <v>30.5</v>
      </c>
      <c r="K29" s="30">
        <v>0</v>
      </c>
      <c r="L29" s="30">
        <v>0</v>
      </c>
      <c r="M29" s="30">
        <v>0</v>
      </c>
      <c r="N29" s="30">
        <v>91500</v>
      </c>
      <c r="O29" s="30">
        <v>2000</v>
      </c>
      <c r="P29" s="30">
        <v>0</v>
      </c>
      <c r="Q29" s="30">
        <v>0</v>
      </c>
      <c r="R29" s="30">
        <v>0</v>
      </c>
      <c r="S29" s="30">
        <v>0</v>
      </c>
      <c r="T29" s="30">
        <v>89500</v>
      </c>
      <c r="U29" s="29" t="str">
        <f>"JOURNALIER"</f>
        <v>JOURNALIER</v>
      </c>
      <c r="V29" s="29" t="str">
        <f t="shared" si="0"/>
        <v>SOCIETE DES MINES D'AMPANDRANDAVA</v>
      </c>
      <c r="W29" s="29" t="str">
        <f t="shared" si="2"/>
        <v>Espèces</v>
      </c>
    </row>
    <row r="30" spans="1:23">
      <c r="A30" s="29" t="str">
        <f>"11353"</f>
        <v>11353</v>
      </c>
      <c r="B30" s="29" t="str">
        <f>"IERI"</f>
        <v>IERI</v>
      </c>
      <c r="C30" s="29" t="str">
        <f>"Santé Galo"</f>
        <v>Santé Galo</v>
      </c>
      <c r="D30" s="29" t="str">
        <f>"CONDUCTEUR/SOUDEUR"</f>
        <v>CONDUCTEUR/SOUDEUR</v>
      </c>
      <c r="E30" s="31">
        <v>41816</v>
      </c>
      <c r="F30" s="29" t="str">
        <f>"OS1"</f>
        <v>OS1</v>
      </c>
      <c r="G30" s="30">
        <v>157264</v>
      </c>
      <c r="H30" s="30">
        <v>20968.52</v>
      </c>
      <c r="I30" s="30">
        <v>48178.17</v>
      </c>
      <c r="J30" s="30">
        <v>0</v>
      </c>
      <c r="K30" s="30">
        <v>20968.52</v>
      </c>
      <c r="L30" s="30">
        <v>0</v>
      </c>
      <c r="M30" s="30">
        <v>0</v>
      </c>
      <c r="N30" s="30">
        <v>205442.17</v>
      </c>
      <c r="O30" s="30">
        <v>2000</v>
      </c>
      <c r="P30" s="30">
        <v>2054.42</v>
      </c>
      <c r="Q30" s="30">
        <v>0</v>
      </c>
      <c r="R30" s="30">
        <v>90.46</v>
      </c>
      <c r="S30" s="30">
        <v>78.209999999999994</v>
      </c>
      <c r="T30" s="30">
        <v>201400</v>
      </c>
      <c r="U30" s="29" t="str">
        <f>"PERMANENT"</f>
        <v>PERMANENT</v>
      </c>
      <c r="V30" s="29" t="str">
        <f t="shared" si="0"/>
        <v>SOCIETE DES MINES D'AMPANDRANDAVA</v>
      </c>
      <c r="W30" s="29" t="str">
        <f t="shared" si="2"/>
        <v>Espèces</v>
      </c>
    </row>
    <row r="31" spans="1:23">
      <c r="A31" s="29" t="str">
        <f>"11354"</f>
        <v>11354</v>
      </c>
      <c r="B31" s="29" t="str">
        <f>"SILIVERA"</f>
        <v>SILIVERA</v>
      </c>
      <c r="C31" s="29" t="str">
        <f>""</f>
        <v/>
      </c>
      <c r="D31" s="29" t="str">
        <f>"AIDE PLOMBIER"</f>
        <v>AIDE PLOMBIER</v>
      </c>
      <c r="E31" s="31">
        <v>41816</v>
      </c>
      <c r="F31" s="29" t="str">
        <f>""</f>
        <v/>
      </c>
      <c r="G31" s="30">
        <v>93000</v>
      </c>
      <c r="H31" s="30">
        <v>0</v>
      </c>
      <c r="I31" s="30">
        <v>0</v>
      </c>
      <c r="J31" s="30">
        <v>31</v>
      </c>
      <c r="K31" s="30">
        <v>0</v>
      </c>
      <c r="L31" s="30">
        <v>0</v>
      </c>
      <c r="M31" s="30">
        <v>0</v>
      </c>
      <c r="N31" s="30">
        <v>93000</v>
      </c>
      <c r="O31" s="30">
        <v>2000</v>
      </c>
      <c r="P31" s="30">
        <v>0</v>
      </c>
      <c r="Q31" s="30">
        <v>0</v>
      </c>
      <c r="R31" s="30">
        <v>0</v>
      </c>
      <c r="S31" s="30">
        <v>0</v>
      </c>
      <c r="T31" s="30">
        <v>91000</v>
      </c>
      <c r="U31" s="29" t="str">
        <f>"JOURNALIER"</f>
        <v>JOURNALIER</v>
      </c>
      <c r="V31" s="29" t="str">
        <f t="shared" si="0"/>
        <v>SOCIETE DES MINES D'AMPANDRANDAVA</v>
      </c>
      <c r="W31" s="29" t="str">
        <f t="shared" si="2"/>
        <v>Espèces</v>
      </c>
    </row>
    <row r="32" spans="1:23">
      <c r="A32" s="29" t="str">
        <f>"11355"</f>
        <v>11355</v>
      </c>
      <c r="B32" s="29" t="str">
        <f>"ROBITIANA"</f>
        <v>ROBITIANA</v>
      </c>
      <c r="C32" s="29" t="str">
        <f>"Reine"</f>
        <v>Reine</v>
      </c>
      <c r="D32" s="29" t="str">
        <f>"RESPONSABLE PESEURS"</f>
        <v>RESPONSABLE PESEURS</v>
      </c>
      <c r="E32" s="31">
        <v>41816</v>
      </c>
      <c r="F32" s="29" t="str">
        <f>""</f>
        <v/>
      </c>
      <c r="G32" s="30">
        <v>155523</v>
      </c>
      <c r="H32" s="30">
        <v>0</v>
      </c>
      <c r="I32" s="30">
        <v>83984.47</v>
      </c>
      <c r="J32" s="30">
        <v>0</v>
      </c>
      <c r="K32" s="30">
        <v>0</v>
      </c>
      <c r="L32" s="30">
        <v>0</v>
      </c>
      <c r="M32" s="30">
        <v>0</v>
      </c>
      <c r="N32" s="30">
        <v>239507.47</v>
      </c>
      <c r="O32" s="30">
        <v>2000</v>
      </c>
      <c r="P32" s="30">
        <v>2395.0700000000002</v>
      </c>
      <c r="Q32" s="30">
        <v>0</v>
      </c>
      <c r="R32" s="30">
        <v>75.62</v>
      </c>
      <c r="S32" s="30">
        <v>88.02</v>
      </c>
      <c r="T32" s="30">
        <v>235100</v>
      </c>
      <c r="U32" s="29" t="str">
        <f>"PERMANENT"</f>
        <v>PERMANENT</v>
      </c>
      <c r="V32" s="29" t="str">
        <f t="shared" si="0"/>
        <v>SOCIETE DES MINES D'AMPANDRANDAVA</v>
      </c>
      <c r="W32" s="29" t="str">
        <f t="shared" si="2"/>
        <v>Espèces</v>
      </c>
    </row>
    <row r="33" spans="1:23">
      <c r="A33" s="29" t="str">
        <f>"11361"</f>
        <v>11361</v>
      </c>
      <c r="B33" s="29" t="str">
        <f>"RAVELOMANANTSOA NIRINA"</f>
        <v>RAVELOMANANTSOA NIRINA</v>
      </c>
      <c r="C33" s="29" t="str">
        <f>"Edmond"</f>
        <v>Edmond</v>
      </c>
      <c r="D33" s="29" t="str">
        <f>"RESPONSABLE MINES  AMPANDRANDA"</f>
        <v>RESPONSABLE MINES  AMPANDRANDA</v>
      </c>
      <c r="E33" s="31">
        <v>42797</v>
      </c>
      <c r="F33" s="29" t="str">
        <f>"HC"</f>
        <v>HC</v>
      </c>
      <c r="G33" s="30">
        <v>1761767.57</v>
      </c>
      <c r="H33" s="30">
        <v>0</v>
      </c>
      <c r="I33" s="30">
        <v>0</v>
      </c>
      <c r="J33" s="30">
        <v>0</v>
      </c>
      <c r="K33" s="30">
        <v>0</v>
      </c>
      <c r="L33" s="30">
        <v>438126.68</v>
      </c>
      <c r="M33" s="30">
        <v>0</v>
      </c>
      <c r="N33" s="30">
        <v>2199894.25</v>
      </c>
      <c r="O33" s="30">
        <v>387480</v>
      </c>
      <c r="P33" s="30">
        <v>12441.84</v>
      </c>
      <c r="Q33" s="30">
        <v>200000</v>
      </c>
      <c r="R33" s="30">
        <v>65.23</v>
      </c>
      <c r="S33" s="30">
        <v>37.64</v>
      </c>
      <c r="T33" s="30">
        <v>1600000</v>
      </c>
      <c r="U33" s="29" t="str">
        <f>"PERMANENT"</f>
        <v>PERMANENT</v>
      </c>
      <c r="V33" s="29" t="str">
        <f t="shared" si="0"/>
        <v>SOCIETE DES MINES D'AMPANDRANDAVA</v>
      </c>
      <c r="W33" s="29" t="str">
        <f>"Virement"</f>
        <v>Virement</v>
      </c>
    </row>
    <row r="34" spans="1:23">
      <c r="A34" s="29" t="str">
        <f>"21018"</f>
        <v>21018</v>
      </c>
      <c r="B34" s="29" t="str">
        <f>"SOARAZA"</f>
        <v>SOARAZA</v>
      </c>
      <c r="C34" s="29" t="str">
        <f>"Gerard"</f>
        <v>Gerard</v>
      </c>
      <c r="D34" s="29" t="str">
        <f>"MANUTENTIONNAIRE"</f>
        <v>MANUTENTIONNAIRE</v>
      </c>
      <c r="E34" s="31">
        <v>43033</v>
      </c>
      <c r="F34" s="29" t="str">
        <f>""</f>
        <v/>
      </c>
      <c r="G34" s="30">
        <v>87000</v>
      </c>
      <c r="H34" s="30">
        <v>0</v>
      </c>
      <c r="I34" s="30">
        <v>0</v>
      </c>
      <c r="J34" s="30">
        <v>29</v>
      </c>
      <c r="K34" s="30">
        <v>0</v>
      </c>
      <c r="L34" s="30">
        <v>0</v>
      </c>
      <c r="M34" s="30">
        <v>0</v>
      </c>
      <c r="N34" s="30">
        <v>87000</v>
      </c>
      <c r="O34" s="30">
        <v>2000</v>
      </c>
      <c r="P34" s="30">
        <v>0</v>
      </c>
      <c r="Q34" s="30">
        <v>0</v>
      </c>
      <c r="R34" s="30">
        <v>0</v>
      </c>
      <c r="S34" s="30">
        <v>0</v>
      </c>
      <c r="T34" s="30">
        <v>85000</v>
      </c>
      <c r="U34" s="29" t="str">
        <f>"JOURNALIER"</f>
        <v>JOURNALIER</v>
      </c>
      <c r="V34" s="29" t="str">
        <f t="shared" si="0"/>
        <v>SOCIETE DES MINES D'AMPANDRANDAVA</v>
      </c>
      <c r="W34" s="29" t="str">
        <f t="shared" ref="W34:W77" si="4">"Espèces"</f>
        <v>Espèces</v>
      </c>
    </row>
    <row r="35" spans="1:23">
      <c r="A35" s="29" t="str">
        <f>"21019"</f>
        <v>21019</v>
      </c>
      <c r="B35" s="29" t="str">
        <f>"RAZAFIMANDROSO"</f>
        <v>RAZAFIMANDROSO</v>
      </c>
      <c r="C35" s="29" t="str">
        <f>"Nantenaina"</f>
        <v>Nantenaina</v>
      </c>
      <c r="D35" s="29" t="str">
        <f>"MANUTENTIONNAIRE"</f>
        <v>MANUTENTIONNAIRE</v>
      </c>
      <c r="E35" s="31">
        <v>43033</v>
      </c>
      <c r="F35" s="29" t="str">
        <f>""</f>
        <v/>
      </c>
      <c r="G35" s="30">
        <v>85500</v>
      </c>
      <c r="H35" s="30">
        <v>0</v>
      </c>
      <c r="I35" s="30">
        <v>0</v>
      </c>
      <c r="J35" s="30">
        <v>28.5</v>
      </c>
      <c r="K35" s="30">
        <v>0</v>
      </c>
      <c r="L35" s="30">
        <v>0</v>
      </c>
      <c r="M35" s="30">
        <v>0</v>
      </c>
      <c r="N35" s="30">
        <v>85500</v>
      </c>
      <c r="O35" s="30">
        <v>2000</v>
      </c>
      <c r="P35" s="30">
        <v>0</v>
      </c>
      <c r="Q35" s="30">
        <v>0</v>
      </c>
      <c r="R35" s="30">
        <v>0</v>
      </c>
      <c r="S35" s="30">
        <v>0</v>
      </c>
      <c r="T35" s="30">
        <v>83500</v>
      </c>
      <c r="U35" s="29" t="str">
        <f>"JOURNALIER"</f>
        <v>JOURNALIER</v>
      </c>
      <c r="V35" s="29" t="str">
        <f t="shared" si="0"/>
        <v>SOCIETE DES MINES D'AMPANDRANDAVA</v>
      </c>
      <c r="W35" s="29" t="str">
        <f t="shared" si="4"/>
        <v>Espèces</v>
      </c>
    </row>
    <row r="36" spans="1:23">
      <c r="A36" s="29" t="str">
        <f>"21032"</f>
        <v>21032</v>
      </c>
      <c r="B36" s="29" t="str">
        <f>"TANANTSOA"</f>
        <v>TANANTSOA</v>
      </c>
      <c r="C36" s="29" t="str">
        <f>""</f>
        <v/>
      </c>
      <c r="D36" s="29" t="str">
        <f>"T05"</f>
        <v>T05</v>
      </c>
      <c r="E36" s="31">
        <v>41883</v>
      </c>
      <c r="F36" s="29" t="str">
        <f>""</f>
        <v/>
      </c>
      <c r="G36" s="30">
        <v>87000</v>
      </c>
      <c r="H36" s="30">
        <v>0</v>
      </c>
      <c r="I36" s="30">
        <v>0</v>
      </c>
      <c r="J36" s="30">
        <v>29</v>
      </c>
      <c r="K36" s="30">
        <v>0</v>
      </c>
      <c r="L36" s="30">
        <v>0</v>
      </c>
      <c r="M36" s="30">
        <v>0</v>
      </c>
      <c r="N36" s="30">
        <v>87000</v>
      </c>
      <c r="O36" s="30">
        <v>2000</v>
      </c>
      <c r="P36" s="30">
        <v>0</v>
      </c>
      <c r="Q36" s="30">
        <v>0</v>
      </c>
      <c r="R36" s="30">
        <v>0</v>
      </c>
      <c r="S36" s="30">
        <v>0</v>
      </c>
      <c r="T36" s="30">
        <v>85000</v>
      </c>
      <c r="U36" s="29" t="str">
        <f>"JOURNALIER"</f>
        <v>JOURNALIER</v>
      </c>
      <c r="V36" s="29" t="str">
        <f t="shared" si="0"/>
        <v>SOCIETE DES MINES D'AMPANDRANDAVA</v>
      </c>
      <c r="W36" s="29" t="str">
        <f t="shared" si="4"/>
        <v>Espèces</v>
      </c>
    </row>
    <row r="37" spans="1:23">
      <c r="A37" s="29" t="str">
        <f>"21033"</f>
        <v>21033</v>
      </c>
      <c r="B37" s="29" t="str">
        <f>"FERNAND"</f>
        <v>FERNAND</v>
      </c>
      <c r="C37" s="29" t="str">
        <f>"Fiarena"</f>
        <v>Fiarena</v>
      </c>
      <c r="D37" s="29" t="str">
        <f>"T05"</f>
        <v>T05</v>
      </c>
      <c r="E37" s="31">
        <v>41883</v>
      </c>
      <c r="F37" s="29" t="str">
        <f>""</f>
        <v/>
      </c>
      <c r="G37" s="30">
        <v>82500</v>
      </c>
      <c r="H37" s="30">
        <v>0</v>
      </c>
      <c r="I37" s="30">
        <v>0</v>
      </c>
      <c r="J37" s="30">
        <v>27.5</v>
      </c>
      <c r="K37" s="30">
        <v>0</v>
      </c>
      <c r="L37" s="30">
        <v>0</v>
      </c>
      <c r="M37" s="30">
        <v>0</v>
      </c>
      <c r="N37" s="30">
        <v>82500</v>
      </c>
      <c r="O37" s="30">
        <v>2000</v>
      </c>
      <c r="P37" s="30">
        <v>0</v>
      </c>
      <c r="Q37" s="30">
        <v>0</v>
      </c>
      <c r="R37" s="30">
        <v>0</v>
      </c>
      <c r="S37" s="30">
        <v>0</v>
      </c>
      <c r="T37" s="30">
        <v>80500</v>
      </c>
      <c r="U37" s="29" t="str">
        <f>"JOURNALIER"</f>
        <v>JOURNALIER</v>
      </c>
      <c r="V37" s="29" t="str">
        <f t="shared" si="0"/>
        <v>SOCIETE DES MINES D'AMPANDRANDAVA</v>
      </c>
      <c r="W37" s="29" t="str">
        <f t="shared" si="4"/>
        <v>Espèces</v>
      </c>
    </row>
    <row r="38" spans="1:23">
      <c r="A38" s="29" t="str">
        <f>"21034"</f>
        <v>21034</v>
      </c>
      <c r="B38" s="29" t="str">
        <f>"MAKA"</f>
        <v>MAKA</v>
      </c>
      <c r="C38" s="29" t="str">
        <f>"Olivier"</f>
        <v>Olivier</v>
      </c>
      <c r="D38" s="29" t="str">
        <f>"CHEF DE POSTE"</f>
        <v>CHEF DE POSTE</v>
      </c>
      <c r="E38" s="31">
        <v>42793</v>
      </c>
      <c r="F38" s="29" t="str">
        <f>"OS1"</f>
        <v>OS1</v>
      </c>
      <c r="G38" s="30">
        <v>157264</v>
      </c>
      <c r="H38" s="30">
        <v>0</v>
      </c>
      <c r="I38" s="30">
        <v>84924.22</v>
      </c>
      <c r="J38" s="30">
        <v>0</v>
      </c>
      <c r="K38" s="30">
        <v>0</v>
      </c>
      <c r="L38" s="30">
        <v>0</v>
      </c>
      <c r="M38" s="30">
        <v>0</v>
      </c>
      <c r="N38" s="30">
        <v>242188.22</v>
      </c>
      <c r="O38" s="30">
        <v>2000</v>
      </c>
      <c r="P38" s="30">
        <v>2421.88</v>
      </c>
      <c r="Q38" s="30">
        <v>0</v>
      </c>
      <c r="R38" s="30">
        <v>83.83</v>
      </c>
      <c r="S38" s="30">
        <v>50.17</v>
      </c>
      <c r="T38" s="30">
        <v>237800</v>
      </c>
      <c r="U38" s="29" t="str">
        <f>"PERMANENT"</f>
        <v>PERMANENT</v>
      </c>
      <c r="V38" s="29" t="str">
        <f t="shared" si="0"/>
        <v>SOCIETE DES MINES D'AMPANDRANDAVA</v>
      </c>
      <c r="W38" s="29" t="str">
        <f t="shared" si="4"/>
        <v>Espèces</v>
      </c>
    </row>
    <row r="39" spans="1:23">
      <c r="A39" s="29" t="str">
        <f>"21036"</f>
        <v>21036</v>
      </c>
      <c r="B39" s="29" t="str">
        <f>"MALANGISOA"</f>
        <v>MALANGISOA</v>
      </c>
      <c r="C39" s="29" t="str">
        <f>""</f>
        <v/>
      </c>
      <c r="D39" s="29" t="str">
        <f>"TREUILLISTE"</f>
        <v>TREUILLISTE</v>
      </c>
      <c r="E39" s="31">
        <v>42569</v>
      </c>
      <c r="F39" s="29" t="str">
        <f>""</f>
        <v/>
      </c>
      <c r="G39" s="30">
        <v>90000</v>
      </c>
      <c r="H39" s="30">
        <v>0</v>
      </c>
      <c r="I39" s="30">
        <v>0</v>
      </c>
      <c r="J39" s="30">
        <v>30</v>
      </c>
      <c r="K39" s="30">
        <v>0</v>
      </c>
      <c r="L39" s="30">
        <v>0</v>
      </c>
      <c r="M39" s="30">
        <v>0</v>
      </c>
      <c r="N39" s="30">
        <v>90000</v>
      </c>
      <c r="O39" s="30">
        <v>2000</v>
      </c>
      <c r="P39" s="30">
        <v>0</v>
      </c>
      <c r="Q39" s="30">
        <v>0</v>
      </c>
      <c r="R39" s="30">
        <v>0</v>
      </c>
      <c r="S39" s="30">
        <v>0</v>
      </c>
      <c r="T39" s="30">
        <v>88000</v>
      </c>
      <c r="U39" s="29" t="str">
        <f t="shared" ref="U39:U56" si="5">"JOURNALIER"</f>
        <v>JOURNALIER</v>
      </c>
      <c r="V39" s="29" t="str">
        <f t="shared" si="0"/>
        <v>SOCIETE DES MINES D'AMPANDRANDAVA</v>
      </c>
      <c r="W39" s="29" t="str">
        <f t="shared" si="4"/>
        <v>Espèces</v>
      </c>
    </row>
    <row r="40" spans="1:23">
      <c r="A40" s="29" t="str">
        <f>"21050"</f>
        <v>21050</v>
      </c>
      <c r="B40" s="29" t="str">
        <f>"MONJA"</f>
        <v>MONJA</v>
      </c>
      <c r="C40" s="29" t="str">
        <f>"Augustin"</f>
        <v>Augustin</v>
      </c>
      <c r="D40" s="29" t="str">
        <f>"PESEUR MICA BRUT"</f>
        <v>PESEUR MICA BRUT</v>
      </c>
      <c r="E40" s="31">
        <v>41729</v>
      </c>
      <c r="F40" s="29" t="str">
        <f>""</f>
        <v/>
      </c>
      <c r="G40" s="30">
        <v>99000</v>
      </c>
      <c r="H40" s="30">
        <v>0</v>
      </c>
      <c r="I40" s="30">
        <v>0</v>
      </c>
      <c r="J40" s="30">
        <v>33</v>
      </c>
      <c r="K40" s="30">
        <v>0</v>
      </c>
      <c r="L40" s="30">
        <v>0</v>
      </c>
      <c r="M40" s="30">
        <v>0</v>
      </c>
      <c r="N40" s="30">
        <v>99000</v>
      </c>
      <c r="O40" s="30">
        <v>2000</v>
      </c>
      <c r="P40" s="30">
        <v>0</v>
      </c>
      <c r="Q40" s="30">
        <v>0</v>
      </c>
      <c r="R40" s="30">
        <v>0</v>
      </c>
      <c r="S40" s="30">
        <v>0</v>
      </c>
      <c r="T40" s="30">
        <v>97000</v>
      </c>
      <c r="U40" s="29" t="str">
        <f t="shared" si="5"/>
        <v>JOURNALIER</v>
      </c>
      <c r="V40" s="29" t="str">
        <f t="shared" si="0"/>
        <v>SOCIETE DES MINES D'AMPANDRANDAVA</v>
      </c>
      <c r="W40" s="29" t="str">
        <f t="shared" si="4"/>
        <v>Espèces</v>
      </c>
    </row>
    <row r="41" spans="1:23">
      <c r="A41" s="29" t="str">
        <f>"21053"</f>
        <v>21053</v>
      </c>
      <c r="B41" s="29" t="str">
        <f>"MIANDRISOA T."</f>
        <v>MIANDRISOA T.</v>
      </c>
      <c r="C41" s="29" t="str">
        <f>"Narcisse"</f>
        <v>Narcisse</v>
      </c>
      <c r="D41" s="29" t="str">
        <f>"TOJ"</f>
        <v>TOJ</v>
      </c>
      <c r="E41" s="31">
        <v>41913</v>
      </c>
      <c r="F41" s="29" t="str">
        <f>""</f>
        <v/>
      </c>
      <c r="G41" s="30">
        <v>90000</v>
      </c>
      <c r="H41" s="30">
        <v>0</v>
      </c>
      <c r="I41" s="30">
        <v>0</v>
      </c>
      <c r="J41" s="30">
        <v>30</v>
      </c>
      <c r="K41" s="30">
        <v>0</v>
      </c>
      <c r="L41" s="30">
        <v>0</v>
      </c>
      <c r="M41" s="30">
        <v>0</v>
      </c>
      <c r="N41" s="30">
        <v>90000</v>
      </c>
      <c r="O41" s="30">
        <v>2000</v>
      </c>
      <c r="P41" s="30">
        <v>0</v>
      </c>
      <c r="Q41" s="30">
        <v>0</v>
      </c>
      <c r="R41" s="30">
        <v>0</v>
      </c>
      <c r="S41" s="30">
        <v>0</v>
      </c>
      <c r="T41" s="30">
        <v>88000</v>
      </c>
      <c r="U41" s="29" t="str">
        <f t="shared" si="5"/>
        <v>JOURNALIER</v>
      </c>
      <c r="V41" s="29" t="str">
        <f t="shared" si="0"/>
        <v>SOCIETE DES MINES D'AMPANDRANDAVA</v>
      </c>
      <c r="W41" s="29" t="str">
        <f t="shared" si="4"/>
        <v>Espèces</v>
      </c>
    </row>
    <row r="42" spans="1:23">
      <c r="A42" s="29" t="str">
        <f>"21057"</f>
        <v>21057</v>
      </c>
      <c r="B42" s="29" t="str">
        <f>"SOAFANOROA"</f>
        <v>SOAFANOROA</v>
      </c>
      <c r="C42" s="29" t="str">
        <f>""</f>
        <v/>
      </c>
      <c r="D42" s="29" t="str">
        <f>"MINEUR"</f>
        <v>MINEUR</v>
      </c>
      <c r="E42" s="31">
        <v>41640</v>
      </c>
      <c r="F42" s="29" t="str">
        <f>""</f>
        <v/>
      </c>
      <c r="G42" s="30">
        <v>87000</v>
      </c>
      <c r="H42" s="30">
        <v>0</v>
      </c>
      <c r="I42" s="30">
        <v>0</v>
      </c>
      <c r="J42" s="30">
        <v>29</v>
      </c>
      <c r="K42" s="30">
        <v>0</v>
      </c>
      <c r="L42" s="30">
        <v>0</v>
      </c>
      <c r="M42" s="30">
        <v>0</v>
      </c>
      <c r="N42" s="30">
        <v>87000</v>
      </c>
      <c r="O42" s="30">
        <v>2000</v>
      </c>
      <c r="P42" s="30">
        <v>0</v>
      </c>
      <c r="Q42" s="30">
        <v>0</v>
      </c>
      <c r="R42" s="30">
        <v>0</v>
      </c>
      <c r="S42" s="30">
        <v>0</v>
      </c>
      <c r="T42" s="30">
        <v>85000</v>
      </c>
      <c r="U42" s="29" t="str">
        <f t="shared" si="5"/>
        <v>JOURNALIER</v>
      </c>
      <c r="V42" s="29" t="str">
        <f t="shared" si="0"/>
        <v>SOCIETE DES MINES D'AMPANDRANDAVA</v>
      </c>
      <c r="W42" s="29" t="str">
        <f t="shared" si="4"/>
        <v>Espèces</v>
      </c>
    </row>
    <row r="43" spans="1:23">
      <c r="A43" s="29" t="str">
        <f>"21059"</f>
        <v>21059</v>
      </c>
      <c r="B43" s="29" t="str">
        <f>"MAKA"</f>
        <v>MAKA</v>
      </c>
      <c r="C43" s="29" t="str">
        <f>""</f>
        <v/>
      </c>
      <c r="D43" s="29" t="str">
        <f>"GARDIEN"</f>
        <v>GARDIEN</v>
      </c>
      <c r="E43" s="31">
        <v>41640</v>
      </c>
      <c r="F43" s="29" t="str">
        <f>""</f>
        <v/>
      </c>
      <c r="G43" s="30">
        <v>117000</v>
      </c>
      <c r="H43" s="30">
        <v>0</v>
      </c>
      <c r="I43" s="30">
        <v>0</v>
      </c>
      <c r="J43" s="30">
        <v>39</v>
      </c>
      <c r="K43" s="30">
        <v>0</v>
      </c>
      <c r="L43" s="30">
        <v>0</v>
      </c>
      <c r="M43" s="30">
        <v>0</v>
      </c>
      <c r="N43" s="30">
        <v>117000</v>
      </c>
      <c r="O43" s="30">
        <v>2000</v>
      </c>
      <c r="P43" s="30">
        <v>0</v>
      </c>
      <c r="Q43" s="30">
        <v>0</v>
      </c>
      <c r="R43" s="30">
        <v>0</v>
      </c>
      <c r="S43" s="30">
        <v>0</v>
      </c>
      <c r="T43" s="30">
        <v>115000</v>
      </c>
      <c r="U43" s="29" t="str">
        <f t="shared" si="5"/>
        <v>JOURNALIER</v>
      </c>
      <c r="V43" s="29" t="str">
        <f t="shared" si="0"/>
        <v>SOCIETE DES MINES D'AMPANDRANDAVA</v>
      </c>
      <c r="W43" s="29" t="str">
        <f t="shared" si="4"/>
        <v>Espèces</v>
      </c>
    </row>
    <row r="44" spans="1:23">
      <c r="A44" s="29" t="str">
        <f>"21061"</f>
        <v>21061</v>
      </c>
      <c r="B44" s="29" t="str">
        <f>"RAZAFINDRAKOTONIAINA"</f>
        <v>RAZAFINDRAKOTONIAINA</v>
      </c>
      <c r="C44" s="29" t="str">
        <f>"Patrick"</f>
        <v>Patrick</v>
      </c>
      <c r="D44" s="29" t="str">
        <f>"AGENT DE SECURITE"</f>
        <v>AGENT DE SECURITE</v>
      </c>
      <c r="E44" s="31">
        <v>41937</v>
      </c>
      <c r="F44" s="29" t="str">
        <f>""</f>
        <v/>
      </c>
      <c r="G44" s="30">
        <v>93000</v>
      </c>
      <c r="H44" s="30">
        <v>0</v>
      </c>
      <c r="I44" s="30">
        <v>0</v>
      </c>
      <c r="J44" s="30">
        <v>31</v>
      </c>
      <c r="K44" s="30">
        <v>0</v>
      </c>
      <c r="L44" s="30">
        <v>0</v>
      </c>
      <c r="M44" s="30">
        <v>0</v>
      </c>
      <c r="N44" s="30">
        <v>93000</v>
      </c>
      <c r="O44" s="30">
        <v>2000</v>
      </c>
      <c r="P44" s="30">
        <v>0</v>
      </c>
      <c r="Q44" s="30">
        <v>0</v>
      </c>
      <c r="R44" s="30">
        <v>0</v>
      </c>
      <c r="S44" s="30">
        <v>0</v>
      </c>
      <c r="T44" s="30">
        <v>91000</v>
      </c>
      <c r="U44" s="29" t="str">
        <f t="shared" si="5"/>
        <v>JOURNALIER</v>
      </c>
      <c r="V44" s="29" t="str">
        <f t="shared" si="0"/>
        <v>SOCIETE DES MINES D'AMPANDRANDAVA</v>
      </c>
      <c r="W44" s="29" t="str">
        <f t="shared" si="4"/>
        <v>Espèces</v>
      </c>
    </row>
    <row r="45" spans="1:23">
      <c r="A45" s="29" t="str">
        <f>"21062"</f>
        <v>21062</v>
      </c>
      <c r="B45" s="29" t="str">
        <f>"RAMANAHIRANA"</f>
        <v>RAMANAHIRANA</v>
      </c>
      <c r="C45" s="29" t="str">
        <f>"Vorisoa Re"</f>
        <v>Vorisoa Re</v>
      </c>
      <c r="D45" s="29" t="str">
        <f>"AGENT DE SECURITE"</f>
        <v>AGENT DE SECURITE</v>
      </c>
      <c r="E45" s="31">
        <v>41937</v>
      </c>
      <c r="F45" s="29" t="str">
        <f>""</f>
        <v/>
      </c>
      <c r="G45" s="30">
        <v>93000</v>
      </c>
      <c r="H45" s="30">
        <v>0</v>
      </c>
      <c r="I45" s="30">
        <v>0</v>
      </c>
      <c r="J45" s="30">
        <v>31</v>
      </c>
      <c r="K45" s="30">
        <v>0</v>
      </c>
      <c r="L45" s="30">
        <v>0</v>
      </c>
      <c r="M45" s="30">
        <v>0</v>
      </c>
      <c r="N45" s="30">
        <v>93000</v>
      </c>
      <c r="O45" s="30">
        <v>2000</v>
      </c>
      <c r="P45" s="30">
        <v>0</v>
      </c>
      <c r="Q45" s="30">
        <v>0</v>
      </c>
      <c r="R45" s="30">
        <v>0</v>
      </c>
      <c r="S45" s="30">
        <v>0</v>
      </c>
      <c r="T45" s="30">
        <v>91000</v>
      </c>
      <c r="U45" s="29" t="str">
        <f t="shared" si="5"/>
        <v>JOURNALIER</v>
      </c>
      <c r="V45" s="29" t="str">
        <f t="shared" si="0"/>
        <v>SOCIETE DES MINES D'AMPANDRANDAVA</v>
      </c>
      <c r="W45" s="29" t="str">
        <f t="shared" si="4"/>
        <v>Espèces</v>
      </c>
    </row>
    <row r="46" spans="1:23">
      <c r="A46" s="29" t="str">
        <f>"21210"</f>
        <v>21210</v>
      </c>
      <c r="B46" s="29" t="str">
        <f>"SOJA CECILIA"</f>
        <v>SOJA CECILIA</v>
      </c>
      <c r="C46" s="29" t="str">
        <f>""</f>
        <v/>
      </c>
      <c r="D46" s="29" t="str">
        <f>"GARDIEN"</f>
        <v>GARDIEN</v>
      </c>
      <c r="E46" s="31">
        <v>35573</v>
      </c>
      <c r="F46" s="29" t="str">
        <f>""</f>
        <v/>
      </c>
      <c r="G46" s="30">
        <v>93000</v>
      </c>
      <c r="H46" s="30">
        <v>0</v>
      </c>
      <c r="I46" s="30">
        <v>0</v>
      </c>
      <c r="J46" s="30">
        <v>31</v>
      </c>
      <c r="K46" s="30">
        <v>0</v>
      </c>
      <c r="L46" s="30">
        <v>0</v>
      </c>
      <c r="M46" s="30">
        <v>0</v>
      </c>
      <c r="N46" s="30">
        <v>93000</v>
      </c>
      <c r="O46" s="30">
        <v>2000</v>
      </c>
      <c r="P46" s="30">
        <v>0</v>
      </c>
      <c r="Q46" s="30">
        <v>0</v>
      </c>
      <c r="R46" s="30">
        <v>0</v>
      </c>
      <c r="S46" s="30">
        <v>0</v>
      </c>
      <c r="T46" s="30">
        <v>91000</v>
      </c>
      <c r="U46" s="29" t="str">
        <f t="shared" si="5"/>
        <v>JOURNALIER</v>
      </c>
      <c r="V46" s="29" t="str">
        <f t="shared" si="0"/>
        <v>SOCIETE DES MINES D'AMPANDRANDAVA</v>
      </c>
      <c r="W46" s="29" t="str">
        <f t="shared" si="4"/>
        <v>Espèces</v>
      </c>
    </row>
    <row r="47" spans="1:23">
      <c r="A47" s="29" t="str">
        <f>"21251"</f>
        <v>21251</v>
      </c>
      <c r="B47" s="29" t="str">
        <f>"RAKOTOMALALA"</f>
        <v>RAKOTOMALALA</v>
      </c>
      <c r="C47" s="29" t="str">
        <f>"Soja"</f>
        <v>Soja</v>
      </c>
      <c r="D47" s="29" t="str">
        <f>"Ouvrier IRF1"</f>
        <v>Ouvrier IRF1</v>
      </c>
      <c r="E47" s="31">
        <v>42570</v>
      </c>
      <c r="F47" s="29" t="str">
        <f>""</f>
        <v/>
      </c>
      <c r="G47" s="30">
        <v>93000</v>
      </c>
      <c r="H47" s="30">
        <v>0</v>
      </c>
      <c r="I47" s="30">
        <v>0</v>
      </c>
      <c r="J47" s="30">
        <v>31</v>
      </c>
      <c r="K47" s="30">
        <v>0</v>
      </c>
      <c r="L47" s="30">
        <v>0</v>
      </c>
      <c r="M47" s="30">
        <v>0</v>
      </c>
      <c r="N47" s="30">
        <v>93000</v>
      </c>
      <c r="O47" s="30">
        <v>2000</v>
      </c>
      <c r="P47" s="30">
        <v>0</v>
      </c>
      <c r="Q47" s="30">
        <v>0</v>
      </c>
      <c r="R47" s="30">
        <v>0</v>
      </c>
      <c r="S47" s="30">
        <v>0</v>
      </c>
      <c r="T47" s="30">
        <v>91000</v>
      </c>
      <c r="U47" s="29" t="str">
        <f t="shared" si="5"/>
        <v>JOURNALIER</v>
      </c>
      <c r="V47" s="29" t="str">
        <f t="shared" si="0"/>
        <v>SOCIETE DES MINES D'AMPANDRANDAVA</v>
      </c>
      <c r="W47" s="29" t="str">
        <f t="shared" si="4"/>
        <v>Espèces</v>
      </c>
    </row>
    <row r="48" spans="1:23">
      <c r="A48" s="29" t="str">
        <f>"21277"</f>
        <v>21277</v>
      </c>
      <c r="B48" s="29" t="str">
        <f>"LAMBO"</f>
        <v>LAMBO</v>
      </c>
      <c r="C48" s="29" t="str">
        <f>""</f>
        <v/>
      </c>
      <c r="D48" s="29" t="str">
        <f>"Ouvrier IRF1"</f>
        <v>Ouvrier IRF1</v>
      </c>
      <c r="E48" s="31">
        <v>42569</v>
      </c>
      <c r="F48" s="29" t="str">
        <f>""</f>
        <v/>
      </c>
      <c r="G48" s="30">
        <v>81000</v>
      </c>
      <c r="H48" s="30">
        <v>0</v>
      </c>
      <c r="I48" s="30">
        <v>0</v>
      </c>
      <c r="J48" s="30">
        <v>27</v>
      </c>
      <c r="K48" s="30">
        <v>0</v>
      </c>
      <c r="L48" s="30">
        <v>0</v>
      </c>
      <c r="M48" s="30">
        <v>0</v>
      </c>
      <c r="N48" s="30">
        <v>81000</v>
      </c>
      <c r="O48" s="30">
        <v>2000</v>
      </c>
      <c r="P48" s="30">
        <v>0</v>
      </c>
      <c r="Q48" s="30">
        <v>0</v>
      </c>
      <c r="R48" s="30">
        <v>0</v>
      </c>
      <c r="S48" s="30">
        <v>0</v>
      </c>
      <c r="T48" s="30">
        <v>79000</v>
      </c>
      <c r="U48" s="29" t="str">
        <f t="shared" si="5"/>
        <v>JOURNALIER</v>
      </c>
      <c r="V48" s="29" t="str">
        <f t="shared" si="0"/>
        <v>SOCIETE DES MINES D'AMPANDRANDAVA</v>
      </c>
      <c r="W48" s="29" t="str">
        <f t="shared" si="4"/>
        <v>Espèces</v>
      </c>
    </row>
    <row r="49" spans="1:23">
      <c r="A49" s="29" t="str">
        <f>"21296"</f>
        <v>21296</v>
      </c>
      <c r="B49" s="29" t="str">
        <f>"RANOMENJANAHARY"</f>
        <v>RANOMENJANAHARY</v>
      </c>
      <c r="C49" s="29" t="str">
        <f>"Donald Rem"</f>
        <v>Donald Rem</v>
      </c>
      <c r="D49" s="29" t="str">
        <f>"Ouvrier Benne"</f>
        <v>Ouvrier Benne</v>
      </c>
      <c r="E49" s="31">
        <v>42570</v>
      </c>
      <c r="F49" s="29" t="str">
        <f>""</f>
        <v/>
      </c>
      <c r="G49" s="30">
        <v>90000</v>
      </c>
      <c r="H49" s="30">
        <v>0</v>
      </c>
      <c r="I49" s="30">
        <v>0</v>
      </c>
      <c r="J49" s="30">
        <v>30</v>
      </c>
      <c r="K49" s="30">
        <v>0</v>
      </c>
      <c r="L49" s="30">
        <v>0</v>
      </c>
      <c r="M49" s="30">
        <v>0</v>
      </c>
      <c r="N49" s="30">
        <v>90000</v>
      </c>
      <c r="O49" s="30">
        <v>2000</v>
      </c>
      <c r="P49" s="30">
        <v>0</v>
      </c>
      <c r="Q49" s="30">
        <v>0</v>
      </c>
      <c r="R49" s="30">
        <v>0</v>
      </c>
      <c r="S49" s="30">
        <v>0</v>
      </c>
      <c r="T49" s="30">
        <v>88000</v>
      </c>
      <c r="U49" s="29" t="str">
        <f t="shared" si="5"/>
        <v>JOURNALIER</v>
      </c>
      <c r="V49" s="29" t="str">
        <f t="shared" si="0"/>
        <v>SOCIETE DES MINES D'AMPANDRANDAVA</v>
      </c>
      <c r="W49" s="29" t="str">
        <f t="shared" si="4"/>
        <v>Espèces</v>
      </c>
    </row>
    <row r="50" spans="1:23">
      <c r="A50" s="29" t="str">
        <f>"21322"</f>
        <v>21322</v>
      </c>
      <c r="B50" s="29" t="str">
        <f>"RAZAFIMAHATRATRA"</f>
        <v>RAZAFIMAHATRATRA</v>
      </c>
      <c r="C50" s="29" t="str">
        <f>"Gaston"</f>
        <v>Gaston</v>
      </c>
      <c r="D50" s="29" t="str">
        <f>"MANUTENTIONNAIRE"</f>
        <v>MANUTENTIONNAIRE</v>
      </c>
      <c r="E50" s="31">
        <v>43033</v>
      </c>
      <c r="F50" s="29" t="str">
        <f>""</f>
        <v/>
      </c>
      <c r="G50" s="30">
        <v>91500</v>
      </c>
      <c r="H50" s="30">
        <v>0</v>
      </c>
      <c r="I50" s="30">
        <v>0</v>
      </c>
      <c r="J50" s="30">
        <v>30.5</v>
      </c>
      <c r="K50" s="30">
        <v>0</v>
      </c>
      <c r="L50" s="30">
        <v>0</v>
      </c>
      <c r="M50" s="30">
        <v>0</v>
      </c>
      <c r="N50" s="30">
        <v>91500</v>
      </c>
      <c r="O50" s="30">
        <v>2000</v>
      </c>
      <c r="P50" s="30">
        <v>0</v>
      </c>
      <c r="Q50" s="30">
        <v>0</v>
      </c>
      <c r="R50" s="30">
        <v>0</v>
      </c>
      <c r="S50" s="30">
        <v>0</v>
      </c>
      <c r="T50" s="30">
        <v>89500</v>
      </c>
      <c r="U50" s="29" t="str">
        <f t="shared" si="5"/>
        <v>JOURNALIER</v>
      </c>
      <c r="V50" s="29" t="str">
        <f t="shared" si="0"/>
        <v>SOCIETE DES MINES D'AMPANDRANDAVA</v>
      </c>
      <c r="W50" s="29" t="str">
        <f t="shared" si="4"/>
        <v>Espèces</v>
      </c>
    </row>
    <row r="51" spans="1:23">
      <c r="A51" s="29" t="str">
        <f>"21335"</f>
        <v>21335</v>
      </c>
      <c r="B51" s="29" t="str">
        <f>"TIRINDRAY"</f>
        <v>TIRINDRAY</v>
      </c>
      <c r="C51" s="29" t="str">
        <f>"Maherisoa"</f>
        <v>Maherisoa</v>
      </c>
      <c r="D51" s="29" t="str">
        <f>"MANUTENTIONNAIRE"</f>
        <v>MANUTENTIONNAIRE</v>
      </c>
      <c r="E51" s="31">
        <v>43033</v>
      </c>
      <c r="F51" s="29" t="str">
        <f>""</f>
        <v/>
      </c>
      <c r="G51" s="30">
        <v>93000</v>
      </c>
      <c r="H51" s="30">
        <v>0</v>
      </c>
      <c r="I51" s="30">
        <v>0</v>
      </c>
      <c r="J51" s="30">
        <v>31</v>
      </c>
      <c r="K51" s="30">
        <v>0</v>
      </c>
      <c r="L51" s="30">
        <v>0</v>
      </c>
      <c r="M51" s="30">
        <v>0</v>
      </c>
      <c r="N51" s="30">
        <v>93000</v>
      </c>
      <c r="O51" s="30">
        <v>2000</v>
      </c>
      <c r="P51" s="30">
        <v>0</v>
      </c>
      <c r="Q51" s="30">
        <v>0</v>
      </c>
      <c r="R51" s="30">
        <v>0</v>
      </c>
      <c r="S51" s="30">
        <v>0</v>
      </c>
      <c r="T51" s="30">
        <v>91000</v>
      </c>
      <c r="U51" s="29" t="str">
        <f t="shared" si="5"/>
        <v>JOURNALIER</v>
      </c>
      <c r="V51" s="29" t="str">
        <f t="shared" si="0"/>
        <v>SOCIETE DES MINES D'AMPANDRANDAVA</v>
      </c>
      <c r="W51" s="29" t="str">
        <f t="shared" si="4"/>
        <v>Espèces</v>
      </c>
    </row>
    <row r="52" spans="1:23">
      <c r="A52" s="29" t="str">
        <f>"21364"</f>
        <v>21364</v>
      </c>
      <c r="B52" s="29" t="str">
        <f>"MOSA"</f>
        <v>MOSA</v>
      </c>
      <c r="C52" s="29" t="str">
        <f>"Jean"</f>
        <v>Jean</v>
      </c>
      <c r="D52" s="29" t="str">
        <f>"MANUTENTIONNAIRE"</f>
        <v>MANUTENTIONNAIRE</v>
      </c>
      <c r="E52" s="31">
        <v>43033</v>
      </c>
      <c r="F52" s="29" t="str">
        <f>""</f>
        <v/>
      </c>
      <c r="G52" s="30">
        <v>91500</v>
      </c>
      <c r="H52" s="30">
        <v>0</v>
      </c>
      <c r="I52" s="30">
        <v>0</v>
      </c>
      <c r="J52" s="30">
        <v>30.5</v>
      </c>
      <c r="K52" s="30">
        <v>0</v>
      </c>
      <c r="L52" s="30">
        <v>0</v>
      </c>
      <c r="M52" s="30">
        <v>0</v>
      </c>
      <c r="N52" s="30">
        <v>91500</v>
      </c>
      <c r="O52" s="30">
        <v>2000</v>
      </c>
      <c r="P52" s="30">
        <v>0</v>
      </c>
      <c r="Q52" s="30">
        <v>0</v>
      </c>
      <c r="R52" s="30">
        <v>0</v>
      </c>
      <c r="S52" s="30">
        <v>0</v>
      </c>
      <c r="T52" s="30">
        <v>89500</v>
      </c>
      <c r="U52" s="29" t="str">
        <f t="shared" si="5"/>
        <v>JOURNALIER</v>
      </c>
      <c r="V52" s="29" t="str">
        <f t="shared" si="0"/>
        <v>SOCIETE DES MINES D'AMPANDRANDAVA</v>
      </c>
      <c r="W52" s="29" t="str">
        <f t="shared" si="4"/>
        <v>Espèces</v>
      </c>
    </row>
    <row r="53" spans="1:23">
      <c r="A53" s="29" t="str">
        <f>"21473"</f>
        <v>21473</v>
      </c>
      <c r="B53" s="29" t="str">
        <f>"MANOLOSOA"</f>
        <v>MANOLOSOA</v>
      </c>
      <c r="C53" s="29" t="str">
        <f>"Gilbert"</f>
        <v>Gilbert</v>
      </c>
      <c r="D53" s="29" t="str">
        <f>"GARDIEN"</f>
        <v>GARDIEN</v>
      </c>
      <c r="E53" s="31">
        <v>38296</v>
      </c>
      <c r="F53" s="29" t="str">
        <f>""</f>
        <v/>
      </c>
      <c r="G53" s="30">
        <v>93000</v>
      </c>
      <c r="H53" s="30">
        <v>0</v>
      </c>
      <c r="I53" s="30">
        <v>0</v>
      </c>
      <c r="J53" s="30">
        <v>31</v>
      </c>
      <c r="K53" s="30">
        <v>0</v>
      </c>
      <c r="L53" s="30">
        <v>0</v>
      </c>
      <c r="M53" s="30">
        <v>0</v>
      </c>
      <c r="N53" s="30">
        <v>93000</v>
      </c>
      <c r="O53" s="30">
        <v>2000</v>
      </c>
      <c r="P53" s="30">
        <v>0</v>
      </c>
      <c r="Q53" s="30">
        <v>0</v>
      </c>
      <c r="R53" s="30">
        <v>0</v>
      </c>
      <c r="S53" s="30">
        <v>0</v>
      </c>
      <c r="T53" s="30">
        <v>91000</v>
      </c>
      <c r="U53" s="29" t="str">
        <f t="shared" si="5"/>
        <v>JOURNALIER</v>
      </c>
      <c r="V53" s="29" t="str">
        <f t="shared" si="0"/>
        <v>SOCIETE DES MINES D'AMPANDRANDAVA</v>
      </c>
      <c r="W53" s="29" t="str">
        <f t="shared" si="4"/>
        <v>Espèces</v>
      </c>
    </row>
    <row r="54" spans="1:23">
      <c r="A54" s="29" t="str">
        <f>"21478"</f>
        <v>21478</v>
      </c>
      <c r="B54" s="29" t="str">
        <f>"DAMY"</f>
        <v>DAMY</v>
      </c>
      <c r="C54" s="29" t="str">
        <f>"Sylvin"</f>
        <v>Sylvin</v>
      </c>
      <c r="D54" s="29" t="str">
        <f>"MANUTENTIONNAIRE"</f>
        <v>MANUTENTIONNAIRE</v>
      </c>
      <c r="E54" s="31">
        <v>43033</v>
      </c>
      <c r="F54" s="29" t="str">
        <f>""</f>
        <v/>
      </c>
      <c r="G54" s="30">
        <v>91500</v>
      </c>
      <c r="H54" s="30">
        <v>0</v>
      </c>
      <c r="I54" s="30">
        <v>0</v>
      </c>
      <c r="J54" s="30">
        <v>30.5</v>
      </c>
      <c r="K54" s="30">
        <v>0</v>
      </c>
      <c r="L54" s="30">
        <v>0</v>
      </c>
      <c r="M54" s="30">
        <v>0</v>
      </c>
      <c r="N54" s="30">
        <v>91500</v>
      </c>
      <c r="O54" s="30">
        <v>2000</v>
      </c>
      <c r="P54" s="30">
        <v>0</v>
      </c>
      <c r="Q54" s="30">
        <v>0</v>
      </c>
      <c r="R54" s="30">
        <v>0</v>
      </c>
      <c r="S54" s="30">
        <v>0</v>
      </c>
      <c r="T54" s="30">
        <v>89500</v>
      </c>
      <c r="U54" s="29" t="str">
        <f t="shared" si="5"/>
        <v>JOURNALIER</v>
      </c>
      <c r="V54" s="29" t="str">
        <f t="shared" si="0"/>
        <v>SOCIETE DES MINES D'AMPANDRANDAVA</v>
      </c>
      <c r="W54" s="29" t="str">
        <f t="shared" si="4"/>
        <v>Espèces</v>
      </c>
    </row>
    <row r="55" spans="1:23">
      <c r="A55" s="29" t="str">
        <f>"21479"</f>
        <v>21479</v>
      </c>
      <c r="B55" s="29" t="str">
        <f>"FANOMEZA"</f>
        <v>FANOMEZA</v>
      </c>
      <c r="C55" s="29" t="str">
        <f>"Alson"</f>
        <v>Alson</v>
      </c>
      <c r="D55" s="29" t="str">
        <f>"BOUTE FEU"</f>
        <v>BOUTE FEU</v>
      </c>
      <c r="E55" s="31">
        <v>42333</v>
      </c>
      <c r="F55" s="29" t="str">
        <f>""</f>
        <v/>
      </c>
      <c r="G55" s="30">
        <v>93000</v>
      </c>
      <c r="H55" s="30">
        <v>0</v>
      </c>
      <c r="I55" s="30">
        <v>0</v>
      </c>
      <c r="J55" s="30">
        <v>31</v>
      </c>
      <c r="K55" s="30">
        <v>0</v>
      </c>
      <c r="L55" s="30">
        <v>0</v>
      </c>
      <c r="M55" s="30">
        <v>0</v>
      </c>
      <c r="N55" s="30">
        <v>93000</v>
      </c>
      <c r="O55" s="30">
        <v>2000</v>
      </c>
      <c r="P55" s="30">
        <v>0</v>
      </c>
      <c r="Q55" s="30">
        <v>0</v>
      </c>
      <c r="R55" s="30">
        <v>0</v>
      </c>
      <c r="S55" s="30">
        <v>0</v>
      </c>
      <c r="T55" s="30">
        <v>91000</v>
      </c>
      <c r="U55" s="29" t="str">
        <f t="shared" si="5"/>
        <v>JOURNALIER</v>
      </c>
      <c r="V55" s="29" t="str">
        <f t="shared" si="0"/>
        <v>SOCIETE DES MINES D'AMPANDRANDAVA</v>
      </c>
      <c r="W55" s="29" t="str">
        <f t="shared" si="4"/>
        <v>Espèces</v>
      </c>
    </row>
    <row r="56" spans="1:23">
      <c r="A56" s="29" t="str">
        <f>"21543"</f>
        <v>21543</v>
      </c>
      <c r="B56" s="29" t="str">
        <f>"MIHA"</f>
        <v>MIHA</v>
      </c>
      <c r="C56" s="29" t="str">
        <f>"Tahintsoa"</f>
        <v>Tahintsoa</v>
      </c>
      <c r="D56" s="29" t="str">
        <f>"MANUTENTIONNAIRE"</f>
        <v>MANUTENTIONNAIRE</v>
      </c>
      <c r="E56" s="31">
        <v>43033</v>
      </c>
      <c r="F56" s="29" t="str">
        <f>""</f>
        <v/>
      </c>
      <c r="G56" s="30">
        <v>88500</v>
      </c>
      <c r="H56" s="30">
        <v>0</v>
      </c>
      <c r="I56" s="30">
        <v>0</v>
      </c>
      <c r="J56" s="30">
        <v>29.5</v>
      </c>
      <c r="K56" s="30">
        <v>0</v>
      </c>
      <c r="L56" s="30">
        <v>0</v>
      </c>
      <c r="M56" s="30">
        <v>0</v>
      </c>
      <c r="N56" s="30">
        <v>88500</v>
      </c>
      <c r="O56" s="30">
        <v>2000</v>
      </c>
      <c r="P56" s="30">
        <v>0</v>
      </c>
      <c r="Q56" s="30">
        <v>0</v>
      </c>
      <c r="R56" s="30">
        <v>0</v>
      </c>
      <c r="S56" s="30">
        <v>0</v>
      </c>
      <c r="T56" s="30">
        <v>86500</v>
      </c>
      <c r="U56" s="29" t="str">
        <f t="shared" si="5"/>
        <v>JOURNALIER</v>
      </c>
      <c r="V56" s="29" t="str">
        <f t="shared" si="0"/>
        <v>SOCIETE DES MINES D'AMPANDRANDAVA</v>
      </c>
      <c r="W56" s="29" t="str">
        <f t="shared" si="4"/>
        <v>Espèces</v>
      </c>
    </row>
    <row r="57" spans="1:23">
      <c r="A57" s="29" t="str">
        <f>"21607"</f>
        <v>21607</v>
      </c>
      <c r="B57" s="29" t="str">
        <f>"MANADILY"</f>
        <v>MANADILY</v>
      </c>
      <c r="C57" s="29" t="str">
        <f>""</f>
        <v/>
      </c>
      <c r="D57" s="29" t="str">
        <f>"CHEF DE POSTE"</f>
        <v>CHEF DE POSTE</v>
      </c>
      <c r="E57" s="31">
        <v>43004</v>
      </c>
      <c r="F57" s="29" t="str">
        <f>"M2"</f>
        <v>M2</v>
      </c>
      <c r="G57" s="30">
        <v>156103</v>
      </c>
      <c r="H57" s="30">
        <v>0</v>
      </c>
      <c r="I57" s="30">
        <v>0</v>
      </c>
      <c r="J57" s="30">
        <v>31</v>
      </c>
      <c r="K57" s="30">
        <v>0</v>
      </c>
      <c r="L57" s="30">
        <v>0</v>
      </c>
      <c r="M57" s="30">
        <v>150899.56</v>
      </c>
      <c r="N57" s="30">
        <v>307002.56</v>
      </c>
      <c r="O57" s="30">
        <v>11400</v>
      </c>
      <c r="P57" s="30">
        <v>0</v>
      </c>
      <c r="Q57" s="30">
        <v>0</v>
      </c>
      <c r="R57" s="30">
        <v>0</v>
      </c>
      <c r="S57" s="30">
        <v>2.56</v>
      </c>
      <c r="T57" s="30">
        <v>295600</v>
      </c>
      <c r="U57" s="29" t="str">
        <f>"TEMPORAIRE"</f>
        <v>TEMPORAIRE</v>
      </c>
      <c r="V57" s="29" t="str">
        <f t="shared" si="0"/>
        <v>SOCIETE DES MINES D'AMPANDRANDAVA</v>
      </c>
      <c r="W57" s="29" t="str">
        <f t="shared" si="4"/>
        <v>Espèces</v>
      </c>
    </row>
    <row r="58" spans="1:23">
      <c r="A58" s="29" t="str">
        <f>"21656"</f>
        <v>21656</v>
      </c>
      <c r="B58" s="29" t="str">
        <f>"HERINIAINA"</f>
        <v>HERINIAINA</v>
      </c>
      <c r="C58" s="29" t="str">
        <f>"Therry Gal"</f>
        <v>Therry Gal</v>
      </c>
      <c r="D58" s="29" t="str">
        <f>"MANUTENTIONNAIRE"</f>
        <v>MANUTENTIONNAIRE</v>
      </c>
      <c r="E58" s="31">
        <v>43033</v>
      </c>
      <c r="F58" s="29" t="str">
        <f>""</f>
        <v/>
      </c>
      <c r="G58" s="30">
        <v>93000</v>
      </c>
      <c r="H58" s="30">
        <v>0</v>
      </c>
      <c r="I58" s="30">
        <v>0</v>
      </c>
      <c r="J58" s="30">
        <v>31</v>
      </c>
      <c r="K58" s="30">
        <v>0</v>
      </c>
      <c r="L58" s="30">
        <v>0</v>
      </c>
      <c r="M58" s="30">
        <v>0</v>
      </c>
      <c r="N58" s="30">
        <v>93000</v>
      </c>
      <c r="O58" s="30">
        <v>2000</v>
      </c>
      <c r="P58" s="30">
        <v>0</v>
      </c>
      <c r="Q58" s="30">
        <v>0</v>
      </c>
      <c r="R58" s="30">
        <v>0</v>
      </c>
      <c r="S58" s="30">
        <v>0</v>
      </c>
      <c r="T58" s="30">
        <v>91000</v>
      </c>
      <c r="U58" s="29" t="str">
        <f t="shared" ref="U58:U77" si="6">"JOURNALIER"</f>
        <v>JOURNALIER</v>
      </c>
      <c r="V58" s="29" t="str">
        <f t="shared" si="0"/>
        <v>SOCIETE DES MINES D'AMPANDRANDAVA</v>
      </c>
      <c r="W58" s="29" t="str">
        <f t="shared" si="4"/>
        <v>Espèces</v>
      </c>
    </row>
    <row r="59" spans="1:23">
      <c r="A59" s="29" t="str">
        <f>"21675"</f>
        <v>21675</v>
      </c>
      <c r="B59" s="29" t="str">
        <f>"RAZAFINDRAGABY"</f>
        <v>RAZAFINDRAGABY</v>
      </c>
      <c r="C59" s="29" t="str">
        <f>"Olivier"</f>
        <v>Olivier</v>
      </c>
      <c r="D59" s="29" t="str">
        <f>"GARDIEN"</f>
        <v>GARDIEN</v>
      </c>
      <c r="E59" s="31">
        <v>38739</v>
      </c>
      <c r="F59" s="29" t="str">
        <f>""</f>
        <v/>
      </c>
      <c r="G59" s="30">
        <v>96000</v>
      </c>
      <c r="H59" s="30">
        <v>0</v>
      </c>
      <c r="I59" s="30">
        <v>0</v>
      </c>
      <c r="J59" s="30">
        <v>32</v>
      </c>
      <c r="K59" s="30">
        <v>0</v>
      </c>
      <c r="L59" s="30">
        <v>0</v>
      </c>
      <c r="M59" s="30">
        <v>0</v>
      </c>
      <c r="N59" s="30">
        <v>96000</v>
      </c>
      <c r="O59" s="30">
        <v>2000</v>
      </c>
      <c r="P59" s="30">
        <v>0</v>
      </c>
      <c r="Q59" s="30">
        <v>0</v>
      </c>
      <c r="R59" s="30">
        <v>0</v>
      </c>
      <c r="S59" s="30">
        <v>0</v>
      </c>
      <c r="T59" s="30">
        <v>94000</v>
      </c>
      <c r="U59" s="29" t="str">
        <f t="shared" si="6"/>
        <v>JOURNALIER</v>
      </c>
      <c r="V59" s="29" t="str">
        <f t="shared" si="0"/>
        <v>SOCIETE DES MINES D'AMPANDRANDAVA</v>
      </c>
      <c r="W59" s="29" t="str">
        <f t="shared" si="4"/>
        <v>Espèces</v>
      </c>
    </row>
    <row r="60" spans="1:23">
      <c r="A60" s="29" t="str">
        <f>"21714"</f>
        <v>21714</v>
      </c>
      <c r="B60" s="29" t="str">
        <f>"RATOVONIAINA"</f>
        <v>RATOVONIAINA</v>
      </c>
      <c r="C60" s="29" t="str">
        <f>"Soja Obin"</f>
        <v>Soja Obin</v>
      </c>
      <c r="D60" s="29" t="str">
        <f>"MANUTENTIONNAIRE"</f>
        <v>MANUTENTIONNAIRE</v>
      </c>
      <c r="E60" s="31">
        <v>43033</v>
      </c>
      <c r="F60" s="29" t="str">
        <f>""</f>
        <v/>
      </c>
      <c r="G60" s="30">
        <v>81000</v>
      </c>
      <c r="H60" s="30">
        <v>0</v>
      </c>
      <c r="I60" s="30">
        <v>0</v>
      </c>
      <c r="J60" s="30">
        <v>27</v>
      </c>
      <c r="K60" s="30">
        <v>0</v>
      </c>
      <c r="L60" s="30">
        <v>0</v>
      </c>
      <c r="M60" s="30">
        <v>0</v>
      </c>
      <c r="N60" s="30">
        <v>81000</v>
      </c>
      <c r="O60" s="30">
        <v>2000</v>
      </c>
      <c r="P60" s="30">
        <v>0</v>
      </c>
      <c r="Q60" s="30">
        <v>0</v>
      </c>
      <c r="R60" s="30">
        <v>0</v>
      </c>
      <c r="S60" s="30">
        <v>0</v>
      </c>
      <c r="T60" s="30">
        <v>79000</v>
      </c>
      <c r="U60" s="29" t="str">
        <f t="shared" si="6"/>
        <v>JOURNALIER</v>
      </c>
      <c r="V60" s="29" t="str">
        <f t="shared" si="0"/>
        <v>SOCIETE DES MINES D'AMPANDRANDAVA</v>
      </c>
      <c r="W60" s="29" t="str">
        <f t="shared" si="4"/>
        <v>Espèces</v>
      </c>
    </row>
    <row r="61" spans="1:23">
      <c r="A61" s="29" t="str">
        <f>"21737"</f>
        <v>21737</v>
      </c>
      <c r="B61" s="29" t="str">
        <f>"REMY"</f>
        <v>REMY</v>
      </c>
      <c r="C61" s="29" t="str">
        <f>"Eljhone"</f>
        <v>Eljhone</v>
      </c>
      <c r="D61" s="29" t="str">
        <f>"GARDIEN"</f>
        <v>GARDIEN</v>
      </c>
      <c r="E61" s="31">
        <v>39400</v>
      </c>
      <c r="F61" s="29" t="str">
        <f>""</f>
        <v/>
      </c>
      <c r="G61" s="30">
        <v>93000</v>
      </c>
      <c r="H61" s="30">
        <v>0</v>
      </c>
      <c r="I61" s="30">
        <v>0</v>
      </c>
      <c r="J61" s="30">
        <v>31</v>
      </c>
      <c r="K61" s="30">
        <v>0</v>
      </c>
      <c r="L61" s="30">
        <v>0</v>
      </c>
      <c r="M61" s="30">
        <v>0</v>
      </c>
      <c r="N61" s="30">
        <v>93000</v>
      </c>
      <c r="O61" s="30">
        <v>2000</v>
      </c>
      <c r="P61" s="30">
        <v>0</v>
      </c>
      <c r="Q61" s="30">
        <v>0</v>
      </c>
      <c r="R61" s="30">
        <v>0</v>
      </c>
      <c r="S61" s="30">
        <v>0</v>
      </c>
      <c r="T61" s="30">
        <v>91000</v>
      </c>
      <c r="U61" s="29" t="str">
        <f t="shared" si="6"/>
        <v>JOURNALIER</v>
      </c>
      <c r="V61" s="29" t="str">
        <f t="shared" si="0"/>
        <v>SOCIETE DES MINES D'AMPANDRANDAVA</v>
      </c>
      <c r="W61" s="29" t="str">
        <f t="shared" si="4"/>
        <v>Espèces</v>
      </c>
    </row>
    <row r="62" spans="1:23">
      <c r="A62" s="29" t="str">
        <f>"21844"</f>
        <v>21844</v>
      </c>
      <c r="B62" s="29" t="str">
        <f>"KARENA"</f>
        <v>KARENA</v>
      </c>
      <c r="C62" s="29" t="str">
        <f>"Violette"</f>
        <v>Violette</v>
      </c>
      <c r="D62" s="29" t="str">
        <f>"TAMISEUSE"</f>
        <v>TAMISEUSE</v>
      </c>
      <c r="E62" s="31">
        <v>36067</v>
      </c>
      <c r="F62" s="29" t="str">
        <f>""</f>
        <v/>
      </c>
      <c r="G62" s="30">
        <v>102000</v>
      </c>
      <c r="H62" s="30">
        <v>0</v>
      </c>
      <c r="I62" s="30">
        <v>0</v>
      </c>
      <c r="J62" s="30">
        <v>34</v>
      </c>
      <c r="K62" s="30">
        <v>0</v>
      </c>
      <c r="L62" s="30">
        <v>0</v>
      </c>
      <c r="M62" s="30">
        <v>0</v>
      </c>
      <c r="N62" s="30">
        <v>102000</v>
      </c>
      <c r="O62" s="30">
        <v>2000</v>
      </c>
      <c r="P62" s="30">
        <v>0</v>
      </c>
      <c r="Q62" s="30">
        <v>0</v>
      </c>
      <c r="R62" s="30">
        <v>0</v>
      </c>
      <c r="S62" s="30">
        <v>0</v>
      </c>
      <c r="T62" s="30">
        <v>100000</v>
      </c>
      <c r="U62" s="29" t="str">
        <f t="shared" si="6"/>
        <v>JOURNALIER</v>
      </c>
      <c r="V62" s="29" t="str">
        <f t="shared" si="0"/>
        <v>SOCIETE DES MINES D'AMPANDRANDAVA</v>
      </c>
      <c r="W62" s="29" t="str">
        <f t="shared" si="4"/>
        <v>Espèces</v>
      </c>
    </row>
    <row r="63" spans="1:23">
      <c r="A63" s="29" t="str">
        <f>"21970"</f>
        <v>21970</v>
      </c>
      <c r="B63" s="29" t="str">
        <f>"TONGARIVO"</f>
        <v>TONGARIVO</v>
      </c>
      <c r="C63" s="29" t="str">
        <f>"Jack"</f>
        <v>Jack</v>
      </c>
      <c r="D63" s="29" t="str">
        <f>"CONTROLEUSE MICA BRUT"</f>
        <v>CONTROLEUSE MICA BRUT</v>
      </c>
      <c r="E63" s="31">
        <v>42576</v>
      </c>
      <c r="F63" s="29" t="str">
        <f>""</f>
        <v/>
      </c>
      <c r="G63" s="30">
        <v>102000</v>
      </c>
      <c r="H63" s="30">
        <v>0</v>
      </c>
      <c r="I63" s="30">
        <v>0</v>
      </c>
      <c r="J63" s="30">
        <v>34</v>
      </c>
      <c r="K63" s="30">
        <v>0</v>
      </c>
      <c r="L63" s="30">
        <v>0</v>
      </c>
      <c r="M63" s="30">
        <v>0</v>
      </c>
      <c r="N63" s="30">
        <v>102000</v>
      </c>
      <c r="O63" s="30">
        <v>2000</v>
      </c>
      <c r="P63" s="30">
        <v>0</v>
      </c>
      <c r="Q63" s="30">
        <v>0</v>
      </c>
      <c r="R63" s="30">
        <v>0</v>
      </c>
      <c r="S63" s="30">
        <v>0</v>
      </c>
      <c r="T63" s="30">
        <v>100000</v>
      </c>
      <c r="U63" s="29" t="str">
        <f t="shared" si="6"/>
        <v>JOURNALIER</v>
      </c>
      <c r="V63" s="29" t="str">
        <f t="shared" si="0"/>
        <v>SOCIETE DES MINES D'AMPANDRANDAVA</v>
      </c>
      <c r="W63" s="29" t="str">
        <f t="shared" si="4"/>
        <v>Espèces</v>
      </c>
    </row>
    <row r="64" spans="1:23">
      <c r="A64" s="29" t="str">
        <f>"22011"</f>
        <v>22011</v>
      </c>
      <c r="B64" s="29" t="str">
        <f>"TOVO"</f>
        <v>TOVO</v>
      </c>
      <c r="C64" s="29" t="str">
        <f>"José Anacl"</f>
        <v>José Anacl</v>
      </c>
      <c r="D64" s="29" t="str">
        <f>"MANUTENTIONNAIRE"</f>
        <v>MANUTENTIONNAIRE</v>
      </c>
      <c r="E64" s="31">
        <v>43033</v>
      </c>
      <c r="F64" s="29" t="str">
        <f>""</f>
        <v/>
      </c>
      <c r="G64" s="30">
        <v>87000</v>
      </c>
      <c r="H64" s="30">
        <v>0</v>
      </c>
      <c r="I64" s="30">
        <v>0</v>
      </c>
      <c r="J64" s="30">
        <v>29</v>
      </c>
      <c r="K64" s="30">
        <v>0</v>
      </c>
      <c r="L64" s="30">
        <v>0</v>
      </c>
      <c r="M64" s="30">
        <v>0</v>
      </c>
      <c r="N64" s="30">
        <v>87000</v>
      </c>
      <c r="O64" s="30">
        <v>2000</v>
      </c>
      <c r="P64" s="30">
        <v>0</v>
      </c>
      <c r="Q64" s="30">
        <v>0</v>
      </c>
      <c r="R64" s="30">
        <v>0</v>
      </c>
      <c r="S64" s="30">
        <v>0</v>
      </c>
      <c r="T64" s="30">
        <v>85000</v>
      </c>
      <c r="U64" s="29" t="str">
        <f t="shared" si="6"/>
        <v>JOURNALIER</v>
      </c>
      <c r="V64" s="29" t="str">
        <f t="shared" si="0"/>
        <v>SOCIETE DES MINES D'AMPANDRANDAVA</v>
      </c>
      <c r="W64" s="29" t="str">
        <f t="shared" si="4"/>
        <v>Espèces</v>
      </c>
    </row>
    <row r="65" spans="1:23">
      <c r="A65" s="29" t="str">
        <f>"22012"</f>
        <v>22012</v>
      </c>
      <c r="B65" s="29" t="str">
        <f>"SOLOBERA"</f>
        <v>SOLOBERA</v>
      </c>
      <c r="C65" s="29" t="str">
        <f>""</f>
        <v/>
      </c>
      <c r="D65" s="29" t="str">
        <f>"GARDIEN"</f>
        <v>GARDIEN</v>
      </c>
      <c r="E65" s="31">
        <v>39655</v>
      </c>
      <c r="F65" s="29" t="str">
        <f>""</f>
        <v/>
      </c>
      <c r="G65" s="30">
        <v>93000</v>
      </c>
      <c r="H65" s="30">
        <v>0</v>
      </c>
      <c r="I65" s="30">
        <v>0</v>
      </c>
      <c r="J65" s="30">
        <v>31</v>
      </c>
      <c r="K65" s="30">
        <v>0</v>
      </c>
      <c r="L65" s="30">
        <v>0</v>
      </c>
      <c r="M65" s="30">
        <v>0</v>
      </c>
      <c r="N65" s="30">
        <v>93000</v>
      </c>
      <c r="O65" s="30">
        <v>2000</v>
      </c>
      <c r="P65" s="30">
        <v>0</v>
      </c>
      <c r="Q65" s="30">
        <v>0</v>
      </c>
      <c r="R65" s="30">
        <v>0</v>
      </c>
      <c r="S65" s="30">
        <v>0</v>
      </c>
      <c r="T65" s="30">
        <v>91000</v>
      </c>
      <c r="U65" s="29" t="str">
        <f t="shared" si="6"/>
        <v>JOURNALIER</v>
      </c>
      <c r="V65" s="29" t="str">
        <f t="shared" si="0"/>
        <v>SOCIETE DES MINES D'AMPANDRANDAVA</v>
      </c>
      <c r="W65" s="29" t="str">
        <f t="shared" si="4"/>
        <v>Espèces</v>
      </c>
    </row>
    <row r="66" spans="1:23">
      <c r="A66" s="29" t="str">
        <f>"22013"</f>
        <v>22013</v>
      </c>
      <c r="B66" s="29" t="str">
        <f>"KOTO"</f>
        <v>KOTO</v>
      </c>
      <c r="C66" s="29" t="str">
        <f>"Florent"</f>
        <v>Florent</v>
      </c>
      <c r="D66" s="29" t="str">
        <f>"GARDIEN"</f>
        <v>GARDIEN</v>
      </c>
      <c r="E66" s="31">
        <v>33058</v>
      </c>
      <c r="F66" s="29" t="str">
        <f>""</f>
        <v/>
      </c>
      <c r="G66" s="30">
        <v>93000</v>
      </c>
      <c r="H66" s="30">
        <v>0</v>
      </c>
      <c r="I66" s="30">
        <v>0</v>
      </c>
      <c r="J66" s="30">
        <v>31</v>
      </c>
      <c r="K66" s="30">
        <v>0</v>
      </c>
      <c r="L66" s="30">
        <v>0</v>
      </c>
      <c r="M66" s="30">
        <v>0</v>
      </c>
      <c r="N66" s="30">
        <v>93000</v>
      </c>
      <c r="O66" s="30">
        <v>2000</v>
      </c>
      <c r="P66" s="30">
        <v>0</v>
      </c>
      <c r="Q66" s="30">
        <v>0</v>
      </c>
      <c r="R66" s="30">
        <v>0</v>
      </c>
      <c r="S66" s="30">
        <v>0</v>
      </c>
      <c r="T66" s="30">
        <v>91000</v>
      </c>
      <c r="U66" s="29" t="str">
        <f t="shared" si="6"/>
        <v>JOURNALIER</v>
      </c>
      <c r="V66" s="29" t="str">
        <f t="shared" ref="V66:V77" si="7">"SOCIETE DES MINES D'AMPANDRANDAVA"</f>
        <v>SOCIETE DES MINES D'AMPANDRANDAVA</v>
      </c>
      <c r="W66" s="29" t="str">
        <f t="shared" si="4"/>
        <v>Espèces</v>
      </c>
    </row>
    <row r="67" spans="1:23">
      <c r="A67" s="29" t="str">
        <f>"22014"</f>
        <v>22014</v>
      </c>
      <c r="B67" s="29" t="str">
        <f>"MOLY"</f>
        <v>MOLY</v>
      </c>
      <c r="C67" s="29" t="str">
        <f>"Justin"</f>
        <v>Justin</v>
      </c>
      <c r="D67" s="29" t="str">
        <f>"GARDIEN"</f>
        <v>GARDIEN</v>
      </c>
      <c r="E67" s="31">
        <v>41080</v>
      </c>
      <c r="F67" s="29" t="str">
        <f>""</f>
        <v/>
      </c>
      <c r="G67" s="30">
        <v>90000</v>
      </c>
      <c r="H67" s="30">
        <v>0</v>
      </c>
      <c r="I67" s="30">
        <v>0</v>
      </c>
      <c r="J67" s="30">
        <v>30</v>
      </c>
      <c r="K67" s="30">
        <v>0</v>
      </c>
      <c r="L67" s="30">
        <v>0</v>
      </c>
      <c r="M67" s="30">
        <v>0</v>
      </c>
      <c r="N67" s="30">
        <v>90000</v>
      </c>
      <c r="O67" s="30">
        <v>2000</v>
      </c>
      <c r="P67" s="30">
        <v>0</v>
      </c>
      <c r="Q67" s="30">
        <v>0</v>
      </c>
      <c r="R67" s="30">
        <v>0</v>
      </c>
      <c r="S67" s="30">
        <v>0</v>
      </c>
      <c r="T67" s="30">
        <v>88000</v>
      </c>
      <c r="U67" s="29" t="str">
        <f t="shared" si="6"/>
        <v>JOURNALIER</v>
      </c>
      <c r="V67" s="29" t="str">
        <f t="shared" si="7"/>
        <v>SOCIETE DES MINES D'AMPANDRANDAVA</v>
      </c>
      <c r="W67" s="29" t="str">
        <f t="shared" si="4"/>
        <v>Espèces</v>
      </c>
    </row>
    <row r="68" spans="1:23">
      <c r="A68" s="29" t="str">
        <f>"22265"</f>
        <v>22265</v>
      </c>
      <c r="B68" s="29" t="str">
        <f>"NOMENJANAHARY RALAINANDRASANA"</f>
        <v>NOMENJANAHARY RALAINANDRASANA</v>
      </c>
      <c r="C68" s="29" t="str">
        <f>"Jean Ladis"</f>
        <v>Jean Ladis</v>
      </c>
      <c r="D68" s="29" t="str">
        <f>"Ouvrier IRF1"</f>
        <v>Ouvrier IRF1</v>
      </c>
      <c r="E68" s="31">
        <v>42570</v>
      </c>
      <c r="F68" s="29" t="str">
        <f>""</f>
        <v/>
      </c>
      <c r="G68" s="30">
        <v>90000</v>
      </c>
      <c r="H68" s="30">
        <v>0</v>
      </c>
      <c r="I68" s="30">
        <v>0</v>
      </c>
      <c r="J68" s="30">
        <v>30</v>
      </c>
      <c r="K68" s="30">
        <v>0</v>
      </c>
      <c r="L68" s="30">
        <v>0</v>
      </c>
      <c r="M68" s="30">
        <v>0</v>
      </c>
      <c r="N68" s="30">
        <v>90000</v>
      </c>
      <c r="O68" s="30">
        <v>2000</v>
      </c>
      <c r="P68" s="30">
        <v>0</v>
      </c>
      <c r="Q68" s="30">
        <v>0</v>
      </c>
      <c r="R68" s="30">
        <v>0</v>
      </c>
      <c r="S68" s="30">
        <v>0</v>
      </c>
      <c r="T68" s="30">
        <v>88000</v>
      </c>
      <c r="U68" s="29" t="str">
        <f t="shared" si="6"/>
        <v>JOURNALIER</v>
      </c>
      <c r="V68" s="29" t="str">
        <f t="shared" si="7"/>
        <v>SOCIETE DES MINES D'AMPANDRANDAVA</v>
      </c>
      <c r="W68" s="29" t="str">
        <f t="shared" si="4"/>
        <v>Espèces</v>
      </c>
    </row>
    <row r="69" spans="1:23">
      <c r="A69" s="29" t="str">
        <f>"22313"</f>
        <v>22313</v>
      </c>
      <c r="B69" s="29" t="str">
        <f>"SOALITSY"</f>
        <v>SOALITSY</v>
      </c>
      <c r="C69" s="29" t="str">
        <f>"Joentoly"</f>
        <v>Joentoly</v>
      </c>
      <c r="D69" s="29" t="str">
        <f>"MANUTENTIONNAIRE"</f>
        <v>MANUTENTIONNAIRE</v>
      </c>
      <c r="E69" s="31">
        <v>42333</v>
      </c>
      <c r="F69" s="29" t="str">
        <f>""</f>
        <v/>
      </c>
      <c r="G69" s="30">
        <v>84000</v>
      </c>
      <c r="H69" s="30">
        <v>0</v>
      </c>
      <c r="I69" s="30">
        <v>0</v>
      </c>
      <c r="J69" s="30">
        <v>28</v>
      </c>
      <c r="K69" s="30">
        <v>0</v>
      </c>
      <c r="L69" s="30">
        <v>0</v>
      </c>
      <c r="M69" s="30">
        <v>0</v>
      </c>
      <c r="N69" s="30">
        <v>84000</v>
      </c>
      <c r="O69" s="30">
        <v>2000</v>
      </c>
      <c r="P69" s="30">
        <v>0</v>
      </c>
      <c r="Q69" s="30">
        <v>0</v>
      </c>
      <c r="R69" s="30">
        <v>0</v>
      </c>
      <c r="S69" s="30">
        <v>0</v>
      </c>
      <c r="T69" s="30">
        <v>82000</v>
      </c>
      <c r="U69" s="29" t="str">
        <f t="shared" si="6"/>
        <v>JOURNALIER</v>
      </c>
      <c r="V69" s="29" t="str">
        <f t="shared" si="7"/>
        <v>SOCIETE DES MINES D'AMPANDRANDAVA</v>
      </c>
      <c r="W69" s="29" t="str">
        <f t="shared" si="4"/>
        <v>Espèces</v>
      </c>
    </row>
    <row r="70" spans="1:23">
      <c r="A70" s="29" t="str">
        <f>"22314"</f>
        <v>22314</v>
      </c>
      <c r="B70" s="29" t="str">
        <f>"RAZAFIMAHALEO"</f>
        <v>RAZAFIMAHALEO</v>
      </c>
      <c r="C70" s="29" t="str">
        <f>"Herizo"</f>
        <v>Herizo</v>
      </c>
      <c r="D70" s="29" t="str">
        <f>"MANUTENTIONNAIRE"</f>
        <v>MANUTENTIONNAIRE</v>
      </c>
      <c r="E70" s="31">
        <v>42302</v>
      </c>
      <c r="F70" s="29" t="str">
        <f>""</f>
        <v/>
      </c>
      <c r="G70" s="30">
        <v>93000</v>
      </c>
      <c r="H70" s="30">
        <v>0</v>
      </c>
      <c r="I70" s="30">
        <v>0</v>
      </c>
      <c r="J70" s="30">
        <v>31</v>
      </c>
      <c r="K70" s="30">
        <v>0</v>
      </c>
      <c r="L70" s="30">
        <v>0</v>
      </c>
      <c r="M70" s="30">
        <v>0</v>
      </c>
      <c r="N70" s="30">
        <v>93000</v>
      </c>
      <c r="O70" s="30">
        <v>2000</v>
      </c>
      <c r="P70" s="30">
        <v>0</v>
      </c>
      <c r="Q70" s="30">
        <v>0</v>
      </c>
      <c r="R70" s="30">
        <v>0</v>
      </c>
      <c r="S70" s="30">
        <v>0</v>
      </c>
      <c r="T70" s="30">
        <v>91000</v>
      </c>
      <c r="U70" s="29" t="str">
        <f t="shared" si="6"/>
        <v>JOURNALIER</v>
      </c>
      <c r="V70" s="29" t="str">
        <f t="shared" si="7"/>
        <v>SOCIETE DES MINES D'AMPANDRANDAVA</v>
      </c>
      <c r="W70" s="29" t="str">
        <f t="shared" si="4"/>
        <v>Espèces</v>
      </c>
    </row>
    <row r="71" spans="1:23">
      <c r="A71" s="29" t="str">
        <f>"22315"</f>
        <v>22315</v>
      </c>
      <c r="B71" s="29" t="str">
        <f>"SAMBOVELO R."</f>
        <v>SAMBOVELO R.</v>
      </c>
      <c r="C71" s="29" t="str">
        <f>""</f>
        <v/>
      </c>
      <c r="D71" s="29" t="str">
        <f>"MANUTENTIONNAIRE"</f>
        <v>MANUTENTIONNAIRE</v>
      </c>
      <c r="E71" s="31">
        <v>42302</v>
      </c>
      <c r="F71" s="29" t="str">
        <f>""</f>
        <v/>
      </c>
      <c r="G71" s="30">
        <v>85500</v>
      </c>
      <c r="H71" s="30">
        <v>0</v>
      </c>
      <c r="I71" s="30">
        <v>0</v>
      </c>
      <c r="J71" s="30">
        <v>28.5</v>
      </c>
      <c r="K71" s="30">
        <v>0</v>
      </c>
      <c r="L71" s="30">
        <v>0</v>
      </c>
      <c r="M71" s="30">
        <v>0</v>
      </c>
      <c r="N71" s="30">
        <v>85500</v>
      </c>
      <c r="O71" s="30">
        <v>2000</v>
      </c>
      <c r="P71" s="30">
        <v>0</v>
      </c>
      <c r="Q71" s="30">
        <v>0</v>
      </c>
      <c r="R71" s="30">
        <v>0</v>
      </c>
      <c r="S71" s="30">
        <v>0</v>
      </c>
      <c r="T71" s="30">
        <v>83500</v>
      </c>
      <c r="U71" s="29" t="str">
        <f t="shared" si="6"/>
        <v>JOURNALIER</v>
      </c>
      <c r="V71" s="29" t="str">
        <f t="shared" si="7"/>
        <v>SOCIETE DES MINES D'AMPANDRANDAVA</v>
      </c>
      <c r="W71" s="29" t="str">
        <f t="shared" si="4"/>
        <v>Espèces</v>
      </c>
    </row>
    <row r="72" spans="1:23">
      <c r="A72" s="29" t="str">
        <f>"23001"</f>
        <v>23001</v>
      </c>
      <c r="B72" s="29" t="str">
        <f>"LAHA"</f>
        <v>LAHA</v>
      </c>
      <c r="C72" s="29" t="str">
        <f>"Tognendray"</f>
        <v>Tognendray</v>
      </c>
      <c r="D72" s="29" t="str">
        <f>"MANUTENTIONNAIRE"</f>
        <v>MANUTENTIONNAIRE</v>
      </c>
      <c r="E72" s="31">
        <v>43033</v>
      </c>
      <c r="F72" s="29" t="str">
        <f>""</f>
        <v/>
      </c>
      <c r="G72" s="30">
        <v>82500</v>
      </c>
      <c r="H72" s="30">
        <v>0</v>
      </c>
      <c r="I72" s="30">
        <v>0</v>
      </c>
      <c r="J72" s="30">
        <v>27.5</v>
      </c>
      <c r="K72" s="30">
        <v>0</v>
      </c>
      <c r="L72" s="30">
        <v>0</v>
      </c>
      <c r="M72" s="30">
        <v>0</v>
      </c>
      <c r="N72" s="30">
        <v>82500</v>
      </c>
      <c r="O72" s="30">
        <v>2000</v>
      </c>
      <c r="P72" s="30">
        <v>0</v>
      </c>
      <c r="Q72" s="30">
        <v>0</v>
      </c>
      <c r="R72" s="30">
        <v>0</v>
      </c>
      <c r="S72" s="30">
        <v>0</v>
      </c>
      <c r="T72" s="30">
        <v>80500</v>
      </c>
      <c r="U72" s="29" t="str">
        <f t="shared" si="6"/>
        <v>JOURNALIER</v>
      </c>
      <c r="V72" s="29" t="str">
        <f t="shared" si="7"/>
        <v>SOCIETE DES MINES D'AMPANDRANDAVA</v>
      </c>
      <c r="W72" s="29" t="str">
        <f t="shared" si="4"/>
        <v>Espèces</v>
      </c>
    </row>
    <row r="73" spans="1:23">
      <c r="A73" s="29" t="str">
        <f>"23004"</f>
        <v>23004</v>
      </c>
      <c r="B73" s="29" t="str">
        <f>"MANDIGNISOA"</f>
        <v>MANDIGNISOA</v>
      </c>
      <c r="C73" s="29" t="str">
        <f>""</f>
        <v/>
      </c>
      <c r="D73" s="29" t="str">
        <f>"Ouvrier Benne"</f>
        <v>Ouvrier Benne</v>
      </c>
      <c r="E73" s="31">
        <v>42570</v>
      </c>
      <c r="F73" s="29" t="str">
        <f>""</f>
        <v/>
      </c>
      <c r="G73" s="30">
        <v>90000</v>
      </c>
      <c r="H73" s="30">
        <v>0</v>
      </c>
      <c r="I73" s="30">
        <v>0</v>
      </c>
      <c r="J73" s="30">
        <v>30</v>
      </c>
      <c r="K73" s="30">
        <v>0</v>
      </c>
      <c r="L73" s="30">
        <v>0</v>
      </c>
      <c r="M73" s="30">
        <v>0</v>
      </c>
      <c r="N73" s="30">
        <v>90000</v>
      </c>
      <c r="O73" s="30">
        <v>2000</v>
      </c>
      <c r="P73" s="30">
        <v>0</v>
      </c>
      <c r="Q73" s="30">
        <v>0</v>
      </c>
      <c r="R73" s="30">
        <v>0</v>
      </c>
      <c r="S73" s="30">
        <v>0</v>
      </c>
      <c r="T73" s="30">
        <v>88000</v>
      </c>
      <c r="U73" s="29" t="str">
        <f t="shared" si="6"/>
        <v>JOURNALIER</v>
      </c>
      <c r="V73" s="29" t="str">
        <f t="shared" si="7"/>
        <v>SOCIETE DES MINES D'AMPANDRANDAVA</v>
      </c>
      <c r="W73" s="29" t="str">
        <f t="shared" si="4"/>
        <v>Espèces</v>
      </c>
    </row>
    <row r="74" spans="1:23">
      <c r="A74" s="29" t="str">
        <f>"23006"</f>
        <v>23006</v>
      </c>
      <c r="B74" s="29" t="str">
        <f>"ZAFIARIVO"</f>
        <v>ZAFIARIVO</v>
      </c>
      <c r="C74" s="29" t="str">
        <f>"Odon"</f>
        <v>Odon</v>
      </c>
      <c r="D74" s="29" t="str">
        <f>"Ouvrier Benne"</f>
        <v>Ouvrier Benne</v>
      </c>
      <c r="E74" s="31">
        <v>42570</v>
      </c>
      <c r="F74" s="29" t="str">
        <f>""</f>
        <v/>
      </c>
      <c r="G74" s="30">
        <v>12000</v>
      </c>
      <c r="H74" s="30">
        <v>0</v>
      </c>
      <c r="I74" s="30">
        <v>0</v>
      </c>
      <c r="J74" s="30">
        <v>4</v>
      </c>
      <c r="K74" s="30">
        <v>0</v>
      </c>
      <c r="L74" s="30">
        <v>0</v>
      </c>
      <c r="M74" s="30">
        <v>0</v>
      </c>
      <c r="N74" s="30">
        <v>12000</v>
      </c>
      <c r="O74" s="30">
        <v>2000</v>
      </c>
      <c r="P74" s="30">
        <v>0</v>
      </c>
      <c r="Q74" s="30">
        <v>0</v>
      </c>
      <c r="R74" s="30">
        <v>0</v>
      </c>
      <c r="S74" s="30">
        <v>0</v>
      </c>
      <c r="T74" s="30">
        <v>10000</v>
      </c>
      <c r="U74" s="29" t="str">
        <f t="shared" si="6"/>
        <v>JOURNALIER</v>
      </c>
      <c r="V74" s="29" t="str">
        <f t="shared" si="7"/>
        <v>SOCIETE DES MINES D'AMPANDRANDAVA</v>
      </c>
      <c r="W74" s="29" t="str">
        <f t="shared" si="4"/>
        <v>Espèces</v>
      </c>
    </row>
    <row r="75" spans="1:23">
      <c r="A75" s="29" t="str">
        <f>"23009"</f>
        <v>23009</v>
      </c>
      <c r="B75" s="29" t="str">
        <f>"MONJA"</f>
        <v>MONJA</v>
      </c>
      <c r="C75" s="29" t="str">
        <f>"Laza"</f>
        <v>Laza</v>
      </c>
      <c r="D75" s="29" t="str">
        <f>"MANUTENTIONNAIRE"</f>
        <v>MANUTENTIONNAIRE</v>
      </c>
      <c r="E75" s="31">
        <v>42631</v>
      </c>
      <c r="F75" s="29" t="str">
        <f>""</f>
        <v/>
      </c>
      <c r="G75" s="30">
        <v>90000</v>
      </c>
      <c r="H75" s="30">
        <v>0</v>
      </c>
      <c r="I75" s="30">
        <v>0</v>
      </c>
      <c r="J75" s="30">
        <v>30</v>
      </c>
      <c r="K75" s="30">
        <v>0</v>
      </c>
      <c r="L75" s="30">
        <v>0</v>
      </c>
      <c r="M75" s="30">
        <v>0</v>
      </c>
      <c r="N75" s="30">
        <v>90000</v>
      </c>
      <c r="O75" s="30">
        <v>2000</v>
      </c>
      <c r="P75" s="30">
        <v>0</v>
      </c>
      <c r="Q75" s="30">
        <v>0</v>
      </c>
      <c r="R75" s="30">
        <v>0</v>
      </c>
      <c r="S75" s="30">
        <v>0</v>
      </c>
      <c r="T75" s="30">
        <v>88000</v>
      </c>
      <c r="U75" s="29" t="str">
        <f t="shared" si="6"/>
        <v>JOURNALIER</v>
      </c>
      <c r="V75" s="29" t="str">
        <f t="shared" si="7"/>
        <v>SOCIETE DES MINES D'AMPANDRANDAVA</v>
      </c>
      <c r="W75" s="29" t="str">
        <f t="shared" si="4"/>
        <v>Espèces</v>
      </c>
    </row>
    <row r="76" spans="1:23">
      <c r="A76" s="29" t="str">
        <f>"23010"</f>
        <v>23010</v>
      </c>
      <c r="B76" s="29" t="str">
        <f>"REFISORA"</f>
        <v>REFISORA</v>
      </c>
      <c r="C76" s="29" t="str">
        <f>"Andrianamb"</f>
        <v>Andrianamb</v>
      </c>
      <c r="D76" s="29" t="str">
        <f>"MANUTENTIONNAIRE"</f>
        <v>MANUTENTIONNAIRE</v>
      </c>
      <c r="E76" s="31">
        <v>42681</v>
      </c>
      <c r="F76" s="29" t="str">
        <f>""</f>
        <v/>
      </c>
      <c r="G76" s="30">
        <v>117000</v>
      </c>
      <c r="H76" s="30">
        <v>0</v>
      </c>
      <c r="I76" s="30">
        <v>0</v>
      </c>
      <c r="J76" s="30">
        <v>39</v>
      </c>
      <c r="K76" s="30">
        <v>0</v>
      </c>
      <c r="L76" s="30">
        <v>0</v>
      </c>
      <c r="M76" s="30">
        <v>0</v>
      </c>
      <c r="N76" s="30">
        <v>117000</v>
      </c>
      <c r="O76" s="30">
        <v>2000</v>
      </c>
      <c r="P76" s="30">
        <v>0</v>
      </c>
      <c r="Q76" s="30">
        <v>0</v>
      </c>
      <c r="R76" s="30">
        <v>0</v>
      </c>
      <c r="S76" s="30">
        <v>0</v>
      </c>
      <c r="T76" s="30">
        <v>115000</v>
      </c>
      <c r="U76" s="29" t="str">
        <f t="shared" si="6"/>
        <v>JOURNALIER</v>
      </c>
      <c r="V76" s="29" t="str">
        <f t="shared" si="7"/>
        <v>SOCIETE DES MINES D'AMPANDRANDAVA</v>
      </c>
      <c r="W76" s="29" t="str">
        <f t="shared" si="4"/>
        <v>Espèces</v>
      </c>
    </row>
    <row r="77" spans="1:23">
      <c r="A77" s="29" t="str">
        <f>"23011"</f>
        <v>23011</v>
      </c>
      <c r="B77" s="29" t="str">
        <f>"VELONTSARA"</f>
        <v>VELONTSARA</v>
      </c>
      <c r="C77" s="29" t="str">
        <f>""</f>
        <v/>
      </c>
      <c r="D77" s="29" t="str">
        <f>"TEMP CENTRALE"</f>
        <v>TEMP CENTRALE</v>
      </c>
      <c r="E77" s="31">
        <v>42791</v>
      </c>
      <c r="F77" s="29" t="str">
        <f>""</f>
        <v/>
      </c>
      <c r="G77" s="30">
        <v>117000</v>
      </c>
      <c r="H77" s="30">
        <v>0</v>
      </c>
      <c r="I77" s="30">
        <v>0</v>
      </c>
      <c r="J77" s="30">
        <v>39</v>
      </c>
      <c r="K77" s="30">
        <v>0</v>
      </c>
      <c r="L77" s="30">
        <v>0</v>
      </c>
      <c r="M77" s="30">
        <v>0</v>
      </c>
      <c r="N77" s="30">
        <v>117000</v>
      </c>
      <c r="O77" s="30">
        <v>2000</v>
      </c>
      <c r="P77" s="30">
        <v>0</v>
      </c>
      <c r="Q77" s="30">
        <v>0</v>
      </c>
      <c r="R77" s="30">
        <v>0</v>
      </c>
      <c r="S77" s="30">
        <v>0</v>
      </c>
      <c r="T77" s="30">
        <v>115000</v>
      </c>
      <c r="U77" s="29" t="str">
        <f t="shared" si="6"/>
        <v>JOURNALIER</v>
      </c>
      <c r="V77" s="29" t="str">
        <f t="shared" si="7"/>
        <v>SOCIETE DES MINES D'AMPANDRANDAVA</v>
      </c>
      <c r="W77" s="29" t="str">
        <f t="shared" si="4"/>
        <v>Espèces</v>
      </c>
    </row>
    <row r="78" spans="1:23">
      <c r="A78" s="29" t="str">
        <f>""</f>
        <v/>
      </c>
      <c r="B78" s="29" t="str">
        <f>""</f>
        <v/>
      </c>
      <c r="C78" s="29" t="str">
        <f>""</f>
        <v/>
      </c>
      <c r="D78" s="29" t="str">
        <f>""</f>
        <v/>
      </c>
      <c r="E78" s="29">
        <v>76</v>
      </c>
      <c r="F78" s="29" t="str">
        <f>""</f>
        <v/>
      </c>
      <c r="G78" s="30">
        <f>SUM(G2:G77)</f>
        <v>11357293.57</v>
      </c>
      <c r="H78" s="30">
        <f t="shared" ref="H78:T78" si="8">SUM(H2:H77)</f>
        <v>51434.67</v>
      </c>
      <c r="I78" s="30">
        <f t="shared" si="8"/>
        <v>769855.4</v>
      </c>
      <c r="J78" s="30">
        <f t="shared" si="8"/>
        <v>1499.5</v>
      </c>
      <c r="K78" s="30">
        <f t="shared" si="8"/>
        <v>51434.67</v>
      </c>
      <c r="L78" s="30">
        <f t="shared" si="8"/>
        <v>518126.68</v>
      </c>
      <c r="M78" s="30">
        <f t="shared" si="8"/>
        <v>150899.56</v>
      </c>
      <c r="N78" s="30">
        <f t="shared" si="8"/>
        <v>12796175.210000001</v>
      </c>
      <c r="O78" s="30">
        <f t="shared" si="8"/>
        <v>593080</v>
      </c>
      <c r="P78" s="30">
        <f t="shared" si="8"/>
        <v>62616.82</v>
      </c>
      <c r="Q78" s="30">
        <f t="shared" si="8"/>
        <v>200000</v>
      </c>
      <c r="R78" s="30">
        <f t="shared" si="8"/>
        <v>1376.58</v>
      </c>
      <c r="S78" s="30">
        <f t="shared" si="8"/>
        <v>1254.97</v>
      </c>
      <c r="T78" s="30">
        <f t="shared" si="8"/>
        <v>11940600</v>
      </c>
      <c r="U78" s="29" t="str">
        <f>""</f>
        <v/>
      </c>
      <c r="V78" s="29" t="str">
        <f>""</f>
        <v/>
      </c>
      <c r="W78" s="29" t="str">
        <f>""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3:O12"/>
  <sheetViews>
    <sheetView workbookViewId="0">
      <selection activeCell="A6" sqref="A6"/>
    </sheetView>
  </sheetViews>
  <sheetFormatPr baseColWidth="10" defaultRowHeight="11.25"/>
  <cols>
    <col min="1" max="1" width="5" style="1" customWidth="1"/>
    <col min="2" max="2" width="11.42578125" style="1"/>
    <col min="3" max="3" width="7.140625" style="1" customWidth="1"/>
    <col min="4" max="4" width="9.7109375" style="1" bestFit="1" customWidth="1"/>
    <col min="5" max="5" width="7.7109375" style="1" bestFit="1" customWidth="1"/>
    <col min="6" max="6" width="9.7109375" style="1" bestFit="1" customWidth="1"/>
    <col min="7" max="8" width="8.28515625" style="38" bestFit="1" customWidth="1"/>
    <col min="9" max="9" width="11.7109375" style="32" bestFit="1" customWidth="1"/>
    <col min="10" max="10" width="9.7109375" style="1" bestFit="1" customWidth="1"/>
    <col min="11" max="12" width="11.7109375" style="1" bestFit="1" customWidth="1"/>
    <col min="13" max="13" width="14.28515625" style="1" bestFit="1" customWidth="1"/>
    <col min="14" max="16384" width="11.42578125" style="1"/>
  </cols>
  <sheetData>
    <row r="3" spans="1:15" ht="15.75">
      <c r="A3" s="40" t="s">
        <v>29</v>
      </c>
      <c r="E3" s="1271"/>
      <c r="F3" s="1271"/>
      <c r="G3" s="1272"/>
      <c r="H3" s="1272"/>
      <c r="I3" s="1272"/>
      <c r="K3" s="1" t="s">
        <v>18</v>
      </c>
    </row>
    <row r="4" spans="1:15" ht="15.75">
      <c r="A4" s="40"/>
      <c r="E4" s="41"/>
      <c r="F4" s="41"/>
      <c r="G4" s="42"/>
      <c r="H4" s="42"/>
      <c r="I4" s="42"/>
      <c r="K4" s="43">
        <v>43040</v>
      </c>
    </row>
    <row r="5" spans="1:15" ht="22.5">
      <c r="A5" s="18" t="s">
        <v>4</v>
      </c>
      <c r="B5" s="1273" t="s">
        <v>19</v>
      </c>
      <c r="C5" s="1273"/>
      <c r="D5" s="18" t="s">
        <v>25</v>
      </c>
      <c r="E5" s="18" t="s">
        <v>26</v>
      </c>
      <c r="F5" s="33" t="s">
        <v>20</v>
      </c>
      <c r="G5" s="36" t="s">
        <v>27</v>
      </c>
      <c r="H5" s="36" t="s">
        <v>28</v>
      </c>
      <c r="I5" s="34" t="s">
        <v>21</v>
      </c>
      <c r="J5" s="18" t="s">
        <v>16</v>
      </c>
      <c r="K5" s="18" t="s">
        <v>22</v>
      </c>
      <c r="L5" s="36" t="s">
        <v>23</v>
      </c>
    </row>
    <row r="6" spans="1:15" ht="12.75">
      <c r="A6" s="44">
        <v>5</v>
      </c>
      <c r="B6" s="45" t="s">
        <v>30</v>
      </c>
      <c r="C6" s="46"/>
      <c r="D6" s="47">
        <v>10697</v>
      </c>
      <c r="E6" s="47">
        <v>83</v>
      </c>
      <c r="F6" s="47">
        <v>10780</v>
      </c>
      <c r="G6" s="35">
        <v>90</v>
      </c>
      <c r="H6" s="35">
        <v>120</v>
      </c>
      <c r="I6" s="35">
        <v>972690</v>
      </c>
      <c r="J6" s="35">
        <v>10000</v>
      </c>
      <c r="K6" s="35">
        <v>962690</v>
      </c>
      <c r="L6" s="35">
        <v>962600</v>
      </c>
      <c r="N6" s="1">
        <f>+J6/A6</f>
        <v>2000</v>
      </c>
    </row>
    <row r="7" spans="1:15" ht="12.75">
      <c r="A7" s="44">
        <v>12</v>
      </c>
      <c r="B7" s="1274" t="s">
        <v>24</v>
      </c>
      <c r="C7" s="1275"/>
      <c r="D7" s="47">
        <v>9014</v>
      </c>
      <c r="E7" s="47">
        <v>0</v>
      </c>
      <c r="F7" s="47">
        <v>9014</v>
      </c>
      <c r="G7" s="48">
        <v>170</v>
      </c>
      <c r="H7" s="48">
        <v>250</v>
      </c>
      <c r="I7" s="35">
        <v>1532380</v>
      </c>
      <c r="J7" s="35">
        <v>24000</v>
      </c>
      <c r="K7" s="35">
        <v>1508380</v>
      </c>
      <c r="L7" s="35">
        <v>1507900</v>
      </c>
      <c r="N7" s="1">
        <f>+J7/A7</f>
        <v>2000</v>
      </c>
    </row>
    <row r="8" spans="1:15" ht="12.75">
      <c r="A8" s="44">
        <v>10</v>
      </c>
      <c r="B8" s="1276" t="s">
        <v>31</v>
      </c>
      <c r="C8" s="1277"/>
      <c r="D8" s="47">
        <v>6491</v>
      </c>
      <c r="E8" s="47">
        <v>0</v>
      </c>
      <c r="F8" s="47">
        <v>6491</v>
      </c>
      <c r="G8" s="48">
        <v>120</v>
      </c>
      <c r="H8" s="48">
        <v>250</v>
      </c>
      <c r="I8" s="35">
        <v>778920</v>
      </c>
      <c r="J8" s="35">
        <v>20000</v>
      </c>
      <c r="K8" s="35">
        <v>758920</v>
      </c>
      <c r="L8" s="35">
        <v>758900</v>
      </c>
      <c r="N8" s="1">
        <f>+J8/A8</f>
        <v>2000</v>
      </c>
    </row>
    <row r="9" spans="1:15" ht="12.75">
      <c r="A9" s="49" t="s">
        <v>32</v>
      </c>
      <c r="B9" s="1278" t="s">
        <v>33</v>
      </c>
      <c r="C9" s="1279"/>
      <c r="D9" s="50">
        <v>26202</v>
      </c>
      <c r="E9" s="50">
        <v>83</v>
      </c>
      <c r="F9" s="50">
        <v>26285</v>
      </c>
      <c r="G9" s="50">
        <v>380</v>
      </c>
      <c r="H9" s="50">
        <v>620</v>
      </c>
      <c r="I9" s="50">
        <v>3283990</v>
      </c>
      <c r="J9" s="50">
        <v>54000</v>
      </c>
      <c r="K9" s="50">
        <v>3229990</v>
      </c>
      <c r="L9" s="50">
        <v>3229400</v>
      </c>
    </row>
    <row r="10" spans="1:15" ht="15">
      <c r="A10" s="1268"/>
      <c r="B10" s="1268"/>
      <c r="C10" s="1268"/>
      <c r="D10" s="1268"/>
      <c r="E10" s="1268"/>
      <c r="F10" s="1268"/>
      <c r="G10" s="1268"/>
      <c r="H10" s="37"/>
    </row>
    <row r="11" spans="1:15" ht="12.75">
      <c r="B11" s="51"/>
      <c r="C11" s="52"/>
      <c r="D11" s="39"/>
      <c r="E11" s="52"/>
    </row>
    <row r="12" spans="1:15" s="32" customFormat="1" ht="12.75">
      <c r="A12" s="1"/>
      <c r="B12" s="53"/>
      <c r="C12" s="1269"/>
      <c r="D12" s="1269"/>
      <c r="E12" s="1269"/>
      <c r="F12" s="54"/>
      <c r="G12" s="1270"/>
      <c r="H12" s="1270"/>
      <c r="J12" s="1"/>
      <c r="K12" s="1"/>
      <c r="L12" s="1"/>
      <c r="M12" s="1"/>
      <c r="N12" s="1"/>
      <c r="O12" s="1"/>
    </row>
  </sheetData>
  <mergeCells count="8">
    <mergeCell ref="A10:G10"/>
    <mergeCell ref="C12:E12"/>
    <mergeCell ref="G12:H12"/>
    <mergeCell ref="E3:I3"/>
    <mergeCell ref="B5:C5"/>
    <mergeCell ref="B7:C7"/>
    <mergeCell ref="B8:C8"/>
    <mergeCell ref="B9:C9"/>
  </mergeCells>
  <pageMargins left="0.7" right="0.7" top="0.75" bottom="0.75" header="0.3" footer="0.3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K27"/>
  <sheetViews>
    <sheetView topLeftCell="A4" workbookViewId="0">
      <selection activeCell="B23" sqref="B23"/>
    </sheetView>
  </sheetViews>
  <sheetFormatPr baseColWidth="10" defaultRowHeight="15"/>
  <cols>
    <col min="1" max="1" width="21.7109375" customWidth="1"/>
    <col min="3" max="3" width="15.85546875" bestFit="1" customWidth="1"/>
    <col min="5" max="5" width="12" bestFit="1" customWidth="1"/>
    <col min="6" max="6" width="8.42578125" bestFit="1" customWidth="1"/>
    <col min="7" max="7" width="64.28515625" customWidth="1"/>
  </cols>
  <sheetData>
    <row r="1" spans="1:11" ht="15.75" thickBot="1">
      <c r="E1" s="1283" t="s">
        <v>803</v>
      </c>
      <c r="F1" s="1283"/>
    </row>
    <row r="2" spans="1:11" ht="15.75" thickBot="1">
      <c r="A2" s="158" t="s">
        <v>804</v>
      </c>
      <c r="B2" s="159" t="s">
        <v>805</v>
      </c>
      <c r="C2" s="159" t="s">
        <v>806</v>
      </c>
      <c r="D2" s="159" t="s">
        <v>807</v>
      </c>
      <c r="E2" s="159" t="s">
        <v>808</v>
      </c>
      <c r="F2" s="159" t="s">
        <v>809</v>
      </c>
      <c r="G2" s="160" t="s">
        <v>810</v>
      </c>
    </row>
    <row r="3" spans="1:11" ht="15.75" thickBot="1">
      <c r="A3" s="174" t="s">
        <v>811</v>
      </c>
      <c r="B3" s="175">
        <v>2017</v>
      </c>
      <c r="C3" s="175">
        <v>2017</v>
      </c>
      <c r="D3" s="176" t="s">
        <v>467</v>
      </c>
      <c r="E3" s="177">
        <v>360</v>
      </c>
      <c r="F3" s="177">
        <v>15</v>
      </c>
      <c r="G3" s="178" t="s">
        <v>812</v>
      </c>
    </row>
    <row r="4" spans="1:11" ht="15.75" thickBot="1">
      <c r="A4" s="179" t="s">
        <v>811</v>
      </c>
      <c r="B4" s="180">
        <v>2017</v>
      </c>
      <c r="C4" s="180">
        <v>2017</v>
      </c>
      <c r="D4" s="181" t="s">
        <v>466</v>
      </c>
      <c r="E4" s="182">
        <v>336</v>
      </c>
      <c r="F4" s="182">
        <v>14</v>
      </c>
      <c r="G4" s="183" t="s">
        <v>812</v>
      </c>
    </row>
    <row r="5" spans="1:11" ht="15.75" thickBot="1">
      <c r="A5" s="179" t="s">
        <v>811</v>
      </c>
      <c r="B5" s="180">
        <v>2018</v>
      </c>
      <c r="C5" s="180">
        <v>2018</v>
      </c>
      <c r="D5" s="176" t="s">
        <v>467</v>
      </c>
      <c r="E5" s="182">
        <v>1200</v>
      </c>
      <c r="F5" s="182">
        <v>50</v>
      </c>
      <c r="G5" s="183" t="s">
        <v>813</v>
      </c>
      <c r="I5">
        <f>73*24000</f>
        <v>1752000</v>
      </c>
      <c r="K5">
        <v>73</v>
      </c>
    </row>
    <row r="6" spans="1:11" ht="15.75" thickBot="1">
      <c r="A6" s="179" t="s">
        <v>811</v>
      </c>
      <c r="B6" s="180">
        <v>2018</v>
      </c>
      <c r="C6" s="180">
        <v>2018</v>
      </c>
      <c r="D6" s="181" t="s">
        <v>466</v>
      </c>
      <c r="E6" s="182">
        <v>1200</v>
      </c>
      <c r="F6" s="182">
        <v>50</v>
      </c>
      <c r="G6" s="183" t="s">
        <v>813</v>
      </c>
    </row>
    <row r="7" spans="1:11" ht="15.75" thickBot="1">
      <c r="A7" s="179" t="s">
        <v>814</v>
      </c>
      <c r="B7" s="180">
        <v>2017</v>
      </c>
      <c r="C7" s="184">
        <v>43040</v>
      </c>
      <c r="D7" s="176" t="s">
        <v>467</v>
      </c>
      <c r="E7" s="182">
        <v>40</v>
      </c>
      <c r="F7" s="182">
        <v>2</v>
      </c>
      <c r="G7" s="183" t="s">
        <v>815</v>
      </c>
      <c r="I7">
        <f>2*17500</f>
        <v>35000</v>
      </c>
    </row>
    <row r="8" spans="1:11" ht="15.75" thickBot="1">
      <c r="A8" s="1284" t="s">
        <v>816</v>
      </c>
      <c r="B8" s="1286">
        <v>2017</v>
      </c>
      <c r="C8" s="1288">
        <v>43070</v>
      </c>
      <c r="D8" s="176" t="s">
        <v>467</v>
      </c>
      <c r="E8" s="185">
        <v>17.5</v>
      </c>
      <c r="F8" s="185">
        <v>1</v>
      </c>
      <c r="G8" s="1290" t="s">
        <v>817</v>
      </c>
    </row>
    <row r="9" spans="1:11" ht="15.75" thickBot="1">
      <c r="A9" s="1285"/>
      <c r="B9" s="1287"/>
      <c r="C9" s="1289"/>
      <c r="D9" s="181" t="s">
        <v>818</v>
      </c>
      <c r="E9" s="182">
        <v>0.3</v>
      </c>
      <c r="F9" s="182"/>
      <c r="G9" s="1291"/>
    </row>
    <row r="10" spans="1:11" ht="15.75" thickBot="1">
      <c r="A10" s="1292" t="s">
        <v>816</v>
      </c>
      <c r="B10" s="1286">
        <v>2017</v>
      </c>
      <c r="C10" s="1288">
        <v>43132</v>
      </c>
      <c r="D10" s="176" t="s">
        <v>467</v>
      </c>
      <c r="E10" s="185">
        <v>17.5</v>
      </c>
      <c r="F10" s="185">
        <v>1</v>
      </c>
      <c r="G10" s="1290" t="s">
        <v>819</v>
      </c>
    </row>
    <row r="11" spans="1:11" ht="15.75" thickBot="1">
      <c r="A11" s="1293"/>
      <c r="B11" s="1287"/>
      <c r="C11" s="1289"/>
      <c r="D11" s="181" t="s">
        <v>818</v>
      </c>
      <c r="E11" s="182">
        <v>0.3</v>
      </c>
      <c r="F11" s="182"/>
      <c r="G11" s="1291"/>
    </row>
    <row r="12" spans="1:11" ht="15.75" thickBot="1">
      <c r="A12" s="179" t="s">
        <v>814</v>
      </c>
      <c r="B12" s="180">
        <v>2017</v>
      </c>
      <c r="C12" s="180" t="s">
        <v>820</v>
      </c>
      <c r="D12" s="181" t="s">
        <v>360</v>
      </c>
      <c r="E12" s="182">
        <v>40</v>
      </c>
      <c r="F12" s="182">
        <v>2</v>
      </c>
      <c r="G12" s="183" t="s">
        <v>821</v>
      </c>
    </row>
    <row r="13" spans="1:11" ht="15.75" thickBot="1">
      <c r="A13" s="179" t="s">
        <v>814</v>
      </c>
      <c r="B13" s="180">
        <v>2017</v>
      </c>
      <c r="C13" s="180" t="s">
        <v>820</v>
      </c>
      <c r="D13" s="181" t="s">
        <v>360</v>
      </c>
      <c r="E13" s="182">
        <v>40</v>
      </c>
      <c r="F13" s="182">
        <v>2</v>
      </c>
      <c r="G13" s="183" t="s">
        <v>821</v>
      </c>
    </row>
    <row r="14" spans="1:11" ht="15.75" thickBot="1">
      <c r="A14" s="179" t="s">
        <v>814</v>
      </c>
      <c r="B14" s="180">
        <v>2018</v>
      </c>
      <c r="C14" s="184">
        <v>43040</v>
      </c>
      <c r="D14" s="176" t="s">
        <v>467</v>
      </c>
      <c r="E14" s="182">
        <v>40</v>
      </c>
      <c r="F14" s="182">
        <v>2</v>
      </c>
      <c r="G14" s="183" t="s">
        <v>822</v>
      </c>
      <c r="I14">
        <f>2*17.5</f>
        <v>35</v>
      </c>
    </row>
    <row r="15" spans="1:11" ht="15.75" thickBot="1">
      <c r="A15" s="179" t="s">
        <v>814</v>
      </c>
      <c r="B15" s="180">
        <v>2018</v>
      </c>
      <c r="C15" s="184">
        <v>43160</v>
      </c>
      <c r="D15" s="176" t="s">
        <v>467</v>
      </c>
      <c r="E15" s="182">
        <v>40</v>
      </c>
      <c r="F15" s="182">
        <v>2</v>
      </c>
      <c r="G15" s="183" t="s">
        <v>822</v>
      </c>
    </row>
    <row r="16" spans="1:11" ht="15.75" thickBot="1">
      <c r="A16" s="179" t="s">
        <v>814</v>
      </c>
      <c r="B16" s="180">
        <v>2018</v>
      </c>
      <c r="C16" s="184">
        <v>43282</v>
      </c>
      <c r="D16" s="176" t="s">
        <v>467</v>
      </c>
      <c r="E16" s="182">
        <v>40</v>
      </c>
      <c r="F16" s="182">
        <v>2</v>
      </c>
      <c r="G16" s="183" t="s">
        <v>822</v>
      </c>
    </row>
    <row r="17" spans="1:7" ht="15.75" thickBot="1">
      <c r="A17" s="59"/>
      <c r="B17" s="59"/>
      <c r="C17" s="59"/>
      <c r="D17" s="163" t="s">
        <v>362</v>
      </c>
      <c r="E17" s="164">
        <f>SUM(E3:E16)</f>
        <v>3371.6000000000004</v>
      </c>
      <c r="F17" s="164">
        <f>SUM(F3:F16)</f>
        <v>143</v>
      </c>
      <c r="G17" s="59"/>
    </row>
    <row r="18" spans="1:7" ht="3.75" customHeight="1" thickBot="1">
      <c r="A18" s="59"/>
      <c r="B18" s="59"/>
      <c r="C18" s="59"/>
      <c r="D18" s="165"/>
      <c r="E18" s="165"/>
      <c r="F18" s="59"/>
      <c r="G18" s="59"/>
    </row>
    <row r="19" spans="1:7">
      <c r="A19" s="59"/>
      <c r="B19" s="59"/>
      <c r="C19" s="1280" t="s">
        <v>362</v>
      </c>
      <c r="D19" s="166" t="s">
        <v>467</v>
      </c>
      <c r="E19" s="167">
        <f>SUMIF(D3:D16,"TRA",E3:E16)</f>
        <v>1755</v>
      </c>
      <c r="F19" s="167">
        <f>SUMIF(D4:D17,"TRA",F3:F16)</f>
        <v>72</v>
      </c>
      <c r="G19" s="59"/>
    </row>
    <row r="20" spans="1:7">
      <c r="A20" s="59"/>
      <c r="B20" s="59"/>
      <c r="C20" s="1281"/>
      <c r="D20" s="168" t="s">
        <v>466</v>
      </c>
      <c r="E20" s="169">
        <f>SUMIF(D3:D16,"ABR",E3:E16)</f>
        <v>1536</v>
      </c>
      <c r="F20" s="169">
        <f>SUMIF(D3:D16,"ABR",F3:F16)</f>
        <v>64</v>
      </c>
      <c r="G20" s="59">
        <f>+E20/24000</f>
        <v>6.4000000000000001E-2</v>
      </c>
    </row>
    <row r="21" spans="1:7">
      <c r="A21" s="59"/>
      <c r="B21" s="59"/>
      <c r="C21" s="1281"/>
      <c r="D21" s="168" t="s">
        <v>360</v>
      </c>
      <c r="E21" s="170">
        <f>SUMIF(D3:D16,"FP1",E3:E16)</f>
        <v>80</v>
      </c>
      <c r="F21" s="170">
        <f>SUMIF(D3:D16,"FP1",F3:F16)</f>
        <v>4</v>
      </c>
      <c r="G21" s="59"/>
    </row>
    <row r="22" spans="1:7" ht="15.75" thickBot="1">
      <c r="A22" s="59"/>
      <c r="B22" s="59"/>
      <c r="C22" s="1282"/>
      <c r="D22" s="171" t="s">
        <v>818</v>
      </c>
      <c r="E22" s="172">
        <f>SUMIF(D3:D16,"S FP",E3:E16)</f>
        <v>0.6</v>
      </c>
      <c r="F22" s="172">
        <f>SUMIF(D4:D17,"S FP",F3:F16)</f>
        <v>2</v>
      </c>
      <c r="G22" s="59"/>
    </row>
    <row r="23" spans="1:7" ht="15.75" thickBot="1">
      <c r="A23" s="59"/>
      <c r="B23" s="59"/>
      <c r="C23" s="59"/>
      <c r="D23" s="59"/>
      <c r="E23" s="173">
        <f>SUM(E19:E22)</f>
        <v>3371.6</v>
      </c>
      <c r="F23" s="173">
        <f>SUM(F19:F22)</f>
        <v>142</v>
      </c>
      <c r="G23" s="129" t="e">
        <f>+E23-Production!#REF!/1000-E21-E22</f>
        <v>#REF!</v>
      </c>
    </row>
    <row r="26" spans="1:7">
      <c r="E26" s="161">
        <f>+E4+E6</f>
        <v>1536</v>
      </c>
    </row>
    <row r="27" spans="1:7">
      <c r="E27">
        <f>+E26/24</f>
        <v>64</v>
      </c>
    </row>
  </sheetData>
  <autoFilter ref="A2:G17" xr:uid="{00000000-0009-0000-0000-000005000000}"/>
  <mergeCells count="10">
    <mergeCell ref="G8:G9"/>
    <mergeCell ref="A10:A11"/>
    <mergeCell ref="B10:B11"/>
    <mergeCell ref="C10:C11"/>
    <mergeCell ref="G10:G11"/>
    <mergeCell ref="C19:C22"/>
    <mergeCell ref="E1:F1"/>
    <mergeCell ref="A8:A9"/>
    <mergeCell ref="B8:B9"/>
    <mergeCell ref="C8:C9"/>
  </mergeCell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O117"/>
  <sheetViews>
    <sheetView topLeftCell="A107" zoomScale="145" zoomScaleNormal="145" workbookViewId="0">
      <selection activeCell="A122" sqref="A122"/>
    </sheetView>
  </sheetViews>
  <sheetFormatPr baseColWidth="10" defaultRowHeight="15"/>
  <cols>
    <col min="1" max="1" width="31.7109375" customWidth="1"/>
    <col min="2" max="2" width="18.42578125" customWidth="1"/>
    <col min="3" max="3" width="17.140625" bestFit="1" customWidth="1"/>
    <col min="4" max="4" width="16" bestFit="1" customWidth="1"/>
    <col min="5" max="5" width="21.140625" bestFit="1" customWidth="1"/>
    <col min="6" max="6" width="41.42578125" bestFit="1" customWidth="1"/>
    <col min="7" max="7" width="18.28515625" bestFit="1" customWidth="1"/>
    <col min="8" max="8" width="11.85546875" bestFit="1" customWidth="1"/>
    <col min="9" max="9" width="12.140625" bestFit="1" customWidth="1"/>
    <col min="10" max="11" width="5.140625" bestFit="1" customWidth="1"/>
    <col min="12" max="15" width="2.140625" bestFit="1" customWidth="1"/>
  </cols>
  <sheetData>
    <row r="1" spans="1:15" ht="18.75">
      <c r="A1" s="83" t="s">
        <v>365</v>
      </c>
      <c r="B1" s="84"/>
      <c r="C1" s="84"/>
      <c r="D1" s="84"/>
      <c r="E1" s="84"/>
      <c r="F1" s="84"/>
      <c r="G1" s="84"/>
      <c r="H1" s="84"/>
    </row>
    <row r="2" spans="1:15">
      <c r="A2" s="85" t="s">
        <v>465</v>
      </c>
      <c r="B2" s="59"/>
      <c r="C2" s="59"/>
      <c r="D2" s="59"/>
      <c r="E2" s="59"/>
      <c r="F2" s="59"/>
      <c r="G2" s="59"/>
      <c r="H2" s="59"/>
    </row>
    <row r="3" spans="1:15">
      <c r="A3" s="85" t="s">
        <v>794</v>
      </c>
      <c r="B3" s="59"/>
      <c r="C3" s="59"/>
      <c r="D3" s="59"/>
      <c r="E3" s="59">
        <f>33*24000</f>
        <v>792000</v>
      </c>
      <c r="F3" s="59" t="s">
        <v>795</v>
      </c>
      <c r="G3" s="59"/>
      <c r="H3" s="59"/>
      <c r="I3">
        <f>18/20</f>
        <v>0.9</v>
      </c>
    </row>
    <row r="4" spans="1:15">
      <c r="A4" s="85" t="s">
        <v>366</v>
      </c>
      <c r="B4" s="59"/>
      <c r="C4" s="59"/>
      <c r="D4" s="59"/>
      <c r="E4" s="59"/>
      <c r="F4" s="59"/>
      <c r="G4" s="59"/>
      <c r="H4" s="59"/>
    </row>
    <row r="5" spans="1:15">
      <c r="A5" s="86" t="s">
        <v>367</v>
      </c>
      <c r="B5" s="59"/>
      <c r="C5" s="59"/>
      <c r="D5" s="59"/>
      <c r="E5" s="59"/>
      <c r="F5" s="59"/>
      <c r="G5" s="59"/>
      <c r="H5" s="59"/>
    </row>
    <row r="6" spans="1:15">
      <c r="A6" s="86"/>
      <c r="B6" s="59"/>
      <c r="C6" s="114">
        <f>+C4+C5</f>
        <v>0</v>
      </c>
      <c r="D6" s="114">
        <f t="shared" ref="D6:O6" si="0">+D4+D5</f>
        <v>0</v>
      </c>
      <c r="E6" s="114">
        <f t="shared" si="0"/>
        <v>0</v>
      </c>
      <c r="F6" s="114">
        <f t="shared" si="0"/>
        <v>0</v>
      </c>
      <c r="G6" s="114">
        <f t="shared" si="0"/>
        <v>0</v>
      </c>
      <c r="H6" s="114">
        <f t="shared" si="0"/>
        <v>0</v>
      </c>
      <c r="I6" s="114">
        <f t="shared" si="0"/>
        <v>0</v>
      </c>
      <c r="J6" s="114">
        <f t="shared" si="0"/>
        <v>0</v>
      </c>
      <c r="K6" s="114">
        <f t="shared" si="0"/>
        <v>0</v>
      </c>
      <c r="L6" s="114">
        <f t="shared" si="0"/>
        <v>0</v>
      </c>
      <c r="M6" s="114">
        <f t="shared" si="0"/>
        <v>0</v>
      </c>
      <c r="N6" s="114">
        <f t="shared" si="0"/>
        <v>0</v>
      </c>
      <c r="O6" s="114">
        <f t="shared" si="0"/>
        <v>0</v>
      </c>
    </row>
    <row r="7" spans="1:15">
      <c r="A7" s="85" t="s">
        <v>375</v>
      </c>
      <c r="B7" s="59"/>
      <c r="C7" s="59"/>
      <c r="D7" s="59"/>
      <c r="E7" s="59"/>
      <c r="F7" s="59"/>
      <c r="G7" s="59"/>
      <c r="H7" s="59"/>
    </row>
    <row r="8" spans="1:15">
      <c r="A8" s="85" t="s">
        <v>376</v>
      </c>
      <c r="B8" s="59"/>
      <c r="C8" s="59">
        <f>+$B$8*C4</f>
        <v>0</v>
      </c>
      <c r="D8" s="59">
        <f t="shared" ref="D8:N8" si="1">+$B$8*D4</f>
        <v>0</v>
      </c>
      <c r="E8" s="59">
        <f t="shared" si="1"/>
        <v>0</v>
      </c>
      <c r="F8" s="59">
        <f t="shared" si="1"/>
        <v>0</v>
      </c>
      <c r="G8" s="59">
        <f t="shared" si="1"/>
        <v>0</v>
      </c>
      <c r="H8" s="59">
        <f t="shared" si="1"/>
        <v>0</v>
      </c>
      <c r="I8" s="59">
        <f t="shared" si="1"/>
        <v>0</v>
      </c>
      <c r="J8" s="59">
        <f t="shared" si="1"/>
        <v>0</v>
      </c>
      <c r="K8" s="59">
        <f t="shared" si="1"/>
        <v>0</v>
      </c>
      <c r="L8" s="59">
        <f t="shared" si="1"/>
        <v>0</v>
      </c>
      <c r="M8" s="59">
        <f t="shared" si="1"/>
        <v>0</v>
      </c>
      <c r="N8" s="59">
        <f t="shared" si="1"/>
        <v>0</v>
      </c>
    </row>
    <row r="9" spans="1:15">
      <c r="A9" s="85" t="s">
        <v>377</v>
      </c>
      <c r="B9" s="59"/>
      <c r="C9" s="59">
        <f>+$B$9*C5</f>
        <v>0</v>
      </c>
      <c r="D9" s="59">
        <f t="shared" ref="D9:N9" si="2">+$B$9*D5</f>
        <v>0</v>
      </c>
      <c r="E9" s="59">
        <f t="shared" si="2"/>
        <v>0</v>
      </c>
      <c r="F9" s="59">
        <f t="shared" si="2"/>
        <v>0</v>
      </c>
      <c r="G9" s="59">
        <f t="shared" si="2"/>
        <v>0</v>
      </c>
      <c r="H9" s="59">
        <f t="shared" si="2"/>
        <v>0</v>
      </c>
      <c r="I9" s="59">
        <f t="shared" si="2"/>
        <v>0</v>
      </c>
      <c r="J9" s="59">
        <f t="shared" si="2"/>
        <v>0</v>
      </c>
      <c r="K9" s="59">
        <f t="shared" si="2"/>
        <v>0</v>
      </c>
      <c r="L9" s="59">
        <f t="shared" si="2"/>
        <v>0</v>
      </c>
      <c r="M9" s="59">
        <f t="shared" si="2"/>
        <v>0</v>
      </c>
      <c r="N9" s="59">
        <f t="shared" si="2"/>
        <v>0</v>
      </c>
    </row>
    <row r="10" spans="1:15">
      <c r="A10" s="86"/>
      <c r="B10" s="59"/>
      <c r="C10" s="114">
        <f>+C8+C9</f>
        <v>0</v>
      </c>
      <c r="D10" s="114">
        <f t="shared" ref="D10:M10" si="3">+D8+D9</f>
        <v>0</v>
      </c>
      <c r="E10" s="114">
        <f t="shared" si="3"/>
        <v>0</v>
      </c>
      <c r="F10" s="114">
        <f t="shared" si="3"/>
        <v>0</v>
      </c>
      <c r="G10" s="114">
        <f t="shared" si="3"/>
        <v>0</v>
      </c>
      <c r="H10" s="114">
        <f t="shared" si="3"/>
        <v>0</v>
      </c>
      <c r="I10" s="114">
        <f t="shared" si="3"/>
        <v>0</v>
      </c>
      <c r="J10" s="114">
        <f t="shared" si="3"/>
        <v>0</v>
      </c>
      <c r="K10" s="114">
        <f t="shared" si="3"/>
        <v>0</v>
      </c>
      <c r="L10" s="114">
        <f t="shared" si="3"/>
        <v>0</v>
      </c>
      <c r="M10" s="114">
        <f t="shared" si="3"/>
        <v>0</v>
      </c>
      <c r="N10" s="114">
        <f t="shared" ref="N10" si="4">+N8+N9</f>
        <v>0</v>
      </c>
      <c r="O10" s="114">
        <f t="shared" ref="O10" si="5">+O8+O9</f>
        <v>0</v>
      </c>
    </row>
    <row r="11" spans="1:15">
      <c r="A11" s="86" t="s">
        <v>368</v>
      </c>
      <c r="B11" s="59"/>
      <c r="C11" s="59"/>
      <c r="D11" s="59"/>
      <c r="E11" s="59"/>
      <c r="F11" s="59"/>
      <c r="G11" s="59"/>
      <c r="H11" s="59"/>
    </row>
    <row r="12" spans="1:15">
      <c r="A12" s="85"/>
      <c r="B12" s="59"/>
      <c r="C12" s="59"/>
      <c r="D12" s="59"/>
      <c r="E12" s="59"/>
      <c r="F12" s="59"/>
      <c r="G12" s="59"/>
      <c r="H12" s="59"/>
    </row>
    <row r="13" spans="1:15">
      <c r="A13" s="87" t="s">
        <v>369</v>
      </c>
      <c r="B13" s="59"/>
      <c r="C13" s="59"/>
      <c r="D13" s="59"/>
      <c r="E13" s="59"/>
      <c r="F13" s="59"/>
      <c r="G13" s="59"/>
      <c r="H13" s="59"/>
    </row>
    <row r="14" spans="1:15">
      <c r="A14" s="88" t="s">
        <v>370</v>
      </c>
      <c r="B14" s="59"/>
      <c r="C14" s="59"/>
      <c r="D14" s="59"/>
      <c r="E14" s="59"/>
      <c r="F14" s="59"/>
      <c r="G14" s="59"/>
      <c r="H14" s="59"/>
    </row>
    <row r="15" spans="1:15">
      <c r="A15" s="89" t="s">
        <v>371</v>
      </c>
      <c r="B15" s="59"/>
      <c r="C15" s="59"/>
      <c r="D15" s="59"/>
      <c r="E15" s="59"/>
      <c r="F15" s="59"/>
      <c r="G15" s="59"/>
      <c r="H15" s="59"/>
    </row>
    <row r="16" spans="1:15">
      <c r="A16" s="90" t="s">
        <v>372</v>
      </c>
      <c r="B16" s="59"/>
      <c r="C16" s="59"/>
      <c r="D16" s="59"/>
      <c r="E16" s="59"/>
      <c r="F16" s="59"/>
      <c r="G16" s="59"/>
      <c r="H16" s="59"/>
    </row>
    <row r="17" spans="1:8">
      <c r="A17" s="90" t="s">
        <v>373</v>
      </c>
      <c r="B17" s="59"/>
      <c r="C17" s="59"/>
      <c r="D17" s="59"/>
      <c r="E17" s="59"/>
      <c r="F17" s="59"/>
      <c r="G17" s="59"/>
      <c r="H17" s="59"/>
    </row>
    <row r="18" spans="1:8">
      <c r="A18" s="90" t="s">
        <v>374</v>
      </c>
      <c r="B18" s="59"/>
      <c r="C18" s="59"/>
      <c r="D18" s="59"/>
      <c r="E18" s="59"/>
      <c r="F18" s="59"/>
      <c r="G18" s="59"/>
      <c r="H18" s="59"/>
    </row>
    <row r="22" spans="1:8">
      <c r="A22" s="85"/>
      <c r="B22" s="59"/>
      <c r="C22" s="59"/>
      <c r="D22" s="59"/>
      <c r="E22" s="59"/>
      <c r="F22" s="59"/>
      <c r="G22" s="59"/>
      <c r="H22" s="59"/>
    </row>
    <row r="23" spans="1:8">
      <c r="A23" s="88" t="s">
        <v>378</v>
      </c>
      <c r="B23" s="59"/>
      <c r="C23" s="59"/>
      <c r="D23" s="59"/>
      <c r="E23" s="59"/>
      <c r="F23" s="59"/>
      <c r="G23" s="59"/>
      <c r="H23" s="59"/>
    </row>
    <row r="24" spans="1:8">
      <c r="A24" s="88" t="s">
        <v>37</v>
      </c>
      <c r="B24" s="91" t="s">
        <v>379</v>
      </c>
      <c r="C24" s="91" t="s">
        <v>380</v>
      </c>
      <c r="D24" s="91" t="s">
        <v>381</v>
      </c>
      <c r="E24" s="91" t="s">
        <v>382</v>
      </c>
      <c r="F24" s="91" t="s">
        <v>383</v>
      </c>
      <c r="G24" s="59"/>
      <c r="H24" s="59"/>
    </row>
    <row r="25" spans="1:8">
      <c r="A25" s="92" t="s">
        <v>384</v>
      </c>
      <c r="B25" s="93">
        <v>6</v>
      </c>
      <c r="C25" s="93">
        <f>+B25*5</f>
        <v>30</v>
      </c>
      <c r="D25" s="93">
        <f>+C25*4</f>
        <v>120</v>
      </c>
      <c r="E25" s="59">
        <v>150</v>
      </c>
      <c r="F25" s="59" t="s">
        <v>385</v>
      </c>
      <c r="G25" s="59"/>
      <c r="H25" s="59"/>
    </row>
    <row r="26" spans="1:8">
      <c r="A26" s="92" t="s">
        <v>386</v>
      </c>
      <c r="B26" s="93">
        <v>6</v>
      </c>
      <c r="C26" s="93">
        <f t="shared" ref="C26:C27" si="6">+B26*5</f>
        <v>30</v>
      </c>
      <c r="D26" s="93">
        <f t="shared" ref="D26:D27" si="7">+C26*4</f>
        <v>120</v>
      </c>
      <c r="E26" s="59">
        <v>170</v>
      </c>
      <c r="F26" s="59" t="s">
        <v>385</v>
      </c>
      <c r="G26" s="59"/>
      <c r="H26" s="59"/>
    </row>
    <row r="27" spans="1:8">
      <c r="A27" s="92" t="s">
        <v>387</v>
      </c>
      <c r="B27" s="93">
        <v>6</v>
      </c>
      <c r="C27" s="93">
        <f t="shared" si="6"/>
        <v>30</v>
      </c>
      <c r="D27" s="93">
        <f t="shared" si="7"/>
        <v>120</v>
      </c>
      <c r="E27" s="59">
        <v>150</v>
      </c>
      <c r="F27" s="59" t="s">
        <v>385</v>
      </c>
      <c r="G27" s="59"/>
      <c r="H27" s="59"/>
    </row>
    <row r="28" spans="1:8">
      <c r="A28" s="92"/>
      <c r="B28" s="94">
        <f t="shared" ref="B28:D28" si="8">SUM(B25:B27)</f>
        <v>18</v>
      </c>
      <c r="C28" s="94">
        <f t="shared" si="8"/>
        <v>90</v>
      </c>
      <c r="D28" s="94">
        <f t="shared" si="8"/>
        <v>360</v>
      </c>
      <c r="E28" s="59"/>
      <c r="F28" s="59"/>
      <c r="G28" s="59"/>
      <c r="H28" s="59"/>
    </row>
    <row r="29" spans="1:8">
      <c r="A29" s="88" t="s">
        <v>39</v>
      </c>
      <c r="B29" s="93"/>
      <c r="C29" s="93"/>
      <c r="D29" s="93"/>
      <c r="E29" s="59"/>
      <c r="F29" s="59"/>
      <c r="G29" s="59"/>
      <c r="H29" s="59"/>
    </row>
    <row r="30" spans="1:8">
      <c r="A30" s="92" t="s">
        <v>388</v>
      </c>
      <c r="B30" s="93">
        <v>6</v>
      </c>
      <c r="C30" s="93">
        <f>+B30*5</f>
        <v>30</v>
      </c>
      <c r="D30" s="93">
        <f t="shared" ref="D30:D34" si="9">+C30*4</f>
        <v>120</v>
      </c>
      <c r="E30" s="59">
        <v>200</v>
      </c>
      <c r="F30" s="59" t="s">
        <v>385</v>
      </c>
      <c r="G30" s="59">
        <f>25*50</f>
        <v>1250</v>
      </c>
      <c r="H30" s="59"/>
    </row>
    <row r="31" spans="1:8">
      <c r="A31" s="92" t="s">
        <v>389</v>
      </c>
      <c r="B31" s="93">
        <v>6</v>
      </c>
      <c r="C31" s="93">
        <f>+B31*5</f>
        <v>30</v>
      </c>
      <c r="D31" s="93">
        <f t="shared" si="9"/>
        <v>120</v>
      </c>
      <c r="E31" s="59">
        <v>200</v>
      </c>
      <c r="F31" s="59" t="s">
        <v>385</v>
      </c>
      <c r="G31" s="59"/>
      <c r="H31" s="59"/>
    </row>
    <row r="32" spans="1:8">
      <c r="A32" s="92" t="s">
        <v>390</v>
      </c>
      <c r="B32" s="93">
        <v>6</v>
      </c>
      <c r="C32" s="93">
        <f>+B32*5</f>
        <v>30</v>
      </c>
      <c r="D32" s="93">
        <f t="shared" si="9"/>
        <v>120</v>
      </c>
      <c r="E32" s="59">
        <v>200</v>
      </c>
      <c r="F32" s="59" t="s">
        <v>385</v>
      </c>
      <c r="G32" s="59"/>
      <c r="H32" s="59"/>
    </row>
    <row r="33" spans="1:11">
      <c r="A33" s="92" t="s">
        <v>391</v>
      </c>
      <c r="B33" s="93"/>
      <c r="C33" s="93">
        <v>30</v>
      </c>
      <c r="D33" s="93">
        <f t="shared" si="9"/>
        <v>120</v>
      </c>
      <c r="E33" s="59">
        <v>300</v>
      </c>
      <c r="F33" s="59" t="s">
        <v>392</v>
      </c>
      <c r="G33" s="59"/>
      <c r="H33" s="59"/>
    </row>
    <row r="34" spans="1:11">
      <c r="A34" s="92" t="s">
        <v>393</v>
      </c>
      <c r="B34" s="93"/>
      <c r="C34" s="93">
        <v>30</v>
      </c>
      <c r="D34" s="93">
        <f t="shared" si="9"/>
        <v>120</v>
      </c>
      <c r="E34" s="59">
        <v>300</v>
      </c>
      <c r="F34" s="59" t="s">
        <v>392</v>
      </c>
      <c r="G34" s="59"/>
      <c r="H34" s="59"/>
    </row>
    <row r="35" spans="1:11">
      <c r="A35" s="92" t="s">
        <v>394</v>
      </c>
      <c r="B35" s="93"/>
      <c r="C35" s="93"/>
      <c r="D35" s="93"/>
      <c r="E35" s="59">
        <v>300</v>
      </c>
      <c r="F35" s="59" t="s">
        <v>392</v>
      </c>
      <c r="G35" s="59"/>
      <c r="H35" s="59"/>
      <c r="I35">
        <v>4200</v>
      </c>
    </row>
    <row r="36" spans="1:11">
      <c r="A36" s="92" t="s">
        <v>395</v>
      </c>
      <c r="B36" s="93"/>
      <c r="C36" s="93"/>
      <c r="D36" s="93"/>
      <c r="E36" s="59">
        <v>300</v>
      </c>
      <c r="F36" s="59" t="s">
        <v>392</v>
      </c>
      <c r="G36" s="59"/>
      <c r="H36" s="59"/>
      <c r="I36">
        <v>2400</v>
      </c>
      <c r="J36">
        <f>+I36*2</f>
        <v>4800</v>
      </c>
    </row>
    <row r="37" spans="1:11">
      <c r="A37" s="92"/>
      <c r="B37" s="93"/>
      <c r="C37" s="94">
        <f>SUM(C30:C36)</f>
        <v>150</v>
      </c>
      <c r="D37" s="94">
        <f>SUM(D30:D36)</f>
        <v>600</v>
      </c>
      <c r="E37" s="59"/>
      <c r="F37" s="59"/>
      <c r="G37" s="59"/>
      <c r="H37" s="59"/>
    </row>
    <row r="38" spans="1:11">
      <c r="A38" s="88" t="s">
        <v>396</v>
      </c>
      <c r="B38" s="93"/>
      <c r="C38" s="93"/>
      <c r="D38" s="93"/>
      <c r="E38" s="59"/>
      <c r="F38" s="59"/>
      <c r="G38" s="59"/>
      <c r="H38" s="59"/>
    </row>
    <row r="39" spans="1:11">
      <c r="A39" s="92" t="s">
        <v>391</v>
      </c>
      <c r="B39" s="93"/>
      <c r="C39" s="93"/>
      <c r="D39" s="93"/>
      <c r="E39" s="59">
        <v>270</v>
      </c>
      <c r="F39" s="59" t="s">
        <v>385</v>
      </c>
      <c r="G39" s="59"/>
      <c r="H39" s="59"/>
      <c r="J39">
        <f>18*24</f>
        <v>432</v>
      </c>
      <c r="K39">
        <f>+J39*10</f>
        <v>4320</v>
      </c>
    </row>
    <row r="40" spans="1:11">
      <c r="A40" s="92" t="s">
        <v>393</v>
      </c>
      <c r="B40" s="93"/>
      <c r="C40" s="93"/>
      <c r="D40" s="93"/>
      <c r="E40" s="59">
        <v>300</v>
      </c>
      <c r="F40" s="59" t="s">
        <v>397</v>
      </c>
      <c r="G40" s="59"/>
      <c r="H40" s="59"/>
    </row>
    <row r="41" spans="1:11">
      <c r="A41" s="85"/>
      <c r="B41" s="93"/>
      <c r="C41" s="93"/>
      <c r="D41" s="94">
        <f>SUM(D39:D40)</f>
        <v>0</v>
      </c>
      <c r="E41" s="59"/>
      <c r="F41" s="59"/>
      <c r="G41" s="59"/>
      <c r="H41" s="59"/>
    </row>
    <row r="42" spans="1:11">
      <c r="A42" s="85"/>
      <c r="B42" s="93"/>
      <c r="C42" s="1294" t="s">
        <v>398</v>
      </c>
      <c r="D42" s="1294"/>
      <c r="E42" s="59"/>
      <c r="F42" s="1295" t="s">
        <v>399</v>
      </c>
      <c r="G42" s="1295"/>
      <c r="H42" s="59"/>
    </row>
    <row r="43" spans="1:11">
      <c r="A43" s="85"/>
      <c r="B43" s="93"/>
      <c r="C43" s="91" t="s">
        <v>400</v>
      </c>
      <c r="D43" s="91" t="s">
        <v>401</v>
      </c>
      <c r="E43" s="59"/>
      <c r="F43" s="91" t="s">
        <v>400</v>
      </c>
      <c r="G43" s="91" t="s">
        <v>401</v>
      </c>
      <c r="H43" s="59"/>
    </row>
    <row r="44" spans="1:11">
      <c r="A44" s="95" t="s">
        <v>402</v>
      </c>
      <c r="B44" s="59"/>
      <c r="C44" s="94">
        <f>SUM(D41,D37,D28)</f>
        <v>960</v>
      </c>
      <c r="D44" s="94">
        <f>+C44*0.7</f>
        <v>672</v>
      </c>
      <c r="E44" s="59"/>
      <c r="F44" s="94">
        <f>C44*12</f>
        <v>11520</v>
      </c>
      <c r="G44" s="94">
        <f>+F44*0.7</f>
        <v>8063.9999999999991</v>
      </c>
      <c r="H44" s="59"/>
    </row>
    <row r="45" spans="1:11">
      <c r="A45" s="85"/>
      <c r="B45" s="94"/>
      <c r="C45" s="93"/>
      <c r="D45" s="94"/>
      <c r="E45" s="59"/>
      <c r="F45" s="94">
        <v>4</v>
      </c>
      <c r="G45" s="94"/>
      <c r="H45" s="59"/>
    </row>
    <row r="46" spans="1:11">
      <c r="A46" s="88" t="s">
        <v>403</v>
      </c>
      <c r="B46" s="91" t="s">
        <v>379</v>
      </c>
      <c r="C46" s="91" t="s">
        <v>380</v>
      </c>
      <c r="D46" s="91" t="s">
        <v>381</v>
      </c>
      <c r="E46" s="59"/>
      <c r="F46" s="87" t="s">
        <v>404</v>
      </c>
      <c r="G46" s="59"/>
      <c r="H46" s="59"/>
    </row>
    <row r="47" spans="1:11">
      <c r="A47" s="85" t="s">
        <v>37</v>
      </c>
      <c r="B47" s="96" t="s">
        <v>405</v>
      </c>
      <c r="C47" s="93">
        <f>3750*5</f>
        <v>18750</v>
      </c>
      <c r="D47" s="93">
        <f>+C47*4</f>
        <v>75000</v>
      </c>
      <c r="E47" s="59"/>
      <c r="F47" s="59" t="s">
        <v>406</v>
      </c>
      <c r="G47" s="59">
        <f>100+80</f>
        <v>180</v>
      </c>
      <c r="H47" s="59"/>
    </row>
    <row r="48" spans="1:11">
      <c r="A48" s="85" t="s">
        <v>38</v>
      </c>
      <c r="B48" s="96" t="s">
        <v>407</v>
      </c>
      <c r="C48" s="93">
        <f>1875*5</f>
        <v>9375</v>
      </c>
      <c r="D48" s="93">
        <f t="shared" ref="D48:D49" si="10">+C48*4</f>
        <v>37500</v>
      </c>
      <c r="E48" s="59"/>
      <c r="F48" s="59" t="s">
        <v>406</v>
      </c>
      <c r="G48" s="59"/>
      <c r="H48" s="59"/>
    </row>
    <row r="49" spans="1:10">
      <c r="A49" s="85" t="s">
        <v>35</v>
      </c>
      <c r="B49" s="96" t="s">
        <v>408</v>
      </c>
      <c r="C49" s="93">
        <f>18750*5</f>
        <v>93750</v>
      </c>
      <c r="D49" s="93">
        <f t="shared" si="10"/>
        <v>375000</v>
      </c>
      <c r="E49" s="59"/>
      <c r="F49" s="59" t="s">
        <v>406</v>
      </c>
      <c r="G49" s="59"/>
      <c r="H49" s="59"/>
    </row>
    <row r="50" spans="1:10">
      <c r="A50" s="85"/>
      <c r="B50" s="96"/>
      <c r="C50" s="93"/>
      <c r="D50" s="93"/>
      <c r="E50" s="59"/>
      <c r="F50" s="59"/>
      <c r="G50" s="59"/>
      <c r="H50" s="59"/>
    </row>
    <row r="51" spans="1:10">
      <c r="A51" s="85" t="s">
        <v>409</v>
      </c>
      <c r="B51" s="59"/>
      <c r="C51" s="59"/>
      <c r="D51" s="59"/>
      <c r="E51" s="59"/>
      <c r="F51" s="59"/>
      <c r="G51" s="59"/>
      <c r="H51" s="59"/>
    </row>
    <row r="52" spans="1:10">
      <c r="A52" s="85"/>
      <c r="B52" s="59"/>
      <c r="C52" s="59"/>
      <c r="D52" s="59"/>
      <c r="E52" s="59"/>
      <c r="F52" s="59"/>
      <c r="G52" s="59"/>
      <c r="H52" s="59"/>
    </row>
    <row r="53" spans="1:10">
      <c r="A53" s="88" t="s">
        <v>39</v>
      </c>
      <c r="B53" s="59"/>
      <c r="C53" s="59"/>
      <c r="D53" s="59"/>
      <c r="E53" s="59"/>
      <c r="F53" s="59"/>
      <c r="G53" s="59"/>
      <c r="H53" s="59"/>
    </row>
    <row r="54" spans="1:10">
      <c r="A54" s="85"/>
      <c r="B54" s="59"/>
      <c r="C54" s="59"/>
      <c r="D54" s="59"/>
      <c r="E54" s="59"/>
      <c r="F54" s="59"/>
      <c r="G54" s="59"/>
      <c r="H54" s="59"/>
    </row>
    <row r="55" spans="1:10">
      <c r="A55" s="85"/>
      <c r="B55" s="59"/>
      <c r="C55" s="59"/>
      <c r="D55" s="59"/>
      <c r="E55" s="59"/>
      <c r="F55" s="59"/>
      <c r="G55" s="59"/>
      <c r="H55" s="59"/>
    </row>
    <row r="56" spans="1:10">
      <c r="A56" s="85"/>
      <c r="B56" s="59"/>
      <c r="C56" s="59"/>
      <c r="D56" s="59"/>
      <c r="E56" s="59"/>
      <c r="F56" s="59"/>
      <c r="G56" s="59"/>
      <c r="H56" s="59"/>
    </row>
    <row r="57" spans="1:10">
      <c r="A57" s="85"/>
      <c r="B57" s="59"/>
      <c r="C57" s="59"/>
      <c r="D57" s="59"/>
      <c r="E57" s="59"/>
      <c r="F57" s="59"/>
      <c r="G57" s="59"/>
      <c r="H57" s="59"/>
    </row>
    <row r="58" spans="1:10">
      <c r="A58" s="85"/>
      <c r="B58" s="59"/>
      <c r="C58" s="59"/>
      <c r="D58" s="59"/>
      <c r="E58" s="59"/>
      <c r="F58" s="59"/>
      <c r="G58" s="59"/>
      <c r="H58" s="59"/>
    </row>
    <row r="59" spans="1:10">
      <c r="A59" s="59"/>
      <c r="B59" s="59"/>
      <c r="C59" s="59"/>
      <c r="D59" s="59"/>
      <c r="E59" s="59"/>
      <c r="F59" s="59"/>
      <c r="G59" s="59"/>
      <c r="H59" s="59"/>
      <c r="J59" s="97"/>
    </row>
    <row r="60" spans="1:10">
      <c r="A60" s="98" t="s">
        <v>410</v>
      </c>
      <c r="B60" s="59"/>
      <c r="C60" s="59"/>
      <c r="D60" s="59"/>
      <c r="E60" s="59"/>
      <c r="F60" s="1295" t="s">
        <v>411</v>
      </c>
      <c r="G60" s="1295"/>
      <c r="H60" s="59"/>
    </row>
    <row r="61" spans="1:10">
      <c r="A61" s="88" t="s">
        <v>412</v>
      </c>
      <c r="B61" s="59"/>
      <c r="C61" s="59"/>
      <c r="D61" s="87" t="s">
        <v>413</v>
      </c>
      <c r="E61" s="87" t="s">
        <v>414</v>
      </c>
      <c r="F61" s="87" t="s">
        <v>415</v>
      </c>
      <c r="G61" s="87" t="s">
        <v>416</v>
      </c>
      <c r="H61" s="59"/>
    </row>
    <row r="62" spans="1:10">
      <c r="A62" s="89" t="s">
        <v>417</v>
      </c>
      <c r="B62" s="59" t="s">
        <v>418</v>
      </c>
      <c r="C62" s="59" t="s">
        <v>419</v>
      </c>
      <c r="D62" s="59" t="s">
        <v>420</v>
      </c>
      <c r="E62" s="93">
        <v>6</v>
      </c>
      <c r="F62" s="69">
        <f>+E62*6</f>
        <v>36</v>
      </c>
      <c r="G62" s="99">
        <f>+C25</f>
        <v>30</v>
      </c>
      <c r="H62" s="99" t="s">
        <v>421</v>
      </c>
    </row>
    <row r="63" spans="1:10">
      <c r="A63" s="89" t="s">
        <v>422</v>
      </c>
      <c r="B63" s="59" t="s">
        <v>423</v>
      </c>
      <c r="C63" s="59" t="s">
        <v>424</v>
      </c>
      <c r="D63" s="59" t="s">
        <v>420</v>
      </c>
      <c r="E63" s="93">
        <v>15</v>
      </c>
      <c r="F63" s="69">
        <f>+E63*6</f>
        <v>90</v>
      </c>
      <c r="G63" s="99">
        <f t="shared" ref="G63:G64" si="11">+C26</f>
        <v>30</v>
      </c>
      <c r="H63" s="99" t="s">
        <v>425</v>
      </c>
    </row>
    <row r="64" spans="1:10">
      <c r="A64" s="89" t="s">
        <v>426</v>
      </c>
      <c r="B64" s="59" t="s">
        <v>427</v>
      </c>
      <c r="C64" s="59" t="s">
        <v>424</v>
      </c>
      <c r="D64" s="59" t="s">
        <v>420</v>
      </c>
      <c r="E64" s="93">
        <v>15</v>
      </c>
      <c r="F64" s="69">
        <f>+E64*6</f>
        <v>90</v>
      </c>
      <c r="G64" s="99">
        <f t="shared" si="11"/>
        <v>30</v>
      </c>
      <c r="H64" s="99"/>
    </row>
    <row r="65" spans="1:9">
      <c r="A65" s="85" t="s">
        <v>832</v>
      </c>
      <c r="B65" s="59" t="s">
        <v>833</v>
      </c>
      <c r="C65" s="59" t="s">
        <v>424</v>
      </c>
      <c r="D65" s="59" t="s">
        <v>834</v>
      </c>
      <c r="E65" s="59"/>
      <c r="F65" s="69"/>
      <c r="G65" s="59"/>
      <c r="H65" s="59"/>
    </row>
    <row r="66" spans="1:9">
      <c r="A66" s="85" t="s">
        <v>428</v>
      </c>
      <c r="B66" s="59" t="s">
        <v>429</v>
      </c>
      <c r="C66" s="59" t="s">
        <v>424</v>
      </c>
      <c r="D66" s="59" t="s">
        <v>430</v>
      </c>
      <c r="E66" s="59"/>
      <c r="F66" s="69">
        <f>15*2</f>
        <v>30</v>
      </c>
      <c r="G66" s="99">
        <f>+SUM(G62:G64)</f>
        <v>90</v>
      </c>
      <c r="H66" s="99" t="s">
        <v>431</v>
      </c>
    </row>
    <row r="67" spans="1:9">
      <c r="A67" s="85" t="s">
        <v>432</v>
      </c>
      <c r="B67" s="59" t="s">
        <v>433</v>
      </c>
      <c r="C67" s="59" t="s">
        <v>424</v>
      </c>
      <c r="D67" s="59" t="s">
        <v>420</v>
      </c>
      <c r="E67" s="59">
        <v>15</v>
      </c>
      <c r="F67" s="69">
        <f>+E67*5</f>
        <v>75</v>
      </c>
      <c r="G67" s="99">
        <f>+C28</f>
        <v>90</v>
      </c>
      <c r="H67" s="99" t="s">
        <v>434</v>
      </c>
    </row>
    <row r="68" spans="1:9">
      <c r="A68" s="85"/>
      <c r="B68" s="59"/>
      <c r="C68" s="59"/>
      <c r="D68" s="59"/>
      <c r="E68" s="59"/>
      <c r="F68" s="59"/>
      <c r="G68" s="99">
        <f>SUM(G66:G67)</f>
        <v>180</v>
      </c>
      <c r="H68" s="99"/>
      <c r="I68" s="100"/>
    </row>
    <row r="69" spans="1:9">
      <c r="A69" s="88" t="s">
        <v>435</v>
      </c>
      <c r="B69" s="59"/>
      <c r="C69" s="59"/>
      <c r="D69" s="59"/>
      <c r="E69" s="59"/>
      <c r="F69" s="59"/>
      <c r="G69" s="59"/>
      <c r="H69" s="59"/>
    </row>
    <row r="70" spans="1:9">
      <c r="A70" s="86" t="s">
        <v>436</v>
      </c>
      <c r="B70" s="59"/>
      <c r="C70" s="59"/>
      <c r="D70" s="59"/>
      <c r="E70" s="59"/>
      <c r="F70" s="59"/>
      <c r="G70" s="59"/>
      <c r="H70" s="59"/>
    </row>
    <row r="71" spans="1:9">
      <c r="A71" s="89" t="s">
        <v>437</v>
      </c>
      <c r="B71" s="59"/>
      <c r="C71" s="59"/>
      <c r="D71" s="59"/>
      <c r="E71" s="59"/>
      <c r="F71" s="59"/>
      <c r="G71" s="59"/>
      <c r="H71" s="59"/>
    </row>
    <row r="72" spans="1:9">
      <c r="A72" s="89" t="s">
        <v>438</v>
      </c>
      <c r="B72" s="59"/>
      <c r="C72" s="59"/>
      <c r="D72" s="59"/>
      <c r="E72" s="59"/>
      <c r="F72" s="59"/>
      <c r="G72" s="59"/>
    </row>
    <row r="73" spans="1:9">
      <c r="A73" s="59"/>
      <c r="B73" s="59"/>
      <c r="C73" s="59"/>
      <c r="D73" s="59"/>
      <c r="E73" s="59"/>
      <c r="F73" s="59"/>
      <c r="G73" s="59"/>
      <c r="H73" s="59"/>
    </row>
    <row r="74" spans="1:9">
      <c r="A74" s="92" t="s">
        <v>439</v>
      </c>
      <c r="B74" s="59"/>
      <c r="C74" s="59"/>
      <c r="D74" s="59"/>
      <c r="E74" s="59"/>
      <c r="F74" s="59"/>
      <c r="G74" s="59"/>
      <c r="H74" s="59"/>
    </row>
    <row r="75" spans="1:9">
      <c r="A75" s="59" t="s">
        <v>440</v>
      </c>
      <c r="B75" s="59" t="s">
        <v>441</v>
      </c>
      <c r="C75" s="59"/>
      <c r="D75" s="59"/>
      <c r="E75" s="59"/>
      <c r="F75" s="59"/>
      <c r="G75" s="59"/>
      <c r="H75" s="59"/>
    </row>
    <row r="76" spans="1:9">
      <c r="A76" s="87" t="s">
        <v>442</v>
      </c>
      <c r="B76" s="59"/>
      <c r="C76" s="59"/>
      <c r="D76" s="59"/>
      <c r="E76" s="59"/>
      <c r="F76" s="59"/>
      <c r="G76" s="59"/>
      <c r="H76" s="59"/>
    </row>
    <row r="77" spans="1:9">
      <c r="A77" s="59" t="s">
        <v>443</v>
      </c>
      <c r="B77" s="59"/>
      <c r="D77" s="59" t="s">
        <v>444</v>
      </c>
      <c r="E77" s="59"/>
      <c r="F77" s="59"/>
      <c r="G77" s="59">
        <f>0.5*6*4</f>
        <v>12</v>
      </c>
      <c r="H77" s="59"/>
    </row>
    <row r="78" spans="1:9">
      <c r="A78" s="59" t="s">
        <v>445</v>
      </c>
      <c r="B78" s="59"/>
      <c r="C78" s="93">
        <v>5000</v>
      </c>
      <c r="D78" s="59" t="s">
        <v>446</v>
      </c>
      <c r="E78" s="59" t="s">
        <v>447</v>
      </c>
      <c r="F78" s="59"/>
      <c r="G78" s="87" t="s">
        <v>448</v>
      </c>
      <c r="H78" s="59"/>
    </row>
    <row r="79" spans="1:9">
      <c r="A79" s="59"/>
      <c r="B79" s="59"/>
      <c r="C79" s="59"/>
      <c r="D79" s="59"/>
      <c r="E79" s="59"/>
      <c r="F79" s="59"/>
      <c r="G79" s="59"/>
      <c r="H79" s="59"/>
    </row>
    <row r="80" spans="1:9">
      <c r="A80" s="59" t="s">
        <v>449</v>
      </c>
      <c r="B80" s="59"/>
      <c r="C80" s="59"/>
      <c r="D80" s="59"/>
      <c r="E80" s="87" t="s">
        <v>915</v>
      </c>
      <c r="F80" s="59"/>
      <c r="G80" s="59"/>
      <c r="H80" s="59"/>
    </row>
    <row r="81" spans="1:8">
      <c r="A81" s="59" t="s">
        <v>419</v>
      </c>
      <c r="B81" s="59" t="s">
        <v>450</v>
      </c>
      <c r="C81" s="101">
        <f>80*2</f>
        <v>160</v>
      </c>
      <c r="D81" s="59" t="s">
        <v>451</v>
      </c>
      <c r="E81" s="59">
        <f>+C81*4</f>
        <v>640</v>
      </c>
      <c r="F81" s="59" t="s">
        <v>914</v>
      </c>
      <c r="G81" s="59">
        <f>12*6</f>
        <v>72</v>
      </c>
      <c r="H81" s="59"/>
    </row>
    <row r="82" spans="1:8">
      <c r="A82" s="59" t="s">
        <v>452</v>
      </c>
      <c r="B82" s="59" t="s">
        <v>910</v>
      </c>
      <c r="C82" s="101">
        <v>180</v>
      </c>
      <c r="D82" s="59" t="s">
        <v>451</v>
      </c>
      <c r="E82" s="59">
        <f t="shared" ref="E82:E84" si="12">+C82*4</f>
        <v>720</v>
      </c>
      <c r="F82" s="59" t="s">
        <v>914</v>
      </c>
      <c r="G82" s="59"/>
      <c r="H82" s="59"/>
    </row>
    <row r="83" spans="1:8">
      <c r="A83" s="59" t="s">
        <v>912</v>
      </c>
      <c r="B83" s="59" t="s">
        <v>835</v>
      </c>
      <c r="C83" s="101">
        <f>239*2</f>
        <v>478</v>
      </c>
      <c r="D83" s="59" t="s">
        <v>451</v>
      </c>
      <c r="E83" s="59">
        <f t="shared" si="12"/>
        <v>1912</v>
      </c>
      <c r="F83" s="59" t="s">
        <v>909</v>
      </c>
      <c r="G83" s="59"/>
      <c r="H83" s="59"/>
    </row>
    <row r="84" spans="1:8">
      <c r="A84" s="59" t="s">
        <v>913</v>
      </c>
      <c r="B84" s="59" t="s">
        <v>911</v>
      </c>
      <c r="C84" s="101">
        <v>146</v>
      </c>
      <c r="D84" s="59" t="s">
        <v>451</v>
      </c>
      <c r="E84" s="59">
        <f t="shared" si="12"/>
        <v>584</v>
      </c>
      <c r="F84" s="59" t="s">
        <v>38</v>
      </c>
      <c r="G84" s="59"/>
      <c r="H84" s="59"/>
    </row>
    <row r="85" spans="1:8">
      <c r="A85" s="59"/>
      <c r="B85" s="102" t="s">
        <v>362</v>
      </c>
      <c r="C85" s="103">
        <f>SUM(C81:C84)</f>
        <v>964</v>
      </c>
      <c r="D85" s="59" t="s">
        <v>453</v>
      </c>
      <c r="E85" s="103">
        <f>SUM(E81:E84)</f>
        <v>3856</v>
      </c>
      <c r="F85" s="59"/>
      <c r="G85" s="59"/>
      <c r="H85" s="59"/>
    </row>
    <row r="86" spans="1:8">
      <c r="A86" s="59"/>
      <c r="B86" s="102" t="s">
        <v>454</v>
      </c>
      <c r="C86" s="103">
        <f>+C85*0.45</f>
        <v>433.8</v>
      </c>
      <c r="D86" s="59" t="s">
        <v>455</v>
      </c>
      <c r="E86" s="103">
        <f>+E85*0.45</f>
        <v>1735.2</v>
      </c>
      <c r="F86" s="59"/>
      <c r="G86" s="59"/>
      <c r="H86" s="59"/>
    </row>
    <row r="87" spans="1:8">
      <c r="A87" s="59" t="s">
        <v>456</v>
      </c>
      <c r="B87" s="59" t="s">
        <v>457</v>
      </c>
      <c r="C87" s="59"/>
      <c r="D87" s="59"/>
      <c r="E87" s="402">
        <f>+E86*4000</f>
        <v>6940800</v>
      </c>
      <c r="F87" s="59"/>
      <c r="G87" s="59"/>
      <c r="H87" s="59"/>
    </row>
    <row r="88" spans="1:8">
      <c r="A88" s="59" t="s">
        <v>918</v>
      </c>
      <c r="B88" s="59">
        <v>6</v>
      </c>
      <c r="C88" s="59">
        <v>1000000</v>
      </c>
      <c r="D88" s="93">
        <f>+B88*C88</f>
        <v>6000000</v>
      </c>
      <c r="E88" s="402"/>
      <c r="F88" s="59"/>
      <c r="G88" s="59"/>
      <c r="H88" s="59"/>
    </row>
    <row r="89" spans="1:8">
      <c r="A89" s="59" t="s">
        <v>919</v>
      </c>
      <c r="B89" s="59">
        <v>10</v>
      </c>
      <c r="C89" s="59">
        <v>1000000</v>
      </c>
      <c r="D89" s="93">
        <f t="shared" ref="D89:D90" si="13">+B89*C89</f>
        <v>10000000</v>
      </c>
      <c r="E89" s="402"/>
      <c r="F89" s="59"/>
      <c r="G89" s="59"/>
      <c r="H89" s="59"/>
    </row>
    <row r="90" spans="1:8">
      <c r="A90" s="59" t="s">
        <v>920</v>
      </c>
      <c r="B90" s="59">
        <v>10</v>
      </c>
      <c r="C90" s="59">
        <v>1000000</v>
      </c>
      <c r="D90" s="93">
        <f t="shared" si="13"/>
        <v>10000000</v>
      </c>
      <c r="E90" s="402"/>
      <c r="F90" s="59"/>
      <c r="G90" s="59"/>
      <c r="H90" s="59"/>
    </row>
    <row r="91" spans="1:8">
      <c r="A91" s="59"/>
      <c r="B91" s="59"/>
      <c r="C91" s="59"/>
      <c r="D91" s="99">
        <f>SUM(D88:D90)</f>
        <v>26000000</v>
      </c>
      <c r="E91" s="402">
        <f>+D91*2</f>
        <v>52000000</v>
      </c>
      <c r="F91" s="59"/>
      <c r="G91" s="59"/>
      <c r="H91" s="59"/>
    </row>
    <row r="92" spans="1:8">
      <c r="A92" s="59" t="s">
        <v>458</v>
      </c>
      <c r="B92" s="101">
        <v>100000</v>
      </c>
      <c r="C92" s="59" t="s">
        <v>921</v>
      </c>
      <c r="D92" s="59"/>
      <c r="E92" s="59"/>
      <c r="F92" s="59"/>
      <c r="G92" s="59"/>
      <c r="H92" s="59"/>
    </row>
    <row r="93" spans="1:8">
      <c r="A93" s="59" t="s">
        <v>459</v>
      </c>
      <c r="B93" s="101">
        <v>200000</v>
      </c>
      <c r="C93" s="59"/>
      <c r="D93" s="59"/>
      <c r="E93" s="59"/>
      <c r="F93" s="59"/>
      <c r="G93" s="59"/>
      <c r="H93" s="59"/>
    </row>
    <row r="94" spans="1:8">
      <c r="A94" s="59" t="s">
        <v>460</v>
      </c>
      <c r="B94" s="101">
        <v>150000</v>
      </c>
      <c r="C94" s="59"/>
      <c r="D94" s="59"/>
      <c r="E94" s="59"/>
      <c r="F94" s="59"/>
      <c r="G94" s="59"/>
      <c r="H94" s="59"/>
    </row>
    <row r="95" spans="1:8">
      <c r="A95" s="59"/>
      <c r="B95" s="59"/>
      <c r="C95" s="59"/>
      <c r="D95" s="59"/>
      <c r="E95" s="59"/>
      <c r="F95" s="59"/>
      <c r="G95" s="59"/>
      <c r="H95" s="59"/>
    </row>
    <row r="96" spans="1:8">
      <c r="A96" s="59" t="s">
        <v>461</v>
      </c>
      <c r="B96" s="59"/>
      <c r="C96" s="59" t="s">
        <v>462</v>
      </c>
      <c r="D96" s="59"/>
      <c r="E96" s="59"/>
      <c r="F96" s="59"/>
      <c r="G96" s="59"/>
      <c r="H96" s="59"/>
    </row>
    <row r="97" spans="1:9">
      <c r="A97" s="59" t="s">
        <v>463</v>
      </c>
      <c r="B97" s="101">
        <v>70000000</v>
      </c>
      <c r="C97" s="101">
        <f>+B97*0.25</f>
        <v>17500000</v>
      </c>
      <c r="D97" s="59"/>
      <c r="E97" s="59"/>
      <c r="F97" s="59"/>
      <c r="G97" s="59"/>
      <c r="H97" s="59"/>
    </row>
    <row r="98" spans="1:9">
      <c r="A98" s="59" t="s">
        <v>463</v>
      </c>
      <c r="B98" s="101">
        <v>120000000</v>
      </c>
      <c r="C98" s="101">
        <f>+B98*0.25</f>
        <v>30000000</v>
      </c>
      <c r="D98" s="59"/>
      <c r="E98" s="59"/>
      <c r="F98" s="59"/>
      <c r="G98" s="59"/>
      <c r="H98" s="59"/>
    </row>
    <row r="99" spans="1:9">
      <c r="A99" s="59" t="s">
        <v>463</v>
      </c>
      <c r="B99" s="101">
        <f>+B98</f>
        <v>120000000</v>
      </c>
      <c r="C99" s="101">
        <f>+B99*0.25</f>
        <v>30000000</v>
      </c>
      <c r="D99" s="59"/>
      <c r="E99" s="59"/>
      <c r="F99" s="59">
        <f>+B99*1.2</f>
        <v>144000000</v>
      </c>
      <c r="G99" s="59">
        <f>+F99/3</f>
        <v>48000000</v>
      </c>
      <c r="H99" s="59"/>
      <c r="I99" s="97">
        <f>250000000/3750</f>
        <v>66666.666666666672</v>
      </c>
    </row>
    <row r="100" spans="1:9">
      <c r="A100" s="59"/>
      <c r="B100" s="104">
        <f>SUM(B97:B99)</f>
        <v>310000000</v>
      </c>
      <c r="C100" s="104">
        <f>SUM(C97:C99)</f>
        <v>77500000</v>
      </c>
      <c r="D100" s="93">
        <f>+C100/12</f>
        <v>6458333.333333333</v>
      </c>
      <c r="E100" s="59"/>
      <c r="F100" s="59"/>
      <c r="G100" s="59"/>
      <c r="H100" s="59"/>
    </row>
    <row r="101" spans="1:9">
      <c r="A101" s="59" t="s">
        <v>464</v>
      </c>
      <c r="B101" s="101">
        <f>+B100*0.1</f>
        <v>31000000</v>
      </c>
      <c r="C101" s="59"/>
      <c r="D101" s="93">
        <f>+B101/12</f>
        <v>2583333.3333333335</v>
      </c>
      <c r="E101" s="59"/>
      <c r="F101" s="59"/>
      <c r="G101" s="59"/>
      <c r="H101" s="59"/>
    </row>
    <row r="102" spans="1:9">
      <c r="A102" s="59"/>
      <c r="B102" s="59"/>
      <c r="C102" s="59"/>
      <c r="D102" s="59"/>
      <c r="E102" s="59"/>
      <c r="F102" s="59"/>
      <c r="G102" s="59"/>
      <c r="H102" s="59"/>
    </row>
    <row r="103" spans="1:9">
      <c r="A103" s="59"/>
      <c r="B103" s="59"/>
      <c r="C103" s="59"/>
      <c r="D103" s="59"/>
      <c r="E103" s="59"/>
      <c r="F103" s="59"/>
      <c r="G103" s="59"/>
      <c r="H103" s="59"/>
    </row>
    <row r="104" spans="1:9">
      <c r="A104" s="59"/>
      <c r="B104" s="59"/>
      <c r="C104" s="59"/>
      <c r="D104" s="59"/>
      <c r="E104" s="59"/>
      <c r="F104" s="59"/>
      <c r="G104" s="59"/>
      <c r="H104" s="59"/>
    </row>
    <row r="105" spans="1:9">
      <c r="A105" s="59"/>
      <c r="B105" s="59"/>
      <c r="C105" s="59"/>
      <c r="D105" s="59"/>
      <c r="E105" s="59"/>
      <c r="F105" s="59"/>
      <c r="G105" s="59"/>
      <c r="H105" s="59"/>
    </row>
    <row r="106" spans="1:9">
      <c r="A106" s="59" t="s">
        <v>466</v>
      </c>
      <c r="B106" s="129">
        <v>1250</v>
      </c>
      <c r="C106" s="59"/>
      <c r="D106" s="59"/>
      <c r="E106" s="59"/>
      <c r="F106" s="59"/>
      <c r="G106" s="59"/>
      <c r="H106" s="59"/>
    </row>
    <row r="107" spans="1:9">
      <c r="A107" s="59" t="s">
        <v>467</v>
      </c>
      <c r="B107" s="129">
        <v>1250</v>
      </c>
      <c r="C107" s="59"/>
      <c r="D107" s="59"/>
      <c r="E107" s="59"/>
      <c r="F107" s="59"/>
      <c r="G107" s="59"/>
      <c r="H107" s="59"/>
    </row>
    <row r="108" spans="1:9">
      <c r="A108" s="59"/>
      <c r="B108" s="142">
        <f>SUM(B106:B107)</f>
        <v>2500</v>
      </c>
      <c r="C108" s="59"/>
      <c r="D108" s="59"/>
      <c r="E108" s="59"/>
      <c r="F108" s="59"/>
      <c r="G108" s="59"/>
      <c r="H108" s="59"/>
    </row>
    <row r="109" spans="1:9">
      <c r="A109" s="157" t="s">
        <v>796</v>
      </c>
      <c r="B109" s="59"/>
      <c r="C109" s="59"/>
      <c r="D109" s="59"/>
      <c r="E109" s="59"/>
      <c r="F109" s="59"/>
      <c r="G109" s="59"/>
      <c r="H109" s="59"/>
    </row>
    <row r="110" spans="1:9">
      <c r="A110" s="157" t="s">
        <v>797</v>
      </c>
      <c r="B110" s="59"/>
      <c r="C110" s="59"/>
      <c r="D110" s="59"/>
      <c r="E110" s="59"/>
      <c r="F110" s="59"/>
      <c r="G110" s="59"/>
      <c r="H110" s="59"/>
    </row>
    <row r="111" spans="1:9">
      <c r="A111" s="157" t="s">
        <v>800</v>
      </c>
      <c r="B111" s="59"/>
      <c r="C111" s="59"/>
      <c r="D111" s="59"/>
      <c r="E111" s="59"/>
      <c r="F111" s="59"/>
      <c r="G111" s="59"/>
      <c r="H111" s="59"/>
    </row>
    <row r="112" spans="1:9">
      <c r="A112" s="157" t="s">
        <v>801</v>
      </c>
      <c r="B112" s="59"/>
      <c r="C112" s="59"/>
      <c r="D112" s="59"/>
      <c r="E112" s="59"/>
      <c r="F112" s="59"/>
      <c r="G112" s="59"/>
      <c r="H112" s="59"/>
    </row>
    <row r="113" spans="1:8">
      <c r="A113" s="59"/>
      <c r="B113" s="59"/>
      <c r="C113" s="59"/>
      <c r="D113" s="59"/>
      <c r="E113" s="59"/>
      <c r="F113" s="59"/>
      <c r="G113" s="59"/>
      <c r="H113" s="59"/>
    </row>
    <row r="114" spans="1:8">
      <c r="A114" s="59" t="s">
        <v>798</v>
      </c>
      <c r="B114" s="93">
        <v>1800</v>
      </c>
      <c r="C114" s="59"/>
      <c r="D114" s="59"/>
      <c r="E114" s="59"/>
      <c r="F114" s="59"/>
      <c r="G114" s="59"/>
      <c r="H114" s="59"/>
    </row>
    <row r="115" spans="1:8">
      <c r="A115" s="59" t="s">
        <v>799</v>
      </c>
      <c r="B115" s="93">
        <v>300</v>
      </c>
      <c r="C115" s="59"/>
      <c r="D115" s="59"/>
      <c r="E115" s="59"/>
      <c r="F115" s="59"/>
      <c r="G115" s="59"/>
    </row>
    <row r="116" spans="1:8">
      <c r="A116" s="59" t="s">
        <v>802</v>
      </c>
      <c r="B116" s="59"/>
      <c r="C116" s="59"/>
      <c r="D116" s="59"/>
      <c r="E116" s="59"/>
      <c r="F116" s="59"/>
      <c r="G116" s="59"/>
    </row>
    <row r="117" spans="1:8">
      <c r="A117" s="59"/>
      <c r="B117" s="59"/>
      <c r="C117" s="59"/>
      <c r="D117" s="59"/>
      <c r="E117" s="59"/>
      <c r="F117" s="59"/>
      <c r="G117" s="59"/>
    </row>
  </sheetData>
  <mergeCells count="3">
    <mergeCell ref="C42:D42"/>
    <mergeCell ref="F42:G42"/>
    <mergeCell ref="F60:G60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9"/>
  <dimension ref="B1:R62"/>
  <sheetViews>
    <sheetView topLeftCell="A54" zoomScale="145" zoomScaleNormal="145" workbookViewId="0">
      <selection activeCell="C54" sqref="C54"/>
    </sheetView>
  </sheetViews>
  <sheetFormatPr baseColWidth="10" defaultRowHeight="16.5"/>
  <cols>
    <col min="1" max="1" width="2.140625" style="198" customWidth="1"/>
    <col min="2" max="2" width="20.5703125" style="198" customWidth="1"/>
    <col min="3" max="14" width="11.85546875" style="198" bestFit="1" customWidth="1"/>
    <col min="15" max="15" width="12.85546875" style="198" bestFit="1" customWidth="1"/>
    <col min="16" max="16" width="11.42578125" style="198"/>
    <col min="17" max="17" width="17.5703125" style="198" bestFit="1" customWidth="1"/>
    <col min="18" max="16384" width="11.42578125" style="198"/>
  </cols>
  <sheetData>
    <row r="1" spans="2:18" ht="6.75" customHeight="1"/>
    <row r="2" spans="2:18" ht="17.25" thickBot="1">
      <c r="C2" s="245">
        <f>+C45</f>
        <v>673</v>
      </c>
      <c r="D2" s="245">
        <f t="shared" ref="D2:N2" si="0">+D45</f>
        <v>675.2</v>
      </c>
      <c r="E2" s="245">
        <f t="shared" si="0"/>
        <v>673</v>
      </c>
      <c r="F2" s="245">
        <f t="shared" si="0"/>
        <v>675.2</v>
      </c>
      <c r="G2" s="245">
        <f t="shared" si="0"/>
        <v>673</v>
      </c>
      <c r="H2" s="245">
        <f t="shared" si="0"/>
        <v>675.2</v>
      </c>
      <c r="I2" s="245">
        <f t="shared" si="0"/>
        <v>673</v>
      </c>
      <c r="J2" s="245">
        <f t="shared" si="0"/>
        <v>675.2</v>
      </c>
      <c r="K2" s="245">
        <f t="shared" si="0"/>
        <v>673</v>
      </c>
      <c r="L2" s="245">
        <f t="shared" si="0"/>
        <v>675.2</v>
      </c>
      <c r="M2" s="245">
        <f t="shared" si="0"/>
        <v>673</v>
      </c>
      <c r="N2" s="245">
        <f t="shared" si="0"/>
        <v>675.2</v>
      </c>
    </row>
    <row r="3" spans="2:18">
      <c r="B3" s="407" t="s">
        <v>1281</v>
      </c>
      <c r="C3" s="1296" t="s">
        <v>1284</v>
      </c>
      <c r="D3" s="1296"/>
      <c r="E3" s="408" t="s">
        <v>1283</v>
      </c>
      <c r="G3" s="198">
        <v>2</v>
      </c>
      <c r="L3" s="1077"/>
      <c r="M3" s="1077"/>
    </row>
    <row r="4" spans="2:18">
      <c r="B4" s="406" t="str">
        <f>+B28</f>
        <v>Okabe</v>
      </c>
      <c r="C4" s="198">
        <v>20</v>
      </c>
      <c r="D4" s="198" t="s">
        <v>1282</v>
      </c>
      <c r="E4" s="198">
        <f>+C4*1000/50</f>
        <v>400</v>
      </c>
    </row>
    <row r="5" spans="2:18">
      <c r="B5" s="406" t="str">
        <f t="shared" ref="B5:B7" si="1">+B29</f>
        <v>NRK</v>
      </c>
      <c r="C5" s="198">
        <v>17.8</v>
      </c>
      <c r="D5" s="198" t="s">
        <v>1282</v>
      </c>
      <c r="E5" s="198">
        <f t="shared" ref="E5:E7" si="2">+C5*1000/50</f>
        <v>356</v>
      </c>
    </row>
    <row r="6" spans="2:18">
      <c r="B6" s="406" t="str">
        <f t="shared" si="1"/>
        <v>Goodies</v>
      </c>
      <c r="C6" s="198">
        <v>28</v>
      </c>
      <c r="D6" s="198" t="s">
        <v>1282</v>
      </c>
      <c r="E6" s="198">
        <f t="shared" si="2"/>
        <v>560</v>
      </c>
      <c r="G6" s="198">
        <f>500/C6</f>
        <v>17.857142857142858</v>
      </c>
    </row>
    <row r="7" spans="2:18" ht="17.25" thickBot="1">
      <c r="B7" s="773" t="str">
        <f t="shared" si="1"/>
        <v>Elinar</v>
      </c>
      <c r="C7" s="774">
        <v>25.2</v>
      </c>
      <c r="D7" s="774" t="s">
        <v>1282</v>
      </c>
      <c r="E7" s="774">
        <f t="shared" si="2"/>
        <v>504</v>
      </c>
    </row>
    <row r="8" spans="2:18" ht="4.5" customHeight="1" thickBot="1"/>
    <row r="9" spans="2:18">
      <c r="B9" s="407" t="str">
        <f>+'Données SOMIDA'!C31</f>
        <v>TRA GAZ</v>
      </c>
      <c r="C9" s="408" t="str">
        <f>+'Besoins en micas'!C2</f>
        <v>Janvier</v>
      </c>
      <c r="D9" s="408" t="str">
        <f>+'Besoins en micas'!D2</f>
        <v>Février</v>
      </c>
      <c r="E9" s="408" t="str">
        <f>+'Besoins en micas'!E2</f>
        <v>Mars</v>
      </c>
      <c r="F9" s="408" t="str">
        <f>+'Besoins en micas'!F2</f>
        <v>Avril</v>
      </c>
      <c r="G9" s="408" t="str">
        <f>+'Besoins en micas'!G2</f>
        <v>Mai</v>
      </c>
      <c r="H9" s="408" t="str">
        <f>+'Besoins en micas'!H2</f>
        <v>Juin</v>
      </c>
      <c r="I9" s="408" t="str">
        <f>+'Besoins en micas'!I2</f>
        <v>Juillet</v>
      </c>
      <c r="J9" s="408" t="str">
        <f>+'Besoins en micas'!J2</f>
        <v>Août</v>
      </c>
      <c r="K9" s="408" t="str">
        <f>+'Besoins en micas'!K2</f>
        <v>Septembre</v>
      </c>
      <c r="L9" s="408" t="str">
        <f>+'Besoins en micas'!L2</f>
        <v>Octobre</v>
      </c>
      <c r="M9" s="408" t="str">
        <f>+'Besoins en micas'!M2</f>
        <v>Novembre</v>
      </c>
      <c r="N9" s="408" t="str">
        <f>+'Besoins en micas'!N2</f>
        <v>Décembre</v>
      </c>
      <c r="O9" s="408" t="s">
        <v>362</v>
      </c>
    </row>
    <row r="10" spans="2:18">
      <c r="B10" s="406" t="str">
        <f>+B28</f>
        <v>Okabe</v>
      </c>
      <c r="C10" s="198">
        <v>0</v>
      </c>
      <c r="D10" s="198">
        <v>1</v>
      </c>
      <c r="E10" s="198">
        <v>0</v>
      </c>
      <c r="F10" s="198">
        <v>1</v>
      </c>
      <c r="G10" s="198">
        <v>0</v>
      </c>
      <c r="H10" s="198">
        <v>1</v>
      </c>
      <c r="I10" s="198">
        <v>0</v>
      </c>
      <c r="J10" s="198">
        <v>1</v>
      </c>
      <c r="K10" s="198">
        <v>0</v>
      </c>
      <c r="L10" s="198">
        <v>1</v>
      </c>
      <c r="M10" s="198">
        <v>0</v>
      </c>
      <c r="N10" s="198">
        <v>1</v>
      </c>
      <c r="O10" s="198">
        <f>SUM(C10:N10)</f>
        <v>6</v>
      </c>
    </row>
    <row r="11" spans="2:18">
      <c r="B11" s="406" t="str">
        <f t="shared" ref="B11:B14" si="3">+B29</f>
        <v>NRK</v>
      </c>
      <c r="C11" s="198">
        <v>1</v>
      </c>
      <c r="D11" s="198">
        <v>0</v>
      </c>
      <c r="E11" s="198">
        <v>1</v>
      </c>
      <c r="F11" s="198">
        <v>0</v>
      </c>
      <c r="G11" s="198">
        <v>1</v>
      </c>
      <c r="H11" s="198">
        <v>0</v>
      </c>
      <c r="I11" s="198">
        <v>1</v>
      </c>
      <c r="J11" s="198">
        <v>0</v>
      </c>
      <c r="K11" s="198">
        <v>1</v>
      </c>
      <c r="L11" s="198">
        <v>0</v>
      </c>
      <c r="M11" s="198">
        <v>1</v>
      </c>
      <c r="N11" s="198">
        <v>0</v>
      </c>
      <c r="O11" s="198">
        <f t="shared" ref="O11:O13" si="4">SUM(C11:N11)</f>
        <v>6</v>
      </c>
    </row>
    <row r="12" spans="2:18">
      <c r="B12" s="406" t="str">
        <f t="shared" si="3"/>
        <v>Goodies</v>
      </c>
      <c r="C12" s="198">
        <v>9</v>
      </c>
      <c r="D12" s="198">
        <v>9</v>
      </c>
      <c r="E12" s="198">
        <v>9</v>
      </c>
      <c r="F12" s="198">
        <v>9</v>
      </c>
      <c r="G12" s="198">
        <v>9</v>
      </c>
      <c r="H12" s="198">
        <v>9</v>
      </c>
      <c r="I12" s="198">
        <v>9</v>
      </c>
      <c r="J12" s="198">
        <v>9</v>
      </c>
      <c r="K12" s="198">
        <v>9</v>
      </c>
      <c r="L12" s="198">
        <v>9</v>
      </c>
      <c r="M12" s="198">
        <v>9</v>
      </c>
      <c r="N12" s="198">
        <v>9</v>
      </c>
      <c r="O12" s="198">
        <f t="shared" si="4"/>
        <v>108</v>
      </c>
    </row>
    <row r="13" spans="2:18">
      <c r="B13" s="406" t="str">
        <f t="shared" si="3"/>
        <v>Elinar</v>
      </c>
      <c r="C13" s="198">
        <v>3</v>
      </c>
      <c r="D13" s="198">
        <v>3</v>
      </c>
      <c r="E13" s="198">
        <v>3</v>
      </c>
      <c r="F13" s="198">
        <v>3</v>
      </c>
      <c r="G13" s="198">
        <v>3</v>
      </c>
      <c r="H13" s="198">
        <v>3</v>
      </c>
      <c r="I13" s="198">
        <v>3</v>
      </c>
      <c r="J13" s="198">
        <v>3</v>
      </c>
      <c r="K13" s="198">
        <v>3</v>
      </c>
      <c r="L13" s="198">
        <v>3</v>
      </c>
      <c r="M13" s="198">
        <v>3</v>
      </c>
      <c r="N13" s="198">
        <v>3</v>
      </c>
      <c r="O13" s="198">
        <f t="shared" si="4"/>
        <v>36</v>
      </c>
      <c r="Q13" s="198">
        <f>1600/12</f>
        <v>133.33333333333334</v>
      </c>
      <c r="R13" s="198">
        <f>+Q13/20</f>
        <v>6.666666666666667</v>
      </c>
    </row>
    <row r="14" spans="2:18" ht="17.25" thickBot="1">
      <c r="B14" s="409" t="str">
        <f t="shared" si="3"/>
        <v>Total TRA</v>
      </c>
      <c r="C14" s="409">
        <f>SUM(C10:C13)</f>
        <v>13</v>
      </c>
      <c r="D14" s="409">
        <f>SUM(D10:D13)</f>
        <v>13</v>
      </c>
      <c r="E14" s="409">
        <f>SUM(E10:E13)</f>
        <v>13</v>
      </c>
      <c r="F14" s="409">
        <f t="shared" ref="F14:O14" si="5">SUM(F10:F13)</f>
        <v>13</v>
      </c>
      <c r="G14" s="409">
        <f t="shared" si="5"/>
        <v>13</v>
      </c>
      <c r="H14" s="409">
        <f t="shared" si="5"/>
        <v>13</v>
      </c>
      <c r="I14" s="409">
        <f t="shared" si="5"/>
        <v>13</v>
      </c>
      <c r="J14" s="409">
        <f t="shared" si="5"/>
        <v>13</v>
      </c>
      <c r="K14" s="409">
        <f t="shared" si="5"/>
        <v>13</v>
      </c>
      <c r="L14" s="409">
        <f t="shared" si="5"/>
        <v>13</v>
      </c>
      <c r="M14" s="409">
        <f t="shared" si="5"/>
        <v>13</v>
      </c>
      <c r="N14" s="409">
        <f t="shared" si="5"/>
        <v>13</v>
      </c>
      <c r="O14" s="409">
        <f t="shared" si="5"/>
        <v>156</v>
      </c>
    </row>
    <row r="15" spans="2:18" ht="3.75" customHeight="1" thickBot="1">
      <c r="B15" s="199"/>
    </row>
    <row r="16" spans="2:18">
      <c r="B16" s="407" t="str">
        <f>+'Données SOMIDA'!C32</f>
        <v>ABR GAZ</v>
      </c>
      <c r="C16" s="408" t="str">
        <f>+C9</f>
        <v>Janvier</v>
      </c>
      <c r="D16" s="408" t="str">
        <f t="shared" ref="D16:O16" si="6">+D9</f>
        <v>Février</v>
      </c>
      <c r="E16" s="408" t="str">
        <f t="shared" si="6"/>
        <v>Mars</v>
      </c>
      <c r="F16" s="408" t="str">
        <f t="shared" si="6"/>
        <v>Avril</v>
      </c>
      <c r="G16" s="408" t="str">
        <f t="shared" si="6"/>
        <v>Mai</v>
      </c>
      <c r="H16" s="408" t="str">
        <f t="shared" si="6"/>
        <v>Juin</v>
      </c>
      <c r="I16" s="408" t="str">
        <f t="shared" si="6"/>
        <v>Juillet</v>
      </c>
      <c r="J16" s="408" t="str">
        <f t="shared" si="6"/>
        <v>Août</v>
      </c>
      <c r="K16" s="408" t="str">
        <f t="shared" si="6"/>
        <v>Septembre</v>
      </c>
      <c r="L16" s="408" t="str">
        <f t="shared" si="6"/>
        <v>Octobre</v>
      </c>
      <c r="M16" s="408" t="str">
        <f t="shared" si="6"/>
        <v>Novembre</v>
      </c>
      <c r="N16" s="408" t="str">
        <f t="shared" si="6"/>
        <v>Décembre</v>
      </c>
      <c r="O16" s="408" t="str">
        <f t="shared" si="6"/>
        <v>Total</v>
      </c>
    </row>
    <row r="17" spans="2:17">
      <c r="B17" s="406" t="str">
        <f t="shared" ref="B17:B20" si="7">+B35</f>
        <v>Okabe</v>
      </c>
      <c r="C17" s="198">
        <v>0</v>
      </c>
      <c r="D17" s="198">
        <v>0</v>
      </c>
      <c r="E17" s="198">
        <v>0</v>
      </c>
      <c r="F17" s="198">
        <v>0</v>
      </c>
      <c r="G17" s="198">
        <v>0</v>
      </c>
      <c r="H17" s="198">
        <v>0</v>
      </c>
      <c r="I17" s="198">
        <v>0</v>
      </c>
      <c r="J17" s="198">
        <v>0</v>
      </c>
      <c r="K17" s="198">
        <v>0</v>
      </c>
      <c r="L17" s="198">
        <v>0</v>
      </c>
      <c r="M17" s="198">
        <v>0</v>
      </c>
      <c r="N17" s="198">
        <v>0</v>
      </c>
      <c r="O17" s="198">
        <f>SUM(C17:N17)</f>
        <v>0</v>
      </c>
    </row>
    <row r="18" spans="2:17">
      <c r="B18" s="406" t="str">
        <f t="shared" si="7"/>
        <v>NRK</v>
      </c>
      <c r="C18" s="198">
        <v>0</v>
      </c>
      <c r="D18" s="198">
        <v>0</v>
      </c>
      <c r="E18" s="198">
        <v>0</v>
      </c>
      <c r="F18" s="198">
        <v>0</v>
      </c>
      <c r="G18" s="198">
        <v>0</v>
      </c>
      <c r="H18" s="198">
        <v>0</v>
      </c>
      <c r="I18" s="198">
        <v>0</v>
      </c>
      <c r="J18" s="198">
        <v>0</v>
      </c>
      <c r="K18" s="198">
        <v>0</v>
      </c>
      <c r="L18" s="198">
        <v>0</v>
      </c>
      <c r="M18" s="198">
        <v>0</v>
      </c>
      <c r="N18" s="198">
        <v>0</v>
      </c>
      <c r="O18" s="198">
        <f t="shared" ref="O18:O20" si="8">SUM(C18:N18)</f>
        <v>0</v>
      </c>
    </row>
    <row r="19" spans="2:17">
      <c r="B19" s="406" t="str">
        <f t="shared" si="7"/>
        <v>Goodies</v>
      </c>
      <c r="C19" s="198">
        <v>9</v>
      </c>
      <c r="D19" s="198">
        <v>9</v>
      </c>
      <c r="E19" s="198">
        <v>9</v>
      </c>
      <c r="F19" s="198">
        <v>9</v>
      </c>
      <c r="G19" s="198">
        <v>9</v>
      </c>
      <c r="H19" s="198">
        <v>9</v>
      </c>
      <c r="I19" s="198">
        <v>9</v>
      </c>
      <c r="J19" s="198">
        <v>9</v>
      </c>
      <c r="K19" s="198">
        <v>9</v>
      </c>
      <c r="L19" s="198">
        <v>9</v>
      </c>
      <c r="M19" s="198">
        <v>9</v>
      </c>
      <c r="N19" s="198">
        <v>9</v>
      </c>
      <c r="O19" s="198">
        <f t="shared" si="8"/>
        <v>108</v>
      </c>
    </row>
    <row r="20" spans="2:17">
      <c r="B20" s="406" t="str">
        <f t="shared" si="7"/>
        <v>Elinar</v>
      </c>
      <c r="C20" s="198">
        <v>3</v>
      </c>
      <c r="D20" s="198">
        <v>3</v>
      </c>
      <c r="E20" s="198">
        <v>3</v>
      </c>
      <c r="F20" s="198">
        <v>3</v>
      </c>
      <c r="G20" s="198">
        <v>3</v>
      </c>
      <c r="H20" s="198">
        <v>3</v>
      </c>
      <c r="I20" s="198">
        <v>3</v>
      </c>
      <c r="J20" s="198">
        <v>3</v>
      </c>
      <c r="K20" s="198">
        <v>3</v>
      </c>
      <c r="L20" s="198">
        <v>3</v>
      </c>
      <c r="M20" s="198">
        <v>3</v>
      </c>
      <c r="N20" s="198">
        <v>3</v>
      </c>
      <c r="O20" s="198">
        <f t="shared" si="8"/>
        <v>36</v>
      </c>
    </row>
    <row r="21" spans="2:17" ht="17.25" thickBot="1">
      <c r="B21" s="409" t="s">
        <v>974</v>
      </c>
      <c r="C21" s="409">
        <f>SUM(C17:C20)</f>
        <v>12</v>
      </c>
      <c r="D21" s="409">
        <f>SUM(D17:D20)</f>
        <v>12</v>
      </c>
      <c r="E21" s="409">
        <f>SUM(E17:E20)</f>
        <v>12</v>
      </c>
      <c r="F21" s="409">
        <f t="shared" ref="F21:O21" si="9">SUM(F17:F20)</f>
        <v>12</v>
      </c>
      <c r="G21" s="409">
        <f t="shared" si="9"/>
        <v>12</v>
      </c>
      <c r="H21" s="409">
        <f t="shared" si="9"/>
        <v>12</v>
      </c>
      <c r="I21" s="409">
        <f t="shared" si="9"/>
        <v>12</v>
      </c>
      <c r="J21" s="409">
        <f t="shared" si="9"/>
        <v>12</v>
      </c>
      <c r="K21" s="409">
        <f t="shared" si="9"/>
        <v>12</v>
      </c>
      <c r="L21" s="409">
        <f t="shared" si="9"/>
        <v>12</v>
      </c>
      <c r="M21" s="409">
        <f t="shared" si="9"/>
        <v>12</v>
      </c>
      <c r="N21" s="409">
        <f t="shared" si="9"/>
        <v>12</v>
      </c>
      <c r="O21" s="409">
        <f t="shared" si="9"/>
        <v>144</v>
      </c>
    </row>
    <row r="22" spans="2:17" ht="9" customHeight="1" thickBot="1"/>
    <row r="23" spans="2:17">
      <c r="B23" s="407" t="str">
        <f>+'Données SOMIDA'!C33</f>
        <v>FP1 GAZ</v>
      </c>
      <c r="C23" s="408" t="str">
        <f>+C16</f>
        <v>Janvier</v>
      </c>
      <c r="D23" s="408" t="str">
        <f t="shared" ref="D23:N23" si="10">+D16</f>
        <v>Février</v>
      </c>
      <c r="E23" s="408" t="str">
        <f t="shared" si="10"/>
        <v>Mars</v>
      </c>
      <c r="F23" s="408" t="str">
        <f t="shared" si="10"/>
        <v>Avril</v>
      </c>
      <c r="G23" s="408" t="str">
        <f t="shared" si="10"/>
        <v>Mai</v>
      </c>
      <c r="H23" s="408" t="str">
        <f t="shared" si="10"/>
        <v>Juin</v>
      </c>
      <c r="I23" s="408" t="str">
        <f t="shared" si="10"/>
        <v>Juillet</v>
      </c>
      <c r="J23" s="408" t="str">
        <f t="shared" si="10"/>
        <v>Août</v>
      </c>
      <c r="K23" s="408" t="str">
        <f t="shared" si="10"/>
        <v>Septembre</v>
      </c>
      <c r="L23" s="408" t="str">
        <f t="shared" si="10"/>
        <v>Octobre</v>
      </c>
      <c r="M23" s="408" t="str">
        <f t="shared" si="10"/>
        <v>Novembre</v>
      </c>
      <c r="N23" s="408" t="str">
        <f t="shared" si="10"/>
        <v>Décembre</v>
      </c>
      <c r="O23" s="408" t="s">
        <v>362</v>
      </c>
      <c r="Q23" s="245"/>
    </row>
    <row r="24" spans="2:17">
      <c r="B24" s="771" t="s">
        <v>1151</v>
      </c>
      <c r="C24" s="772">
        <v>0</v>
      </c>
      <c r="D24" s="772">
        <v>0</v>
      </c>
      <c r="E24" s="772">
        <v>0</v>
      </c>
      <c r="F24" s="772">
        <v>0</v>
      </c>
      <c r="G24" s="772">
        <v>0</v>
      </c>
      <c r="H24" s="772">
        <v>0</v>
      </c>
      <c r="I24" s="772">
        <v>0</v>
      </c>
      <c r="J24" s="772">
        <v>0</v>
      </c>
      <c r="K24" s="772">
        <v>0</v>
      </c>
      <c r="L24" s="772">
        <v>0</v>
      </c>
      <c r="M24" s="772">
        <v>0</v>
      </c>
      <c r="N24" s="772">
        <v>0</v>
      </c>
      <c r="O24" s="198">
        <f>SUM(C24:N24)</f>
        <v>0</v>
      </c>
    </row>
    <row r="25" spans="2:17" ht="17.25" thickBot="1">
      <c r="B25" s="409" t="s">
        <v>1285</v>
      </c>
      <c r="C25" s="409">
        <f t="shared" ref="C25:N25" si="11">SUM(C24)</f>
        <v>0</v>
      </c>
      <c r="D25" s="409">
        <f t="shared" si="11"/>
        <v>0</v>
      </c>
      <c r="E25" s="409">
        <f t="shared" si="11"/>
        <v>0</v>
      </c>
      <c r="F25" s="409">
        <f t="shared" si="11"/>
        <v>0</v>
      </c>
      <c r="G25" s="409">
        <f t="shared" si="11"/>
        <v>0</v>
      </c>
      <c r="H25" s="409">
        <f t="shared" si="11"/>
        <v>0</v>
      </c>
      <c r="I25" s="409">
        <f t="shared" si="11"/>
        <v>0</v>
      </c>
      <c r="J25" s="409">
        <f t="shared" si="11"/>
        <v>0</v>
      </c>
      <c r="K25" s="409">
        <f t="shared" si="11"/>
        <v>0</v>
      </c>
      <c r="L25" s="409">
        <f t="shared" si="11"/>
        <v>0</v>
      </c>
      <c r="M25" s="409">
        <f t="shared" si="11"/>
        <v>0</v>
      </c>
      <c r="N25" s="409">
        <f t="shared" si="11"/>
        <v>0</v>
      </c>
      <c r="O25" s="409">
        <f>SUM(O24)</f>
        <v>0</v>
      </c>
    </row>
    <row r="26" spans="2:17" ht="9" customHeight="1" thickBot="1"/>
    <row r="27" spans="2:17">
      <c r="B27" s="407" t="str">
        <f>+B9</f>
        <v>TRA GAZ</v>
      </c>
      <c r="C27" s="408" t="str">
        <f>+C23</f>
        <v>Janvier</v>
      </c>
      <c r="D27" s="408" t="str">
        <f t="shared" ref="D27:N27" si="12">+D23</f>
        <v>Février</v>
      </c>
      <c r="E27" s="408" t="str">
        <f t="shared" si="12"/>
        <v>Mars</v>
      </c>
      <c r="F27" s="408" t="str">
        <f t="shared" si="12"/>
        <v>Avril</v>
      </c>
      <c r="G27" s="408" t="str">
        <f t="shared" si="12"/>
        <v>Mai</v>
      </c>
      <c r="H27" s="408" t="str">
        <f t="shared" si="12"/>
        <v>Juin</v>
      </c>
      <c r="I27" s="408" t="str">
        <f t="shared" si="12"/>
        <v>Juillet</v>
      </c>
      <c r="J27" s="408" t="str">
        <f t="shared" si="12"/>
        <v>Août</v>
      </c>
      <c r="K27" s="408" t="str">
        <f t="shared" si="12"/>
        <v>Septembre</v>
      </c>
      <c r="L27" s="408" t="str">
        <f t="shared" si="12"/>
        <v>Octobre</v>
      </c>
      <c r="M27" s="408" t="str">
        <f t="shared" si="12"/>
        <v>Novembre</v>
      </c>
      <c r="N27" s="408" t="str">
        <f t="shared" si="12"/>
        <v>Décembre</v>
      </c>
      <c r="O27" s="408" t="s">
        <v>362</v>
      </c>
    </row>
    <row r="28" spans="2:17">
      <c r="B28" s="406" t="str">
        <f>+'Données SOMIDA'!C96</f>
        <v>Okabe</v>
      </c>
      <c r="C28" s="245">
        <f>+C10*$C$4</f>
        <v>0</v>
      </c>
      <c r="D28" s="245">
        <f>+D10*$C$4</f>
        <v>20</v>
      </c>
      <c r="E28" s="245">
        <f>+E10*$C$4</f>
        <v>0</v>
      </c>
      <c r="F28" s="245">
        <f t="shared" ref="F28:N28" si="13">+F10*$C$4</f>
        <v>20</v>
      </c>
      <c r="G28" s="245">
        <f t="shared" si="13"/>
        <v>0</v>
      </c>
      <c r="H28" s="245">
        <f t="shared" si="13"/>
        <v>20</v>
      </c>
      <c r="I28" s="245">
        <f t="shared" si="13"/>
        <v>0</v>
      </c>
      <c r="J28" s="245">
        <f t="shared" si="13"/>
        <v>20</v>
      </c>
      <c r="K28" s="245">
        <f t="shared" si="13"/>
        <v>0</v>
      </c>
      <c r="L28" s="245">
        <f t="shared" si="13"/>
        <v>20</v>
      </c>
      <c r="M28" s="245">
        <f t="shared" si="13"/>
        <v>0</v>
      </c>
      <c r="N28" s="245">
        <f t="shared" si="13"/>
        <v>20</v>
      </c>
      <c r="O28" s="245">
        <f>SUM(C28:N28)</f>
        <v>120</v>
      </c>
    </row>
    <row r="29" spans="2:17">
      <c r="B29" s="406" t="str">
        <f>+'Données SOMIDA'!C97</f>
        <v>NRK</v>
      </c>
      <c r="C29" s="245">
        <f>+C11*$C$5</f>
        <v>17.8</v>
      </c>
      <c r="D29" s="245">
        <f>+D11*$C$5</f>
        <v>0</v>
      </c>
      <c r="E29" s="245">
        <f>+E11*$C$5</f>
        <v>17.8</v>
      </c>
      <c r="F29" s="245">
        <f t="shared" ref="F29:N29" si="14">+F11*$C$5</f>
        <v>0</v>
      </c>
      <c r="G29" s="245">
        <f t="shared" si="14"/>
        <v>17.8</v>
      </c>
      <c r="H29" s="245">
        <f t="shared" si="14"/>
        <v>0</v>
      </c>
      <c r="I29" s="245">
        <f t="shared" si="14"/>
        <v>17.8</v>
      </c>
      <c r="J29" s="245">
        <f t="shared" si="14"/>
        <v>0</v>
      </c>
      <c r="K29" s="245">
        <f t="shared" si="14"/>
        <v>17.8</v>
      </c>
      <c r="L29" s="245">
        <f t="shared" si="14"/>
        <v>0</v>
      </c>
      <c r="M29" s="245">
        <f t="shared" si="14"/>
        <v>17.8</v>
      </c>
      <c r="N29" s="245">
        <f t="shared" si="14"/>
        <v>0</v>
      </c>
      <c r="O29" s="245">
        <f t="shared" ref="O29:O31" si="15">SUM(C29:N29)</f>
        <v>106.8</v>
      </c>
    </row>
    <row r="30" spans="2:17">
      <c r="B30" s="406" t="str">
        <f>+'Données SOMIDA'!C98</f>
        <v>Goodies</v>
      </c>
      <c r="C30" s="245">
        <f t="shared" ref="C30:N30" si="16">+C12*$C$6</f>
        <v>252</v>
      </c>
      <c r="D30" s="245">
        <f t="shared" si="16"/>
        <v>252</v>
      </c>
      <c r="E30" s="245">
        <f t="shared" si="16"/>
        <v>252</v>
      </c>
      <c r="F30" s="245">
        <f t="shared" si="16"/>
        <v>252</v>
      </c>
      <c r="G30" s="245">
        <f t="shared" si="16"/>
        <v>252</v>
      </c>
      <c r="H30" s="245">
        <f t="shared" si="16"/>
        <v>252</v>
      </c>
      <c r="I30" s="245">
        <f t="shared" si="16"/>
        <v>252</v>
      </c>
      <c r="J30" s="245">
        <f t="shared" si="16"/>
        <v>252</v>
      </c>
      <c r="K30" s="245">
        <f t="shared" si="16"/>
        <v>252</v>
      </c>
      <c r="L30" s="245">
        <f t="shared" si="16"/>
        <v>252</v>
      </c>
      <c r="M30" s="245">
        <f t="shared" si="16"/>
        <v>252</v>
      </c>
      <c r="N30" s="245">
        <f t="shared" si="16"/>
        <v>252</v>
      </c>
      <c r="O30" s="245">
        <f t="shared" si="15"/>
        <v>3024</v>
      </c>
      <c r="Q30" s="475"/>
    </row>
    <row r="31" spans="2:17">
      <c r="B31" s="406" t="str">
        <f>+'Données SOMIDA'!C99</f>
        <v>Elinar</v>
      </c>
      <c r="C31" s="245">
        <f>+C13*$C$7</f>
        <v>75.599999999999994</v>
      </c>
      <c r="D31" s="245">
        <f>+D13*$C$7</f>
        <v>75.599999999999994</v>
      </c>
      <c r="E31" s="245">
        <f>+E13*$C$7</f>
        <v>75.599999999999994</v>
      </c>
      <c r="F31" s="245">
        <f t="shared" ref="F31:N31" si="17">+F13*$C$7</f>
        <v>75.599999999999994</v>
      </c>
      <c r="G31" s="245">
        <f t="shared" si="17"/>
        <v>75.599999999999994</v>
      </c>
      <c r="H31" s="245">
        <f t="shared" si="17"/>
        <v>75.599999999999994</v>
      </c>
      <c r="I31" s="245">
        <f t="shared" si="17"/>
        <v>75.599999999999994</v>
      </c>
      <c r="J31" s="245">
        <f t="shared" si="17"/>
        <v>75.599999999999994</v>
      </c>
      <c r="K31" s="245">
        <f t="shared" si="17"/>
        <v>75.599999999999994</v>
      </c>
      <c r="L31" s="245">
        <f t="shared" si="17"/>
        <v>75.599999999999994</v>
      </c>
      <c r="M31" s="245">
        <f t="shared" si="17"/>
        <v>75.599999999999994</v>
      </c>
      <c r="N31" s="245">
        <f t="shared" si="17"/>
        <v>75.599999999999994</v>
      </c>
      <c r="O31" s="245">
        <f t="shared" si="15"/>
        <v>907.20000000000016</v>
      </c>
      <c r="Q31" s="475"/>
    </row>
    <row r="32" spans="2:17" ht="17.25" thickBot="1">
      <c r="B32" s="409" t="s">
        <v>973</v>
      </c>
      <c r="C32" s="410">
        <f>SUM(C28:C31)</f>
        <v>345.4</v>
      </c>
      <c r="D32" s="410">
        <f t="shared" ref="D32:O32" si="18">SUM(D28:D31)</f>
        <v>347.6</v>
      </c>
      <c r="E32" s="410">
        <f t="shared" si="18"/>
        <v>345.4</v>
      </c>
      <c r="F32" s="410">
        <f t="shared" si="18"/>
        <v>347.6</v>
      </c>
      <c r="G32" s="410">
        <f t="shared" si="18"/>
        <v>345.4</v>
      </c>
      <c r="H32" s="410">
        <f t="shared" si="18"/>
        <v>347.6</v>
      </c>
      <c r="I32" s="410">
        <f>SUM(I28:I31)</f>
        <v>345.4</v>
      </c>
      <c r="J32" s="410">
        <f t="shared" si="18"/>
        <v>347.6</v>
      </c>
      <c r="K32" s="410">
        <f t="shared" si="18"/>
        <v>345.4</v>
      </c>
      <c r="L32" s="410">
        <f t="shared" si="18"/>
        <v>347.6</v>
      </c>
      <c r="M32" s="410">
        <f t="shared" si="18"/>
        <v>345.4</v>
      </c>
      <c r="N32" s="410">
        <f t="shared" si="18"/>
        <v>347.6</v>
      </c>
      <c r="O32" s="410">
        <f t="shared" si="18"/>
        <v>4158</v>
      </c>
      <c r="Q32" s="245"/>
    </row>
    <row r="33" spans="2:17" ht="6.75" customHeight="1" thickBot="1">
      <c r="Q33" s="245"/>
    </row>
    <row r="34" spans="2:17">
      <c r="B34" s="407" t="str">
        <f>+B16</f>
        <v>ABR GAZ</v>
      </c>
      <c r="C34" s="408" t="str">
        <f>+C27</f>
        <v>Janvier</v>
      </c>
      <c r="D34" s="408" t="str">
        <f t="shared" ref="D34:N34" si="19">+D27</f>
        <v>Février</v>
      </c>
      <c r="E34" s="408" t="str">
        <f t="shared" si="19"/>
        <v>Mars</v>
      </c>
      <c r="F34" s="408" t="str">
        <f t="shared" si="19"/>
        <v>Avril</v>
      </c>
      <c r="G34" s="408" t="str">
        <f t="shared" si="19"/>
        <v>Mai</v>
      </c>
      <c r="H34" s="408" t="str">
        <f t="shared" si="19"/>
        <v>Juin</v>
      </c>
      <c r="I34" s="408" t="str">
        <f t="shared" si="19"/>
        <v>Juillet</v>
      </c>
      <c r="J34" s="408" t="str">
        <f t="shared" si="19"/>
        <v>Août</v>
      </c>
      <c r="K34" s="408" t="str">
        <f t="shared" si="19"/>
        <v>Septembre</v>
      </c>
      <c r="L34" s="408" t="str">
        <f t="shared" si="19"/>
        <v>Octobre</v>
      </c>
      <c r="M34" s="408" t="str">
        <f t="shared" si="19"/>
        <v>Novembre</v>
      </c>
      <c r="N34" s="408" t="str">
        <f t="shared" si="19"/>
        <v>Décembre</v>
      </c>
      <c r="O34" s="408" t="s">
        <v>362</v>
      </c>
      <c r="Q34" s="245"/>
    </row>
    <row r="35" spans="2:17">
      <c r="B35" s="406" t="str">
        <f>+'Données SOMIDA'!C101</f>
        <v>Okabe</v>
      </c>
      <c r="C35" s="245">
        <f>+C17*$C$4</f>
        <v>0</v>
      </c>
      <c r="D35" s="245">
        <f>+D17*$C$4</f>
        <v>0</v>
      </c>
      <c r="E35" s="245">
        <f>+E17*$C$4</f>
        <v>0</v>
      </c>
      <c r="F35" s="245">
        <f t="shared" ref="F35:N35" si="20">+F17*$C$4</f>
        <v>0</v>
      </c>
      <c r="G35" s="245">
        <f t="shared" si="20"/>
        <v>0</v>
      </c>
      <c r="H35" s="245">
        <f t="shared" si="20"/>
        <v>0</v>
      </c>
      <c r="I35" s="245">
        <f t="shared" si="20"/>
        <v>0</v>
      </c>
      <c r="J35" s="245">
        <f t="shared" si="20"/>
        <v>0</v>
      </c>
      <c r="K35" s="245">
        <f t="shared" si="20"/>
        <v>0</v>
      </c>
      <c r="L35" s="245">
        <f t="shared" si="20"/>
        <v>0</v>
      </c>
      <c r="M35" s="245">
        <f t="shared" si="20"/>
        <v>0</v>
      </c>
      <c r="N35" s="245">
        <f t="shared" si="20"/>
        <v>0</v>
      </c>
      <c r="O35" s="245">
        <f t="shared" ref="O35:O38" si="21">SUM(C35:N35)</f>
        <v>0</v>
      </c>
      <c r="Q35" s="245"/>
    </row>
    <row r="36" spans="2:17">
      <c r="B36" s="406" t="str">
        <f>+'Données SOMIDA'!C102</f>
        <v>NRK</v>
      </c>
      <c r="C36" s="245">
        <f>+C18*$C$5</f>
        <v>0</v>
      </c>
      <c r="D36" s="245">
        <f>+D18*$C$5</f>
        <v>0</v>
      </c>
      <c r="E36" s="245">
        <f>+E18*$C$5</f>
        <v>0</v>
      </c>
      <c r="F36" s="245">
        <f t="shared" ref="F36:N36" si="22">+F18*$C$5</f>
        <v>0</v>
      </c>
      <c r="G36" s="245">
        <f t="shared" si="22"/>
        <v>0</v>
      </c>
      <c r="H36" s="245">
        <f t="shared" si="22"/>
        <v>0</v>
      </c>
      <c r="I36" s="245">
        <f t="shared" si="22"/>
        <v>0</v>
      </c>
      <c r="J36" s="245">
        <f t="shared" si="22"/>
        <v>0</v>
      </c>
      <c r="K36" s="245">
        <f t="shared" si="22"/>
        <v>0</v>
      </c>
      <c r="L36" s="245">
        <f t="shared" si="22"/>
        <v>0</v>
      </c>
      <c r="M36" s="245">
        <f t="shared" si="22"/>
        <v>0</v>
      </c>
      <c r="N36" s="245">
        <f t="shared" si="22"/>
        <v>0</v>
      </c>
      <c r="O36" s="245">
        <f t="shared" si="21"/>
        <v>0</v>
      </c>
      <c r="Q36" s="245"/>
    </row>
    <row r="37" spans="2:17">
      <c r="B37" s="406" t="str">
        <f>+'Données SOMIDA'!C103</f>
        <v>Goodies</v>
      </c>
      <c r="C37" s="245">
        <f>+C19*$C$6</f>
        <v>252</v>
      </c>
      <c r="D37" s="245">
        <f t="shared" ref="D37:N37" si="23">+D19*$C$6</f>
        <v>252</v>
      </c>
      <c r="E37" s="245">
        <f t="shared" si="23"/>
        <v>252</v>
      </c>
      <c r="F37" s="245">
        <f t="shared" si="23"/>
        <v>252</v>
      </c>
      <c r="G37" s="245">
        <f t="shared" si="23"/>
        <v>252</v>
      </c>
      <c r="H37" s="245">
        <f t="shared" si="23"/>
        <v>252</v>
      </c>
      <c r="I37" s="245">
        <f t="shared" si="23"/>
        <v>252</v>
      </c>
      <c r="J37" s="245">
        <f t="shared" si="23"/>
        <v>252</v>
      </c>
      <c r="K37" s="245">
        <f t="shared" si="23"/>
        <v>252</v>
      </c>
      <c r="L37" s="245">
        <f t="shared" si="23"/>
        <v>252</v>
      </c>
      <c r="M37" s="245">
        <f t="shared" si="23"/>
        <v>252</v>
      </c>
      <c r="N37" s="245">
        <f t="shared" si="23"/>
        <v>252</v>
      </c>
      <c r="O37" s="245">
        <f t="shared" si="21"/>
        <v>3024</v>
      </c>
      <c r="Q37" s="245"/>
    </row>
    <row r="38" spans="2:17">
      <c r="B38" s="406" t="str">
        <f>+'Données SOMIDA'!C104</f>
        <v>Elinar</v>
      </c>
      <c r="C38" s="245">
        <f>+C20*$C$7</f>
        <v>75.599999999999994</v>
      </c>
      <c r="D38" s="245">
        <f>+D20*$C$7</f>
        <v>75.599999999999994</v>
      </c>
      <c r="E38" s="245">
        <f>+E20*$C$7</f>
        <v>75.599999999999994</v>
      </c>
      <c r="F38" s="245">
        <f t="shared" ref="F38:N38" si="24">+F20*$C$7</f>
        <v>75.599999999999994</v>
      </c>
      <c r="G38" s="245">
        <f t="shared" si="24"/>
        <v>75.599999999999994</v>
      </c>
      <c r="H38" s="245">
        <f t="shared" si="24"/>
        <v>75.599999999999994</v>
      </c>
      <c r="I38" s="245">
        <f t="shared" si="24"/>
        <v>75.599999999999994</v>
      </c>
      <c r="J38" s="245">
        <f t="shared" si="24"/>
        <v>75.599999999999994</v>
      </c>
      <c r="K38" s="245">
        <f t="shared" si="24"/>
        <v>75.599999999999994</v>
      </c>
      <c r="L38" s="245">
        <f t="shared" si="24"/>
        <v>75.599999999999994</v>
      </c>
      <c r="M38" s="245">
        <f t="shared" si="24"/>
        <v>75.599999999999994</v>
      </c>
      <c r="N38" s="245">
        <f t="shared" si="24"/>
        <v>75.599999999999994</v>
      </c>
      <c r="O38" s="245">
        <f t="shared" si="21"/>
        <v>907.20000000000016</v>
      </c>
      <c r="Q38" s="245"/>
    </row>
    <row r="39" spans="2:17" ht="17.25" thickBot="1">
      <c r="B39" s="409" t="s">
        <v>974</v>
      </c>
      <c r="C39" s="410">
        <f>SUM(C35:C38)</f>
        <v>327.60000000000002</v>
      </c>
      <c r="D39" s="410">
        <f t="shared" ref="D39:O39" si="25">SUM(D35:D38)</f>
        <v>327.60000000000002</v>
      </c>
      <c r="E39" s="410">
        <f t="shared" si="25"/>
        <v>327.60000000000002</v>
      </c>
      <c r="F39" s="410">
        <f t="shared" si="25"/>
        <v>327.60000000000002</v>
      </c>
      <c r="G39" s="410">
        <f t="shared" si="25"/>
        <v>327.60000000000002</v>
      </c>
      <c r="H39" s="410">
        <f t="shared" si="25"/>
        <v>327.60000000000002</v>
      </c>
      <c r="I39" s="410">
        <f>SUM(I35:I38)</f>
        <v>327.60000000000002</v>
      </c>
      <c r="J39" s="410">
        <f t="shared" si="25"/>
        <v>327.60000000000002</v>
      </c>
      <c r="K39" s="410">
        <f t="shared" si="25"/>
        <v>327.60000000000002</v>
      </c>
      <c r="L39" s="410">
        <f t="shared" si="25"/>
        <v>327.60000000000002</v>
      </c>
      <c r="M39" s="410">
        <f t="shared" si="25"/>
        <v>327.60000000000002</v>
      </c>
      <c r="N39" s="410">
        <f t="shared" si="25"/>
        <v>327.60000000000002</v>
      </c>
      <c r="O39" s="410">
        <f t="shared" si="25"/>
        <v>3931.2000000000003</v>
      </c>
      <c r="Q39" s="245"/>
    </row>
    <row r="40" spans="2:17" ht="6.75" customHeight="1" thickBot="1">
      <c r="O40" s="198">
        <f>SUM(C40:N40)</f>
        <v>0</v>
      </c>
      <c r="Q40" s="245"/>
    </row>
    <row r="41" spans="2:17">
      <c r="B41" s="407" t="str">
        <f>+B23</f>
        <v>FP1 GAZ</v>
      </c>
      <c r="C41" s="408" t="str">
        <f>+C34</f>
        <v>Janvier</v>
      </c>
      <c r="D41" s="408" t="str">
        <f t="shared" ref="D41:N41" si="26">+D34</f>
        <v>Février</v>
      </c>
      <c r="E41" s="408" t="str">
        <f t="shared" si="26"/>
        <v>Mars</v>
      </c>
      <c r="F41" s="408" t="str">
        <f t="shared" si="26"/>
        <v>Avril</v>
      </c>
      <c r="G41" s="408" t="str">
        <f t="shared" si="26"/>
        <v>Mai</v>
      </c>
      <c r="H41" s="408" t="str">
        <f t="shared" si="26"/>
        <v>Juin</v>
      </c>
      <c r="I41" s="408" t="str">
        <f t="shared" si="26"/>
        <v>Juillet</v>
      </c>
      <c r="J41" s="408" t="str">
        <f t="shared" si="26"/>
        <v>Août</v>
      </c>
      <c r="K41" s="408" t="str">
        <f t="shared" si="26"/>
        <v>Septembre</v>
      </c>
      <c r="L41" s="408" t="str">
        <f t="shared" si="26"/>
        <v>Octobre</v>
      </c>
      <c r="M41" s="408" t="str">
        <f t="shared" si="26"/>
        <v>Novembre</v>
      </c>
      <c r="N41" s="408" t="str">
        <f t="shared" si="26"/>
        <v>Décembre</v>
      </c>
      <c r="O41" s="408" t="s">
        <v>362</v>
      </c>
      <c r="Q41" s="245"/>
    </row>
    <row r="42" spans="2:17">
      <c r="B42" s="406" t="s">
        <v>1151</v>
      </c>
      <c r="C42" s="245">
        <f>+C24*$C$4</f>
        <v>0</v>
      </c>
      <c r="D42" s="245">
        <f t="shared" ref="D42:N42" si="27">+D24*$C$4</f>
        <v>0</v>
      </c>
      <c r="E42" s="245">
        <f t="shared" si="27"/>
        <v>0</v>
      </c>
      <c r="F42" s="245">
        <f t="shared" si="27"/>
        <v>0</v>
      </c>
      <c r="G42" s="245">
        <f t="shared" si="27"/>
        <v>0</v>
      </c>
      <c r="H42" s="245">
        <f t="shared" si="27"/>
        <v>0</v>
      </c>
      <c r="I42" s="245">
        <f t="shared" si="27"/>
        <v>0</v>
      </c>
      <c r="J42" s="245">
        <f t="shared" si="27"/>
        <v>0</v>
      </c>
      <c r="K42" s="245">
        <f t="shared" si="27"/>
        <v>0</v>
      </c>
      <c r="L42" s="245">
        <f t="shared" si="27"/>
        <v>0</v>
      </c>
      <c r="M42" s="245">
        <f t="shared" si="27"/>
        <v>0</v>
      </c>
      <c r="N42" s="245">
        <f t="shared" si="27"/>
        <v>0</v>
      </c>
      <c r="O42" s="245">
        <f>SUM(C42:N42)</f>
        <v>0</v>
      </c>
      <c r="Q42" s="245"/>
    </row>
    <row r="43" spans="2:17" ht="17.25" thickBot="1">
      <c r="B43" s="409" t="s">
        <v>1285</v>
      </c>
      <c r="C43" s="410">
        <f t="shared" ref="C43:O43" si="28">SUM(C42:C42)</f>
        <v>0</v>
      </c>
      <c r="D43" s="410">
        <f t="shared" si="28"/>
        <v>0</v>
      </c>
      <c r="E43" s="410">
        <f t="shared" si="28"/>
        <v>0</v>
      </c>
      <c r="F43" s="410">
        <f t="shared" si="28"/>
        <v>0</v>
      </c>
      <c r="G43" s="410">
        <f t="shared" si="28"/>
        <v>0</v>
      </c>
      <c r="H43" s="410">
        <f t="shared" si="28"/>
        <v>0</v>
      </c>
      <c r="I43" s="410">
        <f t="shared" si="28"/>
        <v>0</v>
      </c>
      <c r="J43" s="410">
        <f t="shared" si="28"/>
        <v>0</v>
      </c>
      <c r="K43" s="410">
        <f t="shared" si="28"/>
        <v>0</v>
      </c>
      <c r="L43" s="410">
        <f t="shared" si="28"/>
        <v>0</v>
      </c>
      <c r="M43" s="410">
        <f t="shared" si="28"/>
        <v>0</v>
      </c>
      <c r="N43" s="410">
        <f t="shared" si="28"/>
        <v>0</v>
      </c>
      <c r="O43" s="410">
        <f t="shared" si="28"/>
        <v>0</v>
      </c>
      <c r="P43" s="245"/>
      <c r="Q43" s="245"/>
    </row>
    <row r="44" spans="2:17" ht="6" customHeight="1" thickBot="1"/>
    <row r="45" spans="2:17" ht="17.25" thickBot="1">
      <c r="B45" s="482" t="s">
        <v>975</v>
      </c>
      <c r="C45" s="483">
        <f>+C32+C39+C43</f>
        <v>673</v>
      </c>
      <c r="D45" s="483">
        <f t="shared" ref="D45:O45" si="29">+D32+D39+D43</f>
        <v>675.2</v>
      </c>
      <c r="E45" s="483">
        <f t="shared" si="29"/>
        <v>673</v>
      </c>
      <c r="F45" s="483">
        <f t="shared" si="29"/>
        <v>675.2</v>
      </c>
      <c r="G45" s="483">
        <f t="shared" si="29"/>
        <v>673</v>
      </c>
      <c r="H45" s="483">
        <f t="shared" si="29"/>
        <v>675.2</v>
      </c>
      <c r="I45" s="483">
        <f t="shared" si="29"/>
        <v>673</v>
      </c>
      <c r="J45" s="483">
        <f t="shared" si="29"/>
        <v>675.2</v>
      </c>
      <c r="K45" s="483">
        <f t="shared" si="29"/>
        <v>673</v>
      </c>
      <c r="L45" s="483">
        <f t="shared" si="29"/>
        <v>675.2</v>
      </c>
      <c r="M45" s="483">
        <f t="shared" si="29"/>
        <v>673</v>
      </c>
      <c r="N45" s="483">
        <f t="shared" si="29"/>
        <v>675.2</v>
      </c>
      <c r="O45" s="483">
        <f t="shared" si="29"/>
        <v>8089.2000000000007</v>
      </c>
    </row>
    <row r="46" spans="2:17" ht="3" customHeight="1">
      <c r="B46" s="199"/>
      <c r="C46" s="945"/>
      <c r="D46" s="945"/>
      <c r="E46" s="945"/>
      <c r="F46" s="945"/>
      <c r="G46" s="945"/>
      <c r="H46" s="945"/>
      <c r="I46" s="945"/>
      <c r="J46" s="945"/>
      <c r="K46" s="945"/>
      <c r="L46" s="945"/>
      <c r="M46" s="945"/>
      <c r="N46" s="945"/>
      <c r="O46" s="945"/>
    </row>
    <row r="47" spans="2:17">
      <c r="B47" s="946" t="s">
        <v>1757</v>
      </c>
      <c r="C47" s="947">
        <v>0.02</v>
      </c>
      <c r="D47" s="245"/>
      <c r="E47" s="245"/>
      <c r="F47" s="245"/>
      <c r="G47" s="245"/>
      <c r="H47" s="245"/>
      <c r="I47" s="245"/>
      <c r="J47" s="245"/>
      <c r="K47" s="245"/>
      <c r="L47" s="245"/>
      <c r="M47" s="245"/>
      <c r="N47" s="245"/>
      <c r="O47" s="245"/>
    </row>
    <row r="48" spans="2:17" ht="3.75" customHeight="1" thickBot="1">
      <c r="B48" s="946"/>
      <c r="C48" s="947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</row>
    <row r="49" spans="2:17">
      <c r="B49" s="407" t="s">
        <v>922</v>
      </c>
      <c r="C49" s="408" t="str">
        <f>+C41</f>
        <v>Janvier</v>
      </c>
      <c r="D49" s="408" t="str">
        <f t="shared" ref="D49:O49" si="30">+D41</f>
        <v>Février</v>
      </c>
      <c r="E49" s="408" t="str">
        <f t="shared" si="30"/>
        <v>Mars</v>
      </c>
      <c r="F49" s="408" t="str">
        <f t="shared" si="30"/>
        <v>Avril</v>
      </c>
      <c r="G49" s="408" t="str">
        <f t="shared" si="30"/>
        <v>Mai</v>
      </c>
      <c r="H49" s="408" t="str">
        <f t="shared" si="30"/>
        <v>Juin</v>
      </c>
      <c r="I49" s="408" t="str">
        <f t="shared" si="30"/>
        <v>Juillet</v>
      </c>
      <c r="J49" s="408" t="str">
        <f t="shared" si="30"/>
        <v>Août</v>
      </c>
      <c r="K49" s="408" t="str">
        <f t="shared" si="30"/>
        <v>Septembre</v>
      </c>
      <c r="L49" s="408" t="str">
        <f t="shared" si="30"/>
        <v>Octobre</v>
      </c>
      <c r="M49" s="408" t="str">
        <f t="shared" si="30"/>
        <v>Novembre</v>
      </c>
      <c r="N49" s="408" t="str">
        <f t="shared" si="30"/>
        <v>Décembre</v>
      </c>
      <c r="O49" s="408" t="str">
        <f t="shared" si="30"/>
        <v>Total</v>
      </c>
      <c r="Q49" s="245"/>
    </row>
    <row r="50" spans="2:17">
      <c r="B50" s="948" t="str">
        <f>+B27</f>
        <v>TRA GAZ</v>
      </c>
      <c r="C50" s="245"/>
      <c r="D50" s="245"/>
      <c r="E50" s="245"/>
      <c r="F50" s="245"/>
      <c r="G50" s="245"/>
      <c r="H50" s="245"/>
      <c r="I50" s="245"/>
      <c r="J50" s="245"/>
      <c r="K50" s="245"/>
      <c r="L50" s="245"/>
      <c r="M50" s="245"/>
      <c r="N50" s="245"/>
    </row>
    <row r="51" spans="2:17">
      <c r="B51" s="406" t="str">
        <f>+B28</f>
        <v>Okabe</v>
      </c>
      <c r="C51" s="245">
        <f>ROUND((+C28)*(1+$C$47),0)*1000</f>
        <v>0</v>
      </c>
      <c r="D51" s="245">
        <f t="shared" ref="C51:J54" si="31">ROUND((+D28)*(1+$C$47),0)*1000</f>
        <v>20000</v>
      </c>
      <c r="E51" s="245">
        <f t="shared" si="31"/>
        <v>0</v>
      </c>
      <c r="F51" s="245">
        <f t="shared" si="31"/>
        <v>20000</v>
      </c>
      <c r="G51" s="245">
        <f t="shared" si="31"/>
        <v>0</v>
      </c>
      <c r="H51" s="245">
        <f t="shared" si="31"/>
        <v>20000</v>
      </c>
      <c r="I51" s="245">
        <f t="shared" si="31"/>
        <v>0</v>
      </c>
      <c r="J51" s="245">
        <f t="shared" si="31"/>
        <v>20000</v>
      </c>
      <c r="K51" s="245">
        <f t="shared" ref="K51:N54" si="32">ROUND((+K28)*(1-$C$47),0)*1000</f>
        <v>0</v>
      </c>
      <c r="L51" s="245">
        <f t="shared" si="32"/>
        <v>20000</v>
      </c>
      <c r="M51" s="245">
        <f t="shared" si="32"/>
        <v>0</v>
      </c>
      <c r="N51" s="245">
        <f t="shared" si="32"/>
        <v>20000</v>
      </c>
      <c r="O51" s="245">
        <f>SUM(C51:N51)</f>
        <v>120000</v>
      </c>
    </row>
    <row r="52" spans="2:17">
      <c r="B52" s="406" t="str">
        <f>+B29</f>
        <v>NRK</v>
      </c>
      <c r="C52" s="245">
        <f t="shared" si="31"/>
        <v>18000</v>
      </c>
      <c r="D52" s="245">
        <f t="shared" si="31"/>
        <v>0</v>
      </c>
      <c r="E52" s="245">
        <f t="shared" si="31"/>
        <v>18000</v>
      </c>
      <c r="F52" s="245">
        <f t="shared" si="31"/>
        <v>0</v>
      </c>
      <c r="G52" s="245">
        <f t="shared" si="31"/>
        <v>18000</v>
      </c>
      <c r="H52" s="245">
        <f t="shared" si="31"/>
        <v>0</v>
      </c>
      <c r="I52" s="245">
        <f t="shared" si="31"/>
        <v>18000</v>
      </c>
      <c r="J52" s="245">
        <f t="shared" si="31"/>
        <v>0</v>
      </c>
      <c r="K52" s="245">
        <f t="shared" si="32"/>
        <v>17000</v>
      </c>
      <c r="L52" s="245">
        <f t="shared" si="32"/>
        <v>0</v>
      </c>
      <c r="M52" s="245">
        <f t="shared" si="32"/>
        <v>17000</v>
      </c>
      <c r="N52" s="245">
        <f t="shared" si="32"/>
        <v>0</v>
      </c>
      <c r="O52" s="245">
        <f t="shared" ref="O52:O61" si="33">SUM(C52:N52)</f>
        <v>106000</v>
      </c>
    </row>
    <row r="53" spans="2:17">
      <c r="B53" s="406" t="str">
        <f>+B30</f>
        <v>Goodies</v>
      </c>
      <c r="C53" s="245">
        <f t="shared" si="31"/>
        <v>257000</v>
      </c>
      <c r="D53" s="245">
        <f t="shared" si="31"/>
        <v>257000</v>
      </c>
      <c r="E53" s="245">
        <f t="shared" si="31"/>
        <v>257000</v>
      </c>
      <c r="F53" s="245">
        <f t="shared" si="31"/>
        <v>257000</v>
      </c>
      <c r="G53" s="245">
        <f t="shared" si="31"/>
        <v>257000</v>
      </c>
      <c r="H53" s="245">
        <f t="shared" si="31"/>
        <v>257000</v>
      </c>
      <c r="I53" s="245">
        <f t="shared" si="31"/>
        <v>257000</v>
      </c>
      <c r="J53" s="245">
        <f t="shared" si="31"/>
        <v>257000</v>
      </c>
      <c r="K53" s="245">
        <f t="shared" si="32"/>
        <v>247000</v>
      </c>
      <c r="L53" s="245">
        <f t="shared" si="32"/>
        <v>247000</v>
      </c>
      <c r="M53" s="245">
        <f t="shared" si="32"/>
        <v>247000</v>
      </c>
      <c r="N53" s="245">
        <f t="shared" si="32"/>
        <v>247000</v>
      </c>
      <c r="O53" s="245">
        <f t="shared" si="33"/>
        <v>3044000</v>
      </c>
    </row>
    <row r="54" spans="2:17">
      <c r="B54" s="406" t="str">
        <f>+B31</f>
        <v>Elinar</v>
      </c>
      <c r="C54" s="245">
        <f t="shared" si="31"/>
        <v>77000</v>
      </c>
      <c r="D54" s="245">
        <f t="shared" si="31"/>
        <v>77000</v>
      </c>
      <c r="E54" s="245">
        <f t="shared" si="31"/>
        <v>77000</v>
      </c>
      <c r="F54" s="245">
        <f t="shared" si="31"/>
        <v>77000</v>
      </c>
      <c r="G54" s="245">
        <f t="shared" si="31"/>
        <v>77000</v>
      </c>
      <c r="H54" s="245">
        <f t="shared" si="31"/>
        <v>77000</v>
      </c>
      <c r="I54" s="245">
        <f t="shared" si="31"/>
        <v>77000</v>
      </c>
      <c r="J54" s="245">
        <f t="shared" si="31"/>
        <v>77000</v>
      </c>
      <c r="K54" s="245">
        <f t="shared" si="32"/>
        <v>74000</v>
      </c>
      <c r="L54" s="245">
        <f t="shared" si="32"/>
        <v>74000</v>
      </c>
      <c r="M54" s="245">
        <f t="shared" si="32"/>
        <v>74000</v>
      </c>
      <c r="N54" s="245">
        <f t="shared" si="32"/>
        <v>74000</v>
      </c>
      <c r="O54" s="245">
        <f t="shared" si="33"/>
        <v>912000</v>
      </c>
    </row>
    <row r="55" spans="2:17">
      <c r="B55" s="948" t="str">
        <f>+B34</f>
        <v>ABR GAZ</v>
      </c>
      <c r="C55" s="245"/>
      <c r="D55" s="245"/>
      <c r="E55" s="245"/>
      <c r="F55" s="245"/>
      <c r="G55" s="245"/>
      <c r="H55" s="245"/>
      <c r="I55" s="245"/>
      <c r="J55" s="245"/>
      <c r="K55" s="245"/>
      <c r="L55" s="245"/>
      <c r="M55" s="245"/>
      <c r="N55" s="245"/>
    </row>
    <row r="56" spans="2:17">
      <c r="B56" s="406" t="str">
        <f>+B35</f>
        <v>Okabe</v>
      </c>
      <c r="C56" s="245">
        <f t="shared" ref="C56:J59" si="34">ROUND((+C35)*(1+$C$47),0)*1000</f>
        <v>0</v>
      </c>
      <c r="D56" s="245">
        <f t="shared" si="34"/>
        <v>0</v>
      </c>
      <c r="E56" s="245">
        <f t="shared" si="34"/>
        <v>0</v>
      </c>
      <c r="F56" s="245">
        <f t="shared" si="34"/>
        <v>0</v>
      </c>
      <c r="G56" s="245">
        <f t="shared" si="34"/>
        <v>0</v>
      </c>
      <c r="H56" s="245">
        <f t="shared" si="34"/>
        <v>0</v>
      </c>
      <c r="I56" s="245">
        <f t="shared" si="34"/>
        <v>0</v>
      </c>
      <c r="J56" s="245">
        <f t="shared" si="34"/>
        <v>0</v>
      </c>
      <c r="K56" s="245">
        <f t="shared" ref="K56:N59" si="35">ROUND((+K35)*(1-$C$47),0)*1000</f>
        <v>0</v>
      </c>
      <c r="L56" s="245">
        <f t="shared" si="35"/>
        <v>0</v>
      </c>
      <c r="M56" s="245">
        <f t="shared" si="35"/>
        <v>0</v>
      </c>
      <c r="N56" s="245">
        <f t="shared" si="35"/>
        <v>0</v>
      </c>
      <c r="O56" s="245">
        <f t="shared" si="33"/>
        <v>0</v>
      </c>
    </row>
    <row r="57" spans="2:17">
      <c r="B57" s="406" t="str">
        <f t="shared" ref="B57:B59" si="36">+B36</f>
        <v>NRK</v>
      </c>
      <c r="C57" s="245">
        <f t="shared" si="34"/>
        <v>0</v>
      </c>
      <c r="D57" s="245">
        <f t="shared" si="34"/>
        <v>0</v>
      </c>
      <c r="E57" s="245">
        <f t="shared" si="34"/>
        <v>0</v>
      </c>
      <c r="F57" s="245">
        <f t="shared" si="34"/>
        <v>0</v>
      </c>
      <c r="G57" s="245">
        <f t="shared" si="34"/>
        <v>0</v>
      </c>
      <c r="H57" s="245">
        <f t="shared" si="34"/>
        <v>0</v>
      </c>
      <c r="I57" s="245">
        <f t="shared" si="34"/>
        <v>0</v>
      </c>
      <c r="J57" s="245">
        <f t="shared" si="34"/>
        <v>0</v>
      </c>
      <c r="K57" s="245">
        <f t="shared" si="35"/>
        <v>0</v>
      </c>
      <c r="L57" s="245">
        <f t="shared" si="35"/>
        <v>0</v>
      </c>
      <c r="M57" s="245">
        <f t="shared" si="35"/>
        <v>0</v>
      </c>
      <c r="N57" s="245">
        <f t="shared" si="35"/>
        <v>0</v>
      </c>
      <c r="O57" s="245">
        <f t="shared" si="33"/>
        <v>0</v>
      </c>
    </row>
    <row r="58" spans="2:17">
      <c r="B58" s="406" t="str">
        <f t="shared" si="36"/>
        <v>Goodies</v>
      </c>
      <c r="C58" s="245">
        <f t="shared" si="34"/>
        <v>257000</v>
      </c>
      <c r="D58" s="245">
        <f t="shared" si="34"/>
        <v>257000</v>
      </c>
      <c r="E58" s="245">
        <f t="shared" si="34"/>
        <v>257000</v>
      </c>
      <c r="F58" s="245">
        <f t="shared" si="34"/>
        <v>257000</v>
      </c>
      <c r="G58" s="245">
        <f t="shared" si="34"/>
        <v>257000</v>
      </c>
      <c r="H58" s="245">
        <f t="shared" si="34"/>
        <v>257000</v>
      </c>
      <c r="I58" s="245">
        <f t="shared" si="34"/>
        <v>257000</v>
      </c>
      <c r="J58" s="245">
        <f t="shared" si="34"/>
        <v>257000</v>
      </c>
      <c r="K58" s="245">
        <f t="shared" si="35"/>
        <v>247000</v>
      </c>
      <c r="L58" s="245">
        <f t="shared" si="35"/>
        <v>247000</v>
      </c>
      <c r="M58" s="245">
        <f t="shared" si="35"/>
        <v>247000</v>
      </c>
      <c r="N58" s="245">
        <f t="shared" si="35"/>
        <v>247000</v>
      </c>
      <c r="O58" s="245">
        <f t="shared" si="33"/>
        <v>3044000</v>
      </c>
    </row>
    <row r="59" spans="2:17">
      <c r="B59" s="406" t="str">
        <f t="shared" si="36"/>
        <v>Elinar</v>
      </c>
      <c r="C59" s="245">
        <f t="shared" si="34"/>
        <v>77000</v>
      </c>
      <c r="D59" s="245">
        <f t="shared" si="34"/>
        <v>77000</v>
      </c>
      <c r="E59" s="245">
        <f t="shared" si="34"/>
        <v>77000</v>
      </c>
      <c r="F59" s="245">
        <f t="shared" si="34"/>
        <v>77000</v>
      </c>
      <c r="G59" s="245">
        <f t="shared" si="34"/>
        <v>77000</v>
      </c>
      <c r="H59" s="245">
        <f t="shared" si="34"/>
        <v>77000</v>
      </c>
      <c r="I59" s="245">
        <f t="shared" si="34"/>
        <v>77000</v>
      </c>
      <c r="J59" s="245">
        <f t="shared" si="34"/>
        <v>77000</v>
      </c>
      <c r="K59" s="245">
        <f t="shared" si="35"/>
        <v>74000</v>
      </c>
      <c r="L59" s="245">
        <f t="shared" si="35"/>
        <v>74000</v>
      </c>
      <c r="M59" s="245">
        <f t="shared" si="35"/>
        <v>74000</v>
      </c>
      <c r="N59" s="245">
        <f t="shared" si="35"/>
        <v>74000</v>
      </c>
      <c r="O59" s="245">
        <f t="shared" si="33"/>
        <v>912000</v>
      </c>
    </row>
    <row r="60" spans="2:17">
      <c r="B60" s="948" t="str">
        <f>+B41</f>
        <v>FP1 GAZ</v>
      </c>
      <c r="C60" s="245"/>
      <c r="D60" s="245"/>
      <c r="E60" s="245"/>
      <c r="F60" s="245"/>
      <c r="G60" s="245"/>
      <c r="H60" s="245"/>
      <c r="I60" s="245"/>
      <c r="J60" s="245"/>
      <c r="K60" s="245"/>
      <c r="L60" s="245"/>
      <c r="M60" s="245"/>
      <c r="N60" s="245"/>
      <c r="O60" s="245"/>
    </row>
    <row r="61" spans="2:17">
      <c r="B61" s="406" t="str">
        <f>+B42</f>
        <v>Okabe</v>
      </c>
      <c r="C61" s="245">
        <f>ROUND((+C42)*(1+$C$47),0)*1000</f>
        <v>0</v>
      </c>
      <c r="D61" s="245">
        <f t="shared" ref="D61:J61" si="37">ROUND((+D42)*(1+$C$47),0)*1000</f>
        <v>0</v>
      </c>
      <c r="E61" s="245">
        <f t="shared" si="37"/>
        <v>0</v>
      </c>
      <c r="F61" s="245">
        <f t="shared" si="37"/>
        <v>0</v>
      </c>
      <c r="G61" s="245">
        <f t="shared" si="37"/>
        <v>0</v>
      </c>
      <c r="H61" s="245">
        <f t="shared" si="37"/>
        <v>0</v>
      </c>
      <c r="I61" s="245">
        <f t="shared" si="37"/>
        <v>0</v>
      </c>
      <c r="J61" s="245">
        <f t="shared" si="37"/>
        <v>0</v>
      </c>
      <c r="K61" s="245">
        <f>ROUND((+K42)*(1-$C$47),0)*1000</f>
        <v>0</v>
      </c>
      <c r="L61" s="245">
        <f t="shared" ref="L61:N61" si="38">ROUND((+L42)*(1-$C$47),0)*1000</f>
        <v>0</v>
      </c>
      <c r="M61" s="245">
        <f t="shared" si="38"/>
        <v>0</v>
      </c>
      <c r="N61" s="245">
        <f t="shared" si="38"/>
        <v>0</v>
      </c>
      <c r="O61" s="245">
        <f t="shared" si="33"/>
        <v>0</v>
      </c>
    </row>
    <row r="62" spans="2:17" ht="17.25" thickBot="1">
      <c r="B62" s="409"/>
      <c r="C62" s="410">
        <f t="shared" ref="C62:O62" si="39">SUM(C51:C59)</f>
        <v>686000</v>
      </c>
      <c r="D62" s="410">
        <f t="shared" si="39"/>
        <v>688000</v>
      </c>
      <c r="E62" s="410">
        <f t="shared" si="39"/>
        <v>686000</v>
      </c>
      <c r="F62" s="410">
        <f t="shared" si="39"/>
        <v>688000</v>
      </c>
      <c r="G62" s="410">
        <f t="shared" si="39"/>
        <v>686000</v>
      </c>
      <c r="H62" s="410">
        <f t="shared" si="39"/>
        <v>688000</v>
      </c>
      <c r="I62" s="410">
        <f t="shared" si="39"/>
        <v>686000</v>
      </c>
      <c r="J62" s="410">
        <f t="shared" si="39"/>
        <v>688000</v>
      </c>
      <c r="K62" s="410">
        <f t="shared" si="39"/>
        <v>659000</v>
      </c>
      <c r="L62" s="410">
        <f t="shared" si="39"/>
        <v>662000</v>
      </c>
      <c r="M62" s="410">
        <f t="shared" si="39"/>
        <v>659000</v>
      </c>
      <c r="N62" s="410">
        <f t="shared" si="39"/>
        <v>662000</v>
      </c>
      <c r="O62" s="410">
        <f t="shared" si="39"/>
        <v>8138000</v>
      </c>
      <c r="P62" s="245"/>
      <c r="Q62" s="245"/>
    </row>
  </sheetData>
  <mergeCells count="1">
    <mergeCell ref="C3:D3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8"/>
  <dimension ref="B1:AA188"/>
  <sheetViews>
    <sheetView topLeftCell="A15" zoomScale="106" zoomScaleNormal="106" workbookViewId="0">
      <selection activeCell="B46" sqref="B46"/>
    </sheetView>
  </sheetViews>
  <sheetFormatPr baseColWidth="10" defaultRowHeight="16.5"/>
  <cols>
    <col min="1" max="1" width="1.7109375" style="80" customWidth="1"/>
    <col min="2" max="2" width="21.5703125" style="80" bestFit="1" customWidth="1"/>
    <col min="3" max="3" width="14" style="80" bestFit="1" customWidth="1"/>
    <col min="4" max="4" width="15.85546875" style="80" bestFit="1" customWidth="1"/>
    <col min="5" max="6" width="15.140625" style="80" bestFit="1" customWidth="1"/>
    <col min="7" max="7" width="15.7109375" style="80" bestFit="1" customWidth="1"/>
    <col min="8" max="14" width="15.140625" style="80" bestFit="1" customWidth="1"/>
    <col min="15" max="15" width="15.85546875" style="80" bestFit="1" customWidth="1"/>
    <col min="16" max="16" width="16.7109375" style="80" bestFit="1" customWidth="1"/>
    <col min="17" max="17" width="1.85546875" style="80" customWidth="1"/>
    <col min="18" max="18" width="12.85546875" style="223" customWidth="1"/>
    <col min="19" max="19" width="14.28515625" style="80" bestFit="1" customWidth="1"/>
    <col min="20" max="21" width="11.5703125" style="80" bestFit="1" customWidth="1"/>
    <col min="22" max="22" width="11.42578125" style="80"/>
    <col min="23" max="23" width="11.5703125" style="80" bestFit="1" customWidth="1"/>
    <col min="24" max="16384" width="11.42578125" style="80"/>
  </cols>
  <sheetData>
    <row r="1" spans="2:19" ht="17.25" thickBot="1">
      <c r="D1" s="666">
        <f>+(D9+D10)*1000</f>
        <v>686000000</v>
      </c>
      <c r="E1" s="666">
        <f t="shared" ref="E1:O1" si="0">+(E9+E10)*1000</f>
        <v>688000000</v>
      </c>
      <c r="F1" s="666">
        <f t="shared" si="0"/>
        <v>686000000</v>
      </c>
      <c r="G1" s="666">
        <f t="shared" si="0"/>
        <v>688000000</v>
      </c>
      <c r="H1" s="666">
        <f t="shared" si="0"/>
        <v>686000000</v>
      </c>
      <c r="I1" s="666">
        <f t="shared" si="0"/>
        <v>688000000</v>
      </c>
      <c r="J1" s="666">
        <f t="shared" si="0"/>
        <v>686000000</v>
      </c>
      <c r="K1" s="666">
        <f t="shared" si="0"/>
        <v>688000000</v>
      </c>
      <c r="L1" s="666">
        <f t="shared" si="0"/>
        <v>659000000</v>
      </c>
      <c r="M1" s="666">
        <f t="shared" si="0"/>
        <v>662000000</v>
      </c>
      <c r="N1" s="666">
        <f t="shared" si="0"/>
        <v>659000000</v>
      </c>
      <c r="O1" s="666">
        <f t="shared" si="0"/>
        <v>662000000</v>
      </c>
    </row>
    <row r="2" spans="2:19" s="198" customFormat="1">
      <c r="B2" s="407" t="s">
        <v>1764</v>
      </c>
      <c r="C2" s="408"/>
      <c r="D2" s="408" t="str">
        <f>+Commandes!C27</f>
        <v>Janvier</v>
      </c>
      <c r="E2" s="408" t="str">
        <f>+Commandes!D27</f>
        <v>Février</v>
      </c>
      <c r="F2" s="408" t="str">
        <f>+Commandes!E27</f>
        <v>Mars</v>
      </c>
      <c r="G2" s="408" t="str">
        <f>+Commandes!F27</f>
        <v>Avril</v>
      </c>
      <c r="H2" s="408" t="str">
        <f>+Commandes!G27</f>
        <v>Mai</v>
      </c>
      <c r="I2" s="408" t="str">
        <f>+Commandes!H27</f>
        <v>Juin</v>
      </c>
      <c r="J2" s="408" t="str">
        <f>+Commandes!I27</f>
        <v>Juillet</v>
      </c>
      <c r="K2" s="408" t="str">
        <f>+Commandes!J27</f>
        <v>Août</v>
      </c>
      <c r="L2" s="408" t="str">
        <f>+Commandes!K27</f>
        <v>Septembre</v>
      </c>
      <c r="M2" s="408" t="str">
        <f>+Commandes!L27</f>
        <v>Octobre</v>
      </c>
      <c r="N2" s="408" t="str">
        <f>+Commandes!M27</f>
        <v>Novembre</v>
      </c>
      <c r="O2" s="408" t="str">
        <f>+Commandes!N27</f>
        <v>Décembre</v>
      </c>
      <c r="P2" s="408" t="str">
        <f>+Commandes!O27</f>
        <v>Total</v>
      </c>
      <c r="Q2" s="765"/>
      <c r="R2" s="408" t="s">
        <v>1830</v>
      </c>
    </row>
    <row r="3" spans="2:19">
      <c r="B3" s="80" t="str">
        <f>+'Données SOMIDA'!C18</f>
        <v>TRA COUPE</v>
      </c>
      <c r="D3" s="162">
        <f>+'Données SOMIDA'!$E$18*1000</f>
        <v>225000</v>
      </c>
      <c r="E3" s="162">
        <f>+'Données SOMIDA'!$E$18*1000</f>
        <v>225000</v>
      </c>
      <c r="F3" s="162">
        <f>+'Données SOMIDA'!$E$18*1000</f>
        <v>225000</v>
      </c>
      <c r="G3" s="162">
        <f>+'Données SOMIDA'!$E$18*1000</f>
        <v>225000</v>
      </c>
      <c r="H3" s="162">
        <f>+'Données SOMIDA'!$E$18*1000</f>
        <v>225000</v>
      </c>
      <c r="I3" s="162">
        <f>+'Données SOMIDA'!$E$18*1000</f>
        <v>225000</v>
      </c>
      <c r="J3" s="162">
        <f>+'Données SOMIDA'!$E$18*1000</f>
        <v>225000</v>
      </c>
      <c r="K3" s="162">
        <f>+'Données SOMIDA'!$E$18*1000</f>
        <v>225000</v>
      </c>
      <c r="L3" s="162">
        <f>+'Données SOMIDA'!$E$18*1000</f>
        <v>225000</v>
      </c>
      <c r="M3" s="162">
        <f>+'Données SOMIDA'!$E$18*1000</f>
        <v>225000</v>
      </c>
      <c r="N3" s="162">
        <f>+'Données SOMIDA'!$E$18*1000</f>
        <v>225000</v>
      </c>
      <c r="O3" s="162">
        <f>+'Données SOMIDA'!$E$18*1000</f>
        <v>225000</v>
      </c>
      <c r="P3" s="162">
        <f>SUM(D3:O3)</f>
        <v>2700000</v>
      </c>
      <c r="R3" s="1092">
        <f>+P3/$P$6</f>
        <v>0.38626609442060084</v>
      </c>
    </row>
    <row r="4" spans="2:19">
      <c r="B4" s="80" t="str">
        <f>+'Données SOMIDA'!C19</f>
        <v>ABR COUPE</v>
      </c>
      <c r="D4" s="162">
        <f>+'Données SOMIDA'!$E$19*1000</f>
        <v>337500</v>
      </c>
      <c r="E4" s="162">
        <f>+'Données SOMIDA'!$E$19*1000</f>
        <v>337500</v>
      </c>
      <c r="F4" s="162">
        <f>+'Données SOMIDA'!$E$19*1000</f>
        <v>337500</v>
      </c>
      <c r="G4" s="162">
        <f>+'Données SOMIDA'!$E$19*1000</f>
        <v>337500</v>
      </c>
      <c r="H4" s="162">
        <f>+'Données SOMIDA'!$E$19*1000</f>
        <v>337500</v>
      </c>
      <c r="I4" s="162">
        <f>+'Données SOMIDA'!$E$19*1000</f>
        <v>337500</v>
      </c>
      <c r="J4" s="162">
        <f>+'Données SOMIDA'!$E$19*1000</f>
        <v>337500</v>
      </c>
      <c r="K4" s="162">
        <f>+'Données SOMIDA'!$E$19*1000</f>
        <v>337500</v>
      </c>
      <c r="L4" s="162">
        <f>+'Données SOMIDA'!$E$19*1000</f>
        <v>337500</v>
      </c>
      <c r="M4" s="162">
        <f>+'Données SOMIDA'!$E$19*1000</f>
        <v>337500</v>
      </c>
      <c r="N4" s="162">
        <f>+'Données SOMIDA'!$E$19*1000</f>
        <v>337500</v>
      </c>
      <c r="O4" s="162">
        <f>+'Données SOMIDA'!$E$19*1000</f>
        <v>337500</v>
      </c>
      <c r="P4" s="162">
        <f>SUM(D4:O4)</f>
        <v>4050000</v>
      </c>
      <c r="R4" s="1092">
        <f t="shared" ref="R4:R5" si="1">+P4/$P$6</f>
        <v>0.57939914163090134</v>
      </c>
    </row>
    <row r="5" spans="2:19">
      <c r="B5" s="80" t="str">
        <f>+'Données SOMIDA'!C20</f>
        <v>FP1 COUPE</v>
      </c>
      <c r="D5" s="162">
        <f>+'Données SOMIDA'!$E$20*1000</f>
        <v>20000</v>
      </c>
      <c r="E5" s="162">
        <f>+'Données SOMIDA'!$E$20*1000</f>
        <v>20000</v>
      </c>
      <c r="F5" s="162">
        <f>+'Données SOMIDA'!$E$20*1000</f>
        <v>20000</v>
      </c>
      <c r="G5" s="162">
        <f>+'Données SOMIDA'!$E$20*1000</f>
        <v>20000</v>
      </c>
      <c r="H5" s="162">
        <f>+'Données SOMIDA'!$E$20*1000</f>
        <v>20000</v>
      </c>
      <c r="I5" s="162">
        <f>+'Données SOMIDA'!$E$20*1000</f>
        <v>20000</v>
      </c>
      <c r="J5" s="162">
        <f>+'Données SOMIDA'!$E$20*1000</f>
        <v>20000</v>
      </c>
      <c r="K5" s="162">
        <f>+'Données SOMIDA'!$E$20*1000</f>
        <v>20000</v>
      </c>
      <c r="L5" s="162">
        <f>+'Données SOMIDA'!$E$20*1000</f>
        <v>20000</v>
      </c>
      <c r="M5" s="162">
        <f>+'Données SOMIDA'!$E$20*1000</f>
        <v>20000</v>
      </c>
      <c r="N5" s="162">
        <f>+'Données SOMIDA'!$E$20*1000</f>
        <v>20000</v>
      </c>
      <c r="O5" s="162">
        <f>+'Données SOMIDA'!$E$20*1000</f>
        <v>20000</v>
      </c>
      <c r="P5" s="162">
        <f>SUM(D5:O5)</f>
        <v>240000</v>
      </c>
      <c r="R5" s="1092">
        <f t="shared" si="1"/>
        <v>3.4334763948497854E-2</v>
      </c>
    </row>
    <row r="6" spans="2:19" s="223" customFormat="1" ht="21" customHeight="1" thickBot="1">
      <c r="B6" s="1069" t="s">
        <v>1781</v>
      </c>
      <c r="C6" s="561"/>
      <c r="D6" s="1068">
        <f>SUM(D3:D5)</f>
        <v>582500</v>
      </c>
      <c r="E6" s="1068">
        <f t="shared" ref="E6:R6" si="2">SUM(E3:E5)</f>
        <v>582500</v>
      </c>
      <c r="F6" s="1068">
        <f t="shared" si="2"/>
        <v>582500</v>
      </c>
      <c r="G6" s="1068">
        <f t="shared" si="2"/>
        <v>582500</v>
      </c>
      <c r="H6" s="1068">
        <f t="shared" si="2"/>
        <v>582500</v>
      </c>
      <c r="I6" s="1068">
        <f t="shared" si="2"/>
        <v>582500</v>
      </c>
      <c r="J6" s="1068">
        <f t="shared" si="2"/>
        <v>582500</v>
      </c>
      <c r="K6" s="1068">
        <f t="shared" si="2"/>
        <v>582500</v>
      </c>
      <c r="L6" s="1068">
        <f t="shared" si="2"/>
        <v>582500</v>
      </c>
      <c r="M6" s="1068">
        <f t="shared" si="2"/>
        <v>582500</v>
      </c>
      <c r="N6" s="1068">
        <f t="shared" si="2"/>
        <v>582500</v>
      </c>
      <c r="O6" s="1068">
        <f t="shared" si="2"/>
        <v>582500</v>
      </c>
      <c r="P6" s="1068">
        <f t="shared" si="2"/>
        <v>6990000</v>
      </c>
      <c r="Q6" s="767"/>
      <c r="R6" s="1093">
        <f t="shared" si="2"/>
        <v>1</v>
      </c>
    </row>
    <row r="7" spans="2:19" ht="1.5" customHeight="1" thickBot="1">
      <c r="D7" s="666"/>
      <c r="E7" s="666"/>
      <c r="F7" s="666"/>
      <c r="G7" s="666"/>
      <c r="H7" s="666"/>
      <c r="I7" s="666"/>
      <c r="J7" s="666"/>
      <c r="K7" s="666"/>
      <c r="L7" s="666"/>
      <c r="M7" s="666"/>
      <c r="N7" s="666"/>
      <c r="O7" s="666"/>
    </row>
    <row r="8" spans="2:19" s="198" customFormat="1">
      <c r="B8" s="407" t="s">
        <v>1764</v>
      </c>
      <c r="C8" s="408"/>
      <c r="D8" s="408" t="str">
        <f>+Commandes!C27</f>
        <v>Janvier</v>
      </c>
      <c r="E8" s="408" t="str">
        <f>+Commandes!D27</f>
        <v>Février</v>
      </c>
      <c r="F8" s="408" t="str">
        <f>+Commandes!E27</f>
        <v>Mars</v>
      </c>
      <c r="G8" s="408" t="str">
        <f>+Commandes!F27</f>
        <v>Avril</v>
      </c>
      <c r="H8" s="408" t="str">
        <f>+Commandes!G27</f>
        <v>Mai</v>
      </c>
      <c r="I8" s="408" t="str">
        <f>+Commandes!H27</f>
        <v>Juin</v>
      </c>
      <c r="J8" s="408" t="str">
        <f>+Commandes!I27</f>
        <v>Juillet</v>
      </c>
      <c r="K8" s="408" t="str">
        <f>+Commandes!J27</f>
        <v>Août</v>
      </c>
      <c r="L8" s="408" t="str">
        <f>+Commandes!K27</f>
        <v>Septembre</v>
      </c>
      <c r="M8" s="408" t="str">
        <f>+Commandes!L27</f>
        <v>Octobre</v>
      </c>
      <c r="N8" s="408" t="str">
        <f>+Commandes!M27</f>
        <v>Novembre</v>
      </c>
      <c r="O8" s="408" t="str">
        <f>+Commandes!N27</f>
        <v>Décembre</v>
      </c>
      <c r="P8" s="408" t="str">
        <f>+Commandes!O27</f>
        <v>Total</v>
      </c>
      <c r="Q8" s="765"/>
    </row>
    <row r="9" spans="2:19">
      <c r="B9" s="81" t="str">
        <f>+B3</f>
        <v>TRA COUPE</v>
      </c>
      <c r="D9" s="162">
        <f>+D23</f>
        <v>352000</v>
      </c>
      <c r="E9" s="162">
        <f>+E23</f>
        <v>354000</v>
      </c>
      <c r="F9" s="162">
        <f t="shared" ref="F9:O9" si="3">+F23</f>
        <v>352000</v>
      </c>
      <c r="G9" s="162">
        <f t="shared" si="3"/>
        <v>354000</v>
      </c>
      <c r="H9" s="162">
        <f t="shared" si="3"/>
        <v>352000</v>
      </c>
      <c r="I9" s="162">
        <f t="shared" si="3"/>
        <v>354000</v>
      </c>
      <c r="J9" s="162">
        <f t="shared" si="3"/>
        <v>352000</v>
      </c>
      <c r="K9" s="162">
        <f t="shared" si="3"/>
        <v>354000</v>
      </c>
      <c r="L9" s="162">
        <f t="shared" si="3"/>
        <v>338000</v>
      </c>
      <c r="M9" s="162">
        <f t="shared" si="3"/>
        <v>341000</v>
      </c>
      <c r="N9" s="162">
        <f t="shared" si="3"/>
        <v>338000</v>
      </c>
      <c r="O9" s="162">
        <f t="shared" si="3"/>
        <v>341000</v>
      </c>
      <c r="P9" s="162">
        <f>SUM(D9:O9)</f>
        <v>4182000</v>
      </c>
      <c r="Q9" s="162"/>
      <c r="S9" s="162"/>
    </row>
    <row r="10" spans="2:19">
      <c r="B10" s="81" t="str">
        <f t="shared" ref="B10:B11" si="4">+B4</f>
        <v>ABR COUPE</v>
      </c>
      <c r="D10" s="162">
        <f>+D30</f>
        <v>334000</v>
      </c>
      <c r="E10" s="162">
        <f>+E30</f>
        <v>334000</v>
      </c>
      <c r="F10" s="162">
        <f t="shared" ref="F10:O10" si="5">+F30</f>
        <v>334000</v>
      </c>
      <c r="G10" s="162">
        <f t="shared" si="5"/>
        <v>334000</v>
      </c>
      <c r="H10" s="162">
        <f t="shared" si="5"/>
        <v>334000</v>
      </c>
      <c r="I10" s="162">
        <f t="shared" si="5"/>
        <v>334000</v>
      </c>
      <c r="J10" s="162">
        <f t="shared" si="5"/>
        <v>334000</v>
      </c>
      <c r="K10" s="162">
        <f t="shared" si="5"/>
        <v>334000</v>
      </c>
      <c r="L10" s="162">
        <f t="shared" si="5"/>
        <v>321000</v>
      </c>
      <c r="M10" s="162">
        <f t="shared" si="5"/>
        <v>321000</v>
      </c>
      <c r="N10" s="162">
        <f t="shared" si="5"/>
        <v>321000</v>
      </c>
      <c r="O10" s="162">
        <f t="shared" si="5"/>
        <v>321000</v>
      </c>
      <c r="P10" s="162">
        <f t="shared" ref="P10:P11" si="6">SUM(D10:O10)</f>
        <v>3956000</v>
      </c>
      <c r="Q10" s="162"/>
      <c r="S10" s="162"/>
    </row>
    <row r="11" spans="2:19" ht="17.25" thickBot="1">
      <c r="B11" s="557" t="str">
        <f t="shared" si="4"/>
        <v>FP1 COUPE</v>
      </c>
      <c r="C11" s="558"/>
      <c r="D11" s="559">
        <f>+D33</f>
        <v>0</v>
      </c>
      <c r="E11" s="559">
        <f t="shared" ref="E11:O11" si="7">+E33</f>
        <v>0</v>
      </c>
      <c r="F11" s="559">
        <f t="shared" si="7"/>
        <v>0</v>
      </c>
      <c r="G11" s="559">
        <f t="shared" si="7"/>
        <v>0</v>
      </c>
      <c r="H11" s="559">
        <f t="shared" si="7"/>
        <v>0</v>
      </c>
      <c r="I11" s="559">
        <f t="shared" si="7"/>
        <v>0</v>
      </c>
      <c r="J11" s="559">
        <f t="shared" si="7"/>
        <v>0</v>
      </c>
      <c r="K11" s="559">
        <f t="shared" si="7"/>
        <v>0</v>
      </c>
      <c r="L11" s="559">
        <f t="shared" si="7"/>
        <v>0</v>
      </c>
      <c r="M11" s="559">
        <f t="shared" si="7"/>
        <v>0</v>
      </c>
      <c r="N11" s="559">
        <f t="shared" si="7"/>
        <v>0</v>
      </c>
      <c r="O11" s="559">
        <f t="shared" si="7"/>
        <v>0</v>
      </c>
      <c r="P11" s="559">
        <f t="shared" si="6"/>
        <v>0</v>
      </c>
      <c r="Q11" s="766"/>
      <c r="S11" s="162"/>
    </row>
    <row r="12" spans="2:19" s="223" customFormat="1" ht="17.25" thickBot="1">
      <c r="B12" s="1069" t="s">
        <v>1782</v>
      </c>
      <c r="C12" s="561"/>
      <c r="D12" s="1068">
        <f>SUM(D9:D11)</f>
        <v>686000</v>
      </c>
      <c r="E12" s="1068">
        <f t="shared" ref="E12" si="8">SUM(E9:E11)</f>
        <v>688000</v>
      </c>
      <c r="F12" s="1068">
        <f t="shared" ref="F12" si="9">SUM(F9:F11)</f>
        <v>686000</v>
      </c>
      <c r="G12" s="1068">
        <f t="shared" ref="G12" si="10">SUM(G9:G11)</f>
        <v>688000</v>
      </c>
      <c r="H12" s="1068">
        <f t="shared" ref="H12" si="11">SUM(H9:H11)</f>
        <v>686000</v>
      </c>
      <c r="I12" s="1068">
        <f t="shared" ref="I12" si="12">SUM(I9:I11)</f>
        <v>688000</v>
      </c>
      <c r="J12" s="1068">
        <f t="shared" ref="J12" si="13">SUM(J9:J11)</f>
        <v>686000</v>
      </c>
      <c r="K12" s="1068">
        <f t="shared" ref="K12" si="14">SUM(K9:K11)</f>
        <v>688000</v>
      </c>
      <c r="L12" s="1068">
        <f t="shared" ref="L12" si="15">SUM(L9:L11)</f>
        <v>659000</v>
      </c>
      <c r="M12" s="1068">
        <f t="shared" ref="M12" si="16">SUM(M9:M11)</f>
        <v>662000</v>
      </c>
      <c r="N12" s="1068">
        <f t="shared" ref="N12" si="17">SUM(N9:N11)</f>
        <v>659000</v>
      </c>
      <c r="O12" s="1068">
        <f t="shared" ref="O12" si="18">SUM(O9:O11)</f>
        <v>662000</v>
      </c>
      <c r="P12" s="1068">
        <f t="shared" ref="P12" si="19">SUM(P9:P11)</f>
        <v>8138000</v>
      </c>
      <c r="Q12" s="767"/>
      <c r="R12" s="574"/>
    </row>
    <row r="13" spans="2:19" ht="7.5" customHeight="1" thickBot="1"/>
    <row r="14" spans="2:19" s="223" customFormat="1">
      <c r="B14" s="1070" t="str">
        <f>IF(P12&gt;P6,"Sur activité","Sous activité")</f>
        <v>Sur activité</v>
      </c>
      <c r="C14" s="1071"/>
      <c r="D14" s="1072">
        <f>+D6-D12</f>
        <v>-103500</v>
      </c>
      <c r="E14" s="1072">
        <f t="shared" ref="E14:O14" si="20">+E6-E12</f>
        <v>-105500</v>
      </c>
      <c r="F14" s="1072">
        <f t="shared" si="20"/>
        <v>-103500</v>
      </c>
      <c r="G14" s="1072">
        <f t="shared" si="20"/>
        <v>-105500</v>
      </c>
      <c r="H14" s="1072">
        <f t="shared" si="20"/>
        <v>-103500</v>
      </c>
      <c r="I14" s="1072">
        <f t="shared" si="20"/>
        <v>-105500</v>
      </c>
      <c r="J14" s="1072">
        <f t="shared" si="20"/>
        <v>-103500</v>
      </c>
      <c r="K14" s="1072">
        <f t="shared" si="20"/>
        <v>-105500</v>
      </c>
      <c r="L14" s="1072">
        <f t="shared" si="20"/>
        <v>-76500</v>
      </c>
      <c r="M14" s="1072">
        <f t="shared" si="20"/>
        <v>-79500</v>
      </c>
      <c r="N14" s="1072">
        <f t="shared" si="20"/>
        <v>-76500</v>
      </c>
      <c r="O14" s="1072">
        <f t="shared" si="20"/>
        <v>-79500</v>
      </c>
      <c r="P14" s="1072">
        <f t="shared" ref="P14" si="21">+P6-P12</f>
        <v>-1148000</v>
      </c>
      <c r="Q14" s="767"/>
      <c r="R14" s="574"/>
    </row>
    <row r="15" spans="2:19" s="223" customFormat="1" ht="17.25" thickBot="1">
      <c r="B15" s="1073" t="str">
        <f>"%"&amp;" "&amp;B12</f>
        <v>% Niveau d'activité réalisé</v>
      </c>
      <c r="C15" s="952"/>
      <c r="D15" s="1074">
        <f>(1-+D14/D6)</f>
        <v>1.1776824034334763</v>
      </c>
      <c r="E15" s="1074">
        <f t="shared" ref="E15:P15" si="22">(1-+E14/E6)</f>
        <v>1.1811158798283261</v>
      </c>
      <c r="F15" s="1074">
        <f t="shared" si="22"/>
        <v>1.1776824034334763</v>
      </c>
      <c r="G15" s="1074">
        <f t="shared" si="22"/>
        <v>1.1811158798283261</v>
      </c>
      <c r="H15" s="1074">
        <f t="shared" si="22"/>
        <v>1.1776824034334763</v>
      </c>
      <c r="I15" s="1074">
        <f t="shared" si="22"/>
        <v>1.1811158798283261</v>
      </c>
      <c r="J15" s="1074">
        <f t="shared" si="22"/>
        <v>1.1776824034334763</v>
      </c>
      <c r="K15" s="1074">
        <f t="shared" si="22"/>
        <v>1.1811158798283261</v>
      </c>
      <c r="L15" s="1074">
        <f t="shared" si="22"/>
        <v>1.1313304721030044</v>
      </c>
      <c r="M15" s="1074">
        <f t="shared" si="22"/>
        <v>1.136480686695279</v>
      </c>
      <c r="N15" s="1074">
        <f t="shared" si="22"/>
        <v>1.1313304721030044</v>
      </c>
      <c r="O15" s="1074">
        <f t="shared" si="22"/>
        <v>1.136480686695279</v>
      </c>
      <c r="P15" s="1074">
        <f t="shared" si="22"/>
        <v>1.1642346208869814</v>
      </c>
      <c r="Q15" s="767"/>
      <c r="R15" s="574"/>
    </row>
    <row r="16" spans="2:19" ht="7.5" customHeight="1"/>
    <row r="17" spans="2:21" ht="17.25" thickBot="1">
      <c r="B17" s="187" t="s">
        <v>1783</v>
      </c>
    </row>
    <row r="18" spans="2:21" s="198" customFormat="1">
      <c r="B18" s="779" t="str">
        <f>+B3</f>
        <v>TRA COUPE</v>
      </c>
      <c r="C18" s="408"/>
      <c r="D18" s="408" t="str">
        <f>+D8</f>
        <v>Janvier</v>
      </c>
      <c r="E18" s="408" t="str">
        <f t="shared" ref="E18:O18" si="23">+E8</f>
        <v>Février</v>
      </c>
      <c r="F18" s="408" t="str">
        <f t="shared" si="23"/>
        <v>Mars</v>
      </c>
      <c r="G18" s="408" t="str">
        <f t="shared" si="23"/>
        <v>Avril</v>
      </c>
      <c r="H18" s="408" t="str">
        <f t="shared" si="23"/>
        <v>Mai</v>
      </c>
      <c r="I18" s="408" t="str">
        <f t="shared" si="23"/>
        <v>Juin</v>
      </c>
      <c r="J18" s="408" t="str">
        <f t="shared" si="23"/>
        <v>Juillet</v>
      </c>
      <c r="K18" s="408" t="str">
        <f t="shared" si="23"/>
        <v>Août</v>
      </c>
      <c r="L18" s="408" t="str">
        <f t="shared" si="23"/>
        <v>Septembre</v>
      </c>
      <c r="M18" s="408" t="str">
        <f t="shared" si="23"/>
        <v>Octobre</v>
      </c>
      <c r="N18" s="408" t="str">
        <f t="shared" si="23"/>
        <v>Novembre</v>
      </c>
      <c r="O18" s="408" t="str">
        <f t="shared" si="23"/>
        <v>Décembre</v>
      </c>
      <c r="P18" s="408" t="s">
        <v>362</v>
      </c>
      <c r="Q18" s="765"/>
      <c r="S18" s="245"/>
      <c r="T18" s="245"/>
      <c r="U18" s="245"/>
    </row>
    <row r="19" spans="2:21">
      <c r="B19" s="1075" t="str">
        <f>+Commandes!B28</f>
        <v>Okabe</v>
      </c>
      <c r="D19" s="162">
        <f>+Commandes!C51</f>
        <v>0</v>
      </c>
      <c r="E19" s="162">
        <f>+Commandes!D51</f>
        <v>20000</v>
      </c>
      <c r="F19" s="162">
        <f>+Commandes!E51</f>
        <v>0</v>
      </c>
      <c r="G19" s="162">
        <f>+Commandes!F51</f>
        <v>20000</v>
      </c>
      <c r="H19" s="162">
        <f>+Commandes!G51</f>
        <v>0</v>
      </c>
      <c r="I19" s="162">
        <f>+Commandes!H51</f>
        <v>20000</v>
      </c>
      <c r="J19" s="162">
        <f>+Commandes!I51</f>
        <v>0</v>
      </c>
      <c r="K19" s="162">
        <f>+Commandes!J51</f>
        <v>20000</v>
      </c>
      <c r="L19" s="162">
        <f>+Commandes!K51</f>
        <v>0</v>
      </c>
      <c r="M19" s="162">
        <f>+Commandes!L51</f>
        <v>20000</v>
      </c>
      <c r="N19" s="162">
        <f>+Commandes!M51</f>
        <v>0</v>
      </c>
      <c r="O19" s="162">
        <f>+Commandes!N51</f>
        <v>20000</v>
      </c>
      <c r="P19" s="162">
        <f t="shared" ref="P19:P22" si="24">SUM(D19:O19)</f>
        <v>120000</v>
      </c>
      <c r="Q19" s="162"/>
      <c r="U19" s="541"/>
    </row>
    <row r="20" spans="2:21">
      <c r="B20" s="1075" t="str">
        <f>+Commandes!B29</f>
        <v>NRK</v>
      </c>
      <c r="D20" s="162">
        <f>+Commandes!C52</f>
        <v>18000</v>
      </c>
      <c r="E20" s="162">
        <f>+Commandes!D52</f>
        <v>0</v>
      </c>
      <c r="F20" s="162">
        <f>+Commandes!E52</f>
        <v>18000</v>
      </c>
      <c r="G20" s="162">
        <f>+Commandes!F52</f>
        <v>0</v>
      </c>
      <c r="H20" s="162">
        <f>+Commandes!G52</f>
        <v>18000</v>
      </c>
      <c r="I20" s="162">
        <f>+Commandes!H52</f>
        <v>0</v>
      </c>
      <c r="J20" s="162">
        <f>+Commandes!I52</f>
        <v>18000</v>
      </c>
      <c r="K20" s="162">
        <f>+Commandes!J52</f>
        <v>0</v>
      </c>
      <c r="L20" s="162">
        <f>+Commandes!K52</f>
        <v>17000</v>
      </c>
      <c r="M20" s="162">
        <f>+Commandes!L52</f>
        <v>0</v>
      </c>
      <c r="N20" s="162">
        <f>+Commandes!M52</f>
        <v>17000</v>
      </c>
      <c r="O20" s="162">
        <f>+Commandes!N52</f>
        <v>0</v>
      </c>
      <c r="P20" s="162">
        <f t="shared" si="24"/>
        <v>106000</v>
      </c>
      <c r="Q20" s="162"/>
    </row>
    <row r="21" spans="2:21">
      <c r="B21" s="1076" t="str">
        <f>+Commandes!B30</f>
        <v>Goodies</v>
      </c>
      <c r="C21" s="223"/>
      <c r="D21" s="162">
        <f>+Commandes!C53</f>
        <v>257000</v>
      </c>
      <c r="E21" s="162">
        <f>+Commandes!D53</f>
        <v>257000</v>
      </c>
      <c r="F21" s="162">
        <f>+Commandes!E53</f>
        <v>257000</v>
      </c>
      <c r="G21" s="162">
        <f>+Commandes!F53</f>
        <v>257000</v>
      </c>
      <c r="H21" s="162">
        <f>+Commandes!G53</f>
        <v>257000</v>
      </c>
      <c r="I21" s="162">
        <f>+Commandes!H53</f>
        <v>257000</v>
      </c>
      <c r="J21" s="162">
        <f>+Commandes!I53</f>
        <v>257000</v>
      </c>
      <c r="K21" s="162">
        <f>+Commandes!J53</f>
        <v>257000</v>
      </c>
      <c r="L21" s="162">
        <f>+Commandes!K53</f>
        <v>247000</v>
      </c>
      <c r="M21" s="162">
        <f>+Commandes!L53</f>
        <v>247000</v>
      </c>
      <c r="N21" s="162">
        <f>+Commandes!M53</f>
        <v>247000</v>
      </c>
      <c r="O21" s="162">
        <f>+Commandes!N53</f>
        <v>247000</v>
      </c>
      <c r="P21" s="162">
        <f t="shared" si="24"/>
        <v>3044000</v>
      </c>
      <c r="Q21" s="162"/>
    </row>
    <row r="22" spans="2:21">
      <c r="B22" s="1076" t="str">
        <f>+Commandes!B31</f>
        <v>Elinar</v>
      </c>
      <c r="C22" s="223"/>
      <c r="D22" s="162">
        <f>+Commandes!C54</f>
        <v>77000</v>
      </c>
      <c r="E22" s="162">
        <f>+Commandes!D54</f>
        <v>77000</v>
      </c>
      <c r="F22" s="162">
        <f>+Commandes!E54</f>
        <v>77000</v>
      </c>
      <c r="G22" s="162">
        <f>+Commandes!F54</f>
        <v>77000</v>
      </c>
      <c r="H22" s="162">
        <f>+Commandes!G54</f>
        <v>77000</v>
      </c>
      <c r="I22" s="162">
        <f>+Commandes!H54</f>
        <v>77000</v>
      </c>
      <c r="J22" s="162">
        <f>+Commandes!I54</f>
        <v>77000</v>
      </c>
      <c r="K22" s="162">
        <f>+Commandes!J54</f>
        <v>77000</v>
      </c>
      <c r="L22" s="162">
        <f>+Commandes!K54</f>
        <v>74000</v>
      </c>
      <c r="M22" s="162">
        <f>+Commandes!L54</f>
        <v>74000</v>
      </c>
      <c r="N22" s="162">
        <f>+Commandes!M54</f>
        <v>74000</v>
      </c>
      <c r="O22" s="162">
        <f>+Commandes!N54</f>
        <v>74000</v>
      </c>
      <c r="P22" s="162">
        <f t="shared" si="24"/>
        <v>912000</v>
      </c>
      <c r="Q22" s="162"/>
    </row>
    <row r="23" spans="2:21" s="223" customFormat="1" ht="17.25" thickBot="1">
      <c r="B23" s="1084"/>
      <c r="C23" s="952" t="s">
        <v>362</v>
      </c>
      <c r="D23" s="1085">
        <f t="shared" ref="D23:O23" si="25">SUM(D19:D22)</f>
        <v>352000</v>
      </c>
      <c r="E23" s="1085">
        <f t="shared" si="25"/>
        <v>354000</v>
      </c>
      <c r="F23" s="1085">
        <f t="shared" si="25"/>
        <v>352000</v>
      </c>
      <c r="G23" s="1085">
        <f t="shared" si="25"/>
        <v>354000</v>
      </c>
      <c r="H23" s="1085">
        <f t="shared" si="25"/>
        <v>352000</v>
      </c>
      <c r="I23" s="1085">
        <f t="shared" si="25"/>
        <v>354000</v>
      </c>
      <c r="J23" s="1085">
        <f t="shared" si="25"/>
        <v>352000</v>
      </c>
      <c r="K23" s="1085">
        <f t="shared" si="25"/>
        <v>354000</v>
      </c>
      <c r="L23" s="1085">
        <f t="shared" si="25"/>
        <v>338000</v>
      </c>
      <c r="M23" s="1085">
        <f t="shared" si="25"/>
        <v>341000</v>
      </c>
      <c r="N23" s="1085">
        <f t="shared" si="25"/>
        <v>338000</v>
      </c>
      <c r="O23" s="1085">
        <f t="shared" si="25"/>
        <v>341000</v>
      </c>
      <c r="P23" s="1085">
        <f>SUM(P19:P22)</f>
        <v>4182000</v>
      </c>
      <c r="Q23" s="670"/>
      <c r="R23" s="574">
        <f>+P23/(P23+P30)</f>
        <v>0.51388547554681741</v>
      </c>
    </row>
    <row r="24" spans="2:21" ht="5.25" customHeight="1" thickBot="1">
      <c r="B24" s="81"/>
      <c r="C24" s="187"/>
      <c r="D24" s="187"/>
      <c r="E24" s="187"/>
      <c r="F24" s="187"/>
      <c r="G24" s="187"/>
      <c r="H24" s="187"/>
      <c r="I24" s="187"/>
      <c r="J24" s="187"/>
      <c r="K24" s="187"/>
      <c r="L24" s="187"/>
      <c r="M24" s="187"/>
      <c r="N24" s="187"/>
      <c r="O24" s="187"/>
      <c r="P24" s="187"/>
      <c r="Q24" s="187"/>
      <c r="R24" s="574"/>
    </row>
    <row r="25" spans="2:21" s="198" customFormat="1">
      <c r="B25" s="779" t="str">
        <f>+B10</f>
        <v>ABR COUPE</v>
      </c>
      <c r="C25" s="408"/>
      <c r="D25" s="408" t="str">
        <f t="shared" ref="D25:P25" si="26">+D18</f>
        <v>Janvier</v>
      </c>
      <c r="E25" s="408" t="str">
        <f t="shared" si="26"/>
        <v>Février</v>
      </c>
      <c r="F25" s="408" t="str">
        <f t="shared" si="26"/>
        <v>Mars</v>
      </c>
      <c r="G25" s="408" t="str">
        <f t="shared" si="26"/>
        <v>Avril</v>
      </c>
      <c r="H25" s="408" t="str">
        <f t="shared" si="26"/>
        <v>Mai</v>
      </c>
      <c r="I25" s="408" t="str">
        <f t="shared" si="26"/>
        <v>Juin</v>
      </c>
      <c r="J25" s="408" t="str">
        <f t="shared" si="26"/>
        <v>Juillet</v>
      </c>
      <c r="K25" s="408" t="str">
        <f t="shared" si="26"/>
        <v>Août</v>
      </c>
      <c r="L25" s="408" t="str">
        <f t="shared" si="26"/>
        <v>Septembre</v>
      </c>
      <c r="M25" s="408" t="str">
        <f t="shared" si="26"/>
        <v>Octobre</v>
      </c>
      <c r="N25" s="408" t="str">
        <f t="shared" si="26"/>
        <v>Novembre</v>
      </c>
      <c r="O25" s="408" t="str">
        <f t="shared" si="26"/>
        <v>Décembre</v>
      </c>
      <c r="P25" s="408" t="str">
        <f t="shared" si="26"/>
        <v>Total</v>
      </c>
      <c r="Q25" s="765"/>
      <c r="R25" s="575"/>
    </row>
    <row r="26" spans="2:21">
      <c r="B26" s="1075" t="str">
        <f>+B19</f>
        <v>Okabe</v>
      </c>
      <c r="D26" s="162">
        <f>+Commandes!C56</f>
        <v>0</v>
      </c>
      <c r="E26" s="162">
        <f>+Commandes!D56</f>
        <v>0</v>
      </c>
      <c r="F26" s="162">
        <f>+Commandes!E56</f>
        <v>0</v>
      </c>
      <c r="G26" s="162">
        <f>+Commandes!F56</f>
        <v>0</v>
      </c>
      <c r="H26" s="162">
        <f>+Commandes!G56</f>
        <v>0</v>
      </c>
      <c r="I26" s="162">
        <f>+Commandes!H56</f>
        <v>0</v>
      </c>
      <c r="J26" s="162">
        <f>+Commandes!I56</f>
        <v>0</v>
      </c>
      <c r="K26" s="162">
        <f>+Commandes!J56</f>
        <v>0</v>
      </c>
      <c r="L26" s="162">
        <f>+Commandes!K56</f>
        <v>0</v>
      </c>
      <c r="M26" s="162">
        <f>+Commandes!L56</f>
        <v>0</v>
      </c>
      <c r="N26" s="162">
        <f>+Commandes!M56</f>
        <v>0</v>
      </c>
      <c r="O26" s="162">
        <f>+Commandes!N56</f>
        <v>0</v>
      </c>
      <c r="P26" s="541">
        <f>SUM(D26:O26)</f>
        <v>0</v>
      </c>
      <c r="Q26" s="541"/>
      <c r="R26" s="576"/>
    </row>
    <row r="27" spans="2:21">
      <c r="B27" s="1075" t="str">
        <f>+B20</f>
        <v>NRK</v>
      </c>
      <c r="D27" s="162">
        <f>+Commandes!C57</f>
        <v>0</v>
      </c>
      <c r="E27" s="162">
        <f>+Commandes!D57</f>
        <v>0</v>
      </c>
      <c r="F27" s="162">
        <f>+Commandes!E57</f>
        <v>0</v>
      </c>
      <c r="G27" s="162">
        <f>+Commandes!F57</f>
        <v>0</v>
      </c>
      <c r="H27" s="162">
        <f>+Commandes!G57</f>
        <v>0</v>
      </c>
      <c r="I27" s="162">
        <f>+Commandes!H57</f>
        <v>0</v>
      </c>
      <c r="J27" s="162">
        <f>+Commandes!I57</f>
        <v>0</v>
      </c>
      <c r="K27" s="162">
        <f>+Commandes!J57</f>
        <v>0</v>
      </c>
      <c r="L27" s="162">
        <f>+Commandes!K57</f>
        <v>0</v>
      </c>
      <c r="M27" s="162">
        <f>+Commandes!L57</f>
        <v>0</v>
      </c>
      <c r="N27" s="162">
        <f>+Commandes!M57</f>
        <v>0</v>
      </c>
      <c r="O27" s="162">
        <f>+Commandes!N57</f>
        <v>0</v>
      </c>
      <c r="P27" s="541">
        <f t="shared" ref="P27:P29" si="27">SUM(D27:O27)</f>
        <v>0</v>
      </c>
      <c r="Q27" s="541"/>
      <c r="R27" s="576"/>
    </row>
    <row r="28" spans="2:21">
      <c r="B28" s="1075" t="str">
        <f>+B21</f>
        <v>Goodies</v>
      </c>
      <c r="C28" s="223"/>
      <c r="D28" s="162">
        <f>+Commandes!C58</f>
        <v>257000</v>
      </c>
      <c r="E28" s="162">
        <f>+Commandes!D58</f>
        <v>257000</v>
      </c>
      <c r="F28" s="162">
        <f>+Commandes!E58</f>
        <v>257000</v>
      </c>
      <c r="G28" s="162">
        <f>+Commandes!F58</f>
        <v>257000</v>
      </c>
      <c r="H28" s="162">
        <f>+Commandes!G58</f>
        <v>257000</v>
      </c>
      <c r="I28" s="162">
        <f>+Commandes!H58</f>
        <v>257000</v>
      </c>
      <c r="J28" s="162">
        <f>+Commandes!I58</f>
        <v>257000</v>
      </c>
      <c r="K28" s="162">
        <f>+Commandes!J58</f>
        <v>257000</v>
      </c>
      <c r="L28" s="162">
        <f>+Commandes!K58</f>
        <v>247000</v>
      </c>
      <c r="M28" s="162">
        <f>+Commandes!L58</f>
        <v>247000</v>
      </c>
      <c r="N28" s="162">
        <f>+Commandes!M58</f>
        <v>247000</v>
      </c>
      <c r="O28" s="162">
        <f>+Commandes!N58</f>
        <v>247000</v>
      </c>
      <c r="P28" s="651">
        <f t="shared" si="27"/>
        <v>3044000</v>
      </c>
      <c r="Q28" s="651"/>
      <c r="R28" s="576"/>
    </row>
    <row r="29" spans="2:21">
      <c r="B29" s="1075" t="str">
        <f>+B22</f>
        <v>Elinar</v>
      </c>
      <c r="C29" s="223"/>
      <c r="D29" s="162">
        <f>+Commandes!C59</f>
        <v>77000</v>
      </c>
      <c r="E29" s="162">
        <f>+Commandes!D59</f>
        <v>77000</v>
      </c>
      <c r="F29" s="162">
        <f>+Commandes!E59</f>
        <v>77000</v>
      </c>
      <c r="G29" s="162">
        <f>+Commandes!F59</f>
        <v>77000</v>
      </c>
      <c r="H29" s="162">
        <f>+Commandes!G59</f>
        <v>77000</v>
      </c>
      <c r="I29" s="162">
        <f>+Commandes!H59</f>
        <v>77000</v>
      </c>
      <c r="J29" s="162">
        <f>+Commandes!I59</f>
        <v>77000</v>
      </c>
      <c r="K29" s="162">
        <f>+Commandes!J59</f>
        <v>77000</v>
      </c>
      <c r="L29" s="162">
        <f>+Commandes!K59</f>
        <v>74000</v>
      </c>
      <c r="M29" s="162">
        <f>+Commandes!L59</f>
        <v>74000</v>
      </c>
      <c r="N29" s="162">
        <f>+Commandes!M59</f>
        <v>74000</v>
      </c>
      <c r="O29" s="162">
        <f>+Commandes!N59</f>
        <v>74000</v>
      </c>
      <c r="P29" s="651">
        <f t="shared" si="27"/>
        <v>912000</v>
      </c>
      <c r="Q29" s="651"/>
      <c r="R29" s="576"/>
    </row>
    <row r="30" spans="2:21" s="223" customFormat="1" ht="17.25" thickBot="1">
      <c r="B30" s="1084"/>
      <c r="C30" s="952" t="s">
        <v>362</v>
      </c>
      <c r="D30" s="1085">
        <f t="shared" ref="D30:O30" si="28">SUM(D26:D29)</f>
        <v>334000</v>
      </c>
      <c r="E30" s="1085">
        <f t="shared" si="28"/>
        <v>334000</v>
      </c>
      <c r="F30" s="1085">
        <f t="shared" si="28"/>
        <v>334000</v>
      </c>
      <c r="G30" s="1085">
        <f t="shared" si="28"/>
        <v>334000</v>
      </c>
      <c r="H30" s="1085">
        <f t="shared" si="28"/>
        <v>334000</v>
      </c>
      <c r="I30" s="1085">
        <f t="shared" si="28"/>
        <v>334000</v>
      </c>
      <c r="J30" s="1085">
        <f t="shared" si="28"/>
        <v>334000</v>
      </c>
      <c r="K30" s="1085">
        <f t="shared" si="28"/>
        <v>334000</v>
      </c>
      <c r="L30" s="1085">
        <f t="shared" si="28"/>
        <v>321000</v>
      </c>
      <c r="M30" s="1085">
        <f t="shared" si="28"/>
        <v>321000</v>
      </c>
      <c r="N30" s="1085">
        <f t="shared" si="28"/>
        <v>321000</v>
      </c>
      <c r="O30" s="1085">
        <f t="shared" si="28"/>
        <v>321000</v>
      </c>
      <c r="P30" s="1085">
        <f>SUM(P26:P29)</f>
        <v>3956000</v>
      </c>
      <c r="Q30" s="670"/>
      <c r="R30" s="574">
        <f>+P30/(P23+P30)</f>
        <v>0.48611452445318259</v>
      </c>
    </row>
    <row r="31" spans="2:21" s="223" customFormat="1" ht="5.25" customHeight="1" thickBot="1">
      <c r="B31" s="560"/>
      <c r="C31" s="224"/>
      <c r="D31" s="224"/>
      <c r="E31" s="224"/>
      <c r="F31" s="224"/>
      <c r="G31" s="224"/>
      <c r="H31" s="224"/>
      <c r="I31" s="224"/>
      <c r="J31" s="224"/>
      <c r="K31" s="224"/>
      <c r="L31" s="224"/>
      <c r="M31" s="224"/>
      <c r="N31" s="224"/>
      <c r="O31" s="224"/>
      <c r="P31" s="670"/>
      <c r="Q31" s="670"/>
      <c r="R31" s="224"/>
    </row>
    <row r="32" spans="2:21" s="198" customFormat="1">
      <c r="B32" s="779" t="str">
        <f>+B5</f>
        <v>FP1 COUPE</v>
      </c>
      <c r="C32" s="408"/>
      <c r="D32" s="408" t="str">
        <f t="shared" ref="D32:P32" si="29">+D25</f>
        <v>Janvier</v>
      </c>
      <c r="E32" s="408" t="str">
        <f t="shared" si="29"/>
        <v>Février</v>
      </c>
      <c r="F32" s="408" t="str">
        <f t="shared" si="29"/>
        <v>Mars</v>
      </c>
      <c r="G32" s="408" t="str">
        <f t="shared" si="29"/>
        <v>Avril</v>
      </c>
      <c r="H32" s="408" t="str">
        <f t="shared" si="29"/>
        <v>Mai</v>
      </c>
      <c r="I32" s="408" t="str">
        <f t="shared" si="29"/>
        <v>Juin</v>
      </c>
      <c r="J32" s="408" t="str">
        <f t="shared" si="29"/>
        <v>Juillet</v>
      </c>
      <c r="K32" s="408" t="str">
        <f t="shared" si="29"/>
        <v>Août</v>
      </c>
      <c r="L32" s="408" t="str">
        <f t="shared" si="29"/>
        <v>Septembre</v>
      </c>
      <c r="M32" s="408" t="str">
        <f t="shared" si="29"/>
        <v>Octobre</v>
      </c>
      <c r="N32" s="408" t="str">
        <f t="shared" si="29"/>
        <v>Novembre</v>
      </c>
      <c r="O32" s="408" t="str">
        <f t="shared" si="29"/>
        <v>Décembre</v>
      </c>
      <c r="P32" s="408" t="str">
        <f t="shared" si="29"/>
        <v>Total</v>
      </c>
      <c r="Q32" s="765"/>
      <c r="R32" s="575"/>
    </row>
    <row r="33" spans="2:23" s="223" customFormat="1">
      <c r="B33" s="1080" t="str">
        <f>+B26</f>
        <v>Okabe</v>
      </c>
      <c r="C33" s="1081"/>
      <c r="D33" s="1082">
        <f>+Commandes!C61</f>
        <v>0</v>
      </c>
      <c r="E33" s="1082">
        <f>+Commandes!D61</f>
        <v>0</v>
      </c>
      <c r="F33" s="1082">
        <f>+Commandes!E61</f>
        <v>0</v>
      </c>
      <c r="G33" s="1082">
        <f>+Commandes!F61</f>
        <v>0</v>
      </c>
      <c r="H33" s="1082">
        <f>+Commandes!G61</f>
        <v>0</v>
      </c>
      <c r="I33" s="1082">
        <f>+Commandes!H61</f>
        <v>0</v>
      </c>
      <c r="J33" s="1082">
        <f>+Commandes!I61</f>
        <v>0</v>
      </c>
      <c r="K33" s="1082">
        <f>+Commandes!J61</f>
        <v>0</v>
      </c>
      <c r="L33" s="1082">
        <f>+Commandes!K61</f>
        <v>0</v>
      </c>
      <c r="M33" s="1082">
        <f>+Commandes!L61</f>
        <v>0</v>
      </c>
      <c r="N33" s="1082">
        <f>+Commandes!M61</f>
        <v>0</v>
      </c>
      <c r="O33" s="1082">
        <f>+Commandes!N61</f>
        <v>0</v>
      </c>
      <c r="P33" s="1083">
        <f>SUM(D33:O33)</f>
        <v>0</v>
      </c>
      <c r="Q33" s="670"/>
      <c r="R33" s="224"/>
    </row>
    <row r="34" spans="2:23" s="223" customFormat="1" ht="17.25" thickBot="1">
      <c r="B34" s="1084"/>
      <c r="C34" s="952" t="s">
        <v>362</v>
      </c>
      <c r="D34" s="1085">
        <f>+D33</f>
        <v>0</v>
      </c>
      <c r="E34" s="1085">
        <f t="shared" ref="E34:P34" si="30">+E33</f>
        <v>0</v>
      </c>
      <c r="F34" s="1085">
        <f t="shared" si="30"/>
        <v>0</v>
      </c>
      <c r="G34" s="1085">
        <f t="shared" si="30"/>
        <v>0</v>
      </c>
      <c r="H34" s="1085">
        <f t="shared" si="30"/>
        <v>0</v>
      </c>
      <c r="I34" s="1085">
        <f t="shared" si="30"/>
        <v>0</v>
      </c>
      <c r="J34" s="1085">
        <f t="shared" si="30"/>
        <v>0</v>
      </c>
      <c r="K34" s="1085">
        <f t="shared" si="30"/>
        <v>0</v>
      </c>
      <c r="L34" s="1085">
        <f t="shared" si="30"/>
        <v>0</v>
      </c>
      <c r="M34" s="1085">
        <f t="shared" si="30"/>
        <v>0</v>
      </c>
      <c r="N34" s="1085">
        <f t="shared" si="30"/>
        <v>0</v>
      </c>
      <c r="O34" s="1085">
        <f t="shared" si="30"/>
        <v>0</v>
      </c>
      <c r="P34" s="1085">
        <f t="shared" si="30"/>
        <v>0</v>
      </c>
      <c r="Q34" s="670"/>
      <c r="R34" s="574" t="e">
        <f>+P34/(P27+P34)</f>
        <v>#DIV/0!</v>
      </c>
    </row>
    <row r="35" spans="2:23" s="223" customFormat="1" ht="6" customHeight="1">
      <c r="C35" s="224"/>
      <c r="D35" s="224"/>
      <c r="E35" s="224"/>
      <c r="F35" s="224"/>
      <c r="G35" s="224"/>
      <c r="H35" s="224"/>
      <c r="I35" s="224"/>
      <c r="J35" s="224"/>
      <c r="K35" s="224"/>
      <c r="L35" s="224"/>
      <c r="M35" s="224"/>
      <c r="N35" s="224"/>
      <c r="O35" s="224"/>
      <c r="P35" s="670"/>
      <c r="Q35" s="670"/>
      <c r="R35" s="224"/>
    </row>
    <row r="36" spans="2:23" hidden="1"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5"/>
    </row>
    <row r="37" spans="2:23" hidden="1">
      <c r="B37" s="190" t="s">
        <v>468</v>
      </c>
      <c r="C37" s="121" t="s">
        <v>471</v>
      </c>
      <c r="D37" s="127" t="e">
        <f>+#REF!</f>
        <v>#REF!</v>
      </c>
      <c r="E37" s="127" t="e">
        <f>+#REF!</f>
        <v>#REF!</v>
      </c>
      <c r="F37" s="127" t="e">
        <f>+#REF!</f>
        <v>#REF!</v>
      </c>
      <c r="G37" s="127" t="e">
        <f>+#REF!</f>
        <v>#REF!</v>
      </c>
      <c r="H37" s="127" t="e">
        <f>+#REF!</f>
        <v>#REF!</v>
      </c>
      <c r="I37" s="127" t="e">
        <f>+#REF!</f>
        <v>#REF!</v>
      </c>
      <c r="J37" s="127" t="e">
        <f>+#REF!</f>
        <v>#REF!</v>
      </c>
      <c r="K37" s="127" t="e">
        <f>+#REF!</f>
        <v>#REF!</v>
      </c>
      <c r="L37" s="127" t="e">
        <f>+#REF!</f>
        <v>#REF!</v>
      </c>
      <c r="M37" s="127" t="e">
        <f>+#REF!</f>
        <v>#REF!</v>
      </c>
      <c r="N37" s="127" t="e">
        <f>+#REF!</f>
        <v>#REF!</v>
      </c>
      <c r="O37" s="127" t="e">
        <f>+#REF!</f>
        <v>#REF!</v>
      </c>
      <c r="P37" s="127" t="e">
        <f>+#REF!</f>
        <v>#REF!</v>
      </c>
      <c r="Q37" s="221"/>
      <c r="R37" s="221"/>
      <c r="S37" s="1297" t="s">
        <v>869</v>
      </c>
      <c r="T37" s="1298"/>
    </row>
    <row r="38" spans="2:23" hidden="1">
      <c r="B38" s="126" t="e">
        <f>+#REF!</f>
        <v>#REF!</v>
      </c>
      <c r="C38" s="186"/>
      <c r="D38" s="122"/>
      <c r="E38" s="122"/>
      <c r="F38" s="122"/>
      <c r="G38" s="122"/>
      <c r="H38" s="122"/>
      <c r="I38" s="122"/>
      <c r="J38" s="122"/>
      <c r="K38" s="122"/>
      <c r="L38" s="122"/>
      <c r="M38" s="122"/>
      <c r="N38" s="122"/>
      <c r="O38" s="122"/>
      <c r="P38" s="122"/>
      <c r="Q38" s="105"/>
      <c r="R38" s="105"/>
      <c r="S38" s="127" t="s">
        <v>364</v>
      </c>
      <c r="T38" s="127" t="s">
        <v>868</v>
      </c>
      <c r="U38" s="228"/>
    </row>
    <row r="39" spans="2:23" hidden="1">
      <c r="B39" s="188" t="s">
        <v>35</v>
      </c>
      <c r="C39" s="189">
        <v>0</v>
      </c>
      <c r="D39" s="123">
        <f>+C39*25</f>
        <v>0</v>
      </c>
      <c r="E39" s="123">
        <f>+D39</f>
        <v>0</v>
      </c>
      <c r="F39" s="123">
        <f t="shared" ref="F39:M39" si="31">+E39</f>
        <v>0</v>
      </c>
      <c r="G39" s="123">
        <f t="shared" si="31"/>
        <v>0</v>
      </c>
      <c r="H39" s="123">
        <f t="shared" si="31"/>
        <v>0</v>
      </c>
      <c r="I39" s="123">
        <f t="shared" si="31"/>
        <v>0</v>
      </c>
      <c r="J39" s="123">
        <f t="shared" si="31"/>
        <v>0</v>
      </c>
      <c r="K39" s="123">
        <f t="shared" si="31"/>
        <v>0</v>
      </c>
      <c r="L39" s="123">
        <f t="shared" si="31"/>
        <v>0</v>
      </c>
      <c r="M39" s="123">
        <f t="shared" si="31"/>
        <v>0</v>
      </c>
      <c r="N39" s="123" t="e">
        <f>+#REF!</f>
        <v>#REF!</v>
      </c>
      <c r="O39" s="123" t="e">
        <f>+#REF!</f>
        <v>#REF!</v>
      </c>
      <c r="P39" s="123" t="e">
        <f>SUM(D39:O39)</f>
        <v>#REF!</v>
      </c>
      <c r="Q39" s="222"/>
      <c r="R39" s="222"/>
      <c r="S39" s="122"/>
      <c r="T39" s="122"/>
      <c r="W39" s="80">
        <f>0.05*4000</f>
        <v>200</v>
      </c>
    </row>
    <row r="40" spans="2:23" hidden="1">
      <c r="B40" s="401" t="s">
        <v>37</v>
      </c>
      <c r="C40" s="189">
        <v>600</v>
      </c>
      <c r="D40" s="123">
        <f>+C40*25</f>
        <v>15000</v>
      </c>
      <c r="E40" s="123">
        <f>+D40</f>
        <v>15000</v>
      </c>
      <c r="F40" s="123">
        <f t="shared" ref="F40:M40" si="32">+E40</f>
        <v>15000</v>
      </c>
      <c r="G40" s="123">
        <f t="shared" si="32"/>
        <v>15000</v>
      </c>
      <c r="H40" s="123">
        <f t="shared" si="32"/>
        <v>15000</v>
      </c>
      <c r="I40" s="123">
        <f t="shared" si="32"/>
        <v>15000</v>
      </c>
      <c r="J40" s="123">
        <f t="shared" si="32"/>
        <v>15000</v>
      </c>
      <c r="K40" s="123">
        <f t="shared" si="32"/>
        <v>15000</v>
      </c>
      <c r="L40" s="123">
        <f t="shared" si="32"/>
        <v>15000</v>
      </c>
      <c r="M40" s="123">
        <f t="shared" si="32"/>
        <v>15000</v>
      </c>
      <c r="N40" s="123"/>
      <c r="O40" s="123"/>
      <c r="P40" s="123">
        <f t="shared" ref="P40:P41" si="33">SUM(D40:O40)</f>
        <v>150000</v>
      </c>
      <c r="Q40" s="222"/>
      <c r="R40" s="222">
        <f>+P40+P41</f>
        <v>729400</v>
      </c>
      <c r="S40" s="124"/>
      <c r="T40" s="124"/>
    </row>
    <row r="41" spans="2:23" hidden="1">
      <c r="B41" s="401" t="s">
        <v>38</v>
      </c>
      <c r="C41" s="189">
        <v>2500</v>
      </c>
      <c r="D41" s="123">
        <f>+C41*25</f>
        <v>62500</v>
      </c>
      <c r="E41" s="123">
        <f>+D41</f>
        <v>62500</v>
      </c>
      <c r="F41" s="123">
        <f t="shared" ref="F41:L41" si="34">+E41</f>
        <v>62500</v>
      </c>
      <c r="G41" s="123">
        <f t="shared" si="34"/>
        <v>62500</v>
      </c>
      <c r="H41" s="123">
        <f t="shared" si="34"/>
        <v>62500</v>
      </c>
      <c r="I41" s="123">
        <f t="shared" si="34"/>
        <v>62500</v>
      </c>
      <c r="J41" s="123">
        <f t="shared" si="34"/>
        <v>62500</v>
      </c>
      <c r="K41" s="123">
        <f t="shared" si="34"/>
        <v>62500</v>
      </c>
      <c r="L41" s="123">
        <f t="shared" si="34"/>
        <v>62500</v>
      </c>
      <c r="M41" s="123">
        <f>(+L41)-45600</f>
        <v>16900</v>
      </c>
      <c r="N41" s="123"/>
      <c r="O41" s="123"/>
      <c r="P41" s="123">
        <f t="shared" si="33"/>
        <v>579400</v>
      </c>
      <c r="Q41" s="222"/>
      <c r="R41" s="222" t="e">
        <f>+R40-#REF!</f>
        <v>#REF!</v>
      </c>
      <c r="S41" s="124"/>
      <c r="T41" s="124"/>
    </row>
    <row r="42" spans="2:23" hidden="1">
      <c r="B42" s="191" t="e">
        <f>+#REF!</f>
        <v>#REF!</v>
      </c>
      <c r="C42" s="189"/>
      <c r="D42" s="123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05"/>
      <c r="R42" s="105"/>
      <c r="S42" s="123"/>
      <c r="T42" s="226" t="e">
        <f>+S42/CA!#REF!</f>
        <v>#REF!</v>
      </c>
      <c r="U42" s="229" t="e">
        <f>+IF((CA!#REF!-Production!T42)&gt;0,ROUNDUP((CA!#REF!-Production!T42),2)&amp;" "&amp;"Bénéf",ROUNDUP((CA!#REF!-Production!T42),2)&amp;" "&amp;"Pertes")</f>
        <v>#REF!</v>
      </c>
    </row>
    <row r="43" spans="2:23" hidden="1">
      <c r="B43" s="82" t="s">
        <v>35</v>
      </c>
      <c r="C43" s="125">
        <v>4000</v>
      </c>
      <c r="D43" s="120" t="e">
        <f>+#REF!</f>
        <v>#REF!</v>
      </c>
      <c r="E43" s="120" t="e">
        <f>+#REF!</f>
        <v>#REF!</v>
      </c>
      <c r="F43" s="120" t="e">
        <f>+#REF!</f>
        <v>#REF!</v>
      </c>
      <c r="G43" s="120" t="e">
        <f>+#REF!</f>
        <v>#REF!</v>
      </c>
      <c r="H43" s="120" t="e">
        <f>+#REF!</f>
        <v>#REF!</v>
      </c>
      <c r="I43" s="120" t="e">
        <f>+#REF!</f>
        <v>#REF!</v>
      </c>
      <c r="J43" s="120" t="e">
        <f>+#REF!</f>
        <v>#REF!</v>
      </c>
      <c r="K43" s="120" t="e">
        <f>+#REF!</f>
        <v>#REF!</v>
      </c>
      <c r="L43" s="120" t="e">
        <f>+#REF!</f>
        <v>#REF!</v>
      </c>
      <c r="M43" s="120" t="e">
        <f>+#REF!</f>
        <v>#REF!</v>
      </c>
      <c r="N43" s="120" t="e">
        <f>+#REF!</f>
        <v>#REF!</v>
      </c>
      <c r="O43" s="120" t="e">
        <f>+#REF!</f>
        <v>#REF!</v>
      </c>
      <c r="P43" s="120" t="e">
        <f t="shared" ref="P43" si="35">SUM(D43:O43)</f>
        <v>#REF!</v>
      </c>
      <c r="Q43" s="222"/>
      <c r="R43" s="222"/>
      <c r="S43" s="124"/>
      <c r="T43" s="124"/>
      <c r="U43" s="229"/>
      <c r="W43" s="80">
        <f>0.05*4000</f>
        <v>200</v>
      </c>
    </row>
    <row r="44" spans="2:23" hidden="1">
      <c r="D44" s="106" t="e">
        <f t="shared" ref="D44:P44" si="36">SUM(D39:D43)</f>
        <v>#REF!</v>
      </c>
      <c r="E44" s="106" t="e">
        <f t="shared" si="36"/>
        <v>#REF!</v>
      </c>
      <c r="F44" s="106" t="e">
        <f t="shared" si="36"/>
        <v>#REF!</v>
      </c>
      <c r="G44" s="106" t="e">
        <f t="shared" si="36"/>
        <v>#REF!</v>
      </c>
      <c r="H44" s="106" t="e">
        <f t="shared" si="36"/>
        <v>#REF!</v>
      </c>
      <c r="I44" s="106" t="e">
        <f t="shared" si="36"/>
        <v>#REF!</v>
      </c>
      <c r="J44" s="106" t="e">
        <f t="shared" si="36"/>
        <v>#REF!</v>
      </c>
      <c r="K44" s="106" t="e">
        <f t="shared" si="36"/>
        <v>#REF!</v>
      </c>
      <c r="L44" s="106" t="e">
        <f t="shared" si="36"/>
        <v>#REF!</v>
      </c>
      <c r="M44" s="106" t="e">
        <f t="shared" si="36"/>
        <v>#REF!</v>
      </c>
      <c r="N44" s="106" t="e">
        <f t="shared" si="36"/>
        <v>#REF!</v>
      </c>
      <c r="O44" s="106" t="e">
        <f t="shared" si="36"/>
        <v>#REF!</v>
      </c>
      <c r="P44" s="106" t="e">
        <f t="shared" si="36"/>
        <v>#REF!</v>
      </c>
      <c r="Q44" s="105"/>
      <c r="R44" s="105"/>
      <c r="S44" s="120" t="e">
        <f>(+P43/P44*P68)/P43</f>
        <v>#REF!</v>
      </c>
      <c r="T44" s="227">
        <v>0.30863326537420405</v>
      </c>
      <c r="U44" s="229" t="e">
        <f>+IF((CA!#REF!-Production!T44)&gt;0,ROUNDUP((CA!#REF!-Production!T44),2)&amp;" "&amp;"Bénéf",ROUNDUP((CA!#REF!-Production!T44),2)&amp;" "&amp;"Pertes")</f>
        <v>#REF!</v>
      </c>
    </row>
    <row r="45" spans="2:23" ht="12" customHeight="1" thickBot="1">
      <c r="D45" s="105"/>
      <c r="E45" s="105"/>
      <c r="F45" s="105"/>
      <c r="G45" s="105"/>
      <c r="H45" s="105"/>
      <c r="I45" s="105"/>
      <c r="J45" s="105"/>
      <c r="K45" s="105"/>
      <c r="L45" s="105"/>
      <c r="M45" s="105"/>
      <c r="N45" s="105"/>
      <c r="O45" s="105"/>
      <c r="P45" s="105"/>
      <c r="Q45" s="105"/>
      <c r="R45" s="105"/>
    </row>
    <row r="46" spans="2:23" s="198" customFormat="1">
      <c r="B46" s="577" t="s">
        <v>1760</v>
      </c>
      <c r="C46" s="408"/>
      <c r="D46" s="408" t="str">
        <f t="shared" ref="D46:P46" si="37">+D25</f>
        <v>Janvier</v>
      </c>
      <c r="E46" s="408" t="str">
        <f t="shared" si="37"/>
        <v>Février</v>
      </c>
      <c r="F46" s="408" t="str">
        <f t="shared" si="37"/>
        <v>Mars</v>
      </c>
      <c r="G46" s="408" t="str">
        <f t="shared" si="37"/>
        <v>Avril</v>
      </c>
      <c r="H46" s="408" t="str">
        <f t="shared" si="37"/>
        <v>Mai</v>
      </c>
      <c r="I46" s="408" t="str">
        <f t="shared" si="37"/>
        <v>Juin</v>
      </c>
      <c r="J46" s="408" t="str">
        <f t="shared" si="37"/>
        <v>Juillet</v>
      </c>
      <c r="K46" s="408" t="str">
        <f t="shared" si="37"/>
        <v>Août</v>
      </c>
      <c r="L46" s="408" t="str">
        <f t="shared" si="37"/>
        <v>Septembre</v>
      </c>
      <c r="M46" s="408" t="str">
        <f t="shared" si="37"/>
        <v>Octobre</v>
      </c>
      <c r="N46" s="408" t="str">
        <f t="shared" si="37"/>
        <v>Novembre</v>
      </c>
      <c r="O46" s="408" t="str">
        <f t="shared" si="37"/>
        <v>Décembre</v>
      </c>
      <c r="P46" s="408" t="str">
        <f t="shared" si="37"/>
        <v>Total</v>
      </c>
      <c r="Q46" s="765"/>
    </row>
    <row r="47" spans="2:23" s="115" customFormat="1">
      <c r="B47" s="578"/>
      <c r="C47" s="115" t="str">
        <f>+B3</f>
        <v>TRA COUPE</v>
      </c>
      <c r="D47" s="117">
        <v>0</v>
      </c>
      <c r="E47" s="117">
        <f>+D59</f>
        <v>6600</v>
      </c>
      <c r="F47" s="117">
        <f>+E59</f>
        <v>13000</v>
      </c>
      <c r="G47" s="117">
        <f t="shared" ref="G47:O47" si="38">+F59</f>
        <v>19600</v>
      </c>
      <c r="H47" s="117">
        <f t="shared" si="38"/>
        <v>26000</v>
      </c>
      <c r="I47" s="117">
        <f t="shared" si="38"/>
        <v>32600</v>
      </c>
      <c r="J47" s="117">
        <f t="shared" si="38"/>
        <v>39000</v>
      </c>
      <c r="K47" s="117">
        <f t="shared" si="38"/>
        <v>45600</v>
      </c>
      <c r="L47" s="117">
        <f t="shared" si="38"/>
        <v>52000</v>
      </c>
      <c r="M47" s="117">
        <f t="shared" si="38"/>
        <v>44600</v>
      </c>
      <c r="N47" s="117">
        <f t="shared" si="38"/>
        <v>38000</v>
      </c>
      <c r="O47" s="117">
        <f t="shared" si="38"/>
        <v>30600</v>
      </c>
      <c r="P47" s="117">
        <f>+D47</f>
        <v>0</v>
      </c>
      <c r="Q47" s="117"/>
      <c r="R47" s="117"/>
    </row>
    <row r="48" spans="2:23" s="115" customFormat="1">
      <c r="B48" s="578"/>
      <c r="C48" s="115" t="str">
        <f t="shared" ref="C48:C49" si="39">+B4</f>
        <v>ABR COUPE</v>
      </c>
      <c r="D48" s="117">
        <v>0</v>
      </c>
      <c r="E48" s="117">
        <f t="shared" ref="E48:F49" si="40">+D60</f>
        <v>6400</v>
      </c>
      <c r="F48" s="117">
        <f t="shared" si="40"/>
        <v>12800</v>
      </c>
      <c r="G48" s="117">
        <f t="shared" ref="G48:O48" si="41">+F60</f>
        <v>19200</v>
      </c>
      <c r="H48" s="117">
        <f t="shared" si="41"/>
        <v>25600</v>
      </c>
      <c r="I48" s="117">
        <f t="shared" si="41"/>
        <v>32000</v>
      </c>
      <c r="J48" s="117">
        <f t="shared" si="41"/>
        <v>38400</v>
      </c>
      <c r="K48" s="117">
        <f t="shared" si="41"/>
        <v>44800</v>
      </c>
      <c r="L48" s="117">
        <f t="shared" si="41"/>
        <v>51200</v>
      </c>
      <c r="M48" s="117">
        <f t="shared" si="41"/>
        <v>44600</v>
      </c>
      <c r="N48" s="117">
        <f t="shared" si="41"/>
        <v>38000</v>
      </c>
      <c r="O48" s="117">
        <f t="shared" si="41"/>
        <v>31400</v>
      </c>
      <c r="P48" s="117">
        <f t="shared" ref="P48" si="42">+D48</f>
        <v>0</v>
      </c>
      <c r="Q48" s="117"/>
      <c r="R48" s="117"/>
    </row>
    <row r="49" spans="2:21" s="115" customFormat="1">
      <c r="B49" s="578"/>
      <c r="C49" s="115" t="str">
        <f t="shared" si="39"/>
        <v>FP1 COUPE</v>
      </c>
      <c r="D49" s="117">
        <v>0</v>
      </c>
      <c r="E49" s="117">
        <f t="shared" si="40"/>
        <v>0</v>
      </c>
      <c r="F49" s="117">
        <f t="shared" si="40"/>
        <v>0</v>
      </c>
      <c r="G49" s="117">
        <f t="shared" ref="G49:O49" si="43">+F61</f>
        <v>0</v>
      </c>
      <c r="H49" s="117">
        <f t="shared" si="43"/>
        <v>0</v>
      </c>
      <c r="I49" s="117">
        <f t="shared" si="43"/>
        <v>0</v>
      </c>
      <c r="J49" s="117">
        <f t="shared" si="43"/>
        <v>0</v>
      </c>
      <c r="K49" s="117">
        <f t="shared" si="43"/>
        <v>0</v>
      </c>
      <c r="L49" s="117">
        <f t="shared" si="43"/>
        <v>0</v>
      </c>
      <c r="M49" s="117">
        <f t="shared" si="43"/>
        <v>0</v>
      </c>
      <c r="N49" s="117">
        <f t="shared" si="43"/>
        <v>0</v>
      </c>
      <c r="O49" s="117">
        <f t="shared" si="43"/>
        <v>0</v>
      </c>
      <c r="P49" s="117">
        <v>0</v>
      </c>
      <c r="Q49" s="117"/>
      <c r="R49" s="117"/>
    </row>
    <row r="50" spans="2:21" s="115" customFormat="1">
      <c r="B50" s="954" t="s">
        <v>605</v>
      </c>
      <c r="C50" s="955"/>
      <c r="D50" s="956">
        <f>SUM(D47:D49)</f>
        <v>0</v>
      </c>
      <c r="E50" s="956">
        <f t="shared" ref="E50:P50" si="44">SUM(E47:E49)</f>
        <v>13000</v>
      </c>
      <c r="F50" s="956">
        <f t="shared" si="44"/>
        <v>25800</v>
      </c>
      <c r="G50" s="956">
        <f t="shared" si="44"/>
        <v>38800</v>
      </c>
      <c r="H50" s="956">
        <f t="shared" si="44"/>
        <v>51600</v>
      </c>
      <c r="I50" s="956">
        <f t="shared" si="44"/>
        <v>64600</v>
      </c>
      <c r="J50" s="956">
        <f t="shared" si="44"/>
        <v>77400</v>
      </c>
      <c r="K50" s="956">
        <f t="shared" si="44"/>
        <v>90400</v>
      </c>
      <c r="L50" s="956">
        <f t="shared" si="44"/>
        <v>103200</v>
      </c>
      <c r="M50" s="956">
        <f t="shared" si="44"/>
        <v>89200</v>
      </c>
      <c r="N50" s="956">
        <f t="shared" si="44"/>
        <v>76000</v>
      </c>
      <c r="O50" s="956">
        <f t="shared" si="44"/>
        <v>62000</v>
      </c>
      <c r="P50" s="956">
        <f t="shared" si="44"/>
        <v>0</v>
      </c>
    </row>
    <row r="51" spans="2:21" s="115" customFormat="1">
      <c r="B51" s="578"/>
      <c r="C51" s="115" t="str">
        <f>+C47</f>
        <v>TRA COUPE</v>
      </c>
      <c r="D51" s="117">
        <f t="shared" ref="D51:O51" si="45">+D9</f>
        <v>352000</v>
      </c>
      <c r="E51" s="117">
        <f t="shared" si="45"/>
        <v>354000</v>
      </c>
      <c r="F51" s="117">
        <f t="shared" si="45"/>
        <v>352000</v>
      </c>
      <c r="G51" s="117">
        <f t="shared" si="45"/>
        <v>354000</v>
      </c>
      <c r="H51" s="117">
        <f t="shared" si="45"/>
        <v>352000</v>
      </c>
      <c r="I51" s="117">
        <f t="shared" si="45"/>
        <v>354000</v>
      </c>
      <c r="J51" s="117">
        <f t="shared" si="45"/>
        <v>352000</v>
      </c>
      <c r="K51" s="117">
        <f t="shared" si="45"/>
        <v>354000</v>
      </c>
      <c r="L51" s="117">
        <f t="shared" si="45"/>
        <v>338000</v>
      </c>
      <c r="M51" s="117">
        <f t="shared" si="45"/>
        <v>341000</v>
      </c>
      <c r="N51" s="117">
        <f t="shared" si="45"/>
        <v>338000</v>
      </c>
      <c r="O51" s="117">
        <f t="shared" si="45"/>
        <v>341000</v>
      </c>
      <c r="P51" s="117">
        <f>SUM(D51:O51)</f>
        <v>4182000</v>
      </c>
      <c r="Q51" s="117"/>
      <c r="R51" s="117"/>
      <c r="S51" s="139"/>
    </row>
    <row r="52" spans="2:21" s="115" customFormat="1">
      <c r="B52" s="578"/>
      <c r="C52" s="115" t="str">
        <f t="shared" ref="C52:C53" si="46">+C48</f>
        <v>ABR COUPE</v>
      </c>
      <c r="D52" s="117">
        <f t="shared" ref="D52:O52" si="47">+D10</f>
        <v>334000</v>
      </c>
      <c r="E52" s="117">
        <f t="shared" si="47"/>
        <v>334000</v>
      </c>
      <c r="F52" s="117">
        <f t="shared" si="47"/>
        <v>334000</v>
      </c>
      <c r="G52" s="117">
        <f t="shared" si="47"/>
        <v>334000</v>
      </c>
      <c r="H52" s="117">
        <f t="shared" si="47"/>
        <v>334000</v>
      </c>
      <c r="I52" s="117">
        <f t="shared" si="47"/>
        <v>334000</v>
      </c>
      <c r="J52" s="117">
        <f t="shared" si="47"/>
        <v>334000</v>
      </c>
      <c r="K52" s="117">
        <f t="shared" si="47"/>
        <v>334000</v>
      </c>
      <c r="L52" s="117">
        <f t="shared" si="47"/>
        <v>321000</v>
      </c>
      <c r="M52" s="117">
        <f t="shared" si="47"/>
        <v>321000</v>
      </c>
      <c r="N52" s="117">
        <f t="shared" si="47"/>
        <v>321000</v>
      </c>
      <c r="O52" s="117">
        <f t="shared" si="47"/>
        <v>321000</v>
      </c>
      <c r="P52" s="117">
        <f t="shared" ref="P52:P57" si="48">SUM(D52:O52)</f>
        <v>3956000</v>
      </c>
      <c r="Q52" s="117"/>
      <c r="R52" s="117"/>
      <c r="S52" s="139"/>
    </row>
    <row r="53" spans="2:21" s="115" customFormat="1">
      <c r="B53" s="578"/>
      <c r="C53" s="115" t="str">
        <f t="shared" si="46"/>
        <v>FP1 COUPE</v>
      </c>
      <c r="D53" s="117">
        <f>+D33</f>
        <v>0</v>
      </c>
      <c r="E53" s="117">
        <f t="shared" ref="E53:O53" si="49">+E11</f>
        <v>0</v>
      </c>
      <c r="F53" s="117">
        <f t="shared" si="49"/>
        <v>0</v>
      </c>
      <c r="G53" s="117">
        <f t="shared" si="49"/>
        <v>0</v>
      </c>
      <c r="H53" s="117">
        <f t="shared" si="49"/>
        <v>0</v>
      </c>
      <c r="I53" s="117">
        <f t="shared" si="49"/>
        <v>0</v>
      </c>
      <c r="J53" s="117">
        <f t="shared" si="49"/>
        <v>0</v>
      </c>
      <c r="K53" s="117">
        <f t="shared" si="49"/>
        <v>0</v>
      </c>
      <c r="L53" s="117">
        <f t="shared" si="49"/>
        <v>0</v>
      </c>
      <c r="M53" s="117">
        <f t="shared" si="49"/>
        <v>0</v>
      </c>
      <c r="N53" s="117">
        <f t="shared" si="49"/>
        <v>0</v>
      </c>
      <c r="O53" s="117">
        <f t="shared" si="49"/>
        <v>0</v>
      </c>
      <c r="P53" s="117">
        <f t="shared" si="48"/>
        <v>0</v>
      </c>
      <c r="Q53" s="117"/>
      <c r="R53" s="117"/>
    </row>
    <row r="54" spans="2:21" s="115" customFormat="1">
      <c r="B54" s="954" t="s">
        <v>606</v>
      </c>
      <c r="C54" s="955"/>
      <c r="D54" s="956">
        <f>SUM(D51:D53)</f>
        <v>686000</v>
      </c>
      <c r="E54" s="956">
        <f t="shared" ref="E54:P54" si="50">SUM(E51:E53)</f>
        <v>688000</v>
      </c>
      <c r="F54" s="956">
        <f t="shared" si="50"/>
        <v>686000</v>
      </c>
      <c r="G54" s="956">
        <f t="shared" si="50"/>
        <v>688000</v>
      </c>
      <c r="H54" s="956">
        <f t="shared" si="50"/>
        <v>686000</v>
      </c>
      <c r="I54" s="956">
        <f t="shared" si="50"/>
        <v>688000</v>
      </c>
      <c r="J54" s="956">
        <f t="shared" si="50"/>
        <v>686000</v>
      </c>
      <c r="K54" s="956">
        <f t="shared" si="50"/>
        <v>688000</v>
      </c>
      <c r="L54" s="956">
        <f t="shared" si="50"/>
        <v>659000</v>
      </c>
      <c r="M54" s="956">
        <f t="shared" si="50"/>
        <v>662000</v>
      </c>
      <c r="N54" s="956">
        <f t="shared" si="50"/>
        <v>659000</v>
      </c>
      <c r="O54" s="956">
        <f t="shared" si="50"/>
        <v>662000</v>
      </c>
      <c r="P54" s="956">
        <f t="shared" si="50"/>
        <v>8138000</v>
      </c>
    </row>
    <row r="55" spans="2:21" s="115" customFormat="1">
      <c r="B55" s="578"/>
      <c r="C55" s="138" t="str">
        <f>+C51</f>
        <v>TRA COUPE</v>
      </c>
      <c r="D55" s="117">
        <f>+SUM(CA!C4:C7)*1000</f>
        <v>345400</v>
      </c>
      <c r="E55" s="117">
        <f>+SUM(CA!D4:D7)*1000</f>
        <v>347600</v>
      </c>
      <c r="F55" s="117">
        <f>+SUM(CA!E4:E7)*1000</f>
        <v>345400</v>
      </c>
      <c r="G55" s="117">
        <f>+SUM(CA!F4:F7)*1000</f>
        <v>347600</v>
      </c>
      <c r="H55" s="117">
        <f>+SUM(CA!G4:G7)*1000</f>
        <v>345400</v>
      </c>
      <c r="I55" s="117">
        <f>+SUM(CA!H4:H7)*1000</f>
        <v>347600</v>
      </c>
      <c r="J55" s="117">
        <f>+SUM(CA!I4:I7)*1000</f>
        <v>345400</v>
      </c>
      <c r="K55" s="117">
        <f>+SUM(CA!J4:J7)*1000</f>
        <v>347600</v>
      </c>
      <c r="L55" s="117">
        <f>+SUM(CA!K4:K7)*1000</f>
        <v>345400</v>
      </c>
      <c r="M55" s="117">
        <f>+SUM(CA!L4:L7)*1000</f>
        <v>347600</v>
      </c>
      <c r="N55" s="117">
        <f>+SUM(CA!M4:M7)*1000</f>
        <v>345400</v>
      </c>
      <c r="O55" s="117">
        <f>+SUM(CA!N4:N7)*1000</f>
        <v>347600</v>
      </c>
      <c r="P55" s="117">
        <f t="shared" si="48"/>
        <v>4158000</v>
      </c>
      <c r="Q55" s="118"/>
      <c r="R55" s="118"/>
      <c r="S55" s="117"/>
      <c r="U55" s="117"/>
    </row>
    <row r="56" spans="2:21" s="115" customFormat="1">
      <c r="B56" s="578"/>
      <c r="C56" s="138" t="str">
        <f t="shared" ref="C56:C57" si="51">+C52</f>
        <v>ABR COUPE</v>
      </c>
      <c r="D56" s="117">
        <f>+SUM(CA!C9:C12)*1000</f>
        <v>327600</v>
      </c>
      <c r="E56" s="117">
        <f>+SUM(CA!D9:D12)*1000</f>
        <v>327600</v>
      </c>
      <c r="F56" s="117">
        <f>+SUM(CA!E9:E12)*1000</f>
        <v>327600</v>
      </c>
      <c r="G56" s="117">
        <f>+SUM(CA!F9:F12)*1000</f>
        <v>327600</v>
      </c>
      <c r="H56" s="117">
        <f>+SUM(CA!G9:G12)*1000</f>
        <v>327600</v>
      </c>
      <c r="I56" s="117">
        <f>+SUM(CA!H9:H12)*1000</f>
        <v>327600</v>
      </c>
      <c r="J56" s="117">
        <f>+SUM(CA!I9:I12)*1000</f>
        <v>327600</v>
      </c>
      <c r="K56" s="117">
        <f>+SUM(CA!J9:J12)*1000</f>
        <v>327600</v>
      </c>
      <c r="L56" s="117">
        <f>+SUM(CA!K9:K12)*1000</f>
        <v>327600</v>
      </c>
      <c r="M56" s="117">
        <f>+SUM(CA!L9:L12)*1000</f>
        <v>327600</v>
      </c>
      <c r="N56" s="117">
        <f>+SUM(CA!M9:M12)*1000</f>
        <v>327600</v>
      </c>
      <c r="O56" s="117">
        <f>+SUM(CA!N9:N12)*1000</f>
        <v>327600</v>
      </c>
      <c r="P56" s="117">
        <f t="shared" si="48"/>
        <v>3931200</v>
      </c>
      <c r="Q56" s="118"/>
      <c r="R56" s="118"/>
      <c r="S56" s="117"/>
    </row>
    <row r="57" spans="2:21" s="115" customFormat="1">
      <c r="B57" s="578"/>
      <c r="C57" s="138" t="str">
        <f t="shared" si="51"/>
        <v>FP1 COUPE</v>
      </c>
      <c r="D57" s="117">
        <f>+CA!C14*1000</f>
        <v>0</v>
      </c>
      <c r="E57" s="117">
        <f>+CA!D14*1000</f>
        <v>0</v>
      </c>
      <c r="F57" s="117">
        <f>+CA!E14*1000</f>
        <v>0</v>
      </c>
      <c r="G57" s="117">
        <f>+CA!F14*1000</f>
        <v>0</v>
      </c>
      <c r="H57" s="117">
        <f>+CA!G14*1000</f>
        <v>0</v>
      </c>
      <c r="I57" s="117">
        <f>+CA!H14*1000</f>
        <v>0</v>
      </c>
      <c r="J57" s="117">
        <f>+CA!I14*1000</f>
        <v>0</v>
      </c>
      <c r="K57" s="117">
        <f>+CA!J14*1000</f>
        <v>0</v>
      </c>
      <c r="L57" s="117">
        <f>+CA!K14*1000</f>
        <v>0</v>
      </c>
      <c r="M57" s="117">
        <f>+CA!L14*1000</f>
        <v>0</v>
      </c>
      <c r="N57" s="117">
        <f>+CA!M14*1000</f>
        <v>0</v>
      </c>
      <c r="O57" s="117">
        <f>+CA!N14*1000</f>
        <v>0</v>
      </c>
      <c r="P57" s="117">
        <f t="shared" si="48"/>
        <v>0</v>
      </c>
      <c r="Q57" s="118"/>
      <c r="R57" s="118"/>
    </row>
    <row r="58" spans="2:21" s="115" customFormat="1">
      <c r="B58" s="954" t="s">
        <v>607</v>
      </c>
      <c r="C58" s="955"/>
      <c r="D58" s="956">
        <f>SUM(D55:D57)</f>
        <v>673000</v>
      </c>
      <c r="E58" s="956">
        <f t="shared" ref="E58" si="52">SUM(E55:E57)</f>
        <v>675200</v>
      </c>
      <c r="F58" s="956">
        <f t="shared" ref="F58" si="53">SUM(F55:F57)</f>
        <v>673000</v>
      </c>
      <c r="G58" s="956">
        <f t="shared" ref="G58" si="54">SUM(G55:G57)</f>
        <v>675200</v>
      </c>
      <c r="H58" s="956">
        <f t="shared" ref="H58" si="55">SUM(H55:H57)</f>
        <v>673000</v>
      </c>
      <c r="I58" s="956">
        <f t="shared" ref="I58" si="56">SUM(I55:I57)</f>
        <v>675200</v>
      </c>
      <c r="J58" s="956">
        <f t="shared" ref="J58" si="57">SUM(J55:J57)</f>
        <v>673000</v>
      </c>
      <c r="K58" s="956">
        <f t="shared" ref="K58" si="58">SUM(K55:K57)</f>
        <v>675200</v>
      </c>
      <c r="L58" s="956">
        <f t="shared" ref="L58" si="59">SUM(L55:L57)</f>
        <v>673000</v>
      </c>
      <c r="M58" s="956">
        <f t="shared" ref="M58" si="60">SUM(M55:M57)</f>
        <v>675200</v>
      </c>
      <c r="N58" s="956">
        <f t="shared" ref="N58" si="61">SUM(N55:N57)</f>
        <v>673000</v>
      </c>
      <c r="O58" s="956">
        <f t="shared" ref="O58" si="62">SUM(O55:O57)</f>
        <v>675200</v>
      </c>
      <c r="P58" s="956">
        <f t="shared" ref="P58" si="63">SUM(P55:P57)</f>
        <v>8089200</v>
      </c>
    </row>
    <row r="59" spans="2:21" s="580" customFormat="1">
      <c r="B59" s="579"/>
      <c r="C59" s="580" t="str">
        <f>+C55</f>
        <v>TRA COUPE</v>
      </c>
      <c r="D59" s="540">
        <f t="shared" ref="D59:O59" si="64">+D47+D51-D55</f>
        <v>6600</v>
      </c>
      <c r="E59" s="540">
        <f t="shared" si="64"/>
        <v>13000</v>
      </c>
      <c r="F59" s="540">
        <f t="shared" si="64"/>
        <v>19600</v>
      </c>
      <c r="G59" s="540">
        <f t="shared" si="64"/>
        <v>26000</v>
      </c>
      <c r="H59" s="540">
        <f t="shared" si="64"/>
        <v>32600</v>
      </c>
      <c r="I59" s="540">
        <f t="shared" si="64"/>
        <v>39000</v>
      </c>
      <c r="J59" s="540">
        <f t="shared" si="64"/>
        <v>45600</v>
      </c>
      <c r="K59" s="540">
        <f t="shared" si="64"/>
        <v>52000</v>
      </c>
      <c r="L59" s="540">
        <f t="shared" si="64"/>
        <v>44600</v>
      </c>
      <c r="M59" s="540">
        <f t="shared" si="64"/>
        <v>38000</v>
      </c>
      <c r="N59" s="540">
        <f t="shared" si="64"/>
        <v>30600</v>
      </c>
      <c r="O59" s="540">
        <f t="shared" si="64"/>
        <v>24000</v>
      </c>
      <c r="P59" s="540">
        <f>+P47+P51-P55</f>
        <v>24000</v>
      </c>
      <c r="Q59" s="540"/>
      <c r="R59" s="540"/>
      <c r="S59" s="540"/>
    </row>
    <row r="60" spans="2:21" s="580" customFormat="1">
      <c r="B60" s="579"/>
      <c r="C60" s="580" t="str">
        <f t="shared" ref="C60:C61" si="65">+C56</f>
        <v>ABR COUPE</v>
      </c>
      <c r="D60" s="540">
        <f t="shared" ref="D60:O61" si="66">+D48+D52-D56</f>
        <v>6400</v>
      </c>
      <c r="E60" s="540">
        <f t="shared" si="66"/>
        <v>12800</v>
      </c>
      <c r="F60" s="540">
        <f t="shared" si="66"/>
        <v>19200</v>
      </c>
      <c r="G60" s="540">
        <f t="shared" si="66"/>
        <v>25600</v>
      </c>
      <c r="H60" s="540">
        <f t="shared" si="66"/>
        <v>32000</v>
      </c>
      <c r="I60" s="540">
        <f t="shared" si="66"/>
        <v>38400</v>
      </c>
      <c r="J60" s="540">
        <f t="shared" si="66"/>
        <v>44800</v>
      </c>
      <c r="K60" s="540">
        <f t="shared" si="66"/>
        <v>51200</v>
      </c>
      <c r="L60" s="540">
        <f t="shared" si="66"/>
        <v>44600</v>
      </c>
      <c r="M60" s="540">
        <f t="shared" si="66"/>
        <v>38000</v>
      </c>
      <c r="N60" s="540">
        <f t="shared" si="66"/>
        <v>31400</v>
      </c>
      <c r="O60" s="540">
        <f t="shared" si="66"/>
        <v>24800</v>
      </c>
      <c r="P60" s="540">
        <f>+P48+P52-P56</f>
        <v>24800</v>
      </c>
      <c r="Q60" s="540"/>
      <c r="R60" s="540"/>
    </row>
    <row r="61" spans="2:21" s="580" customFormat="1">
      <c r="B61" s="579"/>
      <c r="C61" s="580" t="str">
        <f t="shared" si="65"/>
        <v>FP1 COUPE</v>
      </c>
      <c r="D61" s="540">
        <f t="shared" si="66"/>
        <v>0</v>
      </c>
      <c r="E61" s="540">
        <f t="shared" si="66"/>
        <v>0</v>
      </c>
      <c r="F61" s="540">
        <f t="shared" si="66"/>
        <v>0</v>
      </c>
      <c r="G61" s="540">
        <f t="shared" si="66"/>
        <v>0</v>
      </c>
      <c r="H61" s="540">
        <f t="shared" si="66"/>
        <v>0</v>
      </c>
      <c r="I61" s="540">
        <f t="shared" si="66"/>
        <v>0</v>
      </c>
      <c r="J61" s="540">
        <f t="shared" si="66"/>
        <v>0</v>
      </c>
      <c r="K61" s="540">
        <f t="shared" si="66"/>
        <v>0</v>
      </c>
      <c r="L61" s="540">
        <f t="shared" si="66"/>
        <v>0</v>
      </c>
      <c r="M61" s="540">
        <f t="shared" si="66"/>
        <v>0</v>
      </c>
      <c r="N61" s="540">
        <f t="shared" si="66"/>
        <v>0</v>
      </c>
      <c r="O61" s="540">
        <f t="shared" si="66"/>
        <v>0</v>
      </c>
      <c r="P61" s="540">
        <f>+P49+P53-P57</f>
        <v>0</v>
      </c>
      <c r="Q61" s="540"/>
      <c r="R61" s="540"/>
      <c r="S61" s="540"/>
    </row>
    <row r="62" spans="2:21" s="115" customFormat="1" ht="17.25" thickBot="1">
      <c r="B62" s="959" t="s">
        <v>608</v>
      </c>
      <c r="C62" s="960"/>
      <c r="D62" s="1079">
        <f>SUM(D59:D61)</f>
        <v>13000</v>
      </c>
      <c r="E62" s="1079">
        <f t="shared" ref="E62:P62" si="67">SUM(E59:E61)</f>
        <v>25800</v>
      </c>
      <c r="F62" s="1079">
        <f t="shared" si="67"/>
        <v>38800</v>
      </c>
      <c r="G62" s="1079">
        <f t="shared" si="67"/>
        <v>51600</v>
      </c>
      <c r="H62" s="1079">
        <f t="shared" si="67"/>
        <v>64600</v>
      </c>
      <c r="I62" s="1079">
        <f t="shared" si="67"/>
        <v>77400</v>
      </c>
      <c r="J62" s="1079">
        <f t="shared" si="67"/>
        <v>90400</v>
      </c>
      <c r="K62" s="1079">
        <f t="shared" si="67"/>
        <v>103200</v>
      </c>
      <c r="L62" s="1079">
        <f t="shared" si="67"/>
        <v>89200</v>
      </c>
      <c r="M62" s="1079">
        <f t="shared" si="67"/>
        <v>76000</v>
      </c>
      <c r="N62" s="1079">
        <f t="shared" si="67"/>
        <v>62000</v>
      </c>
      <c r="O62" s="1079">
        <f t="shared" si="67"/>
        <v>48800</v>
      </c>
      <c r="P62" s="1079">
        <f t="shared" si="67"/>
        <v>48800</v>
      </c>
      <c r="Q62" s="961"/>
    </row>
    <row r="63" spans="2:21" s="223" customFormat="1" ht="6" customHeight="1" thickBot="1">
      <c r="B63" s="558"/>
      <c r="C63" s="957"/>
      <c r="D63" s="957"/>
      <c r="E63" s="957"/>
      <c r="F63" s="957"/>
      <c r="G63" s="957"/>
      <c r="H63" s="957"/>
      <c r="I63" s="957"/>
      <c r="J63" s="957"/>
      <c r="K63" s="957"/>
      <c r="L63" s="957"/>
      <c r="M63" s="957"/>
      <c r="N63" s="957"/>
      <c r="O63" s="957"/>
      <c r="P63" s="958"/>
      <c r="Q63" s="767"/>
      <c r="R63" s="224"/>
    </row>
    <row r="64" spans="2:21" s="223" customFormat="1">
      <c r="B64" s="949" t="s">
        <v>1734</v>
      </c>
      <c r="C64" s="1078">
        <f>+C62*$P$71</f>
        <v>0</v>
      </c>
      <c r="D64" s="950">
        <f>+D62*$P$71</f>
        <v>19009890.279635184</v>
      </c>
      <c r="E64" s="950">
        <f t="shared" ref="E64:O64" si="68">+E62*$P$71</f>
        <v>37727320.708814442</v>
      </c>
      <c r="F64" s="950">
        <f t="shared" si="68"/>
        <v>56737210.988449633</v>
      </c>
      <c r="G64" s="950">
        <f t="shared" si="68"/>
        <v>75454641.417628884</v>
      </c>
      <c r="H64" s="950">
        <f t="shared" si="68"/>
        <v>94464531.697264075</v>
      </c>
      <c r="I64" s="950">
        <f t="shared" si="68"/>
        <v>113181962.12644333</v>
      </c>
      <c r="J64" s="950">
        <f t="shared" si="68"/>
        <v>132191852.40607852</v>
      </c>
      <c r="K64" s="950">
        <f t="shared" si="68"/>
        <v>150909282.83525777</v>
      </c>
      <c r="L64" s="950">
        <f t="shared" si="68"/>
        <v>130437093.30334297</v>
      </c>
      <c r="M64" s="950">
        <f t="shared" si="68"/>
        <v>111134743.17325185</v>
      </c>
      <c r="N64" s="950">
        <f t="shared" si="68"/>
        <v>90662553.641337037</v>
      </c>
      <c r="O64" s="950">
        <f t="shared" si="68"/>
        <v>71360203.511245921</v>
      </c>
      <c r="P64" s="950">
        <f t="shared" ref="P64" si="69">+SUM(P59:P61)*P71</f>
        <v>71360203.511245921</v>
      </c>
      <c r="Q64" s="767"/>
      <c r="R64" s="224"/>
      <c r="S64" s="651"/>
    </row>
    <row r="65" spans="2:25" s="223" customFormat="1" ht="17.25" thickBot="1">
      <c r="B65" s="951" t="s">
        <v>1758</v>
      </c>
      <c r="C65" s="952"/>
      <c r="D65" s="953">
        <f>+D64-C64</f>
        <v>19009890.279635184</v>
      </c>
      <c r="E65" s="953">
        <f>+E64-D64</f>
        <v>18717430.429179259</v>
      </c>
      <c r="F65" s="953">
        <f t="shared" ref="F65:O65" si="70">+F64-E64</f>
        <v>19009890.279635191</v>
      </c>
      <c r="G65" s="953">
        <f t="shared" si="70"/>
        <v>18717430.429179251</v>
      </c>
      <c r="H65" s="953">
        <f t="shared" si="70"/>
        <v>19009890.279635191</v>
      </c>
      <c r="I65" s="953">
        <f t="shared" si="70"/>
        <v>18717430.429179251</v>
      </c>
      <c r="J65" s="953">
        <f t="shared" si="70"/>
        <v>19009890.279635191</v>
      </c>
      <c r="K65" s="953">
        <f t="shared" si="70"/>
        <v>18717430.429179251</v>
      </c>
      <c r="L65" s="953">
        <f t="shared" si="70"/>
        <v>-20472189.5319148</v>
      </c>
      <c r="M65" s="953">
        <f t="shared" si="70"/>
        <v>-19302350.130091116</v>
      </c>
      <c r="N65" s="953">
        <f t="shared" si="70"/>
        <v>-20472189.531914815</v>
      </c>
      <c r="O65" s="953">
        <f t="shared" si="70"/>
        <v>-19302350.130091116</v>
      </c>
      <c r="P65" s="953">
        <f>+SUM(C65:O65)</f>
        <v>71360203.511245921</v>
      </c>
      <c r="Q65" s="767"/>
      <c r="R65" s="224"/>
    </row>
    <row r="66" spans="2:25" s="223" customFormat="1" ht="5.25" customHeight="1" thickBot="1">
      <c r="C66" s="224"/>
      <c r="D66" s="651"/>
      <c r="E66" s="651"/>
      <c r="F66" s="651"/>
      <c r="G66" s="651"/>
      <c r="H66" s="651"/>
      <c r="I66" s="651"/>
      <c r="J66" s="651"/>
      <c r="K66" s="651"/>
      <c r="L66" s="651"/>
      <c r="M66" s="651"/>
      <c r="N66" s="651"/>
      <c r="O66" s="651"/>
      <c r="P66" s="767"/>
      <c r="Q66" s="767"/>
      <c r="R66" s="224"/>
    </row>
    <row r="67" spans="2:25" s="198" customFormat="1">
      <c r="B67" s="467" t="s">
        <v>609</v>
      </c>
      <c r="C67" s="408"/>
      <c r="D67" s="408" t="str">
        <f>+D46</f>
        <v>Janvier</v>
      </c>
      <c r="E67" s="408" t="str">
        <f t="shared" ref="E67:P67" si="71">+E46</f>
        <v>Février</v>
      </c>
      <c r="F67" s="408" t="str">
        <f t="shared" si="71"/>
        <v>Mars</v>
      </c>
      <c r="G67" s="408" t="str">
        <f t="shared" si="71"/>
        <v>Avril</v>
      </c>
      <c r="H67" s="408" t="str">
        <f t="shared" si="71"/>
        <v>Mai</v>
      </c>
      <c r="I67" s="408" t="str">
        <f t="shared" si="71"/>
        <v>Juin</v>
      </c>
      <c r="J67" s="408" t="str">
        <f t="shared" si="71"/>
        <v>Juillet</v>
      </c>
      <c r="K67" s="408" t="str">
        <f t="shared" si="71"/>
        <v>Août</v>
      </c>
      <c r="L67" s="408" t="str">
        <f t="shared" si="71"/>
        <v>Septembre</v>
      </c>
      <c r="M67" s="408" t="str">
        <f t="shared" si="71"/>
        <v>Octobre</v>
      </c>
      <c r="N67" s="408" t="str">
        <f t="shared" si="71"/>
        <v>Novembre</v>
      </c>
      <c r="O67" s="408" t="str">
        <f t="shared" si="71"/>
        <v>Décembre</v>
      </c>
      <c r="P67" s="408" t="str">
        <f t="shared" si="71"/>
        <v>Total</v>
      </c>
      <c r="Q67" s="765"/>
      <c r="S67" s="245"/>
    </row>
    <row r="68" spans="2:25">
      <c r="C68" s="80" t="s">
        <v>610</v>
      </c>
      <c r="D68" s="117">
        <f>+'CR Nature FD'!C41+'CR Nature FD'!C50</f>
        <v>924098560.82845056</v>
      </c>
      <c r="E68" s="117">
        <f>+'CR Nature FD'!D41+'CR Nature FD'!D50</f>
        <v>931139197.32845056</v>
      </c>
      <c r="F68" s="117">
        <f>+'CR Nature FD'!E41+'CR Nature FD'!E50</f>
        <v>972548060.82845044</v>
      </c>
      <c r="G68" s="117">
        <f>+'CR Nature FD'!F41+'CR Nature FD'!F50</f>
        <v>931937197.32845056</v>
      </c>
      <c r="H68" s="117">
        <f>+'CR Nature FD'!G41+'CR Nature FD'!G50</f>
        <v>940098060.82845056</v>
      </c>
      <c r="I68" s="117">
        <f>+'CR Nature FD'!H41+'CR Nature FD'!H50</f>
        <v>961189197.32845044</v>
      </c>
      <c r="J68" s="117">
        <f>+'CR Nature FD'!I41+'CR Nature FD'!I50</f>
        <v>929661060.82845056</v>
      </c>
      <c r="K68" s="117">
        <f>+'CR Nature FD'!J41+'CR Nature FD'!J50</f>
        <v>930143335.50763679</v>
      </c>
      <c r="L68" s="117">
        <f>+'CR Nature FD'!K41+'CR Nature FD'!K50</f>
        <v>923777649.73980939</v>
      </c>
      <c r="M68" s="117">
        <f>+'CR Nature FD'!L41+'CR Nature FD'!L50</f>
        <v>906421631.48001838</v>
      </c>
      <c r="N68" s="117">
        <f>+'CR Nature FD'!M41+'CR Nature FD'!M50</f>
        <v>902219756.42006409</v>
      </c>
      <c r="O68" s="117">
        <f>+'CR Nature FD'!N41+'CR Nature FD'!N50</f>
        <v>1646957606.6049438</v>
      </c>
      <c r="P68" s="105">
        <f>SUM(D68:O68)</f>
        <v>11900191315.051626</v>
      </c>
      <c r="Q68" s="105"/>
      <c r="R68" s="105"/>
      <c r="S68" s="162"/>
    </row>
    <row r="69" spans="2:25">
      <c r="C69" s="80" t="s">
        <v>363</v>
      </c>
      <c r="D69" s="117">
        <f>+D54</f>
        <v>686000</v>
      </c>
      <c r="E69" s="117">
        <f t="shared" ref="E69:O69" si="72">+E54</f>
        <v>688000</v>
      </c>
      <c r="F69" s="117">
        <f t="shared" si="72"/>
        <v>686000</v>
      </c>
      <c r="G69" s="117">
        <f t="shared" si="72"/>
        <v>688000</v>
      </c>
      <c r="H69" s="117">
        <f t="shared" si="72"/>
        <v>686000</v>
      </c>
      <c r="I69" s="117">
        <f t="shared" si="72"/>
        <v>688000</v>
      </c>
      <c r="J69" s="117">
        <f t="shared" si="72"/>
        <v>686000</v>
      </c>
      <c r="K69" s="117">
        <f t="shared" si="72"/>
        <v>688000</v>
      </c>
      <c r="L69" s="117">
        <f t="shared" si="72"/>
        <v>659000</v>
      </c>
      <c r="M69" s="117">
        <f t="shared" si="72"/>
        <v>662000</v>
      </c>
      <c r="N69" s="117">
        <f t="shared" si="72"/>
        <v>659000</v>
      </c>
      <c r="O69" s="117">
        <f t="shared" si="72"/>
        <v>662000</v>
      </c>
      <c r="P69" s="105">
        <f>SUM(D69:O69)</f>
        <v>8138000</v>
      </c>
      <c r="Q69" s="105"/>
      <c r="R69" s="105"/>
    </row>
    <row r="70" spans="2:25">
      <c r="C70" s="556" t="s">
        <v>611</v>
      </c>
      <c r="R70" s="768" t="s">
        <v>1264</v>
      </c>
    </row>
    <row r="71" spans="2:25">
      <c r="C71" s="81" t="s">
        <v>364</v>
      </c>
      <c r="D71" s="117">
        <f>IFERROR(+D68/D69,0)</f>
        <v>1347.0824501872457</v>
      </c>
      <c r="E71" s="117">
        <f t="shared" ref="E71:O71" si="73">IFERROR(+E68/E69,0)</f>
        <v>1353.3999961169341</v>
      </c>
      <c r="F71" s="117">
        <f t="shared" si="73"/>
        <v>1417.7085434817061</v>
      </c>
      <c r="G71" s="117">
        <f t="shared" si="73"/>
        <v>1354.5598798378642</v>
      </c>
      <c r="H71" s="117">
        <f t="shared" si="73"/>
        <v>1370.4053364846218</v>
      </c>
      <c r="I71" s="117">
        <f t="shared" si="73"/>
        <v>1397.0773216983291</v>
      </c>
      <c r="J71" s="117">
        <f t="shared" si="73"/>
        <v>1355.191050770336</v>
      </c>
      <c r="K71" s="117">
        <f t="shared" si="73"/>
        <v>1351.9525225401696</v>
      </c>
      <c r="L71" s="117">
        <f t="shared" si="73"/>
        <v>1401.7870254018353</v>
      </c>
      <c r="M71" s="117">
        <f t="shared" si="73"/>
        <v>1369.2169659819008</v>
      </c>
      <c r="N71" s="117">
        <f t="shared" si="73"/>
        <v>1369.0739854629196</v>
      </c>
      <c r="O71" s="117">
        <f t="shared" si="73"/>
        <v>2487.8513694938729</v>
      </c>
      <c r="P71" s="118">
        <f>+P68/P69</f>
        <v>1462.2992522796296</v>
      </c>
      <c r="Q71" s="118"/>
      <c r="R71" s="118">
        <f>AVERAGE(D71:O71)</f>
        <v>1464.6088706214778</v>
      </c>
    </row>
    <row r="72" spans="2:25">
      <c r="C72" s="81" t="s">
        <v>612</v>
      </c>
      <c r="D72" s="118">
        <f>+D71/'Données SOMIDA'!$E$12</f>
        <v>0.27491478575249911</v>
      </c>
      <c r="E72" s="118">
        <f>+E71/'Données SOMIDA'!$E$12</f>
        <v>0.2762040808401906</v>
      </c>
      <c r="F72" s="118">
        <f>+F71/'Données SOMIDA'!$E$12</f>
        <v>0.28932827417994</v>
      </c>
      <c r="G72" s="118">
        <f>+G71/'Données SOMIDA'!$E$12</f>
        <v>0.27644079180364572</v>
      </c>
      <c r="H72" s="118">
        <f>+H71/'Données SOMIDA'!$E$12</f>
        <v>0.27967455846624933</v>
      </c>
      <c r="I72" s="118">
        <f>+I71/'Données SOMIDA'!$E$12</f>
        <v>0.28511782075476105</v>
      </c>
      <c r="J72" s="118">
        <f>+J71/'Données SOMIDA'!$E$12</f>
        <v>0.27656960219802773</v>
      </c>
      <c r="K72" s="118">
        <f>+K71/'Données SOMIDA'!$E$12</f>
        <v>0.27590867806942238</v>
      </c>
      <c r="L72" s="118">
        <f>+L71/'Données SOMIDA'!$E$12</f>
        <v>0.28607898477588478</v>
      </c>
      <c r="M72" s="118">
        <f>+M71/'Données SOMIDA'!$E$12</f>
        <v>0.27943203387385729</v>
      </c>
      <c r="N72" s="118">
        <f>+N71/'Données SOMIDA'!$E$12</f>
        <v>0.27940285417610605</v>
      </c>
      <c r="O72" s="118">
        <f>+O71/'Données SOMIDA'!$E$12</f>
        <v>0.50772476928446386</v>
      </c>
      <c r="P72" s="118">
        <f>+P71/'Données SOMIDA'!$E$12</f>
        <v>0.29842841883257748</v>
      </c>
      <c r="Q72" s="118"/>
      <c r="R72" s="118">
        <f>+R71/'Données SOMIDA'!$E$12</f>
        <v>0.2988997695145873</v>
      </c>
      <c r="S72" s="187" t="s">
        <v>612</v>
      </c>
    </row>
    <row r="73" spans="2:25" ht="17.25" thickBot="1">
      <c r="B73" s="558"/>
      <c r="C73" s="557" t="s">
        <v>1094</v>
      </c>
      <c r="D73" s="581">
        <f>+D71/'Données SOMIDA'!$E$11</f>
        <v>0.2993516555971657</v>
      </c>
      <c r="E73" s="581">
        <f>+E71/'Données SOMIDA'!$E$11</f>
        <v>0.30075555469265203</v>
      </c>
      <c r="F73" s="581">
        <f>+F71/'Données SOMIDA'!$E$11</f>
        <v>0.3150463429959347</v>
      </c>
      <c r="G73" s="581">
        <f>+G71/'Données SOMIDA'!$E$11</f>
        <v>0.30101330663063647</v>
      </c>
      <c r="H73" s="581">
        <f>+H71/'Données SOMIDA'!$E$11</f>
        <v>0.30453451921880487</v>
      </c>
      <c r="I73" s="581">
        <f>+I71/'Données SOMIDA'!$E$11</f>
        <v>0.31046162704407315</v>
      </c>
      <c r="J73" s="581">
        <f>+J71/'Données SOMIDA'!$E$11</f>
        <v>0.30115356683785244</v>
      </c>
      <c r="K73" s="581">
        <f>+K71/'Données SOMIDA'!$E$11</f>
        <v>0.3004338938978155</v>
      </c>
      <c r="L73" s="581">
        <f>+L71/'Données SOMIDA'!$E$11</f>
        <v>0.31150822786707449</v>
      </c>
      <c r="M73" s="581">
        <f>+M71/'Données SOMIDA'!$E$11</f>
        <v>0.30427043688486682</v>
      </c>
      <c r="N73" s="581">
        <f>+N71/'Données SOMIDA'!$E$11</f>
        <v>0.30423866343620437</v>
      </c>
      <c r="O73" s="581">
        <f>+O71/'Données SOMIDA'!$E$11</f>
        <v>0.55285585988752728</v>
      </c>
      <c r="P73" s="581">
        <f>+P71/'Données SOMIDA'!$E$11</f>
        <v>0.32495538939547325</v>
      </c>
      <c r="Q73" s="118"/>
      <c r="R73" s="581">
        <f>+R71/'Données SOMIDA'!$E$11</f>
        <v>0.32546863791588393</v>
      </c>
      <c r="S73" s="1114" t="s">
        <v>1094</v>
      </c>
    </row>
    <row r="74" spans="2:25">
      <c r="C74" s="197"/>
      <c r="D74" s="197"/>
      <c r="E74" s="197"/>
      <c r="F74" s="197"/>
      <c r="G74" s="197"/>
      <c r="H74" s="197"/>
      <c r="I74" s="197"/>
      <c r="J74" s="197"/>
      <c r="K74" s="197"/>
      <c r="L74" s="197"/>
      <c r="M74" s="197"/>
      <c r="N74" s="197"/>
      <c r="O74" s="197"/>
      <c r="P74" s="225"/>
      <c r="Q74" s="225"/>
      <c r="R74" s="80"/>
    </row>
    <row r="75" spans="2:25">
      <c r="C75" s="197"/>
      <c r="D75" s="197"/>
      <c r="E75" s="197"/>
      <c r="F75" s="197"/>
      <c r="G75" s="197"/>
      <c r="H75" s="197"/>
      <c r="I75" s="197"/>
      <c r="J75" s="197"/>
      <c r="K75" s="197"/>
      <c r="L75" s="197"/>
      <c r="M75" s="197"/>
      <c r="N75" s="197"/>
      <c r="O75" s="197"/>
      <c r="P75" s="225"/>
      <c r="Q75" s="225"/>
      <c r="R75" s="80"/>
    </row>
    <row r="76" spans="2:25">
      <c r="D76" s="117">
        <f>+D68</f>
        <v>924098560.82845056</v>
      </c>
      <c r="E76" s="117">
        <f t="shared" ref="E76:N76" si="74">+E68</f>
        <v>931139197.32845056</v>
      </c>
      <c r="F76" s="117">
        <f t="shared" si="74"/>
        <v>972548060.82845044</v>
      </c>
      <c r="G76" s="117">
        <f t="shared" si="74"/>
        <v>931937197.32845056</v>
      </c>
      <c r="H76" s="117">
        <f t="shared" si="74"/>
        <v>940098060.82845056</v>
      </c>
      <c r="I76" s="117">
        <f t="shared" si="74"/>
        <v>961189197.32845044</v>
      </c>
      <c r="J76" s="117">
        <f t="shared" si="74"/>
        <v>929661060.82845056</v>
      </c>
      <c r="K76" s="117">
        <f t="shared" si="74"/>
        <v>930143335.50763679</v>
      </c>
      <c r="L76" s="117">
        <f t="shared" si="74"/>
        <v>923777649.73980939</v>
      </c>
      <c r="M76" s="117">
        <f t="shared" si="74"/>
        <v>906421631.48001838</v>
      </c>
      <c r="N76" s="117">
        <f t="shared" si="74"/>
        <v>902219756.42006409</v>
      </c>
      <c r="O76" s="117">
        <f t="shared" ref="O76:P76" si="75">+O68</f>
        <v>1646957606.6049438</v>
      </c>
      <c r="P76" s="117">
        <f t="shared" si="75"/>
        <v>11900191315.051626</v>
      </c>
      <c r="Q76" s="105"/>
      <c r="R76" s="105"/>
      <c r="S76" s="162"/>
    </row>
    <row r="77" spans="2:25" hidden="1">
      <c r="B77" s="80" t="str">
        <f>+'Besoins en micas'!B113</f>
        <v>Tranomaro</v>
      </c>
      <c r="C77" s="80" t="s">
        <v>1847</v>
      </c>
      <c r="D77" s="117">
        <f>-+'Besoins en micas'!C113</f>
        <v>-98398125</v>
      </c>
      <c r="E77" s="117">
        <f>-+'Besoins en micas'!D113</f>
        <v>-98685000</v>
      </c>
      <c r="F77" s="117">
        <f>-+'Besoins en micas'!E113</f>
        <v>-98398125</v>
      </c>
      <c r="G77" s="117">
        <f>-+'Besoins en micas'!F113</f>
        <v>-98685000</v>
      </c>
      <c r="H77" s="117">
        <f>-+'Besoins en micas'!G113</f>
        <v>-98398125</v>
      </c>
      <c r="I77" s="117">
        <f>-+'Besoins en micas'!H113</f>
        <v>-98685000</v>
      </c>
      <c r="J77" s="117">
        <f>-+'Besoins en micas'!I113</f>
        <v>-98398125</v>
      </c>
      <c r="K77" s="117">
        <f>-+'Besoins en micas'!J113</f>
        <v>-98685000</v>
      </c>
      <c r="L77" s="117">
        <f>-+'Besoins en micas'!K113</f>
        <v>-90818437.5</v>
      </c>
      <c r="M77" s="117">
        <f>-+'Besoins en micas'!L113</f>
        <v>-91231875</v>
      </c>
      <c r="N77" s="117">
        <f>-+'Besoins en micas'!M113</f>
        <v>-90818437.5</v>
      </c>
      <c r="O77" s="117">
        <f>-+'Besoins en micas'!N113</f>
        <v>-91231875</v>
      </c>
      <c r="P77" s="117">
        <f>-+'Besoins en micas'!O113</f>
        <v>-1152433125</v>
      </c>
      <c r="Q77" s="105"/>
      <c r="R77" s="105"/>
      <c r="S77" s="162"/>
    </row>
    <row r="78" spans="2:25" hidden="1">
      <c r="B78" s="80" t="str">
        <f>+'Besoins en micas'!B114</f>
        <v>Ampandrandava</v>
      </c>
      <c r="C78" s="80" t="s">
        <v>1847</v>
      </c>
      <c r="D78" s="117">
        <f>-+'Besoins en micas'!C114</f>
        <v>-122451000</v>
      </c>
      <c r="E78" s="117">
        <f>-+'Besoins en micas'!D114</f>
        <v>-122808000</v>
      </c>
      <c r="F78" s="117">
        <f>-+'Besoins en micas'!E114</f>
        <v>-122451000</v>
      </c>
      <c r="G78" s="117">
        <f>-+'Besoins en micas'!F114</f>
        <v>-122808000</v>
      </c>
      <c r="H78" s="117">
        <f>-+'Besoins en micas'!G114</f>
        <v>-122451000</v>
      </c>
      <c r="I78" s="117">
        <f>-+'Besoins en micas'!H114</f>
        <v>-122808000</v>
      </c>
      <c r="J78" s="117">
        <f>-+'Besoins en micas'!I114</f>
        <v>-122451000</v>
      </c>
      <c r="K78" s="117">
        <f>-+'Besoins en micas'!J114</f>
        <v>-122808000</v>
      </c>
      <c r="L78" s="117">
        <f>-+'Besoins en micas'!K114</f>
        <v>-113018500</v>
      </c>
      <c r="M78" s="117">
        <f>-+'Besoins en micas'!L114</f>
        <v>-113533000</v>
      </c>
      <c r="N78" s="117">
        <f>-+'Besoins en micas'!M114</f>
        <v>-113018500</v>
      </c>
      <c r="O78" s="117">
        <f>-+'Besoins en micas'!N114</f>
        <v>-113533000</v>
      </c>
      <c r="P78" s="117">
        <f>-+'Besoins en micas'!O114</f>
        <v>-1434139000</v>
      </c>
      <c r="Q78" s="105"/>
      <c r="R78" s="105"/>
      <c r="S78" s="162"/>
    </row>
    <row r="79" spans="2:25" hidden="1">
      <c r="B79" s="80" t="str">
        <f>+'Besoins en micas'!B115</f>
        <v>Fort dauphin</v>
      </c>
      <c r="C79" s="80" t="s">
        <v>1847</v>
      </c>
      <c r="D79" s="117">
        <f>-+'Besoins en micas'!C115</f>
        <v>-78718500</v>
      </c>
      <c r="E79" s="117">
        <f>-+'Besoins en micas'!D115</f>
        <v>-78948000</v>
      </c>
      <c r="F79" s="117">
        <f>-+'Besoins en micas'!E115</f>
        <v>-78718500</v>
      </c>
      <c r="G79" s="117">
        <f>-+'Besoins en micas'!F115</f>
        <v>-78948000</v>
      </c>
      <c r="H79" s="117">
        <f>-+'Besoins en micas'!G115</f>
        <v>-78718500</v>
      </c>
      <c r="I79" s="117">
        <f>-+'Besoins en micas'!H115</f>
        <v>-78948000</v>
      </c>
      <c r="J79" s="117">
        <f>-+'Besoins en micas'!I115</f>
        <v>-78718500</v>
      </c>
      <c r="K79" s="117">
        <f>-+'Besoins en micas'!J115</f>
        <v>-78948000</v>
      </c>
      <c r="L79" s="117">
        <f>-+'Besoins en micas'!K115</f>
        <v>-72654750</v>
      </c>
      <c r="M79" s="117">
        <f>-+'Besoins en micas'!L115</f>
        <v>-72985500</v>
      </c>
      <c r="N79" s="117">
        <f>-+'Besoins en micas'!M115</f>
        <v>-72654750</v>
      </c>
      <c r="O79" s="117">
        <f>-+'Besoins en micas'!N115</f>
        <v>-72985500</v>
      </c>
      <c r="P79" s="117">
        <f>-+'Besoins en micas'!O115</f>
        <v>-921946500</v>
      </c>
      <c r="Q79" s="105"/>
      <c r="R79" s="105"/>
      <c r="S79" s="162"/>
    </row>
    <row r="80" spans="2:25" hidden="1">
      <c r="B80" s="80" t="str">
        <f>+'Besoins en micas'!B116</f>
        <v>Autres</v>
      </c>
      <c r="C80" s="80" t="s">
        <v>1847</v>
      </c>
      <c r="D80" s="117">
        <f>-+'Besoins en micas'!C116</f>
        <v>-78718500</v>
      </c>
      <c r="E80" s="117">
        <f>-+'Besoins en micas'!D116</f>
        <v>-78948000</v>
      </c>
      <c r="F80" s="117">
        <f>-+'Besoins en micas'!E116</f>
        <v>-78718500</v>
      </c>
      <c r="G80" s="117">
        <f>-+'Besoins en micas'!F116</f>
        <v>-78948000</v>
      </c>
      <c r="H80" s="117">
        <f>-+'Besoins en micas'!G116</f>
        <v>-78718500</v>
      </c>
      <c r="I80" s="117">
        <f>-+'Besoins en micas'!H116</f>
        <v>-78948000</v>
      </c>
      <c r="J80" s="117">
        <f>-+'Besoins en micas'!I116</f>
        <v>-78718500</v>
      </c>
      <c r="K80" s="117">
        <f>-+'Besoins en micas'!J116</f>
        <v>-78948000</v>
      </c>
      <c r="L80" s="117">
        <f>-+'Besoins en micas'!K116</f>
        <v>-72654750</v>
      </c>
      <c r="M80" s="117">
        <f>-+'Besoins en micas'!L116</f>
        <v>-72985500</v>
      </c>
      <c r="N80" s="117">
        <f>-+'Besoins en micas'!M116</f>
        <v>-72654750</v>
      </c>
      <c r="O80" s="117">
        <f>-+'Besoins en micas'!N116</f>
        <v>-72985500</v>
      </c>
      <c r="P80" s="117">
        <f>-+'Besoins en micas'!O116</f>
        <v>-921946500</v>
      </c>
      <c r="Q80" s="105"/>
      <c r="R80" s="105"/>
      <c r="S80" s="162"/>
      <c r="Y80" s="80">
        <f>+P73*1000</f>
        <v>324.95538939547328</v>
      </c>
    </row>
    <row r="81" spans="2:19" hidden="1">
      <c r="B81" s="80" t="str">
        <f>+'Besoins en micas'!B117</f>
        <v>FP1</v>
      </c>
      <c r="C81" s="80" t="s">
        <v>360</v>
      </c>
      <c r="D81" s="117">
        <f>-+'Besoins en micas'!C118</f>
        <v>0</v>
      </c>
      <c r="E81" s="117">
        <f>-+'Besoins en micas'!D118</f>
        <v>0</v>
      </c>
      <c r="F81" s="117">
        <f>-+'Besoins en micas'!E118</f>
        <v>0</v>
      </c>
      <c r="G81" s="117">
        <f>-+'Besoins en micas'!F118</f>
        <v>0</v>
      </c>
      <c r="H81" s="117">
        <f>-+'Besoins en micas'!G118</f>
        <v>0</v>
      </c>
      <c r="I81" s="117">
        <f>-+'Besoins en micas'!H118</f>
        <v>0</v>
      </c>
      <c r="J81" s="117">
        <f>-+'Besoins en micas'!I118</f>
        <v>0</v>
      </c>
      <c r="K81" s="117">
        <f>-+'Besoins en micas'!J118</f>
        <v>0</v>
      </c>
      <c r="L81" s="117">
        <f>-+'Besoins en micas'!K118</f>
        <v>0</v>
      </c>
      <c r="M81" s="117">
        <f>-+'Besoins en micas'!L118</f>
        <v>0</v>
      </c>
      <c r="N81" s="117">
        <f>-+'Besoins en micas'!M118</f>
        <v>0</v>
      </c>
      <c r="O81" s="117">
        <f>-+'Besoins en micas'!N118</f>
        <v>0</v>
      </c>
      <c r="P81" s="117">
        <f>-+'Besoins en micas'!O118</f>
        <v>0</v>
      </c>
      <c r="Q81" s="105"/>
      <c r="R81" s="105"/>
      <c r="S81" s="162"/>
    </row>
    <row r="82" spans="2:19" hidden="1">
      <c r="B82" s="80" t="str">
        <f>+B77</f>
        <v>Tranomaro</v>
      </c>
      <c r="C82" s="80" t="s">
        <v>1847</v>
      </c>
      <c r="D82" s="117">
        <f>-SUM(D76:D81)*'Besoins en micas'!$P$113</f>
        <v>-141974333.01896113</v>
      </c>
      <c r="E82" s="117">
        <f>-SUM(E76:E81)*'Besoins en micas'!$P$113</f>
        <v>-143518837.45537731</v>
      </c>
      <c r="F82" s="117">
        <f>-SUM(F76:F81)*'Besoins en micas'!$P$113</f>
        <v>-154576804.11722699</v>
      </c>
      <c r="G82" s="117">
        <f>-SUM(G76:G81)*'Besoins en micas'!$P$113</f>
        <v>-143726409.70971256</v>
      </c>
      <c r="H82" s="117">
        <f>-SUM(H76:H81)*'Besoins en micas'!$P$113</f>
        <v>-146136052.6721403</v>
      </c>
      <c r="I82" s="117">
        <f>-SUM(I76:I81)*'Besoins en micas'!$P$113</f>
        <v>-151335311.44381657</v>
      </c>
      <c r="J82" s="117">
        <f>-SUM(J76:J81)*'Besoins en micas'!$P$113</f>
        <v>-143421226.08254492</v>
      </c>
      <c r="K82" s="117">
        <f>-SUM(K76:K81)*'Besoins en micas'!$P$113</f>
        <v>-143259798.25343153</v>
      </c>
      <c r="L82" s="117">
        <f>-SUM(L76:L81)*'Besoins en micas'!$P$113</f>
        <v>-149470546.53636658</v>
      </c>
      <c r="M82" s="117">
        <f>-SUM(M76:M81)*'Besoins en micas'!$P$113</f>
        <v>-144542537.81272152</v>
      </c>
      <c r="N82" s="117">
        <f>-SUM(N76:N81)*'Besoins en micas'!$P$113</f>
        <v>-143863002.03123054</v>
      </c>
      <c r="O82" s="117">
        <f>-SUM(O76:O81)*'Besoins en micas'!$P$113</f>
        <v>-337167502.44059229</v>
      </c>
      <c r="P82" s="117">
        <f>-SUM(P76:P81)*'Besoins en micas'!$P$113</f>
        <v>-1942992361.5741222</v>
      </c>
      <c r="Q82" s="105"/>
      <c r="R82" s="105"/>
      <c r="S82" s="162"/>
    </row>
    <row r="83" spans="2:19" hidden="1">
      <c r="B83" s="80" t="str">
        <f t="shared" ref="B83:B86" si="76">+B78</f>
        <v>Ampandrandava</v>
      </c>
      <c r="C83" s="80" t="s">
        <v>1847</v>
      </c>
      <c r="D83" s="117">
        <f>-SUM(D76:D81)*'Besoins en micas'!$P$114</f>
        <v>-176679169.97915164</v>
      </c>
      <c r="E83" s="117">
        <f>-SUM(E76:E81)*'Besoins en micas'!$P$114</f>
        <v>-178601219.94446954</v>
      </c>
      <c r="F83" s="117">
        <f>-SUM(F76:F81)*'Besoins en micas'!$P$114</f>
        <v>-192362245.12366027</v>
      </c>
      <c r="G83" s="117">
        <f>-SUM(G76:G81)*'Besoins en micas'!$P$114</f>
        <v>-178859532.08319786</v>
      </c>
      <c r="H83" s="117">
        <f>-SUM(H76:H81)*'Besoins en micas'!$P$114</f>
        <v>-181858198.88088572</v>
      </c>
      <c r="I83" s="117">
        <f>-SUM(I76:I81)*'Besoins en micas'!$P$114</f>
        <v>-188328387.57452732</v>
      </c>
      <c r="J83" s="117">
        <f>-SUM(J76:J81)*'Besoins en micas'!$P$114</f>
        <v>-178479748.0138337</v>
      </c>
      <c r="K83" s="117">
        <f>-SUM(K76:K81)*'Besoins en micas'!$P$114</f>
        <v>-178278860.04871479</v>
      </c>
      <c r="L83" s="117">
        <f>-SUM(L76:L81)*'Besoins en micas'!$P$114</f>
        <v>-186007791.24525622</v>
      </c>
      <c r="M83" s="117">
        <f>-SUM(M76:M81)*'Besoins en micas'!$P$114</f>
        <v>-179875158.16694236</v>
      </c>
      <c r="N83" s="117">
        <f>-SUM(N76:N81)*'Besoins en micas'!$P$114</f>
        <v>-179029513.63886467</v>
      </c>
      <c r="O83" s="117">
        <f>-SUM(O76:O81)*'Besoins en micas'!$P$114</f>
        <v>-419586225.25940377</v>
      </c>
      <c r="P83" s="117">
        <f>-SUM(P76:P81)*'Besoins en micas'!$P$114</f>
        <v>-2417946049.9589081</v>
      </c>
      <c r="Q83" s="105"/>
      <c r="R83" s="105"/>
      <c r="S83" s="162"/>
    </row>
    <row r="84" spans="2:19" hidden="1">
      <c r="B84" s="80" t="str">
        <f t="shared" si="76"/>
        <v>Fort dauphin</v>
      </c>
      <c r="C84" s="80" t="s">
        <v>1847</v>
      </c>
      <c r="D84" s="117">
        <f>-SUM(D76:D81)*'Besoins en micas'!$P$115</f>
        <v>-113579466.41516891</v>
      </c>
      <c r="E84" s="117">
        <f>-SUM(E76:E81)*'Besoins en micas'!$P$115</f>
        <v>-114815069.96430185</v>
      </c>
      <c r="F84" s="117">
        <f>-SUM(F76:F81)*'Besoins en micas'!$P$115</f>
        <v>-123661443.29378159</v>
      </c>
      <c r="G84" s="117">
        <f>-SUM(G76:G81)*'Besoins en micas'!$P$115</f>
        <v>-114981127.76777007</v>
      </c>
      <c r="H84" s="117">
        <f>-SUM(H76:H81)*'Besoins en micas'!$P$115</f>
        <v>-116908842.13771226</v>
      </c>
      <c r="I84" s="117">
        <f>-SUM(I76:I81)*'Besoins en micas'!$P$115</f>
        <v>-121068249.15505327</v>
      </c>
      <c r="J84" s="117">
        <f>-SUM(J76:J81)*'Besoins en micas'!$P$115</f>
        <v>-114736980.86603595</v>
      </c>
      <c r="K84" s="117">
        <f>-SUM(K76:K81)*'Besoins en micas'!$P$115</f>
        <v>-114607838.60274523</v>
      </c>
      <c r="L84" s="117">
        <f>-SUM(L76:L81)*'Besoins en micas'!$P$115</f>
        <v>-119576437.22909328</v>
      </c>
      <c r="M84" s="117">
        <f>-SUM(M76:M81)*'Besoins en micas'!$P$115</f>
        <v>-115634030.25017723</v>
      </c>
      <c r="N84" s="117">
        <f>-SUM(N76:N81)*'Besoins en micas'!$P$115</f>
        <v>-115090401.62498444</v>
      </c>
      <c r="O84" s="117">
        <f>-SUM(O76:O81)*'Besoins en micas'!$P$115</f>
        <v>-269734001.95247388</v>
      </c>
      <c r="P84" s="117">
        <f>-SUM(P76:P81)*'Besoins en micas'!$P$115</f>
        <v>-1554393889.2592981</v>
      </c>
      <c r="Q84" s="105"/>
      <c r="R84" s="105"/>
      <c r="S84" s="162"/>
    </row>
    <row r="85" spans="2:19" hidden="1">
      <c r="B85" s="80" t="str">
        <f t="shared" si="76"/>
        <v>Autres</v>
      </c>
      <c r="C85" s="80" t="s">
        <v>1847</v>
      </c>
      <c r="D85" s="117">
        <f>-SUM(D76:D81)*'Besoins en micas'!$P$116</f>
        <v>-113579466.41516891</v>
      </c>
      <c r="E85" s="117">
        <f>-SUM(E76:E81)*'Besoins en micas'!$P$116</f>
        <v>-114815069.96430185</v>
      </c>
      <c r="F85" s="117">
        <f>-SUM(F76:F81)*'Besoins en micas'!$P$116</f>
        <v>-123661443.29378159</v>
      </c>
      <c r="G85" s="117">
        <f>-SUM(G76:G81)*'Besoins en micas'!$P$116</f>
        <v>-114981127.76777007</v>
      </c>
      <c r="H85" s="117">
        <f>-SUM(H76:H81)*'Besoins en micas'!$P$116</f>
        <v>-116908842.13771226</v>
      </c>
      <c r="I85" s="117">
        <f>-SUM(I76:I81)*'Besoins en micas'!$P$116</f>
        <v>-121068249.15505327</v>
      </c>
      <c r="J85" s="117">
        <f>-SUM(J76:J81)*'Besoins en micas'!$P$116</f>
        <v>-114736980.86603595</v>
      </c>
      <c r="K85" s="117">
        <f>-SUM(K76:K81)*'Besoins en micas'!$P$116</f>
        <v>-114607838.60274523</v>
      </c>
      <c r="L85" s="117">
        <f>-SUM(L76:L81)*'Besoins en micas'!$P$116</f>
        <v>-119576437.22909328</v>
      </c>
      <c r="M85" s="117">
        <f>-SUM(M76:M81)*'Besoins en micas'!$P$116</f>
        <v>-115634030.25017723</v>
      </c>
      <c r="N85" s="117">
        <f>-SUM(N76:N81)*'Besoins en micas'!$P$116</f>
        <v>-115090401.62498444</v>
      </c>
      <c r="O85" s="117">
        <f>-SUM(O76:O81)*'Besoins en micas'!$P$116</f>
        <v>-269734001.95247388</v>
      </c>
      <c r="P85" s="117">
        <f>-SUM(P76:P81)*'Besoins en micas'!$P$116</f>
        <v>-1554393889.2592981</v>
      </c>
      <c r="Q85" s="105"/>
      <c r="R85" s="105"/>
      <c r="S85" s="162"/>
    </row>
    <row r="86" spans="2:19" hidden="1">
      <c r="B86" s="80" t="str">
        <f t="shared" si="76"/>
        <v>FP1</v>
      </c>
      <c r="C86" s="80" t="s">
        <v>360</v>
      </c>
      <c r="D86" s="117">
        <f>-SUM(D76:D81)*'Besoins en micas'!$P$118</f>
        <v>0</v>
      </c>
      <c r="E86" s="117">
        <f>-SUM(E76:E81)*'Besoins en micas'!$P$118</f>
        <v>0</v>
      </c>
      <c r="F86" s="117">
        <f>-SUM(F76:F81)*'Besoins en micas'!$P$118</f>
        <v>0</v>
      </c>
      <c r="G86" s="117">
        <f>-SUM(G76:G81)*'Besoins en micas'!$P$118</f>
        <v>0</v>
      </c>
      <c r="H86" s="117">
        <f>-SUM(H76:H81)*'Besoins en micas'!$P$118</f>
        <v>0</v>
      </c>
      <c r="I86" s="117">
        <f>-SUM(I76:I81)*'Besoins en micas'!$P$118</f>
        <v>0</v>
      </c>
      <c r="J86" s="117">
        <f>-SUM(J76:J81)*'Besoins en micas'!$P$118</f>
        <v>0</v>
      </c>
      <c r="K86" s="117">
        <f>-SUM(K76:K81)*'Besoins en micas'!$P$118</f>
        <v>0</v>
      </c>
      <c r="L86" s="117">
        <f>-SUM(L76:L81)*'Besoins en micas'!$P$118</f>
        <v>0</v>
      </c>
      <c r="M86" s="117">
        <f>-SUM(M76:M81)*'Besoins en micas'!$P$118</f>
        <v>0</v>
      </c>
      <c r="N86" s="117">
        <f>-SUM(N76:N81)*'Besoins en micas'!$P$118</f>
        <v>0</v>
      </c>
      <c r="O86" s="117">
        <f>-SUM(O76:O81)*'Besoins en micas'!$P$118</f>
        <v>0</v>
      </c>
      <c r="P86" s="117">
        <f>-SUM(P76:P81)*'Besoins en micas'!$P$118</f>
        <v>0</v>
      </c>
      <c r="Q86" s="105"/>
      <c r="R86" s="105"/>
      <c r="S86" s="162"/>
    </row>
    <row r="87" spans="2:19" hidden="1">
      <c r="D87" s="117"/>
      <c r="E87" s="117"/>
      <c r="F87" s="117"/>
      <c r="G87" s="117"/>
      <c r="H87" s="117"/>
      <c r="I87" s="117"/>
      <c r="J87" s="117"/>
      <c r="K87" s="117"/>
      <c r="L87" s="117"/>
      <c r="M87" s="117"/>
      <c r="N87" s="117"/>
      <c r="O87" s="117"/>
      <c r="P87" s="117"/>
      <c r="Q87" s="105"/>
      <c r="R87" s="105"/>
      <c r="S87" s="162"/>
    </row>
    <row r="88" spans="2:19">
      <c r="C88" s="80" t="str">
        <f>+B77</f>
        <v>Tranomaro</v>
      </c>
      <c r="D88" s="117">
        <f>SUMIF($B$77:$B$86,$B$77,D77:D86)</f>
        <v>-240372458.01896113</v>
      </c>
      <c r="E88" s="117">
        <f t="shared" ref="E88:O88" si="77">SUMIF($B$77:$B$86,$B$77,E77:E86)</f>
        <v>-242203837.45537731</v>
      </c>
      <c r="F88" s="117">
        <f t="shared" si="77"/>
        <v>-252974929.11722699</v>
      </c>
      <c r="G88" s="117">
        <f t="shared" si="77"/>
        <v>-242411409.70971256</v>
      </c>
      <c r="H88" s="117">
        <f t="shared" si="77"/>
        <v>-244534177.6721403</v>
      </c>
      <c r="I88" s="117">
        <f t="shared" si="77"/>
        <v>-250020311.44381657</v>
      </c>
      <c r="J88" s="117">
        <f t="shared" si="77"/>
        <v>-241819351.08254492</v>
      </c>
      <c r="K88" s="117">
        <f t="shared" si="77"/>
        <v>-241944798.25343153</v>
      </c>
      <c r="L88" s="117">
        <f t="shared" si="77"/>
        <v>-240288984.03636658</v>
      </c>
      <c r="M88" s="117">
        <f t="shared" si="77"/>
        <v>-235774412.81272152</v>
      </c>
      <c r="N88" s="117">
        <f t="shared" si="77"/>
        <v>-234681439.53123054</v>
      </c>
      <c r="O88" s="117">
        <f t="shared" si="77"/>
        <v>-428399377.44059229</v>
      </c>
      <c r="P88" s="117">
        <f t="shared" ref="P88:P92" si="78">SUM(D88:O88)</f>
        <v>-3095425486.5741224</v>
      </c>
      <c r="Q88" s="105"/>
      <c r="R88" s="1140"/>
      <c r="S88" s="162"/>
    </row>
    <row r="89" spans="2:19">
      <c r="C89" s="80" t="str">
        <f t="shared" ref="C89:C92" si="79">+B78</f>
        <v>Ampandrandava</v>
      </c>
      <c r="D89" s="117">
        <f>SUMIF($B$77:$B$86,$B$78,D77:D86)</f>
        <v>-299130169.97915161</v>
      </c>
      <c r="E89" s="117">
        <f t="shared" ref="E89:O89" si="80">SUMIF($B$77:$B$86,$B$78,E77:E86)</f>
        <v>-301409219.94446957</v>
      </c>
      <c r="F89" s="117">
        <f t="shared" si="80"/>
        <v>-314813245.12366027</v>
      </c>
      <c r="G89" s="117">
        <f t="shared" si="80"/>
        <v>-301667532.08319783</v>
      </c>
      <c r="H89" s="117">
        <f t="shared" si="80"/>
        <v>-304309198.88088572</v>
      </c>
      <c r="I89" s="117">
        <f t="shared" si="80"/>
        <v>-311136387.57452732</v>
      </c>
      <c r="J89" s="117">
        <f t="shared" si="80"/>
        <v>-300930748.0138337</v>
      </c>
      <c r="K89" s="117">
        <f t="shared" si="80"/>
        <v>-301086860.04871476</v>
      </c>
      <c r="L89" s="117">
        <f t="shared" si="80"/>
        <v>-299026291.24525619</v>
      </c>
      <c r="M89" s="117">
        <f t="shared" si="80"/>
        <v>-293408158.16694236</v>
      </c>
      <c r="N89" s="117">
        <f t="shared" si="80"/>
        <v>-292048013.63886464</v>
      </c>
      <c r="O89" s="117">
        <f t="shared" si="80"/>
        <v>-533119225.25940377</v>
      </c>
      <c r="P89" s="117">
        <f t="shared" si="78"/>
        <v>-3852085049.9589076</v>
      </c>
      <c r="Q89" s="105"/>
      <c r="R89" s="1140"/>
      <c r="S89" s="162"/>
    </row>
    <row r="90" spans="2:19">
      <c r="C90" s="80" t="str">
        <f t="shared" si="79"/>
        <v>Fort dauphin</v>
      </c>
      <c r="D90" s="117">
        <f>SUMIF($B$77:$B$86,$B$79,D77:D86)</f>
        <v>-192297966.41516891</v>
      </c>
      <c r="E90" s="117">
        <f t="shared" ref="E90:O90" si="81">SUMIF($B$77:$B$86,$B$79,E77:E86)</f>
        <v>-193763069.96430185</v>
      </c>
      <c r="F90" s="117">
        <f t="shared" si="81"/>
        <v>-202379943.29378158</v>
      </c>
      <c r="G90" s="117">
        <f t="shared" si="81"/>
        <v>-193929127.76777005</v>
      </c>
      <c r="H90" s="117">
        <f t="shared" si="81"/>
        <v>-195627342.13771224</v>
      </c>
      <c r="I90" s="117">
        <f t="shared" si="81"/>
        <v>-200016249.15505326</v>
      </c>
      <c r="J90" s="117">
        <f t="shared" si="81"/>
        <v>-193455480.86603594</v>
      </c>
      <c r="K90" s="117">
        <f t="shared" si="81"/>
        <v>-193555838.60274523</v>
      </c>
      <c r="L90" s="117">
        <f t="shared" si="81"/>
        <v>-192231187.22909328</v>
      </c>
      <c r="M90" s="117">
        <f t="shared" si="81"/>
        <v>-188619530.25017723</v>
      </c>
      <c r="N90" s="117">
        <f t="shared" si="81"/>
        <v>-187745151.62498444</v>
      </c>
      <c r="O90" s="117">
        <f t="shared" si="81"/>
        <v>-342719501.95247388</v>
      </c>
      <c r="P90" s="117">
        <f t="shared" si="78"/>
        <v>-2476340389.2592983</v>
      </c>
      <c r="Q90" s="105"/>
      <c r="R90" s="1140"/>
      <c r="S90" s="162"/>
    </row>
    <row r="91" spans="2:19">
      <c r="C91" s="80" t="str">
        <f t="shared" si="79"/>
        <v>Autres</v>
      </c>
      <c r="D91" s="117">
        <f>SUMIF($B$77:$B$86,$B$80,D77:D86)</f>
        <v>-192297966.41516891</v>
      </c>
      <c r="E91" s="117">
        <f t="shared" ref="E91:O91" si="82">SUMIF($B$77:$B$86,$B$80,E77:E86)</f>
        <v>-193763069.96430185</v>
      </c>
      <c r="F91" s="117">
        <f t="shared" si="82"/>
        <v>-202379943.29378158</v>
      </c>
      <c r="G91" s="117">
        <f t="shared" si="82"/>
        <v>-193929127.76777005</v>
      </c>
      <c r="H91" s="117">
        <f t="shared" si="82"/>
        <v>-195627342.13771224</v>
      </c>
      <c r="I91" s="117">
        <f t="shared" si="82"/>
        <v>-200016249.15505326</v>
      </c>
      <c r="J91" s="117">
        <f t="shared" si="82"/>
        <v>-193455480.86603594</v>
      </c>
      <c r="K91" s="117">
        <f t="shared" si="82"/>
        <v>-193555838.60274523</v>
      </c>
      <c r="L91" s="117">
        <f t="shared" si="82"/>
        <v>-192231187.22909328</v>
      </c>
      <c r="M91" s="117">
        <f t="shared" si="82"/>
        <v>-188619530.25017723</v>
      </c>
      <c r="N91" s="117">
        <f t="shared" si="82"/>
        <v>-187745151.62498444</v>
      </c>
      <c r="O91" s="117">
        <f t="shared" si="82"/>
        <v>-342719501.95247388</v>
      </c>
      <c r="P91" s="117">
        <f t="shared" si="78"/>
        <v>-2476340389.2592983</v>
      </c>
      <c r="Q91" s="105"/>
      <c r="R91" s="1140"/>
      <c r="S91" s="162"/>
    </row>
    <row r="92" spans="2:19">
      <c r="C92" s="80" t="str">
        <f t="shared" si="79"/>
        <v>FP1</v>
      </c>
      <c r="D92" s="117">
        <f>SUMIF($B$77:$B$86,$B$81,D77:D86)</f>
        <v>0</v>
      </c>
      <c r="E92" s="117">
        <f t="shared" ref="E92:O92" si="83">SUMIF($B$77:$B$86,$B$81,E77:E86)</f>
        <v>0</v>
      </c>
      <c r="F92" s="117">
        <f t="shared" si="83"/>
        <v>0</v>
      </c>
      <c r="G92" s="117">
        <f t="shared" si="83"/>
        <v>0</v>
      </c>
      <c r="H92" s="117">
        <f t="shared" si="83"/>
        <v>0</v>
      </c>
      <c r="I92" s="117">
        <f t="shared" si="83"/>
        <v>0</v>
      </c>
      <c r="J92" s="117">
        <f t="shared" si="83"/>
        <v>0</v>
      </c>
      <c r="K92" s="117">
        <f t="shared" si="83"/>
        <v>0</v>
      </c>
      <c r="L92" s="117">
        <f t="shared" si="83"/>
        <v>0</v>
      </c>
      <c r="M92" s="117">
        <f t="shared" si="83"/>
        <v>0</v>
      </c>
      <c r="N92" s="117">
        <f t="shared" si="83"/>
        <v>0</v>
      </c>
      <c r="O92" s="117">
        <f t="shared" si="83"/>
        <v>0</v>
      </c>
      <c r="P92" s="117">
        <f t="shared" si="78"/>
        <v>0</v>
      </c>
      <c r="Q92" s="105"/>
      <c r="R92" s="1140"/>
      <c r="S92" s="162"/>
    </row>
    <row r="93" spans="2:19">
      <c r="C93" s="187" t="s">
        <v>1745</v>
      </c>
      <c r="D93" s="1139"/>
      <c r="E93" s="117"/>
      <c r="F93" s="117"/>
      <c r="G93" s="117"/>
      <c r="H93" s="117"/>
      <c r="I93" s="117"/>
      <c r="J93" s="117"/>
      <c r="K93" s="117"/>
      <c r="L93" s="117"/>
      <c r="M93" s="117"/>
      <c r="N93" s="117"/>
      <c r="O93" s="117"/>
      <c r="P93" s="117"/>
      <c r="Q93" s="105"/>
      <c r="R93" s="105"/>
      <c r="S93" s="162"/>
    </row>
    <row r="94" spans="2:19">
      <c r="C94" s="81" t="s">
        <v>467</v>
      </c>
      <c r="D94" s="117">
        <f>+SUM(D88:D91)/(D55+D56)</f>
        <v>-1373.1033593290497</v>
      </c>
      <c r="E94" s="117">
        <f t="shared" ref="E94:P94" si="84">+SUM(E88:E91)/(E55+E56)</f>
        <v>-1379.056868081236</v>
      </c>
      <c r="F94" s="117">
        <f t="shared" si="84"/>
        <v>-1445.093701082393</v>
      </c>
      <c r="G94" s="117">
        <f t="shared" si="84"/>
        <v>-1380.2387401191506</v>
      </c>
      <c r="H94" s="117">
        <f t="shared" si="84"/>
        <v>-1396.876762003641</v>
      </c>
      <c r="I94" s="117">
        <f t="shared" si="84"/>
        <v>-1423.5621998347904</v>
      </c>
      <c r="J94" s="117">
        <f t="shared" si="84"/>
        <v>-1381.3685896410855</v>
      </c>
      <c r="K94" s="117">
        <f t="shared" si="84"/>
        <v>-1377.5819542470924</v>
      </c>
      <c r="L94" s="117">
        <f t="shared" si="84"/>
        <v>-1372.6265226445905</v>
      </c>
      <c r="M94" s="117">
        <f t="shared" si="84"/>
        <v>-1342.4490987559514</v>
      </c>
      <c r="N94" s="117">
        <f t="shared" si="84"/>
        <v>-1340.5939917088622</v>
      </c>
      <c r="O94" s="117">
        <f t="shared" si="84"/>
        <v>-2439.2144647585069</v>
      </c>
      <c r="P94" s="117">
        <f t="shared" si="84"/>
        <v>-1471.1209161662002</v>
      </c>
      <c r="Q94" s="105"/>
      <c r="R94" s="105"/>
      <c r="S94" s="162"/>
    </row>
    <row r="95" spans="2:19">
      <c r="C95" s="81" t="s">
        <v>466</v>
      </c>
      <c r="D95" s="117">
        <f>D94</f>
        <v>-1373.1033593290497</v>
      </c>
      <c r="E95" s="117">
        <f t="shared" ref="E95:P95" si="85">E94</f>
        <v>-1379.056868081236</v>
      </c>
      <c r="F95" s="117">
        <f t="shared" si="85"/>
        <v>-1445.093701082393</v>
      </c>
      <c r="G95" s="117">
        <f t="shared" si="85"/>
        <v>-1380.2387401191506</v>
      </c>
      <c r="H95" s="117">
        <f t="shared" si="85"/>
        <v>-1396.876762003641</v>
      </c>
      <c r="I95" s="117">
        <f t="shared" si="85"/>
        <v>-1423.5621998347904</v>
      </c>
      <c r="J95" s="117">
        <f t="shared" si="85"/>
        <v>-1381.3685896410855</v>
      </c>
      <c r="K95" s="117">
        <f t="shared" si="85"/>
        <v>-1377.5819542470924</v>
      </c>
      <c r="L95" s="117">
        <f t="shared" si="85"/>
        <v>-1372.6265226445905</v>
      </c>
      <c r="M95" s="117">
        <f t="shared" si="85"/>
        <v>-1342.4490987559514</v>
      </c>
      <c r="N95" s="117">
        <f t="shared" si="85"/>
        <v>-1340.5939917088622</v>
      </c>
      <c r="O95" s="117">
        <f t="shared" si="85"/>
        <v>-2439.2144647585069</v>
      </c>
      <c r="P95" s="117">
        <f t="shared" si="85"/>
        <v>-1471.1209161662002</v>
      </c>
      <c r="Q95" s="105"/>
      <c r="R95" s="105"/>
      <c r="S95" s="162"/>
    </row>
    <row r="96" spans="2:19">
      <c r="C96" s="81" t="s">
        <v>360</v>
      </c>
      <c r="D96" s="117" t="str">
        <f>IFERROR(+D92/D57,"")</f>
        <v/>
      </c>
      <c r="E96" s="117" t="str">
        <f t="shared" ref="E96:P96" si="86">IFERROR(+E92/E57,"")</f>
        <v/>
      </c>
      <c r="F96" s="117" t="str">
        <f t="shared" si="86"/>
        <v/>
      </c>
      <c r="G96" s="117" t="str">
        <f t="shared" si="86"/>
        <v/>
      </c>
      <c r="H96" s="117" t="str">
        <f t="shared" si="86"/>
        <v/>
      </c>
      <c r="I96" s="117" t="str">
        <f t="shared" si="86"/>
        <v/>
      </c>
      <c r="J96" s="117" t="str">
        <f t="shared" si="86"/>
        <v/>
      </c>
      <c r="K96" s="117" t="str">
        <f t="shared" si="86"/>
        <v/>
      </c>
      <c r="L96" s="117" t="str">
        <f t="shared" si="86"/>
        <v/>
      </c>
      <c r="M96" s="117" t="str">
        <f t="shared" si="86"/>
        <v/>
      </c>
      <c r="N96" s="117" t="str">
        <f t="shared" si="86"/>
        <v/>
      </c>
      <c r="O96" s="117" t="str">
        <f t="shared" si="86"/>
        <v/>
      </c>
      <c r="P96" s="117" t="str">
        <f t="shared" si="86"/>
        <v/>
      </c>
      <c r="Q96" s="105"/>
      <c r="R96" s="105"/>
      <c r="S96" s="162"/>
    </row>
    <row r="97" spans="3:19">
      <c r="C97" s="187" t="s">
        <v>1094</v>
      </c>
      <c r="D97" s="117"/>
      <c r="E97" s="117"/>
      <c r="F97" s="117"/>
      <c r="G97" s="117"/>
      <c r="H97" s="117"/>
      <c r="I97" s="117"/>
      <c r="J97" s="117"/>
      <c r="K97" s="117"/>
      <c r="L97" s="117"/>
      <c r="M97" s="117"/>
      <c r="N97" s="117"/>
      <c r="O97" s="117"/>
      <c r="P97" s="117"/>
      <c r="Q97" s="105"/>
      <c r="R97" s="105"/>
      <c r="S97" s="162"/>
    </row>
    <row r="98" spans="3:19">
      <c r="C98" s="80" t="str">
        <f>+C94</f>
        <v>TRA</v>
      </c>
      <c r="D98" s="117">
        <f>+D94/'Données SOMIDA'!$E$11</f>
        <v>-0.30513407985089991</v>
      </c>
      <c r="E98" s="117">
        <f>+E94/'Données SOMIDA'!$E$11</f>
        <v>-0.3064570817958302</v>
      </c>
      <c r="F98" s="117">
        <f>+F94/'Données SOMIDA'!$E$11</f>
        <v>-0.3211319335738651</v>
      </c>
      <c r="G98" s="117">
        <f>+G94/'Données SOMIDA'!$E$11</f>
        <v>-0.3067197200264779</v>
      </c>
      <c r="H98" s="117">
        <f>+H94/'Données SOMIDA'!$E$11</f>
        <v>-0.31041705822303134</v>
      </c>
      <c r="I98" s="117">
        <f>+I94/'Données SOMIDA'!$E$11</f>
        <v>-0.31634715551884229</v>
      </c>
      <c r="J98" s="117">
        <f>+J94/'Données SOMIDA'!$E$11</f>
        <v>-0.30697079769801899</v>
      </c>
      <c r="K98" s="117">
        <f>+K94/'Données SOMIDA'!$E$11</f>
        <v>-0.30612932316602054</v>
      </c>
      <c r="L98" s="117">
        <f>+L94/'Données SOMIDA'!$E$11</f>
        <v>-0.30502811614324232</v>
      </c>
      <c r="M98" s="117">
        <f>+M94/'Données SOMIDA'!$E$11</f>
        <v>-0.29832202194576696</v>
      </c>
      <c r="N98" s="117">
        <f>+N94/'Données SOMIDA'!$E$11</f>
        <v>-0.29790977593530271</v>
      </c>
      <c r="O98" s="117">
        <f>+O94/'Données SOMIDA'!$E$11</f>
        <v>-0.54204765883522377</v>
      </c>
      <c r="P98" s="117">
        <f>+P94/'Données SOMIDA'!$E$11</f>
        <v>-0.32691575914804449</v>
      </c>
      <c r="Q98" s="117"/>
      <c r="R98" s="105"/>
      <c r="S98" s="162"/>
    </row>
    <row r="99" spans="3:19">
      <c r="C99" s="80" t="str">
        <f t="shared" ref="C99:C100" si="87">+C95</f>
        <v>ABR</v>
      </c>
      <c r="D99" s="117">
        <f>+D95/'Données SOMIDA'!$E$11</f>
        <v>-0.30513407985089991</v>
      </c>
      <c r="E99" s="117">
        <f>+E95/'Données SOMIDA'!$E$11</f>
        <v>-0.3064570817958302</v>
      </c>
      <c r="F99" s="117">
        <f>+F95/'Données SOMIDA'!$E$11</f>
        <v>-0.3211319335738651</v>
      </c>
      <c r="G99" s="117">
        <f>+G95/'Données SOMIDA'!$E$11</f>
        <v>-0.3067197200264779</v>
      </c>
      <c r="H99" s="117">
        <f>+H95/'Données SOMIDA'!$E$11</f>
        <v>-0.31041705822303134</v>
      </c>
      <c r="I99" s="117">
        <f>+I95/'Données SOMIDA'!$E$11</f>
        <v>-0.31634715551884229</v>
      </c>
      <c r="J99" s="117">
        <f>+J95/'Données SOMIDA'!$E$11</f>
        <v>-0.30697079769801899</v>
      </c>
      <c r="K99" s="117">
        <f>+K95/'Données SOMIDA'!$E$11</f>
        <v>-0.30612932316602054</v>
      </c>
      <c r="L99" s="117">
        <f>+L95/'Données SOMIDA'!$E$11</f>
        <v>-0.30502811614324232</v>
      </c>
      <c r="M99" s="117">
        <f>+M95/'Données SOMIDA'!$E$11</f>
        <v>-0.29832202194576696</v>
      </c>
      <c r="N99" s="117">
        <f>+N95/'Données SOMIDA'!$E$11</f>
        <v>-0.29790977593530271</v>
      </c>
      <c r="O99" s="117">
        <f>+O95/'Données SOMIDA'!$E$11</f>
        <v>-0.54204765883522377</v>
      </c>
      <c r="P99" s="117">
        <f>+P95/'Données SOMIDA'!$E$11</f>
        <v>-0.32691575914804449</v>
      </c>
      <c r="Q99" s="117"/>
      <c r="R99" s="105"/>
      <c r="S99" s="162"/>
    </row>
    <row r="100" spans="3:19">
      <c r="C100" s="80" t="str">
        <f t="shared" si="87"/>
        <v>FP1</v>
      </c>
      <c r="D100" s="117" t="str">
        <f>IFERROR(+D96/'Données SOMIDA'!$E$11,"")</f>
        <v/>
      </c>
      <c r="E100" s="117" t="str">
        <f>IFERROR(+E96/'Données SOMIDA'!$E$11,"")</f>
        <v/>
      </c>
      <c r="F100" s="117" t="str">
        <f>IFERROR(+F96/'Données SOMIDA'!$E$11,"")</f>
        <v/>
      </c>
      <c r="G100" s="117" t="str">
        <f>IFERROR(+G96/'Données SOMIDA'!$E$11,"")</f>
        <v/>
      </c>
      <c r="H100" s="117" t="str">
        <f>IFERROR(+H96/'Données SOMIDA'!$E$11,"")</f>
        <v/>
      </c>
      <c r="I100" s="117" t="str">
        <f>IFERROR(+I96/'Données SOMIDA'!$E$11,"")</f>
        <v/>
      </c>
      <c r="J100" s="117" t="str">
        <f>IFERROR(+J96/'Données SOMIDA'!$E$11,"")</f>
        <v/>
      </c>
      <c r="K100" s="117" t="str">
        <f>IFERROR(+K96/'Données SOMIDA'!$E$11,"")</f>
        <v/>
      </c>
      <c r="L100" s="117" t="str">
        <f>IFERROR(+L96/'Données SOMIDA'!$E$11,"")</f>
        <v/>
      </c>
      <c r="M100" s="117" t="str">
        <f>IFERROR(+M96/'Données SOMIDA'!$E$11,"")</f>
        <v/>
      </c>
      <c r="N100" s="117" t="str">
        <f>IFERROR(+N96/'Données SOMIDA'!$E$11,"")</f>
        <v/>
      </c>
      <c r="O100" s="117" t="str">
        <f>IFERROR(+O96/'Données SOMIDA'!$E$11,"")</f>
        <v/>
      </c>
      <c r="P100" s="117" t="str">
        <f>IFERROR(+P96/'Données SOMIDA'!$E$11,"")</f>
        <v/>
      </c>
      <c r="Q100" s="117"/>
      <c r="R100" s="105"/>
      <c r="S100" s="162"/>
    </row>
    <row r="101" spans="3:19">
      <c r="D101" s="117"/>
      <c r="E101" s="117"/>
      <c r="F101" s="117"/>
      <c r="G101" s="117"/>
      <c r="H101" s="117"/>
      <c r="I101" s="117"/>
      <c r="J101" s="117"/>
      <c r="K101" s="117"/>
      <c r="L101" s="117"/>
      <c r="M101" s="117"/>
      <c r="N101" s="117"/>
      <c r="O101" s="117"/>
      <c r="P101" s="117"/>
      <c r="Q101" s="105"/>
      <c r="R101" s="105"/>
      <c r="S101" s="162"/>
    </row>
    <row r="102" spans="3:19">
      <c r="C102" s="80" t="str">
        <f>+C98</f>
        <v>TRA</v>
      </c>
      <c r="D102" s="117">
        <f>D94/'Données SOMIDA'!$E$12</f>
        <v>-0.28022517537327546</v>
      </c>
      <c r="E102" s="117">
        <f>E94/'Données SOMIDA'!$E$12</f>
        <v>-0.28144017715943592</v>
      </c>
      <c r="F102" s="117">
        <f>F94/'Données SOMIDA'!$E$12</f>
        <v>-0.29491708185354959</v>
      </c>
      <c r="G102" s="117">
        <f>G94/'Données SOMIDA'!$E$12</f>
        <v>-0.28168137553452055</v>
      </c>
      <c r="H102" s="117">
        <f>H94/'Données SOMIDA'!$E$12</f>
        <v>-0.28507689020482468</v>
      </c>
      <c r="I102" s="117">
        <f>I94/'Données SOMIDA'!$E$12</f>
        <v>-0.29052289792546743</v>
      </c>
      <c r="J102" s="117">
        <f>J94/'Données SOMIDA'!$E$12</f>
        <v>-0.28191195706960925</v>
      </c>
      <c r="K102" s="117">
        <f>K94/'Données SOMIDA'!$E$12</f>
        <v>-0.28113917433614133</v>
      </c>
      <c r="L102" s="117">
        <f>L94/'Données SOMIDA'!$E$12</f>
        <v>-0.28012786176420212</v>
      </c>
      <c r="M102" s="117">
        <f>M94/'Données SOMIDA'!$E$12</f>
        <v>-0.2739692038277452</v>
      </c>
      <c r="N102" s="117">
        <f>N94/'Données SOMIDA'!$E$12</f>
        <v>-0.27359061055282902</v>
      </c>
      <c r="O102" s="117">
        <f>O94/'Données SOMIDA'!$E$12</f>
        <v>-0.49779887035887893</v>
      </c>
      <c r="P102" s="117">
        <f>P94/'Données SOMIDA'!$E$12</f>
        <v>-0.30022875840126534</v>
      </c>
      <c r="Q102" s="105"/>
      <c r="R102" s="105"/>
      <c r="S102" s="162"/>
    </row>
    <row r="103" spans="3:19">
      <c r="C103" s="80" t="str">
        <f t="shared" ref="C103:C104" si="88">+C99</f>
        <v>ABR</v>
      </c>
      <c r="D103" s="117">
        <f>D95/'Données SOMIDA'!$E$12</f>
        <v>-0.28022517537327546</v>
      </c>
      <c r="E103" s="117">
        <f>E95/'Données SOMIDA'!$E$12</f>
        <v>-0.28144017715943592</v>
      </c>
      <c r="F103" s="117">
        <f>F95/'Données SOMIDA'!$E$12</f>
        <v>-0.29491708185354959</v>
      </c>
      <c r="G103" s="117">
        <f>G95/'Données SOMIDA'!$E$12</f>
        <v>-0.28168137553452055</v>
      </c>
      <c r="H103" s="117">
        <f>H95/'Données SOMIDA'!$E$12</f>
        <v>-0.28507689020482468</v>
      </c>
      <c r="I103" s="117">
        <f>I95/'Données SOMIDA'!$E$12</f>
        <v>-0.29052289792546743</v>
      </c>
      <c r="J103" s="117">
        <f>J95/'Données SOMIDA'!$E$12</f>
        <v>-0.28191195706960925</v>
      </c>
      <c r="K103" s="117">
        <f>K95/'Données SOMIDA'!$E$12</f>
        <v>-0.28113917433614133</v>
      </c>
      <c r="L103" s="117">
        <f>L95/'Données SOMIDA'!$E$12</f>
        <v>-0.28012786176420212</v>
      </c>
      <c r="M103" s="117">
        <f>M95/'Données SOMIDA'!$E$12</f>
        <v>-0.2739692038277452</v>
      </c>
      <c r="N103" s="117">
        <f>N95/'Données SOMIDA'!$E$12</f>
        <v>-0.27359061055282902</v>
      </c>
      <c r="O103" s="117">
        <f>O95/'Données SOMIDA'!$E$12</f>
        <v>-0.49779887035887893</v>
      </c>
      <c r="P103" s="117">
        <f>P95/'Données SOMIDA'!$E$12</f>
        <v>-0.30022875840126534</v>
      </c>
      <c r="Q103" s="105"/>
      <c r="R103" s="105"/>
      <c r="S103" s="162"/>
    </row>
    <row r="104" spans="3:19">
      <c r="C104" s="80" t="str">
        <f t="shared" si="88"/>
        <v>FP1</v>
      </c>
      <c r="D104" s="117" t="str">
        <f>IFERROR(D96/'Données SOMIDA'!$E$12,"")</f>
        <v/>
      </c>
      <c r="E104" s="117" t="str">
        <f>IFERROR(E96/'Données SOMIDA'!$E$12,"")</f>
        <v/>
      </c>
      <c r="F104" s="117" t="str">
        <f>IFERROR(F96/'Données SOMIDA'!$E$12,"")</f>
        <v/>
      </c>
      <c r="G104" s="117" t="str">
        <f>IFERROR(G96/'Données SOMIDA'!$E$12,"")</f>
        <v/>
      </c>
      <c r="H104" s="117" t="str">
        <f>IFERROR(H96/'Données SOMIDA'!$E$12,"")</f>
        <v/>
      </c>
      <c r="I104" s="117" t="str">
        <f>IFERROR(I96/'Données SOMIDA'!$E$12,"")</f>
        <v/>
      </c>
      <c r="J104" s="117" t="str">
        <f>IFERROR(J96/'Données SOMIDA'!$E$12,"")</f>
        <v/>
      </c>
      <c r="K104" s="117" t="str">
        <f>IFERROR(K96/'Données SOMIDA'!$E$12,"")</f>
        <v/>
      </c>
      <c r="L104" s="117" t="str">
        <f>IFERROR(L96/'Données SOMIDA'!$E$12,"")</f>
        <v/>
      </c>
      <c r="M104" s="117" t="str">
        <f>IFERROR(M96/'Données SOMIDA'!$E$12,"")</f>
        <v/>
      </c>
      <c r="N104" s="117" t="str">
        <f>IFERROR(N96/'Données SOMIDA'!$E$12,"")</f>
        <v/>
      </c>
      <c r="O104" s="117" t="str">
        <f>IFERROR(O96/'Données SOMIDA'!$E$12,"")</f>
        <v/>
      </c>
      <c r="P104" s="117" t="str">
        <f>IFERROR(P96/'Données SOMIDA'!$E$12,"")</f>
        <v/>
      </c>
      <c r="Q104" s="105"/>
      <c r="R104" s="105"/>
      <c r="S104" s="162"/>
    </row>
    <row r="105" spans="3:19">
      <c r="D105" s="117"/>
      <c r="E105" s="117"/>
      <c r="F105" s="117"/>
      <c r="G105" s="117"/>
      <c r="H105" s="117"/>
      <c r="I105" s="117"/>
      <c r="J105" s="117"/>
      <c r="K105" s="117"/>
      <c r="L105" s="117"/>
      <c r="M105" s="117"/>
      <c r="N105" s="117"/>
      <c r="O105" s="117"/>
      <c r="P105" s="117"/>
      <c r="Q105" s="105"/>
      <c r="R105" s="105"/>
      <c r="S105" s="162"/>
    </row>
    <row r="106" spans="3:19">
      <c r="D106" s="117"/>
      <c r="E106" s="117"/>
      <c r="F106" s="117"/>
      <c r="G106" s="117"/>
      <c r="H106" s="117"/>
      <c r="I106" s="117"/>
      <c r="J106" s="117"/>
      <c r="K106" s="117"/>
      <c r="L106" s="117"/>
      <c r="M106" s="117"/>
      <c r="N106" s="117"/>
      <c r="O106" s="117"/>
      <c r="P106" s="117"/>
      <c r="Q106" s="105"/>
      <c r="R106" s="105"/>
      <c r="S106" s="162"/>
    </row>
    <row r="107" spans="3:19">
      <c r="D107" s="117"/>
      <c r="E107" s="117"/>
      <c r="F107" s="117"/>
      <c r="G107" s="117"/>
      <c r="H107" s="117"/>
      <c r="I107" s="117"/>
      <c r="J107" s="117"/>
      <c r="K107" s="117"/>
      <c r="L107" s="117"/>
      <c r="M107" s="117"/>
      <c r="N107" s="117"/>
      <c r="O107" s="117"/>
      <c r="P107" s="117"/>
      <c r="Q107" s="105"/>
      <c r="R107" s="105"/>
      <c r="S107" s="162"/>
    </row>
    <row r="108" spans="3:19">
      <c r="D108" s="117"/>
      <c r="E108" s="117"/>
      <c r="F108" s="117"/>
      <c r="G108" s="117"/>
      <c r="H108" s="117"/>
      <c r="I108" s="117"/>
      <c r="J108" s="117"/>
      <c r="K108" s="117"/>
      <c r="L108" s="117"/>
      <c r="M108" s="117"/>
      <c r="N108" s="117"/>
      <c r="O108" s="117"/>
      <c r="P108" s="117"/>
      <c r="Q108" s="105"/>
      <c r="R108" s="105"/>
      <c r="S108" s="162"/>
    </row>
    <row r="109" spans="3:19">
      <c r="D109" s="117"/>
      <c r="E109" s="117"/>
      <c r="F109" s="117"/>
      <c r="G109" s="117"/>
      <c r="H109" s="117"/>
      <c r="I109" s="117"/>
      <c r="J109" s="117"/>
      <c r="K109" s="117"/>
      <c r="L109" s="117"/>
      <c r="M109" s="117"/>
      <c r="N109" s="117"/>
      <c r="O109" s="117"/>
      <c r="P109" s="117"/>
      <c r="Q109" s="105"/>
      <c r="R109" s="105"/>
      <c r="S109" s="162"/>
    </row>
    <row r="110" spans="3:19">
      <c r="D110" s="117"/>
      <c r="E110" s="117"/>
      <c r="F110" s="117"/>
      <c r="G110" s="117"/>
      <c r="H110" s="117"/>
      <c r="I110" s="117"/>
      <c r="J110" s="117"/>
      <c r="K110" s="117"/>
      <c r="L110" s="117"/>
      <c r="M110" s="117"/>
      <c r="N110" s="117"/>
      <c r="O110" s="117"/>
      <c r="P110" s="117"/>
      <c r="Q110" s="105"/>
      <c r="R110" s="105"/>
      <c r="S110" s="162"/>
    </row>
    <row r="111" spans="3:19">
      <c r="D111" s="117"/>
      <c r="E111" s="117"/>
      <c r="F111" s="117"/>
      <c r="G111" s="117"/>
      <c r="H111" s="117"/>
      <c r="I111" s="117"/>
      <c r="J111" s="117"/>
      <c r="K111" s="117"/>
      <c r="L111" s="117"/>
      <c r="M111" s="117"/>
      <c r="N111" s="117"/>
      <c r="O111" s="117"/>
      <c r="P111" s="117"/>
      <c r="Q111" s="105"/>
      <c r="R111" s="105"/>
      <c r="S111" s="162"/>
    </row>
    <row r="112" spans="3:19">
      <c r="D112" s="117"/>
      <c r="E112" s="117"/>
      <c r="F112" s="117"/>
      <c r="G112" s="117"/>
      <c r="H112" s="117"/>
      <c r="I112" s="117"/>
      <c r="J112" s="117"/>
      <c r="K112" s="117"/>
      <c r="L112" s="117"/>
      <c r="M112" s="117"/>
      <c r="N112" s="117"/>
      <c r="O112" s="117"/>
      <c r="P112" s="117"/>
      <c r="Q112" s="105"/>
      <c r="R112" s="105"/>
      <c r="S112" s="162"/>
    </row>
    <row r="113" spans="4:19">
      <c r="D113" s="117"/>
      <c r="E113" s="117"/>
      <c r="F113" s="117"/>
      <c r="G113" s="117"/>
      <c r="H113" s="117"/>
      <c r="I113" s="117"/>
      <c r="J113" s="117"/>
      <c r="K113" s="117"/>
      <c r="L113" s="117"/>
      <c r="M113" s="117"/>
      <c r="N113" s="117"/>
      <c r="O113" s="117"/>
      <c r="P113" s="117"/>
      <c r="Q113" s="105"/>
      <c r="R113" s="105"/>
      <c r="S113" s="162"/>
    </row>
    <row r="114" spans="4:19">
      <c r="D114" s="117"/>
      <c r="E114" s="117"/>
      <c r="F114" s="117"/>
      <c r="G114" s="117"/>
      <c r="H114" s="117"/>
      <c r="I114" s="117"/>
      <c r="J114" s="117"/>
      <c r="K114" s="117"/>
      <c r="L114" s="117"/>
      <c r="M114" s="117"/>
      <c r="N114" s="117"/>
      <c r="O114" s="117"/>
      <c r="P114" s="117"/>
      <c r="Q114" s="105"/>
      <c r="R114" s="105"/>
      <c r="S114" s="162"/>
    </row>
    <row r="115" spans="4:19">
      <c r="D115" s="117"/>
      <c r="E115" s="117"/>
      <c r="F115" s="117"/>
      <c r="G115" s="117"/>
      <c r="H115" s="117"/>
      <c r="I115" s="117"/>
      <c r="J115" s="117"/>
      <c r="K115" s="117"/>
      <c r="L115" s="117"/>
      <c r="M115" s="117"/>
      <c r="N115" s="117"/>
      <c r="O115" s="117"/>
      <c r="P115" s="117"/>
      <c r="Q115" s="105"/>
      <c r="R115" s="105"/>
      <c r="S115" s="162"/>
    </row>
    <row r="116" spans="4:19">
      <c r="D116" s="117"/>
      <c r="E116" s="117"/>
      <c r="F116" s="117"/>
      <c r="G116" s="117"/>
      <c r="H116" s="117"/>
      <c r="I116" s="117"/>
      <c r="J116" s="117"/>
      <c r="K116" s="117"/>
      <c r="L116" s="117"/>
      <c r="M116" s="117"/>
      <c r="N116" s="117"/>
      <c r="O116" s="117"/>
      <c r="P116" s="117"/>
      <c r="Q116" s="105"/>
      <c r="R116" s="105"/>
      <c r="S116" s="162"/>
    </row>
    <row r="117" spans="4:19">
      <c r="D117" s="117"/>
      <c r="E117" s="117"/>
      <c r="F117" s="117"/>
      <c r="G117" s="117"/>
      <c r="H117" s="117"/>
      <c r="I117" s="117"/>
      <c r="J117" s="117"/>
      <c r="K117" s="117"/>
      <c r="L117" s="117"/>
      <c r="M117" s="117"/>
      <c r="N117" s="117"/>
      <c r="O117" s="117"/>
      <c r="P117" s="117"/>
      <c r="Q117" s="105"/>
      <c r="R117" s="105"/>
      <c r="S117" s="162"/>
    </row>
    <row r="118" spans="4:19">
      <c r="D118" s="117"/>
      <c r="E118" s="117"/>
      <c r="F118" s="117"/>
      <c r="G118" s="117"/>
      <c r="H118" s="117"/>
      <c r="I118" s="117"/>
      <c r="J118" s="117"/>
      <c r="K118" s="117"/>
      <c r="L118" s="117"/>
      <c r="M118" s="117"/>
      <c r="N118" s="117"/>
      <c r="O118" s="117"/>
      <c r="P118" s="117"/>
      <c r="Q118" s="105"/>
      <c r="R118" s="105"/>
      <c r="S118" s="162"/>
    </row>
    <row r="119" spans="4:19">
      <c r="D119" s="117"/>
      <c r="E119" s="117"/>
      <c r="F119" s="117"/>
      <c r="G119" s="117"/>
      <c r="H119" s="117"/>
      <c r="I119" s="117"/>
      <c r="J119" s="117"/>
      <c r="K119" s="117"/>
      <c r="L119" s="117"/>
      <c r="M119" s="117"/>
      <c r="N119" s="117"/>
      <c r="O119" s="117"/>
      <c r="P119" s="117"/>
      <c r="Q119" s="105"/>
      <c r="R119" s="105"/>
      <c r="S119" s="162"/>
    </row>
    <row r="120" spans="4:19">
      <c r="D120" s="117"/>
      <c r="E120" s="117"/>
      <c r="F120" s="117"/>
      <c r="G120" s="117"/>
      <c r="H120" s="117"/>
      <c r="I120" s="117"/>
      <c r="J120" s="117"/>
      <c r="K120" s="117"/>
      <c r="L120" s="117"/>
      <c r="M120" s="117"/>
      <c r="N120" s="117"/>
      <c r="O120" s="117"/>
      <c r="P120" s="117"/>
      <c r="Q120" s="105"/>
      <c r="R120" s="105"/>
      <c r="S120" s="162"/>
    </row>
    <row r="121" spans="4:19">
      <c r="D121" s="117"/>
      <c r="E121" s="117"/>
      <c r="F121" s="117"/>
      <c r="G121" s="117"/>
      <c r="H121" s="117"/>
      <c r="I121" s="117"/>
      <c r="J121" s="117"/>
      <c r="K121" s="117"/>
      <c r="L121" s="117"/>
      <c r="M121" s="117"/>
      <c r="N121" s="117"/>
      <c r="O121" s="117"/>
      <c r="P121" s="117"/>
      <c r="Q121" s="105"/>
      <c r="R121" s="105"/>
      <c r="S121" s="162"/>
    </row>
    <row r="122" spans="4:19">
      <c r="D122" s="117"/>
      <c r="E122" s="117"/>
      <c r="F122" s="117"/>
      <c r="G122" s="117"/>
      <c r="H122" s="117"/>
      <c r="I122" s="117"/>
      <c r="J122" s="117"/>
      <c r="K122" s="117"/>
      <c r="L122" s="117"/>
      <c r="M122" s="117"/>
      <c r="N122" s="117"/>
      <c r="O122" s="117"/>
      <c r="P122" s="117"/>
      <c r="Q122" s="105"/>
      <c r="R122" s="105"/>
      <c r="S122" s="162"/>
    </row>
    <row r="123" spans="4:19">
      <c r="D123" s="117"/>
      <c r="E123" s="117"/>
      <c r="F123" s="117"/>
      <c r="G123" s="117"/>
      <c r="H123" s="117"/>
      <c r="I123" s="117"/>
      <c r="J123" s="117"/>
      <c r="K123" s="117"/>
      <c r="L123" s="117"/>
      <c r="M123" s="117"/>
      <c r="N123" s="117"/>
      <c r="O123" s="117"/>
      <c r="P123" s="117"/>
      <c r="Q123" s="105"/>
      <c r="R123" s="105"/>
      <c r="S123" s="162"/>
    </row>
    <row r="124" spans="4:19">
      <c r="D124" s="117"/>
      <c r="E124" s="117"/>
      <c r="F124" s="117"/>
      <c r="G124" s="117"/>
      <c r="H124" s="117"/>
      <c r="I124" s="117"/>
      <c r="J124" s="117"/>
      <c r="K124" s="117"/>
      <c r="L124" s="117"/>
      <c r="M124" s="117"/>
      <c r="N124" s="117"/>
      <c r="O124" s="117"/>
      <c r="P124" s="117"/>
      <c r="Q124" s="105"/>
      <c r="R124" s="105"/>
      <c r="S124" s="162"/>
    </row>
    <row r="125" spans="4:19">
      <c r="D125" s="117"/>
      <c r="E125" s="117"/>
      <c r="F125" s="117"/>
      <c r="G125" s="117"/>
      <c r="H125" s="117"/>
      <c r="I125" s="117"/>
      <c r="J125" s="117"/>
      <c r="K125" s="117"/>
      <c r="L125" s="117"/>
      <c r="M125" s="117"/>
      <c r="N125" s="117"/>
      <c r="O125" s="117"/>
      <c r="P125" s="117"/>
      <c r="Q125" s="105"/>
      <c r="R125" s="105"/>
      <c r="S125" s="162"/>
    </row>
    <row r="126" spans="4:19">
      <c r="D126" s="117"/>
      <c r="E126" s="117"/>
      <c r="F126" s="117"/>
      <c r="G126" s="117"/>
      <c r="H126" s="117"/>
      <c r="I126" s="117"/>
      <c r="J126" s="117"/>
      <c r="K126" s="117"/>
      <c r="L126" s="117"/>
      <c r="M126" s="117"/>
      <c r="N126" s="117"/>
      <c r="O126" s="117"/>
      <c r="P126" s="117"/>
      <c r="Q126" s="105"/>
      <c r="R126" s="105"/>
      <c r="S126" s="162"/>
    </row>
    <row r="127" spans="4:19">
      <c r="D127" s="117"/>
      <c r="E127" s="117"/>
      <c r="F127" s="117"/>
      <c r="G127" s="117"/>
      <c r="H127" s="117"/>
      <c r="I127" s="117"/>
      <c r="J127" s="117"/>
      <c r="K127" s="117"/>
      <c r="L127" s="117"/>
      <c r="M127" s="117"/>
      <c r="N127" s="117"/>
      <c r="O127" s="117"/>
      <c r="P127" s="117"/>
      <c r="Q127" s="105"/>
      <c r="R127" s="105"/>
      <c r="S127" s="162"/>
    </row>
    <row r="128" spans="4:19">
      <c r="D128" s="117"/>
      <c r="E128" s="117"/>
      <c r="F128" s="117"/>
      <c r="G128" s="117"/>
      <c r="H128" s="117"/>
      <c r="I128" s="117"/>
      <c r="J128" s="117"/>
      <c r="K128" s="117"/>
      <c r="L128" s="117"/>
      <c r="M128" s="117"/>
      <c r="N128" s="117"/>
      <c r="O128" s="117"/>
      <c r="P128" s="117"/>
      <c r="Q128" s="105"/>
      <c r="R128" s="105"/>
      <c r="S128" s="162"/>
    </row>
    <row r="129" spans="2:27">
      <c r="D129" s="117"/>
      <c r="E129" s="117"/>
      <c r="F129" s="117"/>
      <c r="G129" s="117"/>
      <c r="H129" s="117"/>
      <c r="I129" s="117"/>
      <c r="J129" s="117"/>
      <c r="K129" s="117"/>
      <c r="L129" s="117"/>
      <c r="M129" s="117"/>
      <c r="N129" s="117"/>
      <c r="O129" s="117"/>
      <c r="P129" s="117"/>
      <c r="Q129" s="105"/>
      <c r="R129" s="105"/>
      <c r="S129" s="162"/>
    </row>
    <row r="130" spans="2:27">
      <c r="D130" s="117"/>
      <c r="E130" s="117"/>
      <c r="F130" s="117"/>
      <c r="G130" s="117"/>
      <c r="H130" s="117"/>
      <c r="I130" s="117"/>
      <c r="J130" s="117"/>
      <c r="K130" s="117"/>
      <c r="L130" s="117"/>
      <c r="M130" s="117"/>
      <c r="N130" s="117"/>
      <c r="O130" s="117"/>
      <c r="P130" s="117"/>
      <c r="Q130" s="105"/>
      <c r="R130" s="105"/>
      <c r="S130" s="162"/>
    </row>
    <row r="131" spans="2:27">
      <c r="D131" s="117"/>
      <c r="E131" s="117"/>
      <c r="F131" s="117"/>
      <c r="G131" s="117"/>
      <c r="H131" s="117"/>
      <c r="I131" s="117"/>
      <c r="J131" s="117"/>
      <c r="K131" s="117"/>
      <c r="L131" s="117"/>
      <c r="M131" s="117"/>
      <c r="N131" s="117"/>
      <c r="O131" s="117"/>
      <c r="P131" s="117"/>
      <c r="Q131" s="105"/>
      <c r="R131" s="105"/>
      <c r="S131" s="162"/>
    </row>
    <row r="132" spans="2:27">
      <c r="D132" s="117"/>
      <c r="E132" s="117"/>
      <c r="F132" s="117"/>
      <c r="G132" s="117"/>
      <c r="H132" s="117"/>
      <c r="I132" s="117"/>
      <c r="J132" s="117"/>
      <c r="K132" s="117"/>
      <c r="L132" s="117"/>
      <c r="M132" s="117"/>
      <c r="N132" s="117"/>
      <c r="O132" s="117"/>
      <c r="P132" s="117"/>
      <c r="Q132" s="105"/>
      <c r="R132" s="105"/>
      <c r="S132" s="162"/>
    </row>
    <row r="133" spans="2:27">
      <c r="D133" s="117"/>
      <c r="E133" s="117"/>
      <c r="F133" s="117"/>
      <c r="G133" s="117"/>
      <c r="H133" s="117"/>
      <c r="I133" s="117"/>
      <c r="J133" s="117"/>
      <c r="K133" s="117"/>
      <c r="L133" s="117"/>
      <c r="M133" s="117"/>
      <c r="N133" s="117"/>
      <c r="O133" s="117"/>
      <c r="P133" s="117"/>
      <c r="Q133" s="105"/>
      <c r="R133" s="105"/>
      <c r="S133" s="162"/>
    </row>
    <row r="134" spans="2:27">
      <c r="D134" s="117"/>
      <c r="E134" s="117"/>
      <c r="F134" s="117"/>
      <c r="G134" s="117"/>
      <c r="H134" s="117"/>
      <c r="I134" s="117"/>
      <c r="J134" s="117"/>
      <c r="K134" s="117"/>
      <c r="L134" s="117"/>
      <c r="M134" s="117"/>
      <c r="N134" s="117"/>
      <c r="O134" s="117"/>
      <c r="P134" s="117"/>
      <c r="Q134" s="105"/>
      <c r="R134" s="105"/>
      <c r="S134" s="162"/>
    </row>
    <row r="135" spans="2:27">
      <c r="D135" s="117"/>
      <c r="E135" s="117"/>
      <c r="F135" s="117"/>
      <c r="G135" s="117"/>
      <c r="H135" s="117"/>
      <c r="I135" s="117"/>
      <c r="J135" s="117"/>
      <c r="K135" s="117"/>
      <c r="L135" s="117"/>
      <c r="M135" s="117"/>
      <c r="N135" s="117"/>
      <c r="O135" s="117"/>
      <c r="P135" s="117"/>
      <c r="Q135" s="105"/>
      <c r="R135" s="105"/>
      <c r="S135" s="162"/>
    </row>
    <row r="136" spans="2:27">
      <c r="D136" s="117"/>
      <c r="E136" s="117"/>
      <c r="F136" s="117"/>
      <c r="G136" s="117"/>
      <c r="H136" s="117"/>
      <c r="I136" s="117"/>
      <c r="J136" s="117"/>
      <c r="K136" s="117"/>
      <c r="L136" s="117"/>
      <c r="M136" s="117"/>
      <c r="N136" s="117"/>
      <c r="O136" s="117"/>
      <c r="P136" s="117"/>
      <c r="Q136" s="105"/>
      <c r="R136" s="105"/>
      <c r="S136" s="162"/>
    </row>
    <row r="137" spans="2:27" ht="17.25" thickBot="1">
      <c r="D137" s="197"/>
      <c r="H137" s="223"/>
      <c r="K137" s="162"/>
      <c r="L137" s="162"/>
      <c r="M137" s="162"/>
      <c r="N137" s="162"/>
      <c r="O137" s="162"/>
      <c r="P137" s="162"/>
      <c r="Q137" s="162"/>
      <c r="R137" s="162"/>
      <c r="S137" s="162"/>
      <c r="T137" s="162"/>
      <c r="U137" s="162"/>
      <c r="V137" s="162"/>
      <c r="W137" s="162"/>
      <c r="X137" s="162"/>
      <c r="Y137" s="223"/>
    </row>
    <row r="138" spans="2:27">
      <c r="B138" s="1071" t="s">
        <v>1732</v>
      </c>
      <c r="C138" s="1071" t="s">
        <v>1743</v>
      </c>
      <c r="D138" s="1071" t="s">
        <v>807</v>
      </c>
      <c r="E138" s="1095" t="s">
        <v>1121</v>
      </c>
      <c r="F138" s="1096" t="s">
        <v>382</v>
      </c>
      <c r="G138" s="1096" t="s">
        <v>361</v>
      </c>
      <c r="H138" s="1118"/>
      <c r="I138" s="1071" t="s">
        <v>1732</v>
      </c>
      <c r="J138" s="1071" t="s">
        <v>1743</v>
      </c>
      <c r="K138" s="1071" t="s">
        <v>807</v>
      </c>
      <c r="L138" s="1095" t="s">
        <v>1121</v>
      </c>
      <c r="M138" s="1096" t="s">
        <v>382</v>
      </c>
      <c r="N138" s="1096" t="s">
        <v>361</v>
      </c>
      <c r="O138" s="162"/>
      <c r="P138" s="162"/>
      <c r="Q138" s="162"/>
      <c r="R138" s="162"/>
      <c r="S138" s="162"/>
      <c r="T138" s="162"/>
      <c r="U138" s="162"/>
      <c r="V138" s="162"/>
      <c r="W138" s="162"/>
      <c r="X138" s="162"/>
      <c r="Y138" s="162"/>
      <c r="Z138" s="223"/>
    </row>
    <row r="139" spans="2:27">
      <c r="H139" s="223"/>
      <c r="I139" s="81" t="str">
        <f>+D67</f>
        <v>Janvier</v>
      </c>
      <c r="J139" s="80" t="str">
        <f>+'Données SOMIDA'!$B$18</f>
        <v>1 PF</v>
      </c>
      <c r="K139" s="162" t="str">
        <f>+_xlfn.XLOOKUP(J139,'Données SOMIDA'!$B$18:$B$28,'Données SOMIDA'!$C$18:$C$28)</f>
        <v>TRA COUPE</v>
      </c>
      <c r="L139" s="162">
        <f>+Production!D$9</f>
        <v>352000</v>
      </c>
      <c r="M139" s="162">
        <f>IFERROR(+N139/L139,0)</f>
        <v>1347.082450187246</v>
      </c>
      <c r="N139" s="541">
        <f>+Production!$D$68*Production!D9/Production!$D$12</f>
        <v>474173022.46591055</v>
      </c>
      <c r="O139" s="162"/>
      <c r="P139" s="162"/>
      <c r="Q139" s="162"/>
      <c r="R139" s="162"/>
      <c r="S139" s="162"/>
      <c r="T139" s="162"/>
      <c r="U139" s="162"/>
      <c r="V139" s="162"/>
      <c r="W139" s="162"/>
      <c r="X139" s="162"/>
      <c r="Y139" s="162"/>
      <c r="Z139" s="162"/>
      <c r="AA139" s="223"/>
    </row>
    <row r="140" spans="2:27">
      <c r="H140" s="223"/>
      <c r="I140" s="81" t="str">
        <f>+I139</f>
        <v>Janvier</v>
      </c>
      <c r="J140" s="80" t="str">
        <f>+'Données SOMIDA'!$B$19</f>
        <v>2 PF</v>
      </c>
      <c r="K140" s="162" t="str">
        <f>+_xlfn.XLOOKUP(J140,'Données SOMIDA'!$B$18:$B$28,'Données SOMIDA'!$C$18:$C$28)</f>
        <v>ABR COUPE</v>
      </c>
      <c r="L140" s="162">
        <f>+Production!D$10</f>
        <v>334000</v>
      </c>
      <c r="M140" s="162">
        <f t="shared" ref="M140:M175" si="89">IFERROR(+N140/L140,0)</f>
        <v>1347.0824501872457</v>
      </c>
      <c r="N140" s="541">
        <f>+Production!$D$68*Production!D10/Production!$D$12</f>
        <v>449925538.36254007</v>
      </c>
      <c r="O140" s="162"/>
      <c r="P140" s="162"/>
      <c r="R140" s="80"/>
      <c r="AA140" s="223"/>
    </row>
    <row r="141" spans="2:27">
      <c r="H141" s="223"/>
      <c r="I141" s="81" t="str">
        <f>+I140</f>
        <v>Janvier</v>
      </c>
      <c r="J141" s="80" t="str">
        <f>+'Données SOMIDA'!$B$20</f>
        <v>3 PF</v>
      </c>
      <c r="K141" s="162" t="str">
        <f>+_xlfn.XLOOKUP(J141,'Données SOMIDA'!$B$18:$B$28,'Données SOMIDA'!$C$18:$C$28)</f>
        <v>FP1 COUPE</v>
      </c>
      <c r="L141" s="162">
        <f>+Production!D$11</f>
        <v>0</v>
      </c>
      <c r="M141" s="162">
        <f t="shared" si="89"/>
        <v>0</v>
      </c>
      <c r="N141" s="541">
        <f>+Production!$D$68*Production!D11/Production!$D$12</f>
        <v>0</v>
      </c>
      <c r="O141" s="162"/>
      <c r="P141" s="162"/>
      <c r="R141" s="80"/>
      <c r="AA141" s="223"/>
    </row>
    <row r="142" spans="2:27">
      <c r="H142" s="223"/>
      <c r="I142" s="81" t="str">
        <f>+E67</f>
        <v>Février</v>
      </c>
      <c r="J142" s="80" t="str">
        <f>+'Données SOMIDA'!$B$18</f>
        <v>1 PF</v>
      </c>
      <c r="K142" s="162" t="str">
        <f>+_xlfn.XLOOKUP(J142,'Données SOMIDA'!$B$18:$B$28,'Données SOMIDA'!$C$18:$C$28)</f>
        <v>TRA COUPE</v>
      </c>
      <c r="L142" s="162">
        <f>+Production!E$9</f>
        <v>354000</v>
      </c>
      <c r="M142" s="162">
        <f t="shared" si="89"/>
        <v>1353.3999961169341</v>
      </c>
      <c r="N142" s="541">
        <f>+Production!$E$68*Production!E9/Production!$E$12</f>
        <v>479103598.62539464</v>
      </c>
      <c r="R142" s="80"/>
      <c r="AA142" s="223"/>
    </row>
    <row r="143" spans="2:27">
      <c r="H143" s="223"/>
      <c r="I143" s="81" t="str">
        <f>+I142</f>
        <v>Février</v>
      </c>
      <c r="J143" s="80" t="str">
        <f>+'Données SOMIDA'!$B$19</f>
        <v>2 PF</v>
      </c>
      <c r="K143" s="162" t="str">
        <f>+_xlfn.XLOOKUP(J143,'Données SOMIDA'!$B$18:$B$28,'Données SOMIDA'!$C$18:$C$28)</f>
        <v>ABR COUPE</v>
      </c>
      <c r="L143" s="162">
        <f>+Production!E$10</f>
        <v>334000</v>
      </c>
      <c r="M143" s="162">
        <f t="shared" si="89"/>
        <v>1353.3999961169341</v>
      </c>
      <c r="N143" s="541">
        <f>+Production!$E$68*Production!E10/Production!$E$12</f>
        <v>452035598.70305598</v>
      </c>
      <c r="P143" s="541"/>
      <c r="R143" s="80"/>
      <c r="AA143" s="223"/>
    </row>
    <row r="144" spans="2:27">
      <c r="H144" s="223"/>
      <c r="I144" s="81" t="str">
        <f>+I143</f>
        <v>Février</v>
      </c>
      <c r="J144" s="80" t="str">
        <f>+'Données SOMIDA'!$B$20</f>
        <v>3 PF</v>
      </c>
      <c r="K144" s="162" t="str">
        <f>+_xlfn.XLOOKUP(J144,'Données SOMIDA'!$B$18:$B$28,'Données SOMIDA'!$C$18:$C$28)</f>
        <v>FP1 COUPE</v>
      </c>
      <c r="L144" s="162">
        <f>+Production!E$11</f>
        <v>0</v>
      </c>
      <c r="M144" s="162">
        <f t="shared" si="89"/>
        <v>0</v>
      </c>
      <c r="N144" s="541">
        <f>+Production!$E$68*Production!E11/Production!$E$12</f>
        <v>0</v>
      </c>
      <c r="R144" s="80"/>
      <c r="AA144" s="223"/>
    </row>
    <row r="145" spans="8:27">
      <c r="H145" s="223"/>
      <c r="I145" s="81" t="str">
        <f>+F67</f>
        <v>Mars</v>
      </c>
      <c r="J145" s="80" t="str">
        <f>+'Données SOMIDA'!$B$18</f>
        <v>1 PF</v>
      </c>
      <c r="K145" s="162" t="str">
        <f>+_xlfn.XLOOKUP(J145,'Données SOMIDA'!$B$18:$B$28,'Données SOMIDA'!$C$18:$C$28)</f>
        <v>TRA COUPE</v>
      </c>
      <c r="L145" s="162">
        <f>+Production!F$9</f>
        <v>352000</v>
      </c>
      <c r="M145" s="162">
        <f t="shared" si="89"/>
        <v>1417.7085434817063</v>
      </c>
      <c r="N145" s="541">
        <f>+Production!$F$68*Production!F9/Production!$F$12</f>
        <v>499033407.30556059</v>
      </c>
      <c r="R145" s="80"/>
      <c r="AA145" s="223"/>
    </row>
    <row r="146" spans="8:27">
      <c r="H146" s="223"/>
      <c r="I146" s="81" t="str">
        <f>+I145</f>
        <v>Mars</v>
      </c>
      <c r="J146" s="80" t="str">
        <f>+'Données SOMIDA'!$B$19</f>
        <v>2 PF</v>
      </c>
      <c r="K146" s="162" t="str">
        <f>+_xlfn.XLOOKUP(J146,'Données SOMIDA'!$B$18:$B$28,'Données SOMIDA'!$C$18:$C$28)</f>
        <v>ABR COUPE</v>
      </c>
      <c r="L146" s="162">
        <f>+Production!F$10</f>
        <v>334000</v>
      </c>
      <c r="M146" s="162">
        <f t="shared" si="89"/>
        <v>1417.7085434817061</v>
      </c>
      <c r="N146" s="541">
        <f>+Production!$F$68*Production!F10/Production!$F$12</f>
        <v>473514653.52288985</v>
      </c>
      <c r="R146" s="80"/>
      <c r="AA146" s="651"/>
    </row>
    <row r="147" spans="8:27">
      <c r="H147" s="223"/>
      <c r="I147" s="81" t="str">
        <f>+I146</f>
        <v>Mars</v>
      </c>
      <c r="J147" s="80" t="str">
        <f>+'Données SOMIDA'!$B$20</f>
        <v>3 PF</v>
      </c>
      <c r="K147" s="162" t="str">
        <f>+_xlfn.XLOOKUP(J147,'Données SOMIDA'!$B$18:$B$28,'Données SOMIDA'!$C$18:$C$28)</f>
        <v>FP1 COUPE</v>
      </c>
      <c r="L147" s="162">
        <f>+Production!F$11</f>
        <v>0</v>
      </c>
      <c r="M147" s="162">
        <f t="shared" si="89"/>
        <v>0</v>
      </c>
      <c r="N147" s="541">
        <f>+Production!$F$68*Production!F11/Production!$F$12</f>
        <v>0</v>
      </c>
      <c r="R147" s="80"/>
      <c r="AA147" s="223"/>
    </row>
    <row r="148" spans="8:27">
      <c r="H148" s="223"/>
      <c r="I148" s="81" t="str">
        <f>+G67</f>
        <v>Avril</v>
      </c>
      <c r="J148" s="80" t="str">
        <f>+'Données SOMIDA'!$B$18</f>
        <v>1 PF</v>
      </c>
      <c r="K148" s="162" t="str">
        <f>+_xlfn.XLOOKUP(J148,'Données SOMIDA'!$B$18:$B$28,'Données SOMIDA'!$C$18:$C$28)</f>
        <v>TRA COUPE</v>
      </c>
      <c r="L148" s="162">
        <f>+Production!G$9</f>
        <v>354000</v>
      </c>
      <c r="M148" s="162">
        <f t="shared" si="89"/>
        <v>1354.5598798378642</v>
      </c>
      <c r="N148" s="541">
        <f>+Production!$G$68*Production!G9/Production!$G$12</f>
        <v>479514197.46260393</v>
      </c>
      <c r="R148" s="80"/>
      <c r="Z148" s="223"/>
    </row>
    <row r="149" spans="8:27">
      <c r="H149" s="223"/>
      <c r="I149" s="81" t="str">
        <f>+I148</f>
        <v>Avril</v>
      </c>
      <c r="J149" s="80" t="str">
        <f>+'Données SOMIDA'!$B$19</f>
        <v>2 PF</v>
      </c>
      <c r="K149" s="162" t="str">
        <f>+_xlfn.XLOOKUP(J149,'Données SOMIDA'!$B$18:$B$28,'Données SOMIDA'!$C$18:$C$28)</f>
        <v>ABR COUPE</v>
      </c>
      <c r="L149" s="162">
        <f>+Production!G$10</f>
        <v>334000</v>
      </c>
      <c r="M149" s="162">
        <f t="shared" si="89"/>
        <v>1354.5598798378642</v>
      </c>
      <c r="N149" s="541">
        <f>+Production!$G$68*Production!G10/Production!$G$12</f>
        <v>452422999.86584663</v>
      </c>
      <c r="R149" s="80"/>
      <c r="Y149" s="223"/>
    </row>
    <row r="150" spans="8:27">
      <c r="H150" s="223"/>
      <c r="I150" s="81" t="str">
        <f>+I149</f>
        <v>Avril</v>
      </c>
      <c r="J150" s="80" t="str">
        <f>+'Données SOMIDA'!$B$20</f>
        <v>3 PF</v>
      </c>
      <c r="K150" s="162" t="str">
        <f>+_xlfn.XLOOKUP(J150,'Données SOMIDA'!$B$18:$B$28,'Données SOMIDA'!$C$18:$C$28)</f>
        <v>FP1 COUPE</v>
      </c>
      <c r="L150" s="162">
        <f>+Production!G$11</f>
        <v>0</v>
      </c>
      <c r="M150" s="162">
        <f t="shared" si="89"/>
        <v>0</v>
      </c>
      <c r="N150" s="541">
        <f>+Production!$G$68*Production!G11/Production!$G$12</f>
        <v>0</v>
      </c>
      <c r="R150" s="80"/>
      <c r="Y150" s="223"/>
    </row>
    <row r="151" spans="8:27">
      <c r="H151" s="223"/>
      <c r="I151" s="1105" t="str">
        <f>+H67</f>
        <v>Mai</v>
      </c>
      <c r="J151" s="80" t="str">
        <f>+'Données SOMIDA'!$B$18</f>
        <v>1 PF</v>
      </c>
      <c r="K151" s="162" t="str">
        <f>+_xlfn.XLOOKUP(J151,'Données SOMIDA'!$B$18:$B$28,'Données SOMIDA'!$C$18:$C$28)</f>
        <v>TRA COUPE</v>
      </c>
      <c r="L151" s="162">
        <f>+Production!H$9</f>
        <v>352000</v>
      </c>
      <c r="M151" s="162">
        <f t="shared" si="89"/>
        <v>1366.4216000413528</v>
      </c>
      <c r="N151" s="541">
        <f>+Production!$H$68*Production!H9/Production!$G$12</f>
        <v>480980403.21455616</v>
      </c>
      <c r="R151" s="80"/>
      <c r="Y151" s="223"/>
    </row>
    <row r="152" spans="8:27">
      <c r="H152" s="223"/>
      <c r="I152" s="1106" t="str">
        <f>+I151</f>
        <v>Mai</v>
      </c>
      <c r="J152" s="80" t="str">
        <f>+'Données SOMIDA'!$B$19</f>
        <v>2 PF</v>
      </c>
      <c r="K152" s="162" t="str">
        <f>+_xlfn.XLOOKUP(J152,'Données SOMIDA'!$B$18:$B$28,'Données SOMIDA'!$C$18:$C$28)</f>
        <v>ABR COUPE</v>
      </c>
      <c r="L152" s="162">
        <f>+Production!H$10</f>
        <v>334000</v>
      </c>
      <c r="M152" s="162">
        <f t="shared" si="89"/>
        <v>1366.4216000413528</v>
      </c>
      <c r="N152" s="541">
        <f>+Production!$H$68*Production!H10/Production!$G$12</f>
        <v>456384814.4138118</v>
      </c>
      <c r="R152" s="80"/>
      <c r="Y152" s="223"/>
    </row>
    <row r="153" spans="8:27">
      <c r="H153" s="223"/>
      <c r="I153" s="81" t="str">
        <f>+I152</f>
        <v>Mai</v>
      </c>
      <c r="J153" s="80" t="str">
        <f>+'Données SOMIDA'!$B$20</f>
        <v>3 PF</v>
      </c>
      <c r="K153" s="162" t="str">
        <f>+_xlfn.XLOOKUP(J153,'Données SOMIDA'!$B$18:$B$28,'Données SOMIDA'!$C$18:$C$28)</f>
        <v>FP1 COUPE</v>
      </c>
      <c r="L153" s="162">
        <f>+Production!H$11</f>
        <v>0</v>
      </c>
      <c r="M153" s="162">
        <f t="shared" si="89"/>
        <v>0</v>
      </c>
      <c r="N153" s="541">
        <f>+Production!$H$68*Production!H11/Production!$G$12</f>
        <v>0</v>
      </c>
      <c r="R153" s="80"/>
      <c r="Y153" s="223"/>
    </row>
    <row r="154" spans="8:27">
      <c r="H154" s="223"/>
      <c r="I154" s="1105" t="str">
        <f>+I67</f>
        <v>Juin</v>
      </c>
      <c r="J154" s="80" t="str">
        <f>+'Données SOMIDA'!$B$18</f>
        <v>1 PF</v>
      </c>
      <c r="K154" s="162" t="str">
        <f>+_xlfn.XLOOKUP(J154,'Données SOMIDA'!$B$18:$B$28,'Données SOMIDA'!$C$18:$C$28)</f>
        <v>TRA COUPE</v>
      </c>
      <c r="L154" s="162">
        <f>+Production!I$9</f>
        <v>354000</v>
      </c>
      <c r="M154" s="162">
        <f t="shared" si="89"/>
        <v>1397.0773216983291</v>
      </c>
      <c r="N154" s="541">
        <f>+Production!$I$68*Production!I9/Production!$G$12</f>
        <v>494565371.88120848</v>
      </c>
      <c r="R154" s="80"/>
      <c r="Y154" s="223"/>
    </row>
    <row r="155" spans="8:27">
      <c r="H155" s="223"/>
      <c r="I155" s="1106" t="str">
        <f>+I154</f>
        <v>Juin</v>
      </c>
      <c r="J155" s="80" t="str">
        <f>+'Données SOMIDA'!$B$19</f>
        <v>2 PF</v>
      </c>
      <c r="K155" s="162" t="str">
        <f>+_xlfn.XLOOKUP(J155,'Données SOMIDA'!$B$18:$B$28,'Données SOMIDA'!$C$18:$C$28)</f>
        <v>ABR COUPE</v>
      </c>
      <c r="L155" s="162">
        <f>+Production!I$10</f>
        <v>334000</v>
      </c>
      <c r="M155" s="162">
        <f t="shared" si="89"/>
        <v>1397.0773216983291</v>
      </c>
      <c r="N155" s="541">
        <f>+Production!$I$68*Production!I10/Production!$G$12</f>
        <v>466623825.4472419</v>
      </c>
      <c r="R155" s="80"/>
      <c r="Y155" s="223"/>
    </row>
    <row r="156" spans="8:27">
      <c r="H156" s="223"/>
      <c r="I156" s="81" t="str">
        <f>+I155</f>
        <v>Juin</v>
      </c>
      <c r="J156" s="80" t="str">
        <f>+'Données SOMIDA'!$B$20</f>
        <v>3 PF</v>
      </c>
      <c r="K156" s="162" t="str">
        <f>+_xlfn.XLOOKUP(J156,'Données SOMIDA'!$B$18:$B$28,'Données SOMIDA'!$C$18:$C$28)</f>
        <v>FP1 COUPE</v>
      </c>
      <c r="L156" s="162">
        <f>+Production!I$11</f>
        <v>0</v>
      </c>
      <c r="M156" s="162">
        <f t="shared" si="89"/>
        <v>0</v>
      </c>
      <c r="N156" s="541">
        <f>+Production!$I$68*Production!I11/Production!$G$12</f>
        <v>0</v>
      </c>
      <c r="R156" s="80"/>
      <c r="Y156" s="223"/>
    </row>
    <row r="157" spans="8:27">
      <c r="H157" s="223"/>
      <c r="I157" s="81" t="str">
        <f>+J67</f>
        <v>Juillet</v>
      </c>
      <c r="J157" s="80" t="str">
        <f>+'Données SOMIDA'!$B$18</f>
        <v>1 PF</v>
      </c>
      <c r="K157" s="162" t="str">
        <f>+_xlfn.XLOOKUP(J157,'Données SOMIDA'!$B$18:$B$28,'Données SOMIDA'!$C$18:$C$28)</f>
        <v>TRA COUPE</v>
      </c>
      <c r="L157" s="162">
        <f>+Production!J$9</f>
        <v>352000</v>
      </c>
      <c r="M157" s="162">
        <f t="shared" si="89"/>
        <v>1355.1910507703362</v>
      </c>
      <c r="N157" s="541">
        <f>+Production!$J$68*Production!J9/Production!$J$12</f>
        <v>477027249.87115836</v>
      </c>
      <c r="R157" s="80"/>
      <c r="Y157" s="223"/>
    </row>
    <row r="158" spans="8:27">
      <c r="H158" s="223"/>
      <c r="I158" s="81" t="str">
        <f>+I157</f>
        <v>Juillet</v>
      </c>
      <c r="J158" s="80" t="str">
        <f>+'Données SOMIDA'!$B$19</f>
        <v>2 PF</v>
      </c>
      <c r="K158" s="162" t="str">
        <f>+_xlfn.XLOOKUP(J158,'Données SOMIDA'!$B$18:$B$28,'Données SOMIDA'!$C$18:$C$28)</f>
        <v>ABR COUPE</v>
      </c>
      <c r="L158" s="162">
        <f>+Production!J$10</f>
        <v>334000</v>
      </c>
      <c r="M158" s="162">
        <f t="shared" si="89"/>
        <v>1355.191050770336</v>
      </c>
      <c r="N158" s="541">
        <f>+Production!$J$68*Production!J10/Production!$J$12</f>
        <v>452633810.95729226</v>
      </c>
      <c r="R158" s="80"/>
      <c r="Y158" s="223"/>
    </row>
    <row r="159" spans="8:27">
      <c r="H159" s="223"/>
      <c r="I159" s="81" t="str">
        <f>+I158</f>
        <v>Juillet</v>
      </c>
      <c r="J159" s="80" t="str">
        <f>+'Données SOMIDA'!$B$20</f>
        <v>3 PF</v>
      </c>
      <c r="K159" s="162" t="str">
        <f>+_xlfn.XLOOKUP(J159,'Données SOMIDA'!$B$18:$B$28,'Données SOMIDA'!$C$18:$C$28)</f>
        <v>FP1 COUPE</v>
      </c>
      <c r="L159" s="162">
        <f>+Production!J$11</f>
        <v>0</v>
      </c>
      <c r="M159" s="162">
        <f t="shared" si="89"/>
        <v>0</v>
      </c>
      <c r="N159" s="541">
        <f>+Production!$J$68*Production!J11/Production!$J$12</f>
        <v>0</v>
      </c>
      <c r="R159" s="80"/>
      <c r="Y159" s="223"/>
    </row>
    <row r="160" spans="8:27">
      <c r="H160" s="223"/>
      <c r="I160" s="81" t="str">
        <f>+K67</f>
        <v>Août</v>
      </c>
      <c r="J160" s="80" t="str">
        <f>+'Données SOMIDA'!$B$18</f>
        <v>1 PF</v>
      </c>
      <c r="K160" s="162" t="str">
        <f>+_xlfn.XLOOKUP(J160,'Données SOMIDA'!$B$18:$B$28,'Données SOMIDA'!$C$18:$C$28)</f>
        <v>TRA COUPE</v>
      </c>
      <c r="L160" s="162">
        <f>+Production!K$9</f>
        <v>354000</v>
      </c>
      <c r="M160" s="162">
        <f t="shared" si="89"/>
        <v>1351.9525225401696</v>
      </c>
      <c r="N160" s="541">
        <f>+Production!$K$68*Production!K9/Production!$K$12</f>
        <v>478591192.97922009</v>
      </c>
      <c r="R160" s="80"/>
      <c r="Y160" s="223"/>
    </row>
    <row r="161" spans="8:25">
      <c r="H161" s="223"/>
      <c r="I161" s="81" t="str">
        <f>+I160</f>
        <v>Août</v>
      </c>
      <c r="J161" s="80" t="str">
        <f>+'Données SOMIDA'!$B$19</f>
        <v>2 PF</v>
      </c>
      <c r="K161" s="162" t="str">
        <f>+_xlfn.XLOOKUP(J161,'Données SOMIDA'!$B$18:$B$28,'Données SOMIDA'!$C$18:$C$28)</f>
        <v>ABR COUPE</v>
      </c>
      <c r="L161" s="162">
        <f>+Production!K$10</f>
        <v>334000</v>
      </c>
      <c r="M161" s="162">
        <f t="shared" si="89"/>
        <v>1351.9525225401696</v>
      </c>
      <c r="N161" s="541">
        <f>+Production!$K$68*Production!K10/Production!$K$12</f>
        <v>451552142.52841669</v>
      </c>
      <c r="R161" s="80"/>
      <c r="Y161" s="223"/>
    </row>
    <row r="162" spans="8:25">
      <c r="H162" s="223"/>
      <c r="I162" s="81" t="str">
        <f>+I161</f>
        <v>Août</v>
      </c>
      <c r="J162" s="80" t="str">
        <f>+'Données SOMIDA'!$B$20</f>
        <v>3 PF</v>
      </c>
      <c r="K162" s="162" t="str">
        <f>+_xlfn.XLOOKUP(J162,'Données SOMIDA'!$B$18:$B$28,'Données SOMIDA'!$C$18:$C$28)</f>
        <v>FP1 COUPE</v>
      </c>
      <c r="L162" s="162">
        <f>+Production!K$11</f>
        <v>0</v>
      </c>
      <c r="M162" s="162">
        <f t="shared" si="89"/>
        <v>0</v>
      </c>
      <c r="N162" s="541">
        <f>+Production!$K$68*Production!K11/Production!$K$12</f>
        <v>0</v>
      </c>
      <c r="R162" s="80"/>
      <c r="Y162" s="223"/>
    </row>
    <row r="163" spans="8:25">
      <c r="H163" s="223"/>
      <c r="I163" s="81" t="str">
        <f>+L67</f>
        <v>Septembre</v>
      </c>
      <c r="J163" s="80" t="str">
        <f>+'Données SOMIDA'!$B$18</f>
        <v>1 PF</v>
      </c>
      <c r="K163" s="162" t="str">
        <f>+_xlfn.XLOOKUP(J163,'Données SOMIDA'!$B$18:$B$28,'Données SOMIDA'!$C$18:$C$28)</f>
        <v>TRA COUPE</v>
      </c>
      <c r="L163" s="162">
        <f>+Production!L$9</f>
        <v>338000</v>
      </c>
      <c r="M163" s="162">
        <f t="shared" si="89"/>
        <v>1401.7870254018351</v>
      </c>
      <c r="N163" s="541">
        <f>+Production!$L$68*Production!L9/Production!$L$12</f>
        <v>473804014.58582026</v>
      </c>
      <c r="R163" s="80"/>
      <c r="Y163" s="223"/>
    </row>
    <row r="164" spans="8:25">
      <c r="H164" s="223"/>
      <c r="I164" s="81" t="str">
        <f>+I163</f>
        <v>Septembre</v>
      </c>
      <c r="J164" s="80" t="str">
        <f>+'Données SOMIDA'!$B$19</f>
        <v>2 PF</v>
      </c>
      <c r="K164" s="162" t="str">
        <f>+_xlfn.XLOOKUP(J164,'Données SOMIDA'!$B$18:$B$28,'Données SOMIDA'!$C$18:$C$28)</f>
        <v>ABR COUPE</v>
      </c>
      <c r="L164" s="162">
        <f>+Production!L$10</f>
        <v>321000</v>
      </c>
      <c r="M164" s="162">
        <f t="shared" si="89"/>
        <v>1401.7870254018351</v>
      </c>
      <c r="N164" s="541">
        <f>+Production!$L$68*Production!L10/Production!$L$12</f>
        <v>449973635.15398908</v>
      </c>
      <c r="R164" s="80"/>
      <c r="Y164" s="223"/>
    </row>
    <row r="165" spans="8:25">
      <c r="H165" s="223"/>
      <c r="I165" s="81" t="str">
        <f>+I164</f>
        <v>Septembre</v>
      </c>
      <c r="J165" s="80" t="str">
        <f>+'Données SOMIDA'!$B$20</f>
        <v>3 PF</v>
      </c>
      <c r="K165" s="162" t="str">
        <f>+_xlfn.XLOOKUP(J165,'Données SOMIDA'!$B$18:$B$28,'Données SOMIDA'!$C$18:$C$28)</f>
        <v>FP1 COUPE</v>
      </c>
      <c r="L165" s="162">
        <f>+Production!L$11</f>
        <v>0</v>
      </c>
      <c r="M165" s="162">
        <f t="shared" si="89"/>
        <v>0</v>
      </c>
      <c r="N165" s="541">
        <f>+Production!$L$68*Production!L11/Production!$L$12</f>
        <v>0</v>
      </c>
      <c r="R165" s="80"/>
      <c r="Y165" s="223"/>
    </row>
    <row r="166" spans="8:25">
      <c r="H166" s="223"/>
      <c r="I166" s="81" t="str">
        <f>+M67</f>
        <v>Octobre</v>
      </c>
      <c r="J166" s="80" t="str">
        <f>+'Données SOMIDA'!$B$18</f>
        <v>1 PF</v>
      </c>
      <c r="K166" s="162" t="str">
        <f>+_xlfn.XLOOKUP(J166,'Données SOMIDA'!$B$18:$B$28,'Données SOMIDA'!$C$18:$C$28)</f>
        <v>TRA COUPE</v>
      </c>
      <c r="L166" s="162">
        <f>+Production!M$9</f>
        <v>341000</v>
      </c>
      <c r="M166" s="162">
        <f t="shared" si="89"/>
        <v>1369.2169659819008</v>
      </c>
      <c r="N166" s="541">
        <f>+Production!$M$68*Production!M9/Production!$M$12</f>
        <v>466902985.3998282</v>
      </c>
      <c r="R166" s="80"/>
      <c r="Y166" s="223"/>
    </row>
    <row r="167" spans="8:25">
      <c r="H167" s="223"/>
      <c r="I167" s="81" t="str">
        <f>+I166</f>
        <v>Octobre</v>
      </c>
      <c r="J167" s="80" t="str">
        <f>+'Données SOMIDA'!$B$19</f>
        <v>2 PF</v>
      </c>
      <c r="K167" s="162" t="str">
        <f>+_xlfn.XLOOKUP(J167,'Données SOMIDA'!$B$18:$B$28,'Données SOMIDA'!$C$18:$C$28)</f>
        <v>ABR COUPE</v>
      </c>
      <c r="L167" s="162">
        <f>+Production!M$10</f>
        <v>321000</v>
      </c>
      <c r="M167" s="162">
        <f t="shared" si="89"/>
        <v>1369.2169659819008</v>
      </c>
      <c r="N167" s="541">
        <f>+Production!$M$68*Production!M10/Production!$M$12</f>
        <v>439518646.08019012</v>
      </c>
      <c r="R167" s="80"/>
      <c r="Y167" s="223"/>
    </row>
    <row r="168" spans="8:25">
      <c r="H168" s="223"/>
      <c r="I168" s="81" t="str">
        <f>+I167</f>
        <v>Octobre</v>
      </c>
      <c r="J168" s="80" t="str">
        <f>+'Données SOMIDA'!$B$20</f>
        <v>3 PF</v>
      </c>
      <c r="K168" s="162" t="str">
        <f>+_xlfn.XLOOKUP(J168,'Données SOMIDA'!$B$18:$B$28,'Données SOMIDA'!$C$18:$C$28)</f>
        <v>FP1 COUPE</v>
      </c>
      <c r="L168" s="162">
        <f>+Production!M$11</f>
        <v>0</v>
      </c>
      <c r="M168" s="162">
        <f t="shared" si="89"/>
        <v>0</v>
      </c>
      <c r="N168" s="541">
        <f>+Production!$M$68*Production!M11/Production!$M$12</f>
        <v>0</v>
      </c>
      <c r="R168" s="80"/>
      <c r="Y168" s="223"/>
    </row>
    <row r="169" spans="8:25">
      <c r="H169" s="223"/>
      <c r="I169" s="81" t="str">
        <f>+N67</f>
        <v>Novembre</v>
      </c>
      <c r="J169" s="80" t="str">
        <f>+'Données SOMIDA'!$B$18</f>
        <v>1 PF</v>
      </c>
      <c r="K169" s="162" t="str">
        <f>+_xlfn.XLOOKUP(J169,'Données SOMIDA'!$B$18:$B$28,'Données SOMIDA'!$C$18:$C$28)</f>
        <v>TRA COUPE</v>
      </c>
      <c r="L169" s="162">
        <f>+Production!N$9</f>
        <v>338000</v>
      </c>
      <c r="M169" s="162">
        <f t="shared" si="89"/>
        <v>1369.0739854629198</v>
      </c>
      <c r="N169" s="541">
        <f>+Production!$N$68*Production!N9/Production!$N$12</f>
        <v>462747007.08646691</v>
      </c>
      <c r="R169" s="80"/>
      <c r="Y169" s="223"/>
    </row>
    <row r="170" spans="8:25">
      <c r="H170" s="223"/>
      <c r="I170" s="81" t="str">
        <f>+I169</f>
        <v>Novembre</v>
      </c>
      <c r="J170" s="80" t="str">
        <f>+'Données SOMIDA'!$B$19</f>
        <v>2 PF</v>
      </c>
      <c r="K170" s="162" t="str">
        <f>+_xlfn.XLOOKUP(J170,'Données SOMIDA'!$B$18:$B$28,'Données SOMIDA'!$C$18:$C$28)</f>
        <v>ABR COUPE</v>
      </c>
      <c r="L170" s="162">
        <f>+Production!N$10</f>
        <v>321000</v>
      </c>
      <c r="M170" s="162">
        <f t="shared" si="89"/>
        <v>1369.0739854629196</v>
      </c>
      <c r="N170" s="541">
        <f>+Production!$N$68*Production!N10/Production!$N$12</f>
        <v>439472749.33359718</v>
      </c>
      <c r="R170" s="80"/>
      <c r="Y170" s="223"/>
    </row>
    <row r="171" spans="8:25">
      <c r="H171" s="223"/>
      <c r="I171" s="81" t="str">
        <f>+I170</f>
        <v>Novembre</v>
      </c>
      <c r="J171" s="80" t="str">
        <f>+'Données SOMIDA'!$B$20</f>
        <v>3 PF</v>
      </c>
      <c r="K171" s="162" t="str">
        <f>+_xlfn.XLOOKUP(J171,'Données SOMIDA'!$B$18:$B$28,'Données SOMIDA'!$C$18:$C$28)</f>
        <v>FP1 COUPE</v>
      </c>
      <c r="L171" s="162">
        <f>+Production!N$11</f>
        <v>0</v>
      </c>
      <c r="M171" s="162">
        <f t="shared" si="89"/>
        <v>0</v>
      </c>
      <c r="N171" s="541">
        <f>+Production!$N$68*Production!N11/Production!$N$12</f>
        <v>0</v>
      </c>
      <c r="R171" s="80"/>
      <c r="Y171" s="223"/>
    </row>
    <row r="172" spans="8:25">
      <c r="H172" s="223"/>
      <c r="I172" s="81" t="str">
        <f>+O67</f>
        <v>Décembre</v>
      </c>
      <c r="J172" s="80" t="str">
        <f>+'Données SOMIDA'!$B$18</f>
        <v>1 PF</v>
      </c>
      <c r="K172" s="162" t="str">
        <f>+_xlfn.XLOOKUP(J172,'Données SOMIDA'!$B$18:$B$28,'Données SOMIDA'!$C$18:$C$28)</f>
        <v>TRA COUPE</v>
      </c>
      <c r="L172" s="162">
        <f>+Production!O$9</f>
        <v>341000</v>
      </c>
      <c r="M172" s="162">
        <f t="shared" si="89"/>
        <v>2487.8513694938724</v>
      </c>
      <c r="N172" s="541">
        <f>+Production!$O$68*Production!O9/Production!$O$12</f>
        <v>848357316.99741054</v>
      </c>
      <c r="R172" s="80"/>
      <c r="Y172" s="223"/>
    </row>
    <row r="173" spans="8:25">
      <c r="H173" s="223"/>
      <c r="I173" s="81" t="str">
        <f>+I172</f>
        <v>Décembre</v>
      </c>
      <c r="J173" s="80" t="str">
        <f>+'Données SOMIDA'!$B$19</f>
        <v>2 PF</v>
      </c>
      <c r="K173" s="162" t="str">
        <f>+_xlfn.XLOOKUP(J173,'Données SOMIDA'!$B$18:$B$28,'Données SOMIDA'!$C$18:$C$28)</f>
        <v>ABR COUPE</v>
      </c>
      <c r="L173" s="162">
        <f>+Production!O$10</f>
        <v>321000</v>
      </c>
      <c r="M173" s="162">
        <f t="shared" si="89"/>
        <v>2487.8513694938724</v>
      </c>
      <c r="N173" s="541">
        <f>+Production!$O$68*Production!O10/Production!$O$12</f>
        <v>798600289.6075331</v>
      </c>
      <c r="R173" s="80"/>
      <c r="Y173" s="223"/>
    </row>
    <row r="174" spans="8:25">
      <c r="H174" s="223"/>
      <c r="I174" s="81" t="str">
        <f>+I173</f>
        <v>Décembre</v>
      </c>
      <c r="J174" s="80" t="str">
        <f>+'Données SOMIDA'!$B$20</f>
        <v>3 PF</v>
      </c>
      <c r="K174" s="162" t="str">
        <f>+_xlfn.XLOOKUP(J174,'Données SOMIDA'!$B$18:$B$28,'Données SOMIDA'!$C$18:$C$28)</f>
        <v>FP1 COUPE</v>
      </c>
      <c r="L174" s="162">
        <f>+Production!O$11</f>
        <v>0</v>
      </c>
      <c r="M174" s="162">
        <f t="shared" si="89"/>
        <v>0</v>
      </c>
      <c r="N174" s="541">
        <f>+Production!$O$68*Production!O11/Production!$O$12</f>
        <v>0</v>
      </c>
      <c r="R174" s="80"/>
      <c r="Y174" s="223"/>
    </row>
    <row r="175" spans="8:25" ht="17.25" thickBot="1">
      <c r="H175" s="223"/>
      <c r="I175" s="951"/>
      <c r="J175" s="951"/>
      <c r="K175" s="951"/>
      <c r="L175" s="1097">
        <f>SUM(L139:L174)</f>
        <v>8138000</v>
      </c>
      <c r="M175" s="1097">
        <f t="shared" si="89"/>
        <v>1461.963439647523</v>
      </c>
      <c r="N175" s="1097">
        <f>SUM(N139:N174)</f>
        <v>11897458471.851543</v>
      </c>
      <c r="R175" s="80"/>
      <c r="Y175" s="223"/>
    </row>
    <row r="176" spans="8:25">
      <c r="H176" s="223"/>
      <c r="N176" s="162">
        <f>+P68-N175</f>
        <v>2732843.2000827789</v>
      </c>
      <c r="R176" s="80"/>
      <c r="Y176" s="223"/>
    </row>
    <row r="177" spans="8:24">
      <c r="H177" s="223"/>
      <c r="R177" s="80"/>
      <c r="X177" s="223"/>
    </row>
    <row r="178" spans="8:24">
      <c r="H178" s="223"/>
      <c r="R178" s="80"/>
      <c r="X178" s="223"/>
    </row>
    <row r="179" spans="8:24">
      <c r="H179" s="223"/>
      <c r="R179" s="80"/>
      <c r="X179" s="223"/>
    </row>
    <row r="180" spans="8:24">
      <c r="H180" s="223"/>
      <c r="R180" s="80"/>
      <c r="X180" s="223"/>
    </row>
    <row r="181" spans="8:24">
      <c r="H181" s="223"/>
      <c r="R181" s="80"/>
      <c r="X181" s="223"/>
    </row>
    <row r="182" spans="8:24">
      <c r="H182" s="223"/>
      <c r="R182" s="80"/>
      <c r="X182" s="223"/>
    </row>
    <row r="183" spans="8:24">
      <c r="H183" s="223"/>
      <c r="R183" s="80"/>
      <c r="X183" s="223"/>
    </row>
    <row r="184" spans="8:24">
      <c r="H184" s="223"/>
      <c r="R184" s="80"/>
      <c r="X184" s="223"/>
    </row>
    <row r="185" spans="8:24">
      <c r="H185" s="223"/>
      <c r="R185" s="80"/>
      <c r="X185" s="223"/>
    </row>
    <row r="186" spans="8:24">
      <c r="H186" s="223"/>
      <c r="R186" s="80"/>
      <c r="X186" s="223"/>
    </row>
    <row r="187" spans="8:24">
      <c r="H187" s="223"/>
    </row>
    <row r="188" spans="8:24">
      <c r="H188" s="223"/>
    </row>
  </sheetData>
  <mergeCells count="1">
    <mergeCell ref="S37:T37"/>
  </mergeCell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A56A1-DAC0-4D7C-AE12-4FCF37A5D03C}">
  <sheetPr codeName="Feuil31"/>
  <dimension ref="A1:N124"/>
  <sheetViews>
    <sheetView topLeftCell="A90" zoomScale="67" workbookViewId="0">
      <selection activeCell="B127" sqref="B127"/>
    </sheetView>
  </sheetViews>
  <sheetFormatPr baseColWidth="10" defaultRowHeight="15"/>
  <cols>
    <col min="1" max="1" width="28.5703125" bestFit="1" customWidth="1"/>
    <col min="2" max="2" width="24.85546875" bestFit="1" customWidth="1"/>
    <col min="3" max="3" width="31.7109375" bestFit="1" customWidth="1"/>
    <col min="4" max="4" width="13.5703125" bestFit="1" customWidth="1"/>
    <col min="5" max="5" width="10.85546875" bestFit="1" customWidth="1"/>
    <col min="6" max="7" width="11.7109375" bestFit="1" customWidth="1"/>
    <col min="8" max="8" width="10.85546875" bestFit="1" customWidth="1"/>
    <col min="9" max="10" width="11.7109375" bestFit="1" customWidth="1"/>
    <col min="11" max="11" width="13.5703125" bestFit="1" customWidth="1"/>
    <col min="12" max="12" width="11.7109375" bestFit="1" customWidth="1"/>
    <col min="13" max="13" width="14.5703125" bestFit="1" customWidth="1"/>
    <col min="14" max="14" width="17.140625" bestFit="1" customWidth="1"/>
  </cols>
  <sheetData>
    <row r="1" spans="1:7">
      <c r="A1" s="854" t="s">
        <v>1728</v>
      </c>
      <c r="B1" t="s">
        <v>1739</v>
      </c>
      <c r="C1" s="1127">
        <f>SUM(B2:B4)</f>
        <v>874650</v>
      </c>
      <c r="E1" s="854" t="s">
        <v>1728</v>
      </c>
      <c r="F1" t="s">
        <v>1742</v>
      </c>
      <c r="G1" s="1067">
        <f>SUM(F2:F4)</f>
        <v>378286125</v>
      </c>
    </row>
    <row r="2" spans="1:7">
      <c r="A2" s="37" t="s">
        <v>1736</v>
      </c>
      <c r="B2" s="1127">
        <v>425850</v>
      </c>
      <c r="E2" s="37" t="s">
        <v>1736</v>
      </c>
      <c r="F2" s="1066">
        <v>184180125</v>
      </c>
    </row>
    <row r="3" spans="1:7">
      <c r="A3" s="37" t="s">
        <v>1737</v>
      </c>
      <c r="B3" s="1127">
        <v>0</v>
      </c>
      <c r="E3" s="37" t="s">
        <v>1737</v>
      </c>
      <c r="F3" s="1066">
        <v>0</v>
      </c>
    </row>
    <row r="4" spans="1:7">
      <c r="A4" s="37" t="s">
        <v>1738</v>
      </c>
      <c r="B4" s="1127">
        <v>448800</v>
      </c>
      <c r="E4" s="37" t="s">
        <v>1738</v>
      </c>
      <c r="F4" s="1066">
        <v>194106000</v>
      </c>
    </row>
    <row r="5" spans="1:7">
      <c r="A5" s="37" t="s">
        <v>517</v>
      </c>
      <c r="B5" s="1127">
        <v>874650</v>
      </c>
      <c r="E5" s="37" t="s">
        <v>517</v>
      </c>
      <c r="F5" s="1066">
        <v>378286125</v>
      </c>
    </row>
    <row r="7" spans="1:7">
      <c r="A7" s="854" t="s">
        <v>1728</v>
      </c>
      <c r="B7" t="s">
        <v>1832</v>
      </c>
      <c r="C7" s="1127">
        <f>SUM(B8:B10)</f>
        <v>686000</v>
      </c>
      <c r="E7" s="854" t="s">
        <v>1728</v>
      </c>
      <c r="G7" s="1067">
        <f>SUM(F8:F10)</f>
        <v>0</v>
      </c>
    </row>
    <row r="8" spans="1:7">
      <c r="A8" s="37" t="s">
        <v>1785</v>
      </c>
      <c r="B8" s="1127">
        <v>334000</v>
      </c>
      <c r="E8" s="37" t="s">
        <v>1785</v>
      </c>
    </row>
    <row r="9" spans="1:7">
      <c r="A9" s="37" t="s">
        <v>1786</v>
      </c>
      <c r="B9" s="1127">
        <v>0</v>
      </c>
      <c r="E9" s="37" t="s">
        <v>1786</v>
      </c>
    </row>
    <row r="10" spans="1:7">
      <c r="A10" s="37" t="s">
        <v>1784</v>
      </c>
      <c r="B10" s="1127">
        <v>352000</v>
      </c>
      <c r="E10" s="37" t="s">
        <v>1784</v>
      </c>
    </row>
    <row r="11" spans="1:7">
      <c r="A11" s="37" t="s">
        <v>517</v>
      </c>
      <c r="B11" s="1127">
        <v>686000</v>
      </c>
      <c r="E11" s="37" t="s">
        <v>517</v>
      </c>
    </row>
    <row r="13" spans="1:7">
      <c r="A13" s="854" t="s">
        <v>1728</v>
      </c>
      <c r="B13" t="s">
        <v>1739</v>
      </c>
      <c r="C13" s="1127">
        <f>SUM(B14:B16)</f>
        <v>673000</v>
      </c>
      <c r="E13" s="854" t="s">
        <v>1728</v>
      </c>
      <c r="F13" t="s">
        <v>1833</v>
      </c>
      <c r="G13" s="1067">
        <f>SUM(F14:F16)</f>
        <v>1216691000</v>
      </c>
    </row>
    <row r="14" spans="1:7">
      <c r="A14" s="37" t="s">
        <v>1785</v>
      </c>
      <c r="B14" s="1127">
        <v>327600</v>
      </c>
      <c r="E14" s="37" t="s">
        <v>1785</v>
      </c>
      <c r="F14" s="161">
        <v>593082000</v>
      </c>
    </row>
    <row r="15" spans="1:7">
      <c r="A15" s="37" t="s">
        <v>1786</v>
      </c>
      <c r="B15" s="1127">
        <v>0</v>
      </c>
      <c r="E15" s="37" t="s">
        <v>1786</v>
      </c>
      <c r="F15" s="161">
        <v>0</v>
      </c>
    </row>
    <row r="16" spans="1:7">
      <c r="A16" s="37" t="s">
        <v>1784</v>
      </c>
      <c r="B16" s="1127">
        <v>345400</v>
      </c>
      <c r="E16" s="37" t="s">
        <v>1784</v>
      </c>
      <c r="F16" s="161">
        <v>623609000</v>
      </c>
    </row>
    <row r="17" spans="1:8">
      <c r="A17" s="37" t="s">
        <v>517</v>
      </c>
      <c r="B17" s="1127">
        <v>673000</v>
      </c>
      <c r="E17" s="37" t="s">
        <v>517</v>
      </c>
      <c r="F17" s="161">
        <v>1216691000</v>
      </c>
    </row>
    <row r="19" spans="1:8">
      <c r="A19" s="854" t="s">
        <v>1728</v>
      </c>
      <c r="B19" t="s">
        <v>1739</v>
      </c>
      <c r="H19" t="s">
        <v>1835</v>
      </c>
    </row>
    <row r="20" spans="1:8">
      <c r="A20" s="37" t="s">
        <v>480</v>
      </c>
      <c r="B20">
        <v>877200</v>
      </c>
      <c r="E20" s="1129" t="s">
        <v>473</v>
      </c>
      <c r="F20" s="1129" t="s">
        <v>1836</v>
      </c>
      <c r="G20" s="1127">
        <f>VLOOKUP(E20,$A$20:$B$31,2,FALSE)/1000</f>
        <v>874.65</v>
      </c>
      <c r="H20" s="1127" t="str">
        <f>IF(G20=MAX($G$20:$G$31),G20,"")</f>
        <v/>
      </c>
    </row>
    <row r="21" spans="1:8">
      <c r="A21" s="37" t="s">
        <v>476</v>
      </c>
      <c r="B21">
        <v>877200</v>
      </c>
      <c r="E21" s="1129" t="s">
        <v>474</v>
      </c>
      <c r="F21" s="1129" t="s">
        <v>1837</v>
      </c>
      <c r="G21" s="1127">
        <f t="shared" ref="G21:G31" si="0">VLOOKUP(E21,$A$20:$B$31,2,FALSE)/1000</f>
        <v>877.2</v>
      </c>
      <c r="H21" s="1127">
        <f t="shared" ref="H21:H31" si="1">IF(G21=MAX($G$20:$G$31),G21,"")</f>
        <v>877.2</v>
      </c>
    </row>
    <row r="22" spans="1:8">
      <c r="A22" s="37" t="s">
        <v>484</v>
      </c>
      <c r="B22">
        <v>810950</v>
      </c>
      <c r="E22" s="1129" t="s">
        <v>475</v>
      </c>
      <c r="F22" s="1129" t="s">
        <v>1839</v>
      </c>
      <c r="G22" s="1127">
        <f t="shared" si="0"/>
        <v>874.65</v>
      </c>
      <c r="H22" s="1127" t="str">
        <f t="shared" si="1"/>
        <v/>
      </c>
    </row>
    <row r="23" spans="1:8">
      <c r="A23" s="37" t="s">
        <v>474</v>
      </c>
      <c r="B23">
        <v>877200</v>
      </c>
      <c r="E23" s="1129" t="s">
        <v>476</v>
      </c>
      <c r="F23" s="1129" t="s">
        <v>1838</v>
      </c>
      <c r="G23" s="1127">
        <f t="shared" si="0"/>
        <v>877.2</v>
      </c>
      <c r="H23" s="1127">
        <f t="shared" si="1"/>
        <v>877.2</v>
      </c>
    </row>
    <row r="24" spans="1:8">
      <c r="A24" s="37" t="s">
        <v>473</v>
      </c>
      <c r="B24">
        <v>874650</v>
      </c>
      <c r="E24" s="1129" t="s">
        <v>477</v>
      </c>
      <c r="F24" s="1129" t="s">
        <v>477</v>
      </c>
      <c r="G24" s="1127">
        <f t="shared" si="0"/>
        <v>874.65</v>
      </c>
      <c r="H24" s="1127" t="str">
        <f t="shared" si="1"/>
        <v/>
      </c>
    </row>
    <row r="25" spans="1:8">
      <c r="A25" s="37" t="s">
        <v>479</v>
      </c>
      <c r="B25">
        <v>874650</v>
      </c>
      <c r="E25" s="1129" t="s">
        <v>478</v>
      </c>
      <c r="F25" s="1129" t="s">
        <v>1840</v>
      </c>
      <c r="G25" s="1127">
        <f t="shared" si="0"/>
        <v>877.2</v>
      </c>
      <c r="H25" s="1127">
        <f t="shared" si="1"/>
        <v>877.2</v>
      </c>
    </row>
    <row r="26" spans="1:8">
      <c r="A26" s="37" t="s">
        <v>478</v>
      </c>
      <c r="B26">
        <v>877200</v>
      </c>
      <c r="E26" s="1129" t="s">
        <v>479</v>
      </c>
      <c r="F26" s="1129" t="s">
        <v>1841</v>
      </c>
      <c r="G26" s="1127">
        <f t="shared" si="0"/>
        <v>874.65</v>
      </c>
      <c r="H26" s="1127" t="str">
        <f t="shared" si="1"/>
        <v/>
      </c>
    </row>
    <row r="27" spans="1:8">
      <c r="A27" s="37" t="s">
        <v>477</v>
      </c>
      <c r="B27">
        <v>874650</v>
      </c>
      <c r="E27" s="1129" t="s">
        <v>480</v>
      </c>
      <c r="F27" s="1129" t="s">
        <v>1842</v>
      </c>
      <c r="G27" s="1127">
        <f t="shared" si="0"/>
        <v>877.2</v>
      </c>
      <c r="H27" s="1127">
        <f t="shared" si="1"/>
        <v>877.2</v>
      </c>
    </row>
    <row r="28" spans="1:8">
      <c r="A28" s="37" t="s">
        <v>475</v>
      </c>
      <c r="B28">
        <v>874650</v>
      </c>
      <c r="E28" s="1129" t="s">
        <v>481</v>
      </c>
      <c r="F28" s="1129" t="s">
        <v>1843</v>
      </c>
      <c r="G28" s="1127">
        <f t="shared" si="0"/>
        <v>807.27499999999998</v>
      </c>
      <c r="H28" s="1127" t="str">
        <f t="shared" si="1"/>
        <v/>
      </c>
    </row>
    <row r="29" spans="1:8">
      <c r="A29" s="37" t="s">
        <v>483</v>
      </c>
      <c r="B29">
        <v>807275</v>
      </c>
      <c r="E29" s="1129" t="s">
        <v>482</v>
      </c>
      <c r="F29" s="1129" t="s">
        <v>1844</v>
      </c>
      <c r="G29" s="1127">
        <f t="shared" si="0"/>
        <v>810.95</v>
      </c>
      <c r="H29" s="1127" t="str">
        <f t="shared" si="1"/>
        <v/>
      </c>
    </row>
    <row r="30" spans="1:8">
      <c r="A30" s="37" t="s">
        <v>482</v>
      </c>
      <c r="B30">
        <v>810950</v>
      </c>
      <c r="E30" s="1129" t="s">
        <v>483</v>
      </c>
      <c r="F30" s="1129" t="s">
        <v>1845</v>
      </c>
      <c r="G30" s="1127">
        <f t="shared" si="0"/>
        <v>807.27499999999998</v>
      </c>
      <c r="H30" s="1127" t="str">
        <f t="shared" si="1"/>
        <v/>
      </c>
    </row>
    <row r="31" spans="1:8">
      <c r="A31" s="37" t="s">
        <v>481</v>
      </c>
      <c r="B31">
        <v>807275</v>
      </c>
      <c r="E31" s="1129" t="s">
        <v>484</v>
      </c>
      <c r="F31" s="1129" t="s">
        <v>1846</v>
      </c>
      <c r="G31" s="1127">
        <f t="shared" si="0"/>
        <v>810.95</v>
      </c>
      <c r="H31" s="1127" t="str">
        <f t="shared" si="1"/>
        <v/>
      </c>
    </row>
    <row r="32" spans="1:8">
      <c r="A32" s="37" t="s">
        <v>517</v>
      </c>
      <c r="B32">
        <v>10243850</v>
      </c>
    </row>
    <row r="34" spans="1:8">
      <c r="A34" s="854" t="s">
        <v>1728</v>
      </c>
      <c r="B34" t="s">
        <v>1832</v>
      </c>
    </row>
    <row r="35" spans="1:8">
      <c r="A35" s="37" t="s">
        <v>480</v>
      </c>
      <c r="B35">
        <v>688000</v>
      </c>
      <c r="E35" s="1129" t="s">
        <v>473</v>
      </c>
      <c r="F35" s="1129" t="s">
        <v>1836</v>
      </c>
      <c r="G35" s="1066">
        <f>VLOOKUP(E35,$A$35:$B$46,2,FALSE)/1000</f>
        <v>686</v>
      </c>
      <c r="H35" t="str">
        <f>IF(G35=MAX($G$35:$G$46),G35,"")</f>
        <v/>
      </c>
    </row>
    <row r="36" spans="1:8">
      <c r="A36" s="37" t="s">
        <v>476</v>
      </c>
      <c r="B36">
        <v>688000</v>
      </c>
      <c r="E36" s="1129" t="s">
        <v>474</v>
      </c>
      <c r="F36" s="1129" t="s">
        <v>1837</v>
      </c>
      <c r="G36" s="1066">
        <f t="shared" ref="G36:G46" si="2">VLOOKUP(E36,$A$35:$B$46,2,FALSE)/1000</f>
        <v>688</v>
      </c>
      <c r="H36">
        <f t="shared" ref="H36:H46" si="3">IF(G36=MAX($G$35:$G$46),G36,"")</f>
        <v>688</v>
      </c>
    </row>
    <row r="37" spans="1:8">
      <c r="A37" s="37" t="s">
        <v>484</v>
      </c>
      <c r="B37">
        <v>662000</v>
      </c>
      <c r="E37" s="1129" t="s">
        <v>475</v>
      </c>
      <c r="F37" s="1129" t="s">
        <v>1839</v>
      </c>
      <c r="G37" s="1066">
        <f t="shared" si="2"/>
        <v>686</v>
      </c>
      <c r="H37" t="str">
        <f t="shared" si="3"/>
        <v/>
      </c>
    </row>
    <row r="38" spans="1:8">
      <c r="A38" s="37" t="s">
        <v>474</v>
      </c>
      <c r="B38">
        <v>688000</v>
      </c>
      <c r="E38" s="1129" t="s">
        <v>476</v>
      </c>
      <c r="F38" s="1129" t="s">
        <v>1838</v>
      </c>
      <c r="G38" s="1066">
        <f t="shared" si="2"/>
        <v>688</v>
      </c>
      <c r="H38">
        <f t="shared" si="3"/>
        <v>688</v>
      </c>
    </row>
    <row r="39" spans="1:8">
      <c r="A39" s="37" t="s">
        <v>473</v>
      </c>
      <c r="B39">
        <v>686000</v>
      </c>
      <c r="E39" s="1129" t="s">
        <v>477</v>
      </c>
      <c r="F39" s="1129" t="s">
        <v>477</v>
      </c>
      <c r="G39" s="1066">
        <f t="shared" si="2"/>
        <v>686</v>
      </c>
      <c r="H39" t="str">
        <f t="shared" si="3"/>
        <v/>
      </c>
    </row>
    <row r="40" spans="1:8">
      <c r="A40" s="37" t="s">
        <v>479</v>
      </c>
      <c r="B40">
        <v>686000</v>
      </c>
      <c r="E40" s="1129" t="s">
        <v>478</v>
      </c>
      <c r="F40" s="1129" t="s">
        <v>1840</v>
      </c>
      <c r="G40" s="1066">
        <f t="shared" si="2"/>
        <v>688</v>
      </c>
      <c r="H40">
        <f t="shared" si="3"/>
        <v>688</v>
      </c>
    </row>
    <row r="41" spans="1:8">
      <c r="A41" s="37" t="s">
        <v>478</v>
      </c>
      <c r="B41">
        <v>688000</v>
      </c>
      <c r="E41" s="1129" t="s">
        <v>479</v>
      </c>
      <c r="F41" s="1129" t="s">
        <v>1841</v>
      </c>
      <c r="G41" s="1066">
        <f t="shared" si="2"/>
        <v>686</v>
      </c>
      <c r="H41" t="str">
        <f t="shared" si="3"/>
        <v/>
      </c>
    </row>
    <row r="42" spans="1:8">
      <c r="A42" s="37" t="s">
        <v>477</v>
      </c>
      <c r="B42">
        <v>686000</v>
      </c>
      <c r="E42" s="1129" t="s">
        <v>480</v>
      </c>
      <c r="F42" s="1129" t="s">
        <v>1842</v>
      </c>
      <c r="G42" s="1066">
        <f t="shared" si="2"/>
        <v>688</v>
      </c>
      <c r="H42">
        <f t="shared" si="3"/>
        <v>688</v>
      </c>
    </row>
    <row r="43" spans="1:8">
      <c r="A43" s="37" t="s">
        <v>475</v>
      </c>
      <c r="B43">
        <v>686000</v>
      </c>
      <c r="E43" s="1129" t="s">
        <v>481</v>
      </c>
      <c r="F43" s="1129" t="s">
        <v>1843</v>
      </c>
      <c r="G43" s="1066">
        <f t="shared" si="2"/>
        <v>659</v>
      </c>
      <c r="H43" t="str">
        <f t="shared" si="3"/>
        <v/>
      </c>
    </row>
    <row r="44" spans="1:8">
      <c r="A44" s="37" t="s">
        <v>483</v>
      </c>
      <c r="B44">
        <v>659000</v>
      </c>
      <c r="E44" s="1129" t="s">
        <v>482</v>
      </c>
      <c r="F44" s="1129" t="s">
        <v>1844</v>
      </c>
      <c r="G44" s="1066">
        <f t="shared" si="2"/>
        <v>662</v>
      </c>
      <c r="H44" t="str">
        <f t="shared" si="3"/>
        <v/>
      </c>
    </row>
    <row r="45" spans="1:8">
      <c r="A45" s="37" t="s">
        <v>482</v>
      </c>
      <c r="B45">
        <v>662000</v>
      </c>
      <c r="E45" s="1129" t="s">
        <v>483</v>
      </c>
      <c r="F45" s="1129" t="s">
        <v>1845</v>
      </c>
      <c r="G45" s="1066">
        <f t="shared" si="2"/>
        <v>659</v>
      </c>
      <c r="H45" t="str">
        <f t="shared" si="3"/>
        <v/>
      </c>
    </row>
    <row r="46" spans="1:8">
      <c r="A46" s="37" t="s">
        <v>481</v>
      </c>
      <c r="B46">
        <v>659000</v>
      </c>
      <c r="E46" s="1129" t="s">
        <v>484</v>
      </c>
      <c r="F46" s="1129" t="s">
        <v>1846</v>
      </c>
      <c r="G46" s="1066">
        <f t="shared" si="2"/>
        <v>662</v>
      </c>
      <c r="H46" t="str">
        <f t="shared" si="3"/>
        <v/>
      </c>
    </row>
    <row r="47" spans="1:8">
      <c r="A47" s="37" t="s">
        <v>517</v>
      </c>
      <c r="B47">
        <v>8138000</v>
      </c>
    </row>
    <row r="49" spans="1:8">
      <c r="A49" s="854" t="s">
        <v>1728</v>
      </c>
      <c r="B49" t="s">
        <v>1739</v>
      </c>
    </row>
    <row r="50" spans="1:8">
      <c r="A50" s="37" t="s">
        <v>480</v>
      </c>
      <c r="B50">
        <v>675200</v>
      </c>
      <c r="E50" s="1129" t="s">
        <v>473</v>
      </c>
      <c r="F50" s="1129" t="s">
        <v>1836</v>
      </c>
      <c r="G50" s="1066">
        <f>VLOOKUP(E50,$A$50:$B$61,2,FALSE)/1000</f>
        <v>673</v>
      </c>
      <c r="H50" t="str">
        <f>IF(G50=MAX($G$50:$G$61),G50,"")</f>
        <v/>
      </c>
    </row>
    <row r="51" spans="1:8">
      <c r="A51" s="37" t="s">
        <v>476</v>
      </c>
      <c r="B51">
        <v>675200</v>
      </c>
      <c r="E51" s="1129" t="s">
        <v>474</v>
      </c>
      <c r="F51" s="1129" t="s">
        <v>1837</v>
      </c>
      <c r="G51" s="1066">
        <f t="shared" ref="G51:G61" si="4">VLOOKUP(E51,$A$50:$B$61,2,FALSE)/1000</f>
        <v>675.2</v>
      </c>
      <c r="H51" s="730">
        <f t="shared" ref="H51:H61" si="5">IF(G51=MAX($G$50:$G$61),G51,"")</f>
        <v>675.2</v>
      </c>
    </row>
    <row r="52" spans="1:8">
      <c r="A52" s="37" t="s">
        <v>484</v>
      </c>
      <c r="B52">
        <v>675200</v>
      </c>
      <c r="E52" s="1129" t="s">
        <v>475</v>
      </c>
      <c r="F52" s="1129" t="s">
        <v>1839</v>
      </c>
      <c r="G52" s="1066">
        <f t="shared" si="4"/>
        <v>673</v>
      </c>
      <c r="H52" s="730" t="str">
        <f t="shared" si="5"/>
        <v/>
      </c>
    </row>
    <row r="53" spans="1:8">
      <c r="A53" s="37" t="s">
        <v>474</v>
      </c>
      <c r="B53">
        <v>675200</v>
      </c>
      <c r="E53" s="1129" t="s">
        <v>476</v>
      </c>
      <c r="F53" s="1129" t="s">
        <v>1838</v>
      </c>
      <c r="G53" s="1066">
        <f t="shared" si="4"/>
        <v>675.2</v>
      </c>
      <c r="H53" s="730">
        <f t="shared" si="5"/>
        <v>675.2</v>
      </c>
    </row>
    <row r="54" spans="1:8">
      <c r="A54" s="37" t="s">
        <v>473</v>
      </c>
      <c r="B54">
        <v>673000</v>
      </c>
      <c r="E54" s="1129" t="s">
        <v>477</v>
      </c>
      <c r="F54" s="1129" t="s">
        <v>477</v>
      </c>
      <c r="G54" s="1066">
        <f t="shared" si="4"/>
        <v>673</v>
      </c>
      <c r="H54" s="730" t="str">
        <f t="shared" si="5"/>
        <v/>
      </c>
    </row>
    <row r="55" spans="1:8">
      <c r="A55" s="37" t="s">
        <v>479</v>
      </c>
      <c r="B55">
        <v>673000</v>
      </c>
      <c r="E55" s="1129" t="s">
        <v>478</v>
      </c>
      <c r="F55" s="1129" t="s">
        <v>1840</v>
      </c>
      <c r="G55" s="1066">
        <f t="shared" si="4"/>
        <v>675.2</v>
      </c>
      <c r="H55" s="730">
        <f t="shared" si="5"/>
        <v>675.2</v>
      </c>
    </row>
    <row r="56" spans="1:8">
      <c r="A56" s="37" t="s">
        <v>478</v>
      </c>
      <c r="B56">
        <v>675200</v>
      </c>
      <c r="E56" s="1129" t="s">
        <v>479</v>
      </c>
      <c r="F56" s="1129" t="s">
        <v>1841</v>
      </c>
      <c r="G56" s="1066">
        <f t="shared" si="4"/>
        <v>673</v>
      </c>
      <c r="H56" s="730" t="str">
        <f t="shared" si="5"/>
        <v/>
      </c>
    </row>
    <row r="57" spans="1:8">
      <c r="A57" s="37" t="s">
        <v>477</v>
      </c>
      <c r="B57">
        <v>673000</v>
      </c>
      <c r="E57" s="1129" t="s">
        <v>480</v>
      </c>
      <c r="F57" s="1129" t="s">
        <v>1842</v>
      </c>
      <c r="G57" s="1066">
        <f t="shared" si="4"/>
        <v>675.2</v>
      </c>
      <c r="H57" s="730">
        <f t="shared" si="5"/>
        <v>675.2</v>
      </c>
    </row>
    <row r="58" spans="1:8">
      <c r="A58" s="37" t="s">
        <v>475</v>
      </c>
      <c r="B58">
        <v>673000</v>
      </c>
      <c r="E58" s="1129" t="s">
        <v>481</v>
      </c>
      <c r="F58" s="1129" t="s">
        <v>1843</v>
      </c>
      <c r="G58" s="1066">
        <f t="shared" si="4"/>
        <v>673</v>
      </c>
      <c r="H58" s="730" t="str">
        <f t="shared" si="5"/>
        <v/>
      </c>
    </row>
    <row r="59" spans="1:8">
      <c r="A59" s="37" t="s">
        <v>483</v>
      </c>
      <c r="B59">
        <v>673000</v>
      </c>
      <c r="E59" s="1129" t="s">
        <v>482</v>
      </c>
      <c r="F59" s="1129" t="s">
        <v>1844</v>
      </c>
      <c r="G59" s="1066">
        <f t="shared" si="4"/>
        <v>675.2</v>
      </c>
      <c r="H59" s="730">
        <f t="shared" si="5"/>
        <v>675.2</v>
      </c>
    </row>
    <row r="60" spans="1:8">
      <c r="A60" s="37" t="s">
        <v>482</v>
      </c>
      <c r="B60">
        <v>675200</v>
      </c>
      <c r="E60" s="1129" t="s">
        <v>483</v>
      </c>
      <c r="F60" s="1129" t="s">
        <v>1845</v>
      </c>
      <c r="G60" s="1066">
        <f t="shared" si="4"/>
        <v>673</v>
      </c>
      <c r="H60" s="730" t="str">
        <f t="shared" si="5"/>
        <v/>
      </c>
    </row>
    <row r="61" spans="1:8">
      <c r="A61" s="37" t="s">
        <v>481</v>
      </c>
      <c r="B61">
        <v>673000</v>
      </c>
      <c r="E61" s="1129" t="s">
        <v>484</v>
      </c>
      <c r="F61" s="1129" t="s">
        <v>1846</v>
      </c>
      <c r="G61" s="1066">
        <f t="shared" si="4"/>
        <v>675.2</v>
      </c>
      <c r="H61" s="730">
        <f t="shared" si="5"/>
        <v>675.2</v>
      </c>
    </row>
    <row r="62" spans="1:8">
      <c r="A62" s="37" t="s">
        <v>517</v>
      </c>
      <c r="B62">
        <v>8089200</v>
      </c>
    </row>
    <row r="65" spans="1:11">
      <c r="A65" s="854" t="s">
        <v>1728</v>
      </c>
      <c r="B65" t="s">
        <v>1742</v>
      </c>
      <c r="C65" t="s">
        <v>1850</v>
      </c>
    </row>
    <row r="66" spans="1:11">
      <c r="A66" s="37" t="s">
        <v>480</v>
      </c>
      <c r="B66">
        <v>379389000</v>
      </c>
      <c r="C66">
        <v>379389000</v>
      </c>
      <c r="E66" s="1129" t="s">
        <v>473</v>
      </c>
      <c r="F66" s="1129" t="s">
        <v>1836</v>
      </c>
      <c r="G66" s="1066">
        <f>+VLOOKUP(E66,$A$66:$C$77,2,FALSE)/1000000</f>
        <v>378.28612500000003</v>
      </c>
      <c r="H66" s="1066">
        <f>+VLOOKUP(E66,$A$66:$C$77,3,FALSE)/1000000</f>
        <v>378.28612500000003</v>
      </c>
    </row>
    <row r="67" spans="1:11">
      <c r="A67" s="37" t="s">
        <v>476</v>
      </c>
      <c r="B67">
        <v>379389000</v>
      </c>
      <c r="C67">
        <v>379389000</v>
      </c>
      <c r="E67" s="1129" t="s">
        <v>474</v>
      </c>
      <c r="F67" s="1129" t="s">
        <v>1837</v>
      </c>
      <c r="G67" s="1066">
        <f t="shared" ref="G67:G77" si="6">+VLOOKUP(E67,$A$66:$C$77,2,FALSE)/1000000</f>
        <v>379.38900000000001</v>
      </c>
      <c r="H67" s="1066">
        <f t="shared" ref="H67:H77" si="7">+VLOOKUP(E67,$A$66:$C$77,3,FALSE)/1000000</f>
        <v>379.38900000000001</v>
      </c>
    </row>
    <row r="68" spans="1:11">
      <c r="A68" s="37" t="s">
        <v>484</v>
      </c>
      <c r="B68">
        <v>350735875</v>
      </c>
      <c r="C68">
        <v>350735875</v>
      </c>
      <c r="E68" s="1129" t="s">
        <v>475</v>
      </c>
      <c r="F68" s="1129" t="s">
        <v>1839</v>
      </c>
      <c r="G68" s="1066">
        <f t="shared" si="6"/>
        <v>378.28612500000003</v>
      </c>
      <c r="H68" s="1066">
        <f t="shared" si="7"/>
        <v>378.28612500000003</v>
      </c>
    </row>
    <row r="69" spans="1:11">
      <c r="A69" s="37" t="s">
        <v>474</v>
      </c>
      <c r="B69">
        <v>379389000</v>
      </c>
      <c r="C69">
        <v>379389000</v>
      </c>
      <c r="E69" s="1129" t="s">
        <v>476</v>
      </c>
      <c r="F69" s="1129" t="s">
        <v>1838</v>
      </c>
      <c r="G69" s="1066">
        <f t="shared" si="6"/>
        <v>379.38900000000001</v>
      </c>
      <c r="H69" s="1066">
        <f t="shared" si="7"/>
        <v>379.38900000000001</v>
      </c>
    </row>
    <row r="70" spans="1:11">
      <c r="A70" s="37" t="s">
        <v>473</v>
      </c>
      <c r="B70">
        <v>378286125</v>
      </c>
      <c r="C70">
        <v>378286125</v>
      </c>
      <c r="E70" s="1129" t="s">
        <v>477</v>
      </c>
      <c r="F70" s="1129" t="s">
        <v>477</v>
      </c>
      <c r="G70" s="1066">
        <f t="shared" si="6"/>
        <v>378.28612500000003</v>
      </c>
      <c r="H70" s="1066">
        <f t="shared" si="7"/>
        <v>378.28612500000003</v>
      </c>
      <c r="K70">
        <v>1000</v>
      </c>
    </row>
    <row r="71" spans="1:11">
      <c r="A71" s="37" t="s">
        <v>479</v>
      </c>
      <c r="B71">
        <v>378286125</v>
      </c>
      <c r="C71">
        <v>378286125</v>
      </c>
      <c r="E71" s="1129" t="s">
        <v>478</v>
      </c>
      <c r="F71" s="1129" t="s">
        <v>1840</v>
      </c>
      <c r="G71" s="1066">
        <f t="shared" si="6"/>
        <v>379.38900000000001</v>
      </c>
      <c r="H71" s="1066">
        <f t="shared" si="7"/>
        <v>379.38900000000001</v>
      </c>
    </row>
    <row r="72" spans="1:11">
      <c r="A72" s="37" t="s">
        <v>478</v>
      </c>
      <c r="B72">
        <v>379389000</v>
      </c>
      <c r="C72">
        <v>379389000</v>
      </c>
      <c r="E72" s="1129" t="s">
        <v>479</v>
      </c>
      <c r="F72" s="1129" t="s">
        <v>1841</v>
      </c>
      <c r="G72" s="1066">
        <f t="shared" si="6"/>
        <v>378.28612500000003</v>
      </c>
      <c r="H72" s="1066">
        <f t="shared" si="7"/>
        <v>378.28612500000003</v>
      </c>
    </row>
    <row r="73" spans="1:11">
      <c r="A73" s="37" t="s">
        <v>477</v>
      </c>
      <c r="B73">
        <v>378286125</v>
      </c>
      <c r="C73">
        <v>378286125</v>
      </c>
      <c r="E73" s="1129" t="s">
        <v>480</v>
      </c>
      <c r="F73" s="1129" t="s">
        <v>1842</v>
      </c>
      <c r="G73" s="1066">
        <f t="shared" si="6"/>
        <v>379.38900000000001</v>
      </c>
      <c r="H73" s="1066">
        <f t="shared" si="7"/>
        <v>379.38900000000001</v>
      </c>
    </row>
    <row r="74" spans="1:11">
      <c r="A74" s="37" t="s">
        <v>475</v>
      </c>
      <c r="B74">
        <v>378286125</v>
      </c>
      <c r="C74">
        <v>378286125</v>
      </c>
      <c r="E74" s="1129" t="s">
        <v>481</v>
      </c>
      <c r="F74" s="1129" t="s">
        <v>1843</v>
      </c>
      <c r="G74" s="1066">
        <f t="shared" si="6"/>
        <v>349.14643749999999</v>
      </c>
      <c r="H74" s="1066">
        <f t="shared" si="7"/>
        <v>349.14643749999999</v>
      </c>
    </row>
    <row r="75" spans="1:11">
      <c r="A75" s="37" t="s">
        <v>483</v>
      </c>
      <c r="B75">
        <v>349146437.5</v>
      </c>
      <c r="C75">
        <v>349146437.5</v>
      </c>
      <c r="E75" s="1129" t="s">
        <v>482</v>
      </c>
      <c r="F75" s="1129" t="s">
        <v>1844</v>
      </c>
      <c r="G75" s="1066">
        <f t="shared" si="6"/>
        <v>350.73587500000002</v>
      </c>
      <c r="H75" s="1066">
        <f t="shared" si="7"/>
        <v>350.73587500000002</v>
      </c>
    </row>
    <row r="76" spans="1:11">
      <c r="A76" s="37" t="s">
        <v>482</v>
      </c>
      <c r="B76">
        <v>350735875</v>
      </c>
      <c r="C76">
        <v>350735875</v>
      </c>
      <c r="E76" s="1129" t="s">
        <v>483</v>
      </c>
      <c r="F76" s="1129" t="s">
        <v>1845</v>
      </c>
      <c r="G76" s="1066">
        <f t="shared" si="6"/>
        <v>349.14643749999999</v>
      </c>
      <c r="H76" s="1066">
        <f t="shared" si="7"/>
        <v>349.14643749999999</v>
      </c>
    </row>
    <row r="77" spans="1:11">
      <c r="A77" s="37" t="s">
        <v>481</v>
      </c>
      <c r="B77">
        <v>349146437.5</v>
      </c>
      <c r="C77">
        <v>349146437.5</v>
      </c>
      <c r="E77" s="1129" t="s">
        <v>484</v>
      </c>
      <c r="F77" s="1129" t="s">
        <v>1846</v>
      </c>
      <c r="G77" s="1066">
        <f t="shared" si="6"/>
        <v>350.73587500000002</v>
      </c>
      <c r="H77" s="1066">
        <f t="shared" si="7"/>
        <v>350.73587500000002</v>
      </c>
    </row>
    <row r="78" spans="1:11">
      <c r="A78" s="37" t="s">
        <v>517</v>
      </c>
      <c r="B78">
        <v>4430465125</v>
      </c>
      <c r="C78">
        <v>4430465125</v>
      </c>
    </row>
    <row r="80" spans="1:11">
      <c r="A80" s="854" t="s">
        <v>1728</v>
      </c>
    </row>
    <row r="81" spans="1:8">
      <c r="A81" s="37" t="s">
        <v>480</v>
      </c>
      <c r="E81" s="1129" t="s">
        <v>473</v>
      </c>
      <c r="F81" s="1129" t="s">
        <v>1836</v>
      </c>
      <c r="G81" s="1066">
        <f>+VLOOKUP(E81,$A$81:$C$92,2,FALSE)/1000000</f>
        <v>0</v>
      </c>
      <c r="H81" s="1066">
        <f>+VLOOKUP(E81,$A$81:$C$92,3,FALSE)/1000000</f>
        <v>0</v>
      </c>
    </row>
    <row r="82" spans="1:8">
      <c r="A82" s="37" t="s">
        <v>476</v>
      </c>
      <c r="E82" s="1129" t="s">
        <v>474</v>
      </c>
      <c r="F82" s="1129" t="s">
        <v>1837</v>
      </c>
      <c r="G82" s="1066">
        <f t="shared" ref="G82:G92" si="8">+VLOOKUP(E82,$A$81:$C$92,2,FALSE)/1000000</f>
        <v>0</v>
      </c>
      <c r="H82" s="1066">
        <f t="shared" ref="H82:H92" si="9">+VLOOKUP(E82,$A$81:$C$92,3,FALSE)/1000000</f>
        <v>0</v>
      </c>
    </row>
    <row r="83" spans="1:8">
      <c r="A83" s="37" t="s">
        <v>484</v>
      </c>
      <c r="E83" s="1129" t="s">
        <v>475</v>
      </c>
      <c r="F83" s="1129" t="s">
        <v>1839</v>
      </c>
      <c r="G83" s="1066">
        <f>+VLOOKUP(E83,$A$81:$C$92,2,FALSE)/1000000</f>
        <v>0</v>
      </c>
      <c r="H83" s="1066">
        <f t="shared" si="9"/>
        <v>0</v>
      </c>
    </row>
    <row r="84" spans="1:8">
      <c r="A84" s="37" t="s">
        <v>474</v>
      </c>
      <c r="E84" s="1129" t="s">
        <v>476</v>
      </c>
      <c r="F84" s="1129" t="s">
        <v>1838</v>
      </c>
      <c r="G84" s="1066">
        <f t="shared" si="8"/>
        <v>0</v>
      </c>
      <c r="H84" s="1066">
        <f t="shared" si="9"/>
        <v>0</v>
      </c>
    </row>
    <row r="85" spans="1:8">
      <c r="A85" s="37" t="s">
        <v>473</v>
      </c>
      <c r="E85" s="1129" t="s">
        <v>477</v>
      </c>
      <c r="F85" s="1129" t="s">
        <v>477</v>
      </c>
      <c r="G85" s="1066">
        <f t="shared" si="8"/>
        <v>0</v>
      </c>
      <c r="H85" s="1066">
        <f t="shared" si="9"/>
        <v>0</v>
      </c>
    </row>
    <row r="86" spans="1:8">
      <c r="A86" s="37" t="s">
        <v>479</v>
      </c>
      <c r="E86" s="1129" t="s">
        <v>478</v>
      </c>
      <c r="F86" s="1129" t="s">
        <v>1840</v>
      </c>
      <c r="G86" s="1066">
        <f t="shared" si="8"/>
        <v>0</v>
      </c>
      <c r="H86" s="1066">
        <f t="shared" si="9"/>
        <v>0</v>
      </c>
    </row>
    <row r="87" spans="1:8">
      <c r="A87" s="37" t="s">
        <v>478</v>
      </c>
      <c r="E87" s="1129" t="s">
        <v>479</v>
      </c>
      <c r="F87" s="1129" t="s">
        <v>1841</v>
      </c>
      <c r="G87" s="1066">
        <f t="shared" si="8"/>
        <v>0</v>
      </c>
      <c r="H87" s="1066">
        <f t="shared" si="9"/>
        <v>0</v>
      </c>
    </row>
    <row r="88" spans="1:8">
      <c r="A88" s="37" t="s">
        <v>477</v>
      </c>
      <c r="E88" s="1129" t="s">
        <v>480</v>
      </c>
      <c r="F88" s="1129" t="s">
        <v>1842</v>
      </c>
      <c r="G88" s="1066">
        <f t="shared" si="8"/>
        <v>0</v>
      </c>
      <c r="H88" s="1066">
        <f t="shared" si="9"/>
        <v>0</v>
      </c>
    </row>
    <row r="89" spans="1:8">
      <c r="A89" s="37" t="s">
        <v>475</v>
      </c>
      <c r="E89" s="1129" t="s">
        <v>481</v>
      </c>
      <c r="F89" s="1129" t="s">
        <v>1843</v>
      </c>
      <c r="G89" s="1066">
        <f t="shared" si="8"/>
        <v>0</v>
      </c>
      <c r="H89" s="1066">
        <f t="shared" si="9"/>
        <v>0</v>
      </c>
    </row>
    <row r="90" spans="1:8">
      <c r="A90" s="37" t="s">
        <v>483</v>
      </c>
      <c r="E90" s="1129" t="s">
        <v>482</v>
      </c>
      <c r="F90" s="1129" t="s">
        <v>1844</v>
      </c>
      <c r="G90" s="1066">
        <f t="shared" si="8"/>
        <v>0</v>
      </c>
      <c r="H90" s="1066">
        <f t="shared" si="9"/>
        <v>0</v>
      </c>
    </row>
    <row r="91" spans="1:8">
      <c r="A91" s="37" t="s">
        <v>482</v>
      </c>
      <c r="E91" s="1129" t="s">
        <v>483</v>
      </c>
      <c r="F91" s="1129" t="s">
        <v>1845</v>
      </c>
      <c r="G91" s="1066">
        <f t="shared" si="8"/>
        <v>0</v>
      </c>
      <c r="H91" s="1066">
        <f t="shared" si="9"/>
        <v>0</v>
      </c>
    </row>
    <row r="92" spans="1:8">
      <c r="A92" s="37" t="s">
        <v>481</v>
      </c>
      <c r="E92" s="1129" t="s">
        <v>484</v>
      </c>
      <c r="F92" s="1129" t="s">
        <v>1846</v>
      </c>
      <c r="G92" s="1066">
        <f t="shared" si="8"/>
        <v>0</v>
      </c>
      <c r="H92" s="1066">
        <f t="shared" si="9"/>
        <v>0</v>
      </c>
    </row>
    <row r="93" spans="1:8">
      <c r="A93" s="37" t="s">
        <v>517</v>
      </c>
    </row>
    <row r="95" spans="1:8">
      <c r="A95" s="854" t="s">
        <v>1728</v>
      </c>
      <c r="B95" t="s">
        <v>1833</v>
      </c>
      <c r="C95" t="s">
        <v>1851</v>
      </c>
    </row>
    <row r="96" spans="1:8">
      <c r="A96" s="37" t="s">
        <v>480</v>
      </c>
      <c r="B96">
        <v>1220464000</v>
      </c>
      <c r="C96">
        <v>1220464000</v>
      </c>
      <c r="E96" s="1129" t="s">
        <v>473</v>
      </c>
      <c r="F96" s="1129" t="s">
        <v>1836</v>
      </c>
      <c r="G96" s="1066">
        <f>+VLOOKUP(E96,$A$96:$C$107,2,FALSE)/1000000</f>
        <v>1216.691</v>
      </c>
      <c r="H96" s="1066">
        <f>+VLOOKUP(E96,$A$96:$C$107,3,FALSE)/1000000</f>
        <v>1216.691</v>
      </c>
    </row>
    <row r="97" spans="1:14">
      <c r="A97" s="37" t="s">
        <v>476</v>
      </c>
      <c r="B97">
        <v>1220464000</v>
      </c>
      <c r="C97">
        <v>1220464000</v>
      </c>
      <c r="E97" s="1129" t="s">
        <v>474</v>
      </c>
      <c r="F97" s="1129" t="s">
        <v>1837</v>
      </c>
      <c r="G97" s="1066">
        <f t="shared" ref="G97:G107" si="10">+VLOOKUP(E97,$A$96:$C$107,2,FALSE)/1000000</f>
        <v>1220.4639999999999</v>
      </c>
      <c r="H97" s="1066">
        <f t="shared" ref="H97:H107" si="11">+VLOOKUP(E97,$A$96:$C$107,3,FALSE)/1000000</f>
        <v>1220.4639999999999</v>
      </c>
    </row>
    <row r="98" spans="1:14">
      <c r="A98" s="37" t="s">
        <v>484</v>
      </c>
      <c r="B98">
        <v>1220464000</v>
      </c>
      <c r="C98">
        <v>1220464000</v>
      </c>
      <c r="E98" s="1129" t="s">
        <v>475</v>
      </c>
      <c r="F98" s="1129" t="s">
        <v>1839</v>
      </c>
      <c r="G98" s="1066">
        <f t="shared" si="10"/>
        <v>1216.691</v>
      </c>
      <c r="H98" s="1066">
        <f t="shared" si="11"/>
        <v>1216.691</v>
      </c>
    </row>
    <row r="99" spans="1:14">
      <c r="A99" s="37" t="s">
        <v>474</v>
      </c>
      <c r="B99">
        <v>1220464000</v>
      </c>
      <c r="C99">
        <v>1220464000</v>
      </c>
      <c r="E99" s="1129" t="s">
        <v>476</v>
      </c>
      <c r="F99" s="1129" t="s">
        <v>1838</v>
      </c>
      <c r="G99" s="1066">
        <f t="shared" si="10"/>
        <v>1220.4639999999999</v>
      </c>
      <c r="H99" s="1066">
        <f t="shared" si="11"/>
        <v>1220.4639999999999</v>
      </c>
    </row>
    <row r="100" spans="1:14">
      <c r="A100" s="37" t="s">
        <v>473</v>
      </c>
      <c r="B100">
        <v>1216691000</v>
      </c>
      <c r="C100">
        <v>1216691000</v>
      </c>
      <c r="E100" s="1129" t="s">
        <v>477</v>
      </c>
      <c r="F100" s="1129" t="s">
        <v>477</v>
      </c>
      <c r="G100" s="1066">
        <f t="shared" si="10"/>
        <v>1216.691</v>
      </c>
      <c r="H100" s="1066">
        <f t="shared" si="11"/>
        <v>1216.691</v>
      </c>
    </row>
    <row r="101" spans="1:14">
      <c r="A101" s="37" t="s">
        <v>479</v>
      </c>
      <c r="B101">
        <v>1216691000</v>
      </c>
      <c r="C101">
        <v>1216691000</v>
      </c>
      <c r="E101" s="1129" t="s">
        <v>478</v>
      </c>
      <c r="F101" s="1129" t="s">
        <v>1840</v>
      </c>
      <c r="G101" s="1066">
        <f t="shared" si="10"/>
        <v>1220.4639999999999</v>
      </c>
      <c r="H101" s="1066">
        <f t="shared" si="11"/>
        <v>1220.4639999999999</v>
      </c>
    </row>
    <row r="102" spans="1:14">
      <c r="A102" s="37" t="s">
        <v>478</v>
      </c>
      <c r="B102">
        <v>1220464000</v>
      </c>
      <c r="C102">
        <v>1220464000</v>
      </c>
      <c r="E102" s="1129" t="s">
        <v>479</v>
      </c>
      <c r="F102" s="1129" t="s">
        <v>1841</v>
      </c>
      <c r="G102" s="1066">
        <f t="shared" si="10"/>
        <v>1216.691</v>
      </c>
      <c r="H102" s="1066">
        <f t="shared" si="11"/>
        <v>1216.691</v>
      </c>
    </row>
    <row r="103" spans="1:14">
      <c r="A103" s="37" t="s">
        <v>477</v>
      </c>
      <c r="B103">
        <v>1216691000</v>
      </c>
      <c r="C103">
        <v>1216691000</v>
      </c>
      <c r="E103" s="1129" t="s">
        <v>480</v>
      </c>
      <c r="F103" s="1129" t="s">
        <v>1842</v>
      </c>
      <c r="G103" s="1066">
        <f t="shared" si="10"/>
        <v>1220.4639999999999</v>
      </c>
      <c r="H103" s="1066">
        <f t="shared" si="11"/>
        <v>1220.4639999999999</v>
      </c>
    </row>
    <row r="104" spans="1:14">
      <c r="A104" s="37" t="s">
        <v>475</v>
      </c>
      <c r="B104">
        <v>1216691000</v>
      </c>
      <c r="C104">
        <v>1216691000</v>
      </c>
      <c r="E104" s="1129" t="s">
        <v>481</v>
      </c>
      <c r="F104" s="1129" t="s">
        <v>1843</v>
      </c>
      <c r="G104" s="1066">
        <f t="shared" si="10"/>
        <v>1216.691</v>
      </c>
      <c r="H104" s="1066">
        <f t="shared" si="11"/>
        <v>1216.691</v>
      </c>
    </row>
    <row r="105" spans="1:14">
      <c r="A105" s="37" t="s">
        <v>483</v>
      </c>
      <c r="B105">
        <v>1216691000</v>
      </c>
      <c r="C105">
        <v>1216691000</v>
      </c>
      <c r="E105" s="1129" t="s">
        <v>482</v>
      </c>
      <c r="F105" s="1129" t="s">
        <v>1844</v>
      </c>
      <c r="G105" s="1066">
        <f t="shared" si="10"/>
        <v>1220.4639999999999</v>
      </c>
      <c r="H105" s="1066">
        <f t="shared" si="11"/>
        <v>1220.4639999999999</v>
      </c>
    </row>
    <row r="106" spans="1:14">
      <c r="A106" s="37" t="s">
        <v>482</v>
      </c>
      <c r="B106">
        <v>1220464000</v>
      </c>
      <c r="C106">
        <v>1220464000</v>
      </c>
      <c r="E106" s="1129" t="s">
        <v>483</v>
      </c>
      <c r="F106" s="1129" t="s">
        <v>1845</v>
      </c>
      <c r="G106" s="1066">
        <f t="shared" si="10"/>
        <v>1216.691</v>
      </c>
      <c r="H106" s="1066">
        <f t="shared" si="11"/>
        <v>1216.691</v>
      </c>
    </row>
    <row r="107" spans="1:14">
      <c r="A107" s="37" t="s">
        <v>481</v>
      </c>
      <c r="B107">
        <v>1216691000</v>
      </c>
      <c r="C107">
        <v>1216691000</v>
      </c>
      <c r="E107" s="1129" t="s">
        <v>484</v>
      </c>
      <c r="F107" s="1129" t="s">
        <v>1846</v>
      </c>
      <c r="G107" s="1066">
        <f t="shared" si="10"/>
        <v>1220.4639999999999</v>
      </c>
      <c r="H107" s="1066">
        <f t="shared" si="11"/>
        <v>1220.4639999999999</v>
      </c>
    </row>
    <row r="108" spans="1:14">
      <c r="A108" s="37" t="s">
        <v>517</v>
      </c>
      <c r="B108">
        <v>14622930000</v>
      </c>
      <c r="C108">
        <v>14622930000</v>
      </c>
    </row>
    <row r="111" spans="1:14">
      <c r="A111" s="854" t="s">
        <v>1739</v>
      </c>
      <c r="B111" s="854" t="s">
        <v>1852</v>
      </c>
    </row>
    <row r="112" spans="1:14">
      <c r="A112" s="854" t="s">
        <v>1728</v>
      </c>
      <c r="B112" t="s">
        <v>480</v>
      </c>
      <c r="C112" t="s">
        <v>476</v>
      </c>
      <c r="D112" t="s">
        <v>484</v>
      </c>
      <c r="E112" t="s">
        <v>474</v>
      </c>
      <c r="F112" t="s">
        <v>473</v>
      </c>
      <c r="G112" t="s">
        <v>479</v>
      </c>
      <c r="H112" t="s">
        <v>478</v>
      </c>
      <c r="I112" t="s">
        <v>477</v>
      </c>
      <c r="J112" t="s">
        <v>475</v>
      </c>
      <c r="K112" t="s">
        <v>483</v>
      </c>
      <c r="L112" t="s">
        <v>482</v>
      </c>
      <c r="M112" t="s">
        <v>481</v>
      </c>
      <c r="N112" t="s">
        <v>517</v>
      </c>
    </row>
    <row r="113" spans="1:14">
      <c r="A113" s="37" t="s">
        <v>909</v>
      </c>
      <c r="B113">
        <v>307020</v>
      </c>
      <c r="C113">
        <v>307020</v>
      </c>
      <c r="D113">
        <v>283832.5</v>
      </c>
      <c r="E113">
        <v>307020</v>
      </c>
      <c r="F113">
        <v>306127.5</v>
      </c>
      <c r="G113">
        <v>306127.5</v>
      </c>
      <c r="H113">
        <v>307020</v>
      </c>
      <c r="I113">
        <v>306127.5</v>
      </c>
      <c r="J113">
        <v>306127.5</v>
      </c>
      <c r="K113">
        <v>282546.25</v>
      </c>
      <c r="L113">
        <v>283832.5</v>
      </c>
      <c r="M113">
        <v>282546.25</v>
      </c>
      <c r="N113">
        <v>3585347.5</v>
      </c>
    </row>
    <row r="114" spans="1:14">
      <c r="A114" s="37" t="s">
        <v>875</v>
      </c>
      <c r="B114">
        <v>175440</v>
      </c>
      <c r="C114">
        <v>175440</v>
      </c>
      <c r="D114">
        <v>162190</v>
      </c>
      <c r="E114">
        <v>175440</v>
      </c>
      <c r="F114">
        <v>174930</v>
      </c>
      <c r="G114">
        <v>174930</v>
      </c>
      <c r="H114">
        <v>175440</v>
      </c>
      <c r="I114">
        <v>174930</v>
      </c>
      <c r="J114">
        <v>174930</v>
      </c>
      <c r="K114">
        <v>161455</v>
      </c>
      <c r="L114">
        <v>162190</v>
      </c>
      <c r="M114">
        <v>161455</v>
      </c>
      <c r="N114">
        <v>2048770</v>
      </c>
    </row>
    <row r="115" spans="1:14">
      <c r="A115" s="37" t="s">
        <v>35</v>
      </c>
      <c r="B115">
        <v>175440</v>
      </c>
      <c r="C115">
        <v>175440</v>
      </c>
      <c r="D115">
        <v>162190</v>
      </c>
      <c r="E115">
        <v>175440</v>
      </c>
      <c r="F115">
        <v>174930</v>
      </c>
      <c r="G115">
        <v>174930</v>
      </c>
      <c r="H115">
        <v>175440</v>
      </c>
      <c r="I115">
        <v>174930</v>
      </c>
      <c r="J115">
        <v>174930</v>
      </c>
      <c r="K115">
        <v>161455</v>
      </c>
      <c r="L115">
        <v>162190</v>
      </c>
      <c r="M115">
        <v>161455</v>
      </c>
      <c r="N115">
        <v>2048770</v>
      </c>
    </row>
    <row r="116" spans="1:14">
      <c r="A116" s="37" t="s">
        <v>37</v>
      </c>
      <c r="B116">
        <v>219300</v>
      </c>
      <c r="C116">
        <v>219300</v>
      </c>
      <c r="D116">
        <v>202737.5</v>
      </c>
      <c r="E116">
        <v>219300</v>
      </c>
      <c r="F116">
        <v>218662.5</v>
      </c>
      <c r="G116">
        <v>218662.5</v>
      </c>
      <c r="H116">
        <v>219300</v>
      </c>
      <c r="I116">
        <v>218662.5</v>
      </c>
      <c r="J116">
        <v>218662.5</v>
      </c>
      <c r="K116">
        <v>201818.75</v>
      </c>
      <c r="L116">
        <v>202737.5</v>
      </c>
      <c r="M116">
        <v>201818.75</v>
      </c>
      <c r="N116">
        <v>2560962.5</v>
      </c>
    </row>
    <row r="117" spans="1:14">
      <c r="A117" s="37" t="s">
        <v>517</v>
      </c>
      <c r="B117">
        <v>877200</v>
      </c>
      <c r="C117">
        <v>877200</v>
      </c>
      <c r="D117">
        <v>810950</v>
      </c>
      <c r="E117">
        <v>877200</v>
      </c>
      <c r="F117">
        <v>874650</v>
      </c>
      <c r="G117">
        <v>874650</v>
      </c>
      <c r="H117">
        <v>877200</v>
      </c>
      <c r="I117">
        <v>874650</v>
      </c>
      <c r="J117">
        <v>874650</v>
      </c>
      <c r="K117">
        <v>807275</v>
      </c>
      <c r="L117">
        <v>810950</v>
      </c>
      <c r="M117">
        <v>807275</v>
      </c>
      <c r="N117">
        <v>10243850</v>
      </c>
    </row>
    <row r="119" spans="1:14">
      <c r="B119" t="s">
        <v>473</v>
      </c>
      <c r="C119" t="s">
        <v>474</v>
      </c>
      <c r="D119" t="s">
        <v>475</v>
      </c>
      <c r="E119" t="s">
        <v>476</v>
      </c>
      <c r="F119" t="s">
        <v>477</v>
      </c>
      <c r="G119" t="s">
        <v>478</v>
      </c>
      <c r="H119" t="s">
        <v>479</v>
      </c>
      <c r="I119" t="s">
        <v>480</v>
      </c>
      <c r="J119" t="s">
        <v>481</v>
      </c>
      <c r="K119" t="s">
        <v>482</v>
      </c>
      <c r="L119" t="s">
        <v>483</v>
      </c>
      <c r="M119" t="s">
        <v>484</v>
      </c>
    </row>
    <row r="120" spans="1:14">
      <c r="B120" t="str">
        <f t="array" ref="B120:M120">TRANSPOSE(F81:F92)</f>
        <v>Janv.</v>
      </c>
      <c r="C120" t="str">
        <v>Fev.</v>
      </c>
      <c r="D120" t="str">
        <v>Mar.</v>
      </c>
      <c r="E120" t="str">
        <v>Avr.</v>
      </c>
      <c r="F120" t="str">
        <v>Mai</v>
      </c>
      <c r="G120" t="str">
        <v>Jui.</v>
      </c>
      <c r="H120" t="str">
        <v>Jul.</v>
      </c>
      <c r="I120" t="str">
        <v>Aou.</v>
      </c>
      <c r="J120" t="str">
        <v>Sept</v>
      </c>
      <c r="K120" t="str">
        <v>Oct.</v>
      </c>
      <c r="L120" t="str">
        <v>Nov.</v>
      </c>
      <c r="M120" t="str">
        <v>Déc.</v>
      </c>
    </row>
    <row r="121" spans="1:14">
      <c r="A121" t="str">
        <f>+A113</f>
        <v>Ampandrandava</v>
      </c>
      <c r="B121">
        <f>+HLOOKUP($B$119,$B$112:$M$116,2,FALSE)</f>
        <v>306127.5</v>
      </c>
      <c r="C121">
        <f>+HLOOKUP(B119,$B$112:$M$116,2,FALSE)</f>
        <v>306127.5</v>
      </c>
      <c r="D121">
        <f t="shared" ref="D121:M121" si="12">+HLOOKUP(C119,$B$112:$M$116,2,FALSE)</f>
        <v>307020</v>
      </c>
      <c r="E121">
        <f t="shared" si="12"/>
        <v>306127.5</v>
      </c>
      <c r="F121">
        <f t="shared" si="12"/>
        <v>307020</v>
      </c>
      <c r="G121">
        <f t="shared" si="12"/>
        <v>306127.5</v>
      </c>
      <c r="H121">
        <f t="shared" si="12"/>
        <v>307020</v>
      </c>
      <c r="I121">
        <f t="shared" si="12"/>
        <v>306127.5</v>
      </c>
      <c r="J121">
        <f t="shared" si="12"/>
        <v>307020</v>
      </c>
      <c r="K121">
        <f t="shared" si="12"/>
        <v>282546.25</v>
      </c>
      <c r="L121">
        <f t="shared" si="12"/>
        <v>283832.5</v>
      </c>
      <c r="M121">
        <f t="shared" si="12"/>
        <v>282546.25</v>
      </c>
    </row>
    <row r="122" spans="1:14">
      <c r="A122" t="str">
        <f>+A114</f>
        <v>Autres</v>
      </c>
      <c r="B122">
        <f>+HLOOKUP(B119,$B$112:$M$116,3,FALSE)</f>
        <v>174930</v>
      </c>
      <c r="C122">
        <f t="shared" ref="C122:M122" si="13">+HLOOKUP(C119,$B$112:$M$116,3,FALSE)</f>
        <v>175440</v>
      </c>
      <c r="D122">
        <f t="shared" si="13"/>
        <v>174930</v>
      </c>
      <c r="E122">
        <f t="shared" si="13"/>
        <v>175440</v>
      </c>
      <c r="F122">
        <f t="shared" si="13"/>
        <v>174930</v>
      </c>
      <c r="G122">
        <f t="shared" si="13"/>
        <v>175440</v>
      </c>
      <c r="H122">
        <f t="shared" si="13"/>
        <v>174930</v>
      </c>
      <c r="I122">
        <f t="shared" si="13"/>
        <v>175440</v>
      </c>
      <c r="J122">
        <f t="shared" si="13"/>
        <v>161455</v>
      </c>
      <c r="K122">
        <f t="shared" si="13"/>
        <v>162190</v>
      </c>
      <c r="L122">
        <f t="shared" si="13"/>
        <v>161455</v>
      </c>
      <c r="M122">
        <f t="shared" si="13"/>
        <v>162190</v>
      </c>
    </row>
    <row r="123" spans="1:14">
      <c r="A123" t="str">
        <f>+A115</f>
        <v>Fort dauphin</v>
      </c>
      <c r="B123">
        <f>+HLOOKUP(B119,$B$112:$M$116,4,FALSE)</f>
        <v>174930</v>
      </c>
      <c r="C123">
        <f t="shared" ref="C123:M123" si="14">+HLOOKUP(C119,$B$112:$M$116,4,FALSE)</f>
        <v>175440</v>
      </c>
      <c r="D123">
        <f t="shared" si="14"/>
        <v>174930</v>
      </c>
      <c r="E123">
        <f t="shared" si="14"/>
        <v>175440</v>
      </c>
      <c r="F123">
        <f t="shared" si="14"/>
        <v>174930</v>
      </c>
      <c r="G123">
        <f t="shared" si="14"/>
        <v>175440</v>
      </c>
      <c r="H123">
        <f t="shared" si="14"/>
        <v>174930</v>
      </c>
      <c r="I123">
        <f t="shared" si="14"/>
        <v>175440</v>
      </c>
      <c r="J123">
        <f t="shared" si="14"/>
        <v>161455</v>
      </c>
      <c r="K123">
        <f t="shared" si="14"/>
        <v>162190</v>
      </c>
      <c r="L123">
        <f t="shared" si="14"/>
        <v>161455</v>
      </c>
      <c r="M123">
        <f t="shared" si="14"/>
        <v>162190</v>
      </c>
    </row>
    <row r="124" spans="1:14">
      <c r="A124" t="str">
        <f>+A116</f>
        <v>Tranomaro</v>
      </c>
      <c r="B124">
        <f>+HLOOKUP(B119,$B$112:$M$116,5,FALSE)</f>
        <v>218662.5</v>
      </c>
      <c r="C124">
        <f t="shared" ref="C124:M124" si="15">+HLOOKUP(C119,$B$112:$M$116,5,FALSE)</f>
        <v>219300</v>
      </c>
      <c r="D124">
        <f t="shared" si="15"/>
        <v>218662.5</v>
      </c>
      <c r="E124">
        <f t="shared" si="15"/>
        <v>219300</v>
      </c>
      <c r="F124">
        <f t="shared" si="15"/>
        <v>218662.5</v>
      </c>
      <c r="G124">
        <f t="shared" si="15"/>
        <v>219300</v>
      </c>
      <c r="H124">
        <f t="shared" si="15"/>
        <v>218662.5</v>
      </c>
      <c r="I124">
        <f t="shared" si="15"/>
        <v>219300</v>
      </c>
      <c r="J124">
        <f t="shared" si="15"/>
        <v>201818.75</v>
      </c>
      <c r="K124">
        <f t="shared" si="15"/>
        <v>202737.5</v>
      </c>
      <c r="L124">
        <f t="shared" si="15"/>
        <v>201818.75</v>
      </c>
      <c r="M124">
        <f t="shared" si="15"/>
        <v>202737.5</v>
      </c>
    </row>
  </sheetData>
  <phoneticPr fontId="21" type="noConversion"/>
  <pageMargins left="0.7" right="0.7" top="0.75" bottom="0.75" header="0.3" footer="0.3"/>
  <pageSetup paperSize="9" orientation="portrait" r:id="rId14"/>
  <drawing r:id="rId15"/>
  <extLst>
    <ext xmlns:x14="http://schemas.microsoft.com/office/spreadsheetml/2009/9/main" uri="{A8765BA9-456A-4dab-B4F3-ACF838C121DE}">
      <x14:slicerList>
        <x14:slicer r:id="rId16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2B940-205E-47D0-8738-0A5B013CDA89}">
  <sheetPr codeName="Feuil30"/>
  <dimension ref="A1:Q260"/>
  <sheetViews>
    <sheetView showGridLines="0" topLeftCell="A2" zoomScale="107" workbookViewId="0">
      <selection activeCell="K3" sqref="K3"/>
    </sheetView>
  </sheetViews>
  <sheetFormatPr baseColWidth="10" defaultRowHeight="12.75"/>
  <cols>
    <col min="1" max="1" width="11.5703125" style="1123" customWidth="1"/>
    <col min="2" max="3" width="10" style="1123" bestFit="1" customWidth="1"/>
    <col min="4" max="4" width="12.28515625" style="1123" bestFit="1" customWidth="1"/>
    <col min="5" max="5" width="6.5703125" style="1124" bestFit="1" customWidth="1"/>
    <col min="6" max="6" width="10.85546875" style="1124" bestFit="1" customWidth="1"/>
    <col min="7" max="7" width="8.7109375" style="1124" bestFit="1" customWidth="1"/>
    <col min="8" max="8" width="10" style="1124" bestFit="1" customWidth="1"/>
    <col min="9" max="9" width="8.7109375" style="1124" bestFit="1" customWidth="1"/>
    <col min="10" max="10" width="10.7109375" style="1124" bestFit="1" customWidth="1"/>
    <col min="11" max="11" width="4.7109375" style="1124" bestFit="1" customWidth="1"/>
    <col min="12" max="12" width="12.5703125" style="1123" customWidth="1"/>
    <col min="13" max="13" width="10" style="1123" bestFit="1" customWidth="1"/>
    <col min="14" max="14" width="11.42578125" style="1123"/>
    <col min="15" max="15" width="12.28515625" style="1123" bestFit="1" customWidth="1"/>
    <col min="16" max="16" width="11.42578125" style="1123"/>
    <col min="17" max="17" width="8.28515625" style="1123" bestFit="1" customWidth="1"/>
    <col min="18" max="16384" width="11.42578125" style="1123"/>
  </cols>
  <sheetData>
    <row r="1" spans="1:17">
      <c r="A1" s="1122" t="s">
        <v>518</v>
      </c>
    </row>
    <row r="2" spans="1:17">
      <c r="A2" s="1122" t="s">
        <v>1732</v>
      </c>
      <c r="B2" s="1122" t="s">
        <v>1743</v>
      </c>
      <c r="C2" s="1122" t="s">
        <v>807</v>
      </c>
      <c r="D2" s="1122" t="s">
        <v>1733</v>
      </c>
      <c r="E2" s="1126" t="s">
        <v>843</v>
      </c>
      <c r="F2" s="1126" t="s">
        <v>382</v>
      </c>
      <c r="G2" s="1126" t="s">
        <v>1734</v>
      </c>
      <c r="H2" s="1126" t="s">
        <v>1740</v>
      </c>
      <c r="I2" s="1126" t="s">
        <v>412</v>
      </c>
      <c r="J2" s="1126" t="s">
        <v>1265</v>
      </c>
      <c r="K2" s="1126" t="s">
        <v>1741</v>
      </c>
      <c r="M2" s="1123" t="s">
        <v>1735</v>
      </c>
      <c r="O2" s="1123" t="s">
        <v>1733</v>
      </c>
      <c r="Q2" s="1123" t="s">
        <v>1732</v>
      </c>
    </row>
    <row r="3" spans="1:17">
      <c r="A3" s="1123" t="str">
        <f>+'Besoins en micas'!B142</f>
        <v>Janvier</v>
      </c>
      <c r="B3" s="1123" t="str">
        <f>+'Besoins en micas'!C142</f>
        <v>1 MC</v>
      </c>
      <c r="C3" s="1123" t="str">
        <f>+'Besoins en micas'!D142</f>
        <v>TRA GAZ</v>
      </c>
      <c r="D3" s="1123" t="str">
        <f>+'Besoins en micas'!E142</f>
        <v>Tranomaro</v>
      </c>
      <c r="E3" s="1124">
        <f>+'Besoins en micas'!F142</f>
        <v>112200</v>
      </c>
      <c r="F3" s="1124">
        <f>+'Besoins en micas'!G142</f>
        <v>250</v>
      </c>
      <c r="G3" s="1124">
        <f>+'Besoins en micas'!H142</f>
        <v>28050000</v>
      </c>
      <c r="H3" s="1124">
        <f>+'Besoins en micas'!I142</f>
        <v>200</v>
      </c>
      <c r="I3" s="1124">
        <f>+'Besoins en micas'!J142</f>
        <v>22440000</v>
      </c>
      <c r="J3" s="1124">
        <f>+'Besoins en micas'!K142</f>
        <v>50490000</v>
      </c>
      <c r="K3" s="1124">
        <f>+'Besoins en micas'!L142</f>
        <v>450</v>
      </c>
      <c r="M3" s="1123" t="s">
        <v>1738</v>
      </c>
      <c r="O3" s="1123" t="s">
        <v>37</v>
      </c>
      <c r="Q3" s="1123" t="s">
        <v>473</v>
      </c>
    </row>
    <row r="4" spans="1:17">
      <c r="A4" s="1123" t="str">
        <f>+'Besoins en micas'!B143</f>
        <v>Février</v>
      </c>
      <c r="B4" s="1123" t="str">
        <f>+'Besoins en micas'!C143</f>
        <v>1 MC</v>
      </c>
      <c r="C4" s="1123" t="str">
        <f>+'Besoins en micas'!D143</f>
        <v>TRA GAZ</v>
      </c>
      <c r="D4" s="1123" t="str">
        <f>+'Besoins en micas'!E143</f>
        <v>Tranomaro</v>
      </c>
      <c r="E4" s="1124">
        <f>+'Besoins en micas'!F143</f>
        <v>112837.5</v>
      </c>
      <c r="F4" s="1124">
        <f>+'Besoins en micas'!G143</f>
        <v>250</v>
      </c>
      <c r="G4" s="1124">
        <f>+'Besoins en micas'!H143</f>
        <v>28209375</v>
      </c>
      <c r="H4" s="1124">
        <f>+'Besoins en micas'!I143</f>
        <v>200</v>
      </c>
      <c r="I4" s="1124">
        <f>+'Besoins en micas'!J143</f>
        <v>22567500</v>
      </c>
      <c r="J4" s="1124">
        <f>+'Besoins en micas'!K143</f>
        <v>50776875</v>
      </c>
      <c r="K4" s="1124">
        <f>+'Besoins en micas'!L143</f>
        <v>450</v>
      </c>
      <c r="M4" s="1123" t="s">
        <v>1736</v>
      </c>
      <c r="O4" s="1123" t="s">
        <v>909</v>
      </c>
      <c r="Q4" s="1123" t="s">
        <v>474</v>
      </c>
    </row>
    <row r="5" spans="1:17">
      <c r="A5" s="1123" t="str">
        <f>+'Besoins en micas'!B144</f>
        <v>Mars</v>
      </c>
      <c r="B5" s="1123" t="str">
        <f>+'Besoins en micas'!C144</f>
        <v>1 MC</v>
      </c>
      <c r="C5" s="1123" t="str">
        <f>+'Besoins en micas'!D144</f>
        <v>TRA GAZ</v>
      </c>
      <c r="D5" s="1123" t="str">
        <f>+'Besoins en micas'!E144</f>
        <v>Tranomaro</v>
      </c>
      <c r="E5" s="1124">
        <f>+'Besoins en micas'!F144</f>
        <v>112200</v>
      </c>
      <c r="F5" s="1124">
        <f>+'Besoins en micas'!G144</f>
        <v>250</v>
      </c>
      <c r="G5" s="1124">
        <f>+'Besoins en micas'!H144</f>
        <v>28050000</v>
      </c>
      <c r="H5" s="1124">
        <f>+'Besoins en micas'!I144</f>
        <v>200</v>
      </c>
      <c r="I5" s="1124">
        <f>+'Besoins en micas'!J144</f>
        <v>22440000</v>
      </c>
      <c r="J5" s="1124">
        <f>+'Besoins en micas'!K144</f>
        <v>50490000</v>
      </c>
      <c r="K5" s="1124">
        <f>+'Besoins en micas'!L144</f>
        <v>450</v>
      </c>
      <c r="M5" s="1123" t="s">
        <v>1737</v>
      </c>
      <c r="O5" s="1123" t="s">
        <v>35</v>
      </c>
      <c r="Q5" s="1123" t="s">
        <v>475</v>
      </c>
    </row>
    <row r="6" spans="1:17">
      <c r="A6" s="1123" t="str">
        <f>+'Besoins en micas'!B145</f>
        <v>Avril</v>
      </c>
      <c r="B6" s="1123" t="str">
        <f>+'Besoins en micas'!C145</f>
        <v>1 MC</v>
      </c>
      <c r="C6" s="1123" t="str">
        <f>+'Besoins en micas'!D145</f>
        <v>TRA GAZ</v>
      </c>
      <c r="D6" s="1123" t="str">
        <f>+'Besoins en micas'!E145</f>
        <v>Tranomaro</v>
      </c>
      <c r="E6" s="1124">
        <f>+'Besoins en micas'!F145</f>
        <v>112837.5</v>
      </c>
      <c r="F6" s="1124">
        <f>+'Besoins en micas'!G145</f>
        <v>250</v>
      </c>
      <c r="G6" s="1124">
        <f>+'Besoins en micas'!H145</f>
        <v>28209375</v>
      </c>
      <c r="H6" s="1124">
        <f>+'Besoins en micas'!I145</f>
        <v>200</v>
      </c>
      <c r="I6" s="1124">
        <f>+'Besoins en micas'!J145</f>
        <v>22567500</v>
      </c>
      <c r="J6" s="1124">
        <f>+'Besoins en micas'!K145</f>
        <v>50776875</v>
      </c>
      <c r="K6" s="1124">
        <f>+'Besoins en micas'!L145</f>
        <v>450</v>
      </c>
      <c r="M6" s="1123" t="s">
        <v>1784</v>
      </c>
      <c r="O6" s="1123" t="s">
        <v>875</v>
      </c>
      <c r="Q6" s="1123" t="s">
        <v>476</v>
      </c>
    </row>
    <row r="7" spans="1:17" ht="15">
      <c r="A7" s="1123" t="str">
        <f>+'Besoins en micas'!B146</f>
        <v>Mai</v>
      </c>
      <c r="B7" s="1123" t="str">
        <f>+'Besoins en micas'!C146</f>
        <v>1 MC</v>
      </c>
      <c r="C7" s="1123" t="str">
        <f>+'Besoins en micas'!D146</f>
        <v>TRA GAZ</v>
      </c>
      <c r="D7" s="1123" t="str">
        <f>+'Besoins en micas'!E146</f>
        <v>Tranomaro</v>
      </c>
      <c r="E7" s="1124">
        <f>+'Besoins en micas'!F146</f>
        <v>112200</v>
      </c>
      <c r="F7" s="1124">
        <f>+'Besoins en micas'!G146</f>
        <v>250</v>
      </c>
      <c r="G7" s="1124">
        <f>+'Besoins en micas'!H146</f>
        <v>28050000</v>
      </c>
      <c r="H7" s="1124">
        <f>+'Besoins en micas'!I146</f>
        <v>200</v>
      </c>
      <c r="I7" s="1124">
        <f>+'Besoins en micas'!J146</f>
        <v>22440000</v>
      </c>
      <c r="J7" s="1124">
        <f>+'Besoins en micas'!K146</f>
        <v>50490000</v>
      </c>
      <c r="K7" s="1124">
        <f>+'Besoins en micas'!L146</f>
        <v>450</v>
      </c>
      <c r="M7" s="1123" t="s">
        <v>1785</v>
      </c>
      <c r="O7"/>
      <c r="Q7" s="1123" t="s">
        <v>477</v>
      </c>
    </row>
    <row r="8" spans="1:17" ht="15">
      <c r="A8" s="1123" t="str">
        <f>+'Besoins en micas'!B147</f>
        <v>Juin</v>
      </c>
      <c r="B8" s="1123" t="str">
        <f>+'Besoins en micas'!C147</f>
        <v>1 MC</v>
      </c>
      <c r="C8" s="1123" t="str">
        <f>+'Besoins en micas'!D147</f>
        <v>TRA GAZ</v>
      </c>
      <c r="D8" s="1123" t="str">
        <f>+'Besoins en micas'!E147</f>
        <v>Tranomaro</v>
      </c>
      <c r="E8" s="1124">
        <f>+'Besoins en micas'!F147</f>
        <v>112837.5</v>
      </c>
      <c r="F8" s="1124">
        <f>+'Besoins en micas'!G147</f>
        <v>250</v>
      </c>
      <c r="G8" s="1124">
        <f>+'Besoins en micas'!H147</f>
        <v>28209375</v>
      </c>
      <c r="H8" s="1124">
        <f>+'Besoins en micas'!I147</f>
        <v>200</v>
      </c>
      <c r="I8" s="1124">
        <f>+'Besoins en micas'!J147</f>
        <v>22567500</v>
      </c>
      <c r="J8" s="1124">
        <f>+'Besoins en micas'!K147</f>
        <v>50776875</v>
      </c>
      <c r="K8" s="1124">
        <f>+'Besoins en micas'!L147</f>
        <v>450</v>
      </c>
      <c r="M8" s="1123" t="s">
        <v>1786</v>
      </c>
      <c r="O8"/>
      <c r="Q8" s="1123" t="s">
        <v>478</v>
      </c>
    </row>
    <row r="9" spans="1:17" ht="15">
      <c r="A9" s="1123" t="str">
        <f>+'Besoins en micas'!B148</f>
        <v>Juillet</v>
      </c>
      <c r="B9" s="1123" t="str">
        <f>+'Besoins en micas'!C148</f>
        <v>1 MC</v>
      </c>
      <c r="C9" s="1123" t="str">
        <f>+'Besoins en micas'!D148</f>
        <v>TRA GAZ</v>
      </c>
      <c r="D9" s="1123" t="str">
        <f>+'Besoins en micas'!E148</f>
        <v>Tranomaro</v>
      </c>
      <c r="E9" s="1124">
        <f>+'Besoins en micas'!F148</f>
        <v>112200</v>
      </c>
      <c r="F9" s="1124">
        <f>+'Besoins en micas'!G148</f>
        <v>250</v>
      </c>
      <c r="G9" s="1124">
        <f>+'Besoins en micas'!H148</f>
        <v>28050000</v>
      </c>
      <c r="H9" s="1124">
        <f>+'Besoins en micas'!I148</f>
        <v>200</v>
      </c>
      <c r="I9" s="1124">
        <f>+'Besoins en micas'!J148</f>
        <v>22440000</v>
      </c>
      <c r="J9" s="1124">
        <f>+'Besoins en micas'!K148</f>
        <v>50490000</v>
      </c>
      <c r="K9" s="1124">
        <f>+'Besoins en micas'!L148</f>
        <v>450</v>
      </c>
      <c r="M9"/>
      <c r="O9"/>
      <c r="Q9" s="1123" t="s">
        <v>479</v>
      </c>
    </row>
    <row r="10" spans="1:17" ht="15">
      <c r="A10" s="1123" t="str">
        <f>+'Besoins en micas'!B149</f>
        <v>Août</v>
      </c>
      <c r="B10" s="1123" t="str">
        <f>+'Besoins en micas'!C149</f>
        <v>1 MC</v>
      </c>
      <c r="C10" s="1123" t="str">
        <f>+'Besoins en micas'!D149</f>
        <v>TRA GAZ</v>
      </c>
      <c r="D10" s="1123" t="str">
        <f>+'Besoins en micas'!E149</f>
        <v>Tranomaro</v>
      </c>
      <c r="E10" s="1124">
        <f>+'Besoins en micas'!F149</f>
        <v>112837.5</v>
      </c>
      <c r="F10" s="1124">
        <f>+'Besoins en micas'!G149</f>
        <v>250</v>
      </c>
      <c r="G10" s="1124">
        <f>+'Besoins en micas'!H149</f>
        <v>28209375</v>
      </c>
      <c r="H10" s="1124">
        <f>+'Besoins en micas'!I149</f>
        <v>200</v>
      </c>
      <c r="I10" s="1124">
        <f>+'Besoins en micas'!J149</f>
        <v>22567500</v>
      </c>
      <c r="J10" s="1124">
        <f>+'Besoins en micas'!K149</f>
        <v>50776875</v>
      </c>
      <c r="K10" s="1124">
        <f>+'Besoins en micas'!L149</f>
        <v>450</v>
      </c>
      <c r="M10"/>
      <c r="O10"/>
      <c r="Q10" s="1123" t="s">
        <v>480</v>
      </c>
    </row>
    <row r="11" spans="1:17" ht="15">
      <c r="A11" s="1123" t="str">
        <f>+'Besoins en micas'!B150</f>
        <v>Septembre</v>
      </c>
      <c r="B11" s="1123" t="str">
        <f>+'Besoins en micas'!C150</f>
        <v>1 MC</v>
      </c>
      <c r="C11" s="1123" t="str">
        <f>+'Besoins en micas'!D150</f>
        <v>TRA GAZ</v>
      </c>
      <c r="D11" s="1123" t="str">
        <f>+'Besoins en micas'!E150</f>
        <v>Tranomaro</v>
      </c>
      <c r="E11" s="1124">
        <f>+'Besoins en micas'!F150</f>
        <v>103512.5</v>
      </c>
      <c r="F11" s="1124">
        <f>+'Besoins en micas'!G150</f>
        <v>250</v>
      </c>
      <c r="G11" s="1124">
        <f>+'Besoins en micas'!H150</f>
        <v>25878125</v>
      </c>
      <c r="H11" s="1124">
        <f>+'Besoins en micas'!I150</f>
        <v>200</v>
      </c>
      <c r="I11" s="1124">
        <f>+'Besoins en micas'!J150</f>
        <v>20702500</v>
      </c>
      <c r="J11" s="1124">
        <f>+'Besoins en micas'!K150</f>
        <v>46580625</v>
      </c>
      <c r="K11" s="1124">
        <f>+'Besoins en micas'!L150</f>
        <v>450</v>
      </c>
      <c r="M11"/>
      <c r="O11"/>
      <c r="Q11" s="1123" t="s">
        <v>481</v>
      </c>
    </row>
    <row r="12" spans="1:17" ht="15">
      <c r="A12" s="1123" t="str">
        <f>+'Besoins en micas'!B151</f>
        <v>Octobre</v>
      </c>
      <c r="B12" s="1123" t="str">
        <f>+'Besoins en micas'!C151</f>
        <v>1 MC</v>
      </c>
      <c r="C12" s="1123" t="str">
        <f>+'Besoins en micas'!D151</f>
        <v>TRA GAZ</v>
      </c>
      <c r="D12" s="1123" t="str">
        <f>+'Besoins en micas'!E151</f>
        <v>Tranomaro</v>
      </c>
      <c r="E12" s="1124">
        <f>+'Besoins en micas'!F151</f>
        <v>104431.25</v>
      </c>
      <c r="F12" s="1124">
        <f>+'Besoins en micas'!G151</f>
        <v>250</v>
      </c>
      <c r="G12" s="1124">
        <f>+'Besoins en micas'!H151</f>
        <v>26107812.5</v>
      </c>
      <c r="H12" s="1124">
        <f>+'Besoins en micas'!I151</f>
        <v>200</v>
      </c>
      <c r="I12" s="1124">
        <f>+'Besoins en micas'!J151</f>
        <v>20886250</v>
      </c>
      <c r="J12" s="1124">
        <f>+'Besoins en micas'!K151</f>
        <v>46994062.5</v>
      </c>
      <c r="K12" s="1124">
        <f>+'Besoins en micas'!L151</f>
        <v>450</v>
      </c>
      <c r="M12"/>
      <c r="O12"/>
      <c r="Q12" s="1123" t="s">
        <v>482</v>
      </c>
    </row>
    <row r="13" spans="1:17" ht="15">
      <c r="A13" s="1123" t="str">
        <f>+'Besoins en micas'!B152</f>
        <v>Novembre</v>
      </c>
      <c r="B13" s="1123" t="str">
        <f>+'Besoins en micas'!C152</f>
        <v>1 MC</v>
      </c>
      <c r="C13" s="1123" t="str">
        <f>+'Besoins en micas'!D152</f>
        <v>TRA GAZ</v>
      </c>
      <c r="D13" s="1123" t="str">
        <f>+'Besoins en micas'!E152</f>
        <v>Tranomaro</v>
      </c>
      <c r="E13" s="1124">
        <f>+'Besoins en micas'!F152</f>
        <v>103512.5</v>
      </c>
      <c r="F13" s="1124">
        <f>+'Besoins en micas'!G152</f>
        <v>250</v>
      </c>
      <c r="G13" s="1124">
        <f>+'Besoins en micas'!H152</f>
        <v>25878125</v>
      </c>
      <c r="H13" s="1124">
        <f>+'Besoins en micas'!I152</f>
        <v>200</v>
      </c>
      <c r="I13" s="1124">
        <f>+'Besoins en micas'!J152</f>
        <v>20702500</v>
      </c>
      <c r="J13" s="1124">
        <f>+'Besoins en micas'!K152</f>
        <v>46580625</v>
      </c>
      <c r="K13" s="1124">
        <f>+'Besoins en micas'!L152</f>
        <v>450</v>
      </c>
      <c r="M13"/>
      <c r="O13"/>
      <c r="Q13" s="1123" t="s">
        <v>483</v>
      </c>
    </row>
    <row r="14" spans="1:17" ht="15">
      <c r="A14" s="1123" t="str">
        <f>+'Besoins en micas'!B153</f>
        <v>Décembre</v>
      </c>
      <c r="B14" s="1123" t="str">
        <f>+'Besoins en micas'!C153</f>
        <v>1 MC</v>
      </c>
      <c r="C14" s="1123" t="str">
        <f>+'Besoins en micas'!D153</f>
        <v>TRA GAZ</v>
      </c>
      <c r="D14" s="1123" t="str">
        <f>+'Besoins en micas'!E153</f>
        <v>Tranomaro</v>
      </c>
      <c r="E14" s="1124">
        <f>+'Besoins en micas'!F153</f>
        <v>104431.25</v>
      </c>
      <c r="F14" s="1124">
        <f>+'Besoins en micas'!G153</f>
        <v>250</v>
      </c>
      <c r="G14" s="1124">
        <f>+'Besoins en micas'!H153</f>
        <v>26107812.5</v>
      </c>
      <c r="H14" s="1124">
        <f>+'Besoins en micas'!I153</f>
        <v>200</v>
      </c>
      <c r="I14" s="1124">
        <f>+'Besoins en micas'!J153</f>
        <v>20886250</v>
      </c>
      <c r="J14" s="1124">
        <f>+'Besoins en micas'!K153</f>
        <v>46994062.5</v>
      </c>
      <c r="K14" s="1124">
        <f>+'Besoins en micas'!L153</f>
        <v>450</v>
      </c>
      <c r="M14"/>
      <c r="O14"/>
      <c r="Q14" s="1123" t="s">
        <v>484</v>
      </c>
    </row>
    <row r="15" spans="1:17" ht="15">
      <c r="A15" s="1123" t="str">
        <f>+'Besoins en micas'!B154</f>
        <v>Janvier</v>
      </c>
      <c r="B15" s="1123" t="str">
        <f>+'Besoins en micas'!C154</f>
        <v>1 MC</v>
      </c>
      <c r="C15" s="1123" t="str">
        <f>+'Besoins en micas'!D154</f>
        <v>TRA GAZ</v>
      </c>
      <c r="D15" s="1123" t="str">
        <f>+'Besoins en micas'!E154</f>
        <v>Ampandrandava</v>
      </c>
      <c r="E15" s="1124">
        <f>+'Besoins en micas'!F154</f>
        <v>157080</v>
      </c>
      <c r="F15" s="1124">
        <f>+'Besoins en micas'!G154</f>
        <v>100</v>
      </c>
      <c r="G15" s="1124">
        <f>+'Besoins en micas'!H154</f>
        <v>15708000</v>
      </c>
      <c r="H15" s="1124">
        <f>+'Besoins en micas'!I154</f>
        <v>300</v>
      </c>
      <c r="I15" s="1124">
        <f>+'Besoins en micas'!J154</f>
        <v>47124000</v>
      </c>
      <c r="J15" s="1124">
        <f>+'Besoins en micas'!K154</f>
        <v>62832000</v>
      </c>
      <c r="K15" s="1124">
        <f>+'Besoins en micas'!L154</f>
        <v>400</v>
      </c>
      <c r="M15"/>
      <c r="O15"/>
      <c r="Q15"/>
    </row>
    <row r="16" spans="1:17" ht="15">
      <c r="A16" s="1123" t="str">
        <f>+'Besoins en micas'!B155</f>
        <v>Février</v>
      </c>
      <c r="B16" s="1123" t="str">
        <f>+'Besoins en micas'!C155</f>
        <v>1 MC</v>
      </c>
      <c r="C16" s="1123" t="str">
        <f>+'Besoins en micas'!D155</f>
        <v>TRA GAZ</v>
      </c>
      <c r="D16" s="1123" t="str">
        <f>+'Besoins en micas'!E155</f>
        <v>Ampandrandava</v>
      </c>
      <c r="E16" s="1124">
        <f>+'Besoins en micas'!F155</f>
        <v>157972.5</v>
      </c>
      <c r="F16" s="1124">
        <f>+'Besoins en micas'!G155</f>
        <v>100</v>
      </c>
      <c r="G16" s="1124">
        <f>+'Besoins en micas'!H155</f>
        <v>15797250</v>
      </c>
      <c r="H16" s="1124">
        <f>+'Besoins en micas'!I155</f>
        <v>300</v>
      </c>
      <c r="I16" s="1124">
        <f>+'Besoins en micas'!J155</f>
        <v>47391750</v>
      </c>
      <c r="J16" s="1124">
        <f>+'Besoins en micas'!K155</f>
        <v>63189000</v>
      </c>
      <c r="K16" s="1124">
        <f>+'Besoins en micas'!L155</f>
        <v>400</v>
      </c>
      <c r="M16"/>
      <c r="O16"/>
      <c r="Q16"/>
    </row>
    <row r="17" spans="1:17" ht="15">
      <c r="A17" s="1123" t="str">
        <f>+'Besoins en micas'!B156</f>
        <v>Mars</v>
      </c>
      <c r="B17" s="1123" t="str">
        <f>+'Besoins en micas'!C156</f>
        <v>1 MC</v>
      </c>
      <c r="C17" s="1123" t="str">
        <f>+'Besoins en micas'!D156</f>
        <v>TRA GAZ</v>
      </c>
      <c r="D17" s="1123" t="str">
        <f>+'Besoins en micas'!E156</f>
        <v>Ampandrandava</v>
      </c>
      <c r="E17" s="1124">
        <f>+'Besoins en micas'!F156</f>
        <v>157080</v>
      </c>
      <c r="F17" s="1124">
        <f>+'Besoins en micas'!G156</f>
        <v>100</v>
      </c>
      <c r="G17" s="1124">
        <f>+'Besoins en micas'!H156</f>
        <v>15708000</v>
      </c>
      <c r="H17" s="1124">
        <f>+'Besoins en micas'!I156</f>
        <v>300</v>
      </c>
      <c r="I17" s="1124">
        <f>+'Besoins en micas'!J156</f>
        <v>47124000</v>
      </c>
      <c r="J17" s="1124">
        <f>+'Besoins en micas'!K156</f>
        <v>62832000</v>
      </c>
      <c r="K17" s="1124">
        <f>+'Besoins en micas'!L156</f>
        <v>400</v>
      </c>
      <c r="M17"/>
      <c r="O17"/>
      <c r="Q17"/>
    </row>
    <row r="18" spans="1:17" ht="15">
      <c r="A18" s="1123" t="str">
        <f>+'Besoins en micas'!B157</f>
        <v>Avril</v>
      </c>
      <c r="B18" s="1123" t="str">
        <f>+'Besoins en micas'!C157</f>
        <v>1 MC</v>
      </c>
      <c r="C18" s="1123" t="str">
        <f>+'Besoins en micas'!D157</f>
        <v>TRA GAZ</v>
      </c>
      <c r="D18" s="1123" t="str">
        <f>+'Besoins en micas'!E157</f>
        <v>Ampandrandava</v>
      </c>
      <c r="E18" s="1124">
        <f>+'Besoins en micas'!F157</f>
        <v>157972.5</v>
      </c>
      <c r="F18" s="1124">
        <f>+'Besoins en micas'!G157</f>
        <v>100</v>
      </c>
      <c r="G18" s="1124">
        <f>+'Besoins en micas'!H157</f>
        <v>15797250</v>
      </c>
      <c r="H18" s="1124">
        <f>+'Besoins en micas'!I157</f>
        <v>300</v>
      </c>
      <c r="I18" s="1124">
        <f>+'Besoins en micas'!J157</f>
        <v>47391750</v>
      </c>
      <c r="J18" s="1124">
        <f>+'Besoins en micas'!K157</f>
        <v>63189000</v>
      </c>
      <c r="K18" s="1124">
        <f>+'Besoins en micas'!L157</f>
        <v>400</v>
      </c>
      <c r="M18"/>
      <c r="O18"/>
      <c r="Q18"/>
    </row>
    <row r="19" spans="1:17" ht="15">
      <c r="A19" s="1123" t="str">
        <f>+'Besoins en micas'!B158</f>
        <v>Mai</v>
      </c>
      <c r="B19" s="1123" t="str">
        <f>+'Besoins en micas'!C158</f>
        <v>1 MC</v>
      </c>
      <c r="C19" s="1123" t="str">
        <f>+'Besoins en micas'!D158</f>
        <v>TRA GAZ</v>
      </c>
      <c r="D19" s="1123" t="str">
        <f>+'Besoins en micas'!E158</f>
        <v>Ampandrandava</v>
      </c>
      <c r="E19" s="1124">
        <f>+'Besoins en micas'!F158</f>
        <v>157080</v>
      </c>
      <c r="F19" s="1124">
        <f>+'Besoins en micas'!G158</f>
        <v>100</v>
      </c>
      <c r="G19" s="1124">
        <f>+'Besoins en micas'!H158</f>
        <v>15708000</v>
      </c>
      <c r="H19" s="1124">
        <f>+'Besoins en micas'!I158</f>
        <v>300</v>
      </c>
      <c r="I19" s="1124">
        <f>+'Besoins en micas'!J158</f>
        <v>47124000</v>
      </c>
      <c r="J19" s="1124">
        <f>+'Besoins en micas'!K158</f>
        <v>62832000</v>
      </c>
      <c r="K19" s="1124">
        <f>+'Besoins en micas'!L158</f>
        <v>400</v>
      </c>
      <c r="M19"/>
      <c r="O19"/>
      <c r="Q19"/>
    </row>
    <row r="20" spans="1:17" ht="15">
      <c r="A20" s="1123" t="str">
        <f>+'Besoins en micas'!B159</f>
        <v>Juin</v>
      </c>
      <c r="B20" s="1123" t="str">
        <f>+'Besoins en micas'!C159</f>
        <v>1 MC</v>
      </c>
      <c r="C20" s="1123" t="str">
        <f>+'Besoins en micas'!D159</f>
        <v>TRA GAZ</v>
      </c>
      <c r="D20" s="1123" t="str">
        <f>+'Besoins en micas'!E159</f>
        <v>Ampandrandava</v>
      </c>
      <c r="E20" s="1124">
        <f>+'Besoins en micas'!F159</f>
        <v>157972.5</v>
      </c>
      <c r="F20" s="1124">
        <f>+'Besoins en micas'!G159</f>
        <v>100</v>
      </c>
      <c r="G20" s="1124">
        <f>+'Besoins en micas'!H159</f>
        <v>15797250</v>
      </c>
      <c r="H20" s="1124">
        <f>+'Besoins en micas'!I159</f>
        <v>300</v>
      </c>
      <c r="I20" s="1124">
        <f>+'Besoins en micas'!J159</f>
        <v>47391750</v>
      </c>
      <c r="J20" s="1124">
        <f>+'Besoins en micas'!K159</f>
        <v>63189000</v>
      </c>
      <c r="K20" s="1124">
        <f>+'Besoins en micas'!L159</f>
        <v>400</v>
      </c>
      <c r="M20"/>
      <c r="O20"/>
      <c r="Q20"/>
    </row>
    <row r="21" spans="1:17" ht="15">
      <c r="A21" s="1123" t="str">
        <f>+'Besoins en micas'!B160</f>
        <v>Juillet</v>
      </c>
      <c r="B21" s="1123" t="str">
        <f>+'Besoins en micas'!C160</f>
        <v>1 MC</v>
      </c>
      <c r="C21" s="1123" t="str">
        <f>+'Besoins en micas'!D160</f>
        <v>TRA GAZ</v>
      </c>
      <c r="D21" s="1123" t="str">
        <f>+'Besoins en micas'!E160</f>
        <v>Ampandrandava</v>
      </c>
      <c r="E21" s="1124">
        <f>+'Besoins en micas'!F160</f>
        <v>157080</v>
      </c>
      <c r="F21" s="1124">
        <f>+'Besoins en micas'!G160</f>
        <v>100</v>
      </c>
      <c r="G21" s="1124">
        <f>+'Besoins en micas'!H160</f>
        <v>15708000</v>
      </c>
      <c r="H21" s="1124">
        <f>+'Besoins en micas'!I160</f>
        <v>300</v>
      </c>
      <c r="I21" s="1124">
        <f>+'Besoins en micas'!J160</f>
        <v>47124000</v>
      </c>
      <c r="J21" s="1124">
        <f>+'Besoins en micas'!K160</f>
        <v>62832000</v>
      </c>
      <c r="K21" s="1124">
        <f>+'Besoins en micas'!L160</f>
        <v>400</v>
      </c>
      <c r="M21"/>
      <c r="O21"/>
      <c r="Q21"/>
    </row>
    <row r="22" spans="1:17" ht="15">
      <c r="A22" s="1123" t="str">
        <f>+'Besoins en micas'!B161</f>
        <v>Août</v>
      </c>
      <c r="B22" s="1123" t="str">
        <f>+'Besoins en micas'!C161</f>
        <v>1 MC</v>
      </c>
      <c r="C22" s="1123" t="str">
        <f>+'Besoins en micas'!D161</f>
        <v>TRA GAZ</v>
      </c>
      <c r="D22" s="1123" t="str">
        <f>+'Besoins en micas'!E161</f>
        <v>Ampandrandava</v>
      </c>
      <c r="E22" s="1124">
        <f>+'Besoins en micas'!F161</f>
        <v>157972.5</v>
      </c>
      <c r="F22" s="1124">
        <f>+'Besoins en micas'!G161</f>
        <v>100</v>
      </c>
      <c r="G22" s="1124">
        <f>+'Besoins en micas'!H161</f>
        <v>15797250</v>
      </c>
      <c r="H22" s="1124">
        <f>+'Besoins en micas'!I161</f>
        <v>300</v>
      </c>
      <c r="I22" s="1124">
        <f>+'Besoins en micas'!J161</f>
        <v>47391750</v>
      </c>
      <c r="J22" s="1124">
        <f>+'Besoins en micas'!K161</f>
        <v>63189000</v>
      </c>
      <c r="K22" s="1124">
        <f>+'Besoins en micas'!L161</f>
        <v>400</v>
      </c>
      <c r="M22"/>
      <c r="O22"/>
      <c r="Q22"/>
    </row>
    <row r="23" spans="1:17" ht="15">
      <c r="A23" s="1123" t="str">
        <f>+'Besoins en micas'!B162</f>
        <v>Septembre</v>
      </c>
      <c r="B23" s="1123" t="str">
        <f>+'Besoins en micas'!C162</f>
        <v>1 MC</v>
      </c>
      <c r="C23" s="1123" t="str">
        <f>+'Besoins en micas'!D162</f>
        <v>TRA GAZ</v>
      </c>
      <c r="D23" s="1123" t="str">
        <f>+'Besoins en micas'!E162</f>
        <v>Ampandrandava</v>
      </c>
      <c r="E23" s="1124">
        <f>+'Besoins en micas'!F162</f>
        <v>144917.5</v>
      </c>
      <c r="F23" s="1124">
        <f>+'Besoins en micas'!G162</f>
        <v>100</v>
      </c>
      <c r="G23" s="1124">
        <f>+'Besoins en micas'!H162</f>
        <v>14491750</v>
      </c>
      <c r="H23" s="1124">
        <f>+'Besoins en micas'!I162</f>
        <v>300</v>
      </c>
      <c r="I23" s="1124">
        <f>+'Besoins en micas'!J162</f>
        <v>43475250</v>
      </c>
      <c r="J23" s="1124">
        <f>+'Besoins en micas'!K162</f>
        <v>57967000</v>
      </c>
      <c r="K23" s="1124">
        <f>+'Besoins en micas'!L162</f>
        <v>400</v>
      </c>
      <c r="M23"/>
      <c r="O23"/>
      <c r="Q23"/>
    </row>
    <row r="24" spans="1:17" ht="15">
      <c r="A24" s="1123" t="str">
        <f>+'Besoins en micas'!B163</f>
        <v>Octobre</v>
      </c>
      <c r="B24" s="1123" t="str">
        <f>+'Besoins en micas'!C163</f>
        <v>1 MC</v>
      </c>
      <c r="C24" s="1123" t="str">
        <f>+'Besoins en micas'!D163</f>
        <v>TRA GAZ</v>
      </c>
      <c r="D24" s="1123" t="str">
        <f>+'Besoins en micas'!E163</f>
        <v>Ampandrandava</v>
      </c>
      <c r="E24" s="1124">
        <f>+'Besoins en micas'!F163</f>
        <v>146203.75</v>
      </c>
      <c r="F24" s="1124">
        <f>+'Besoins en micas'!G163</f>
        <v>100</v>
      </c>
      <c r="G24" s="1124">
        <f>+'Besoins en micas'!H163</f>
        <v>14620375</v>
      </c>
      <c r="H24" s="1124">
        <f>+'Besoins en micas'!I163</f>
        <v>300</v>
      </c>
      <c r="I24" s="1124">
        <f>+'Besoins en micas'!J163</f>
        <v>43861125</v>
      </c>
      <c r="J24" s="1124">
        <f>+'Besoins en micas'!K163</f>
        <v>58481500</v>
      </c>
      <c r="K24" s="1124">
        <f>+'Besoins en micas'!L163</f>
        <v>400</v>
      </c>
      <c r="M24"/>
      <c r="O24"/>
      <c r="Q24"/>
    </row>
    <row r="25" spans="1:17" ht="15">
      <c r="A25" s="1123" t="str">
        <f>+'Besoins en micas'!B164</f>
        <v>Novembre</v>
      </c>
      <c r="B25" s="1123" t="str">
        <f>+'Besoins en micas'!C164</f>
        <v>1 MC</v>
      </c>
      <c r="C25" s="1123" t="str">
        <f>+'Besoins en micas'!D164</f>
        <v>TRA GAZ</v>
      </c>
      <c r="D25" s="1123" t="str">
        <f>+'Besoins en micas'!E164</f>
        <v>Ampandrandava</v>
      </c>
      <c r="E25" s="1124">
        <f>+'Besoins en micas'!F164</f>
        <v>144917.5</v>
      </c>
      <c r="F25" s="1124">
        <f>+'Besoins en micas'!G164</f>
        <v>100</v>
      </c>
      <c r="G25" s="1124">
        <f>+'Besoins en micas'!H164</f>
        <v>14491750</v>
      </c>
      <c r="H25" s="1124">
        <f>+'Besoins en micas'!I164</f>
        <v>300</v>
      </c>
      <c r="I25" s="1124">
        <f>+'Besoins en micas'!J164</f>
        <v>43475250</v>
      </c>
      <c r="J25" s="1124">
        <f>+'Besoins en micas'!K164</f>
        <v>57967000</v>
      </c>
      <c r="K25" s="1124">
        <f>+'Besoins en micas'!L164</f>
        <v>400</v>
      </c>
      <c r="M25"/>
      <c r="O25"/>
      <c r="Q25"/>
    </row>
    <row r="26" spans="1:17" ht="15">
      <c r="A26" s="1123" t="str">
        <f>+'Besoins en micas'!B165</f>
        <v>Décembre</v>
      </c>
      <c r="B26" s="1123" t="str">
        <f>+'Besoins en micas'!C165</f>
        <v>1 MC</v>
      </c>
      <c r="C26" s="1123" t="str">
        <f>+'Besoins en micas'!D165</f>
        <v>TRA GAZ</v>
      </c>
      <c r="D26" s="1123" t="str">
        <f>+'Besoins en micas'!E165</f>
        <v>Ampandrandava</v>
      </c>
      <c r="E26" s="1124">
        <f>+'Besoins en micas'!F165</f>
        <v>146203.75</v>
      </c>
      <c r="F26" s="1124">
        <f>+'Besoins en micas'!G165</f>
        <v>100</v>
      </c>
      <c r="G26" s="1124">
        <f>+'Besoins en micas'!H165</f>
        <v>14620375</v>
      </c>
      <c r="H26" s="1124">
        <f>+'Besoins en micas'!I165</f>
        <v>300</v>
      </c>
      <c r="I26" s="1124">
        <f>+'Besoins en micas'!J165</f>
        <v>43861125</v>
      </c>
      <c r="J26" s="1124">
        <f>+'Besoins en micas'!K165</f>
        <v>58481500</v>
      </c>
      <c r="K26" s="1124">
        <f>+'Besoins en micas'!L165</f>
        <v>400</v>
      </c>
      <c r="M26"/>
      <c r="O26"/>
      <c r="Q26"/>
    </row>
    <row r="27" spans="1:17" ht="15">
      <c r="A27" s="1123" t="str">
        <f>+'Besoins en micas'!B166</f>
        <v>Janvier</v>
      </c>
      <c r="B27" s="1123" t="str">
        <f>+'Besoins en micas'!C166</f>
        <v>1 MC</v>
      </c>
      <c r="C27" s="1123" t="str">
        <f>+'Besoins en micas'!D166</f>
        <v>TRA GAZ</v>
      </c>
      <c r="D27" s="1123" t="str">
        <f>+'Besoins en micas'!E166</f>
        <v>Fort dauphin</v>
      </c>
      <c r="E27" s="1124">
        <f>+'Besoins en micas'!F166</f>
        <v>89760</v>
      </c>
      <c r="F27" s="1124">
        <f>+'Besoins en micas'!G166</f>
        <v>450</v>
      </c>
      <c r="G27" s="1124">
        <f>+'Besoins en micas'!H166</f>
        <v>40392000</v>
      </c>
      <c r="H27" s="1124">
        <f>+'Besoins en micas'!I166</f>
        <v>0</v>
      </c>
      <c r="I27" s="1124">
        <f>+'Besoins en micas'!J166</f>
        <v>0</v>
      </c>
      <c r="J27" s="1124">
        <f>+'Besoins en micas'!K166</f>
        <v>40392000</v>
      </c>
      <c r="K27" s="1124">
        <f>+'Besoins en micas'!L166</f>
        <v>450</v>
      </c>
      <c r="M27"/>
      <c r="O27"/>
      <c r="Q27"/>
    </row>
    <row r="28" spans="1:17" ht="15">
      <c r="A28" s="1123" t="str">
        <f>+'Besoins en micas'!B167</f>
        <v>Février</v>
      </c>
      <c r="B28" s="1123" t="str">
        <f>+'Besoins en micas'!C167</f>
        <v>1 MC</v>
      </c>
      <c r="C28" s="1123" t="str">
        <f>+'Besoins en micas'!D167</f>
        <v>TRA GAZ</v>
      </c>
      <c r="D28" s="1123" t="str">
        <f>+'Besoins en micas'!E167</f>
        <v>Fort dauphin</v>
      </c>
      <c r="E28" s="1124">
        <f>+'Besoins en micas'!F167</f>
        <v>90270</v>
      </c>
      <c r="F28" s="1124">
        <f>+'Besoins en micas'!G167</f>
        <v>450</v>
      </c>
      <c r="G28" s="1124">
        <f>+'Besoins en micas'!H167</f>
        <v>40621500</v>
      </c>
      <c r="H28" s="1124">
        <f>+'Besoins en micas'!I167</f>
        <v>0</v>
      </c>
      <c r="I28" s="1124">
        <f>+'Besoins en micas'!J167</f>
        <v>0</v>
      </c>
      <c r="J28" s="1124">
        <f>+'Besoins en micas'!K167</f>
        <v>40621500</v>
      </c>
      <c r="K28" s="1124">
        <f>+'Besoins en micas'!L167</f>
        <v>450</v>
      </c>
      <c r="M28"/>
      <c r="O28"/>
      <c r="Q28"/>
    </row>
    <row r="29" spans="1:17" ht="15">
      <c r="A29" s="1123" t="str">
        <f>+'Besoins en micas'!B168</f>
        <v>Mars</v>
      </c>
      <c r="B29" s="1123" t="str">
        <f>+'Besoins en micas'!C168</f>
        <v>1 MC</v>
      </c>
      <c r="C29" s="1123" t="str">
        <f>+'Besoins en micas'!D168</f>
        <v>TRA GAZ</v>
      </c>
      <c r="D29" s="1123" t="str">
        <f>+'Besoins en micas'!E168</f>
        <v>Fort dauphin</v>
      </c>
      <c r="E29" s="1124">
        <f>+'Besoins en micas'!F168</f>
        <v>89760</v>
      </c>
      <c r="F29" s="1124">
        <f>+'Besoins en micas'!G168</f>
        <v>450</v>
      </c>
      <c r="G29" s="1124">
        <f>+'Besoins en micas'!H168</f>
        <v>40392000</v>
      </c>
      <c r="H29" s="1124">
        <f>+'Besoins en micas'!I168</f>
        <v>0</v>
      </c>
      <c r="I29" s="1124">
        <f>+'Besoins en micas'!J168</f>
        <v>0</v>
      </c>
      <c r="J29" s="1124">
        <f>+'Besoins en micas'!K168</f>
        <v>40392000</v>
      </c>
      <c r="K29" s="1124">
        <f>+'Besoins en micas'!L168</f>
        <v>450</v>
      </c>
      <c r="M29"/>
      <c r="O29"/>
      <c r="Q29"/>
    </row>
    <row r="30" spans="1:17" ht="15">
      <c r="A30" s="1123" t="str">
        <f>+'Besoins en micas'!B169</f>
        <v>Avril</v>
      </c>
      <c r="B30" s="1123" t="str">
        <f>+'Besoins en micas'!C169</f>
        <v>1 MC</v>
      </c>
      <c r="C30" s="1123" t="str">
        <f>+'Besoins en micas'!D169</f>
        <v>TRA GAZ</v>
      </c>
      <c r="D30" s="1123" t="str">
        <f>+'Besoins en micas'!E169</f>
        <v>Fort dauphin</v>
      </c>
      <c r="E30" s="1124">
        <f>+'Besoins en micas'!F169</f>
        <v>90270</v>
      </c>
      <c r="F30" s="1124">
        <f>+'Besoins en micas'!G169</f>
        <v>450</v>
      </c>
      <c r="G30" s="1124">
        <f>+'Besoins en micas'!H169</f>
        <v>40621500</v>
      </c>
      <c r="H30" s="1124">
        <f>+'Besoins en micas'!I169</f>
        <v>0</v>
      </c>
      <c r="I30" s="1124">
        <f>+'Besoins en micas'!J169</f>
        <v>0</v>
      </c>
      <c r="J30" s="1124">
        <f>+'Besoins en micas'!K169</f>
        <v>40621500</v>
      </c>
      <c r="K30" s="1124">
        <f>+'Besoins en micas'!L169</f>
        <v>450</v>
      </c>
      <c r="M30"/>
      <c r="O30"/>
      <c r="Q30"/>
    </row>
    <row r="31" spans="1:17" ht="15">
      <c r="A31" s="1123" t="str">
        <f>+'Besoins en micas'!B170</f>
        <v>Mai</v>
      </c>
      <c r="B31" s="1123" t="str">
        <f>+'Besoins en micas'!C170</f>
        <v>1 MC</v>
      </c>
      <c r="C31" s="1123" t="str">
        <f>+'Besoins en micas'!D170</f>
        <v>TRA GAZ</v>
      </c>
      <c r="D31" s="1123" t="str">
        <f>+'Besoins en micas'!E170</f>
        <v>Fort dauphin</v>
      </c>
      <c r="E31" s="1124">
        <f>+'Besoins en micas'!F170</f>
        <v>89760</v>
      </c>
      <c r="F31" s="1124">
        <f>+'Besoins en micas'!G170</f>
        <v>450</v>
      </c>
      <c r="G31" s="1124">
        <f>+'Besoins en micas'!H170</f>
        <v>40392000</v>
      </c>
      <c r="H31" s="1124">
        <f>+'Besoins en micas'!I170</f>
        <v>0</v>
      </c>
      <c r="I31" s="1124">
        <f>+'Besoins en micas'!J170</f>
        <v>0</v>
      </c>
      <c r="J31" s="1124">
        <f>+'Besoins en micas'!K170</f>
        <v>40392000</v>
      </c>
      <c r="K31" s="1124">
        <f>+'Besoins en micas'!L170</f>
        <v>450</v>
      </c>
      <c r="M31"/>
      <c r="O31"/>
      <c r="Q31"/>
    </row>
    <row r="32" spans="1:17" ht="15">
      <c r="A32" s="1123" t="str">
        <f>+'Besoins en micas'!B171</f>
        <v>Juin</v>
      </c>
      <c r="B32" s="1123" t="str">
        <f>+'Besoins en micas'!C171</f>
        <v>1 MC</v>
      </c>
      <c r="C32" s="1123" t="str">
        <f>+'Besoins en micas'!D171</f>
        <v>TRA GAZ</v>
      </c>
      <c r="D32" s="1123" t="str">
        <f>+'Besoins en micas'!E171</f>
        <v>Fort dauphin</v>
      </c>
      <c r="E32" s="1124">
        <f>+'Besoins en micas'!F171</f>
        <v>90270</v>
      </c>
      <c r="F32" s="1124">
        <f>+'Besoins en micas'!G171</f>
        <v>450</v>
      </c>
      <c r="G32" s="1124">
        <f>+'Besoins en micas'!H171</f>
        <v>40621500</v>
      </c>
      <c r="H32" s="1124">
        <f>+'Besoins en micas'!I171</f>
        <v>0</v>
      </c>
      <c r="I32" s="1124">
        <f>+'Besoins en micas'!J171</f>
        <v>0</v>
      </c>
      <c r="J32" s="1124">
        <f>+'Besoins en micas'!K171</f>
        <v>40621500</v>
      </c>
      <c r="K32" s="1124">
        <f>+'Besoins en micas'!L171</f>
        <v>450</v>
      </c>
      <c r="M32"/>
      <c r="O32"/>
      <c r="Q32"/>
    </row>
    <row r="33" spans="1:17" ht="15">
      <c r="A33" s="1123" t="str">
        <f>+'Besoins en micas'!B172</f>
        <v>Juillet</v>
      </c>
      <c r="B33" s="1123" t="str">
        <f>+'Besoins en micas'!C172</f>
        <v>1 MC</v>
      </c>
      <c r="C33" s="1123" t="str">
        <f>+'Besoins en micas'!D172</f>
        <v>TRA GAZ</v>
      </c>
      <c r="D33" s="1123" t="str">
        <f>+'Besoins en micas'!E172</f>
        <v>Fort dauphin</v>
      </c>
      <c r="E33" s="1124">
        <f>+'Besoins en micas'!F172</f>
        <v>89760</v>
      </c>
      <c r="F33" s="1124">
        <f>+'Besoins en micas'!G172</f>
        <v>450</v>
      </c>
      <c r="G33" s="1124">
        <f>+'Besoins en micas'!H172</f>
        <v>40392000</v>
      </c>
      <c r="H33" s="1124">
        <f>+'Besoins en micas'!I172</f>
        <v>0</v>
      </c>
      <c r="I33" s="1124">
        <f>+'Besoins en micas'!J172</f>
        <v>0</v>
      </c>
      <c r="J33" s="1124">
        <f>+'Besoins en micas'!K172</f>
        <v>40392000</v>
      </c>
      <c r="K33" s="1124">
        <f>+'Besoins en micas'!L172</f>
        <v>450</v>
      </c>
      <c r="M33"/>
      <c r="O33"/>
      <c r="Q33"/>
    </row>
    <row r="34" spans="1:17" ht="15">
      <c r="A34" s="1123" t="str">
        <f>+'Besoins en micas'!B173</f>
        <v>Août</v>
      </c>
      <c r="B34" s="1123" t="str">
        <f>+'Besoins en micas'!C173</f>
        <v>1 MC</v>
      </c>
      <c r="C34" s="1123" t="str">
        <f>+'Besoins en micas'!D173</f>
        <v>TRA GAZ</v>
      </c>
      <c r="D34" s="1123" t="str">
        <f>+'Besoins en micas'!E173</f>
        <v>Fort dauphin</v>
      </c>
      <c r="E34" s="1124">
        <f>+'Besoins en micas'!F173</f>
        <v>90270</v>
      </c>
      <c r="F34" s="1124">
        <f>+'Besoins en micas'!G173</f>
        <v>450</v>
      </c>
      <c r="G34" s="1124">
        <f>+'Besoins en micas'!H173</f>
        <v>40621500</v>
      </c>
      <c r="H34" s="1124">
        <f>+'Besoins en micas'!I173</f>
        <v>0</v>
      </c>
      <c r="I34" s="1124">
        <f>+'Besoins en micas'!J173</f>
        <v>0</v>
      </c>
      <c r="J34" s="1124">
        <f>+'Besoins en micas'!K173</f>
        <v>40621500</v>
      </c>
      <c r="K34" s="1124">
        <f>+'Besoins en micas'!L173</f>
        <v>450</v>
      </c>
      <c r="M34"/>
      <c r="O34"/>
      <c r="Q34"/>
    </row>
    <row r="35" spans="1:17" ht="15">
      <c r="A35" s="1123" t="str">
        <f>+'Besoins en micas'!B174</f>
        <v>Septembre</v>
      </c>
      <c r="B35" s="1123" t="str">
        <f>+'Besoins en micas'!C174</f>
        <v>1 MC</v>
      </c>
      <c r="C35" s="1123" t="str">
        <f>+'Besoins en micas'!D174</f>
        <v>TRA GAZ</v>
      </c>
      <c r="D35" s="1123" t="str">
        <f>+'Besoins en micas'!E174</f>
        <v>Fort dauphin</v>
      </c>
      <c r="E35" s="1124">
        <f>+'Besoins en micas'!F174</f>
        <v>82810</v>
      </c>
      <c r="F35" s="1124">
        <f>+'Besoins en micas'!G174</f>
        <v>450</v>
      </c>
      <c r="G35" s="1124">
        <f>+'Besoins en micas'!H174</f>
        <v>37264500</v>
      </c>
      <c r="H35" s="1124">
        <f>+'Besoins en micas'!I174</f>
        <v>0</v>
      </c>
      <c r="I35" s="1124">
        <f>+'Besoins en micas'!J174</f>
        <v>0</v>
      </c>
      <c r="J35" s="1124">
        <f>+'Besoins en micas'!K174</f>
        <v>37264500</v>
      </c>
      <c r="K35" s="1124">
        <f>+'Besoins en micas'!L174</f>
        <v>450</v>
      </c>
      <c r="M35"/>
      <c r="O35"/>
      <c r="Q35"/>
    </row>
    <row r="36" spans="1:17" ht="15">
      <c r="A36" s="1123" t="str">
        <f>+'Besoins en micas'!B175</f>
        <v>Octobre</v>
      </c>
      <c r="B36" s="1123" t="str">
        <f>+'Besoins en micas'!C175</f>
        <v>1 MC</v>
      </c>
      <c r="C36" s="1123" t="str">
        <f>+'Besoins en micas'!D175</f>
        <v>TRA GAZ</v>
      </c>
      <c r="D36" s="1123" t="str">
        <f>+'Besoins en micas'!E175</f>
        <v>Fort dauphin</v>
      </c>
      <c r="E36" s="1124">
        <f>+'Besoins en micas'!F175</f>
        <v>83545</v>
      </c>
      <c r="F36" s="1124">
        <f>+'Besoins en micas'!G175</f>
        <v>450</v>
      </c>
      <c r="G36" s="1124">
        <f>+'Besoins en micas'!H175</f>
        <v>37595250</v>
      </c>
      <c r="H36" s="1124">
        <f>+'Besoins en micas'!I175</f>
        <v>0</v>
      </c>
      <c r="I36" s="1124">
        <f>+'Besoins en micas'!J175</f>
        <v>0</v>
      </c>
      <c r="J36" s="1124">
        <f>+'Besoins en micas'!K175</f>
        <v>37595250</v>
      </c>
      <c r="K36" s="1124">
        <f>+'Besoins en micas'!L175</f>
        <v>450</v>
      </c>
      <c r="M36"/>
      <c r="O36"/>
      <c r="Q36"/>
    </row>
    <row r="37" spans="1:17" ht="15">
      <c r="A37" s="1123" t="str">
        <f>+'Besoins en micas'!B176</f>
        <v>Novembre</v>
      </c>
      <c r="B37" s="1123" t="str">
        <f>+'Besoins en micas'!C176</f>
        <v>1 MC</v>
      </c>
      <c r="C37" s="1123" t="str">
        <f>+'Besoins en micas'!D176</f>
        <v>TRA GAZ</v>
      </c>
      <c r="D37" s="1123" t="str">
        <f>+'Besoins en micas'!E176</f>
        <v>Fort dauphin</v>
      </c>
      <c r="E37" s="1124">
        <f>+'Besoins en micas'!F176</f>
        <v>82810</v>
      </c>
      <c r="F37" s="1124">
        <f>+'Besoins en micas'!G176</f>
        <v>450</v>
      </c>
      <c r="G37" s="1124">
        <f>+'Besoins en micas'!H176</f>
        <v>37264500</v>
      </c>
      <c r="H37" s="1124">
        <f>+'Besoins en micas'!I176</f>
        <v>0</v>
      </c>
      <c r="I37" s="1124">
        <f>+'Besoins en micas'!J176</f>
        <v>0</v>
      </c>
      <c r="J37" s="1124">
        <f>+'Besoins en micas'!K176</f>
        <v>37264500</v>
      </c>
      <c r="K37" s="1124">
        <f>+'Besoins en micas'!L176</f>
        <v>450</v>
      </c>
      <c r="M37"/>
      <c r="O37"/>
      <c r="Q37"/>
    </row>
    <row r="38" spans="1:17" ht="15">
      <c r="A38" s="1123" t="str">
        <f>+'Besoins en micas'!B177</f>
        <v>Décembre</v>
      </c>
      <c r="B38" s="1123" t="str">
        <f>+'Besoins en micas'!C177</f>
        <v>1 MC</v>
      </c>
      <c r="C38" s="1123" t="str">
        <f>+'Besoins en micas'!D177</f>
        <v>TRA GAZ</v>
      </c>
      <c r="D38" s="1123" t="str">
        <f>+'Besoins en micas'!E177</f>
        <v>Fort dauphin</v>
      </c>
      <c r="E38" s="1124">
        <f>+'Besoins en micas'!F177</f>
        <v>83545</v>
      </c>
      <c r="F38" s="1124">
        <f>+'Besoins en micas'!G177</f>
        <v>450</v>
      </c>
      <c r="G38" s="1124">
        <f>+'Besoins en micas'!H177</f>
        <v>37595250</v>
      </c>
      <c r="H38" s="1124">
        <f>+'Besoins en micas'!I177</f>
        <v>0</v>
      </c>
      <c r="I38" s="1124">
        <f>+'Besoins en micas'!J177</f>
        <v>0</v>
      </c>
      <c r="J38" s="1124">
        <f>+'Besoins en micas'!K177</f>
        <v>37595250</v>
      </c>
      <c r="K38" s="1124">
        <f>+'Besoins en micas'!L177</f>
        <v>450</v>
      </c>
      <c r="M38"/>
      <c r="O38"/>
      <c r="Q38"/>
    </row>
    <row r="39" spans="1:17" ht="15">
      <c r="A39" s="1123" t="str">
        <f>+'Besoins en micas'!B178</f>
        <v>Janvier</v>
      </c>
      <c r="B39" s="1123" t="str">
        <f>+'Besoins en micas'!C178</f>
        <v>1 MC</v>
      </c>
      <c r="C39" s="1123" t="str">
        <f>+'Besoins en micas'!D178</f>
        <v>TRA GAZ</v>
      </c>
      <c r="D39" s="1123" t="str">
        <f>+'Besoins en micas'!E178</f>
        <v>Autres</v>
      </c>
      <c r="E39" s="1124">
        <f>+'Besoins en micas'!F178</f>
        <v>89760</v>
      </c>
      <c r="F39" s="1124">
        <f>+'Besoins en micas'!G178</f>
        <v>250</v>
      </c>
      <c r="G39" s="1124">
        <f>+'Besoins en micas'!H178</f>
        <v>22440000</v>
      </c>
      <c r="H39" s="1124">
        <f>+'Besoins en micas'!I178</f>
        <v>200</v>
      </c>
      <c r="I39" s="1124">
        <f>+'Besoins en micas'!J178</f>
        <v>17952000</v>
      </c>
      <c r="J39" s="1124">
        <f>+'Besoins en micas'!K178</f>
        <v>40392000</v>
      </c>
      <c r="K39" s="1124">
        <f>+'Besoins en micas'!L178</f>
        <v>450</v>
      </c>
      <c r="M39"/>
      <c r="O39"/>
      <c r="Q39"/>
    </row>
    <row r="40" spans="1:17" ht="15">
      <c r="A40" s="1123" t="str">
        <f>+'Besoins en micas'!B179</f>
        <v>Février</v>
      </c>
      <c r="B40" s="1123" t="str">
        <f>+'Besoins en micas'!C179</f>
        <v>1 MC</v>
      </c>
      <c r="C40" s="1123" t="str">
        <f>+'Besoins en micas'!D179</f>
        <v>TRA GAZ</v>
      </c>
      <c r="D40" s="1123" t="str">
        <f>+'Besoins en micas'!E179</f>
        <v>Autres</v>
      </c>
      <c r="E40" s="1124">
        <f>+'Besoins en micas'!F179</f>
        <v>90270</v>
      </c>
      <c r="F40" s="1124">
        <f>+'Besoins en micas'!G179</f>
        <v>250</v>
      </c>
      <c r="G40" s="1124">
        <f>+'Besoins en micas'!H179</f>
        <v>22567500</v>
      </c>
      <c r="H40" s="1124">
        <f>+'Besoins en micas'!I179</f>
        <v>200</v>
      </c>
      <c r="I40" s="1124">
        <f>+'Besoins en micas'!J179</f>
        <v>18054000</v>
      </c>
      <c r="J40" s="1124">
        <f>+'Besoins en micas'!K179</f>
        <v>40621500</v>
      </c>
      <c r="K40" s="1124">
        <f>+'Besoins en micas'!L179</f>
        <v>450</v>
      </c>
      <c r="M40"/>
      <c r="O40"/>
      <c r="Q40"/>
    </row>
    <row r="41" spans="1:17" ht="15">
      <c r="A41" s="1123" t="str">
        <f>+'Besoins en micas'!B180</f>
        <v>Mars</v>
      </c>
      <c r="B41" s="1123" t="str">
        <f>+'Besoins en micas'!C180</f>
        <v>1 MC</v>
      </c>
      <c r="C41" s="1123" t="str">
        <f>+'Besoins en micas'!D180</f>
        <v>TRA GAZ</v>
      </c>
      <c r="D41" s="1123" t="str">
        <f>+'Besoins en micas'!E180</f>
        <v>Autres</v>
      </c>
      <c r="E41" s="1124">
        <f>+'Besoins en micas'!F180</f>
        <v>89760</v>
      </c>
      <c r="F41" s="1124">
        <f>+'Besoins en micas'!G180</f>
        <v>250</v>
      </c>
      <c r="G41" s="1124">
        <f>+'Besoins en micas'!H180</f>
        <v>22440000</v>
      </c>
      <c r="H41" s="1124">
        <f>+'Besoins en micas'!I180</f>
        <v>200</v>
      </c>
      <c r="I41" s="1124">
        <f>+'Besoins en micas'!J180</f>
        <v>17952000</v>
      </c>
      <c r="J41" s="1124">
        <f>+'Besoins en micas'!K180</f>
        <v>40392000</v>
      </c>
      <c r="K41" s="1124">
        <f>+'Besoins en micas'!L180</f>
        <v>450</v>
      </c>
      <c r="M41"/>
      <c r="O41"/>
      <c r="Q41"/>
    </row>
    <row r="42" spans="1:17" ht="15">
      <c r="A42" s="1123" t="str">
        <f>+'Besoins en micas'!B181</f>
        <v>Avril</v>
      </c>
      <c r="B42" s="1123" t="str">
        <f>+'Besoins en micas'!C181</f>
        <v>1 MC</v>
      </c>
      <c r="C42" s="1123" t="str">
        <f>+'Besoins en micas'!D181</f>
        <v>TRA GAZ</v>
      </c>
      <c r="D42" s="1123" t="str">
        <f>+'Besoins en micas'!E181</f>
        <v>Autres</v>
      </c>
      <c r="E42" s="1124">
        <f>+'Besoins en micas'!F181</f>
        <v>90270</v>
      </c>
      <c r="F42" s="1124">
        <f>+'Besoins en micas'!G181</f>
        <v>250</v>
      </c>
      <c r="G42" s="1124">
        <f>+'Besoins en micas'!H181</f>
        <v>22567500</v>
      </c>
      <c r="H42" s="1124">
        <f>+'Besoins en micas'!I181</f>
        <v>200</v>
      </c>
      <c r="I42" s="1124">
        <f>+'Besoins en micas'!J181</f>
        <v>18054000</v>
      </c>
      <c r="J42" s="1124">
        <f>+'Besoins en micas'!K181</f>
        <v>40621500</v>
      </c>
      <c r="K42" s="1124">
        <f>+'Besoins en micas'!L181</f>
        <v>450</v>
      </c>
      <c r="M42"/>
      <c r="O42"/>
      <c r="Q42"/>
    </row>
    <row r="43" spans="1:17" ht="15">
      <c r="A43" s="1123" t="str">
        <f>+'Besoins en micas'!B182</f>
        <v>Mai</v>
      </c>
      <c r="B43" s="1123" t="str">
        <f>+'Besoins en micas'!C182</f>
        <v>1 MC</v>
      </c>
      <c r="C43" s="1123" t="str">
        <f>+'Besoins en micas'!D182</f>
        <v>TRA GAZ</v>
      </c>
      <c r="D43" s="1123" t="str">
        <f>+'Besoins en micas'!E182</f>
        <v>Autres</v>
      </c>
      <c r="E43" s="1124">
        <f>+'Besoins en micas'!F182</f>
        <v>89760</v>
      </c>
      <c r="F43" s="1124">
        <f>+'Besoins en micas'!G182</f>
        <v>250</v>
      </c>
      <c r="G43" s="1124">
        <f>+'Besoins en micas'!H182</f>
        <v>22440000</v>
      </c>
      <c r="H43" s="1124">
        <f>+'Besoins en micas'!I182</f>
        <v>200</v>
      </c>
      <c r="I43" s="1124">
        <f>+'Besoins en micas'!J182</f>
        <v>17952000</v>
      </c>
      <c r="J43" s="1124">
        <f>+'Besoins en micas'!K182</f>
        <v>40392000</v>
      </c>
      <c r="K43" s="1124">
        <f>+'Besoins en micas'!L182</f>
        <v>450</v>
      </c>
      <c r="M43"/>
      <c r="O43"/>
      <c r="Q43"/>
    </row>
    <row r="44" spans="1:17" ht="15">
      <c r="A44" s="1123" t="str">
        <f>+'Besoins en micas'!B183</f>
        <v>Juin</v>
      </c>
      <c r="B44" s="1123" t="str">
        <f>+'Besoins en micas'!C183</f>
        <v>1 MC</v>
      </c>
      <c r="C44" s="1123" t="str">
        <f>+'Besoins en micas'!D183</f>
        <v>TRA GAZ</v>
      </c>
      <c r="D44" s="1123" t="str">
        <f>+'Besoins en micas'!E183</f>
        <v>Autres</v>
      </c>
      <c r="E44" s="1124">
        <f>+'Besoins en micas'!F183</f>
        <v>90270</v>
      </c>
      <c r="F44" s="1124">
        <f>+'Besoins en micas'!G183</f>
        <v>250</v>
      </c>
      <c r="G44" s="1124">
        <f>+'Besoins en micas'!H183</f>
        <v>22567500</v>
      </c>
      <c r="H44" s="1124">
        <f>+'Besoins en micas'!I183</f>
        <v>200</v>
      </c>
      <c r="I44" s="1124">
        <f>+'Besoins en micas'!J183</f>
        <v>18054000</v>
      </c>
      <c r="J44" s="1124">
        <f>+'Besoins en micas'!K183</f>
        <v>40621500</v>
      </c>
      <c r="K44" s="1124">
        <f>+'Besoins en micas'!L183</f>
        <v>450</v>
      </c>
      <c r="M44"/>
      <c r="O44"/>
      <c r="Q44"/>
    </row>
    <row r="45" spans="1:17" ht="15">
      <c r="A45" s="1123" t="str">
        <f>+'Besoins en micas'!B184</f>
        <v>Juillet</v>
      </c>
      <c r="B45" s="1123" t="str">
        <f>+'Besoins en micas'!C184</f>
        <v>1 MC</v>
      </c>
      <c r="C45" s="1123" t="str">
        <f>+'Besoins en micas'!D184</f>
        <v>TRA GAZ</v>
      </c>
      <c r="D45" s="1123" t="str">
        <f>+'Besoins en micas'!E184</f>
        <v>Autres</v>
      </c>
      <c r="E45" s="1124">
        <f>+'Besoins en micas'!F184</f>
        <v>89760</v>
      </c>
      <c r="F45" s="1124">
        <f>+'Besoins en micas'!G184</f>
        <v>250</v>
      </c>
      <c r="G45" s="1124">
        <f>+'Besoins en micas'!H184</f>
        <v>22440000</v>
      </c>
      <c r="H45" s="1124">
        <f>+'Besoins en micas'!I184</f>
        <v>200</v>
      </c>
      <c r="I45" s="1124">
        <f>+'Besoins en micas'!J184</f>
        <v>17952000</v>
      </c>
      <c r="J45" s="1124">
        <f>+'Besoins en micas'!K184</f>
        <v>40392000</v>
      </c>
      <c r="K45" s="1124">
        <f>+'Besoins en micas'!L184</f>
        <v>450</v>
      </c>
      <c r="M45"/>
      <c r="O45"/>
      <c r="Q45"/>
    </row>
    <row r="46" spans="1:17" ht="15">
      <c r="A46" s="1123" t="str">
        <f>+'Besoins en micas'!B185</f>
        <v>Août</v>
      </c>
      <c r="B46" s="1123" t="str">
        <f>+'Besoins en micas'!C185</f>
        <v>1 MC</v>
      </c>
      <c r="C46" s="1123" t="str">
        <f>+'Besoins en micas'!D185</f>
        <v>TRA GAZ</v>
      </c>
      <c r="D46" s="1123" t="str">
        <f>+'Besoins en micas'!E185</f>
        <v>Autres</v>
      </c>
      <c r="E46" s="1124">
        <f>+'Besoins en micas'!F185</f>
        <v>90270</v>
      </c>
      <c r="F46" s="1124">
        <f>+'Besoins en micas'!G185</f>
        <v>250</v>
      </c>
      <c r="G46" s="1124">
        <f>+'Besoins en micas'!H185</f>
        <v>22567500</v>
      </c>
      <c r="H46" s="1124">
        <f>+'Besoins en micas'!I185</f>
        <v>200</v>
      </c>
      <c r="I46" s="1124">
        <f>+'Besoins en micas'!J185</f>
        <v>18054000</v>
      </c>
      <c r="J46" s="1124">
        <f>+'Besoins en micas'!K185</f>
        <v>40621500</v>
      </c>
      <c r="K46" s="1124">
        <f>+'Besoins en micas'!L185</f>
        <v>450</v>
      </c>
      <c r="M46"/>
      <c r="O46"/>
      <c r="Q46"/>
    </row>
    <row r="47" spans="1:17" ht="15">
      <c r="A47" s="1123" t="str">
        <f>+'Besoins en micas'!B186</f>
        <v>Septembre</v>
      </c>
      <c r="B47" s="1123" t="str">
        <f>+'Besoins en micas'!C186</f>
        <v>1 MC</v>
      </c>
      <c r="C47" s="1123" t="str">
        <f>+'Besoins en micas'!D186</f>
        <v>TRA GAZ</v>
      </c>
      <c r="D47" s="1123" t="str">
        <f>+'Besoins en micas'!E186</f>
        <v>Autres</v>
      </c>
      <c r="E47" s="1124">
        <f>+'Besoins en micas'!F186</f>
        <v>82810</v>
      </c>
      <c r="F47" s="1124">
        <f>+'Besoins en micas'!G186</f>
        <v>250</v>
      </c>
      <c r="G47" s="1124">
        <f>+'Besoins en micas'!H186</f>
        <v>20702500</v>
      </c>
      <c r="H47" s="1124">
        <f>+'Besoins en micas'!I186</f>
        <v>200</v>
      </c>
      <c r="I47" s="1124">
        <f>+'Besoins en micas'!J186</f>
        <v>16562000</v>
      </c>
      <c r="J47" s="1124">
        <f>+'Besoins en micas'!K186</f>
        <v>37264500</v>
      </c>
      <c r="K47" s="1124">
        <f>+'Besoins en micas'!L186</f>
        <v>450</v>
      </c>
      <c r="M47"/>
      <c r="O47"/>
      <c r="Q47"/>
    </row>
    <row r="48" spans="1:17" ht="15">
      <c r="A48" s="1123" t="str">
        <f>+'Besoins en micas'!B187</f>
        <v>Octobre</v>
      </c>
      <c r="B48" s="1123" t="str">
        <f>+'Besoins en micas'!C187</f>
        <v>1 MC</v>
      </c>
      <c r="C48" s="1123" t="str">
        <f>+'Besoins en micas'!D187</f>
        <v>TRA GAZ</v>
      </c>
      <c r="D48" s="1123" t="str">
        <f>+'Besoins en micas'!E187</f>
        <v>Autres</v>
      </c>
      <c r="E48" s="1124">
        <f>+'Besoins en micas'!F187</f>
        <v>83545</v>
      </c>
      <c r="F48" s="1124">
        <f>+'Besoins en micas'!G187</f>
        <v>250</v>
      </c>
      <c r="G48" s="1124">
        <f>+'Besoins en micas'!H187</f>
        <v>20886250</v>
      </c>
      <c r="H48" s="1124">
        <f>+'Besoins en micas'!I187</f>
        <v>200</v>
      </c>
      <c r="I48" s="1124">
        <f>+'Besoins en micas'!J187</f>
        <v>16709000</v>
      </c>
      <c r="J48" s="1124">
        <f>+'Besoins en micas'!K187</f>
        <v>37595250</v>
      </c>
      <c r="K48" s="1124">
        <f>+'Besoins en micas'!L187</f>
        <v>450</v>
      </c>
      <c r="M48"/>
      <c r="O48"/>
      <c r="Q48"/>
    </row>
    <row r="49" spans="1:17" ht="15">
      <c r="A49" s="1123" t="str">
        <f>+'Besoins en micas'!B188</f>
        <v>Novembre</v>
      </c>
      <c r="B49" s="1123" t="str">
        <f>+'Besoins en micas'!C188</f>
        <v>1 MC</v>
      </c>
      <c r="C49" s="1123" t="str">
        <f>+'Besoins en micas'!D188</f>
        <v>TRA GAZ</v>
      </c>
      <c r="D49" s="1123" t="str">
        <f>+'Besoins en micas'!E188</f>
        <v>Autres</v>
      </c>
      <c r="E49" s="1124">
        <f>+'Besoins en micas'!F188</f>
        <v>82810</v>
      </c>
      <c r="F49" s="1124">
        <f>+'Besoins en micas'!G188</f>
        <v>250</v>
      </c>
      <c r="G49" s="1124">
        <f>+'Besoins en micas'!H188</f>
        <v>20702500</v>
      </c>
      <c r="H49" s="1124">
        <f>+'Besoins en micas'!I188</f>
        <v>200</v>
      </c>
      <c r="I49" s="1124">
        <f>+'Besoins en micas'!J188</f>
        <v>16562000</v>
      </c>
      <c r="J49" s="1124">
        <f>+'Besoins en micas'!K188</f>
        <v>37264500</v>
      </c>
      <c r="K49" s="1124">
        <f>+'Besoins en micas'!L188</f>
        <v>450</v>
      </c>
      <c r="M49"/>
      <c r="O49"/>
      <c r="Q49"/>
    </row>
    <row r="50" spans="1:17" ht="15">
      <c r="A50" s="1123" t="str">
        <f>+'Besoins en micas'!B189</f>
        <v>Décembre</v>
      </c>
      <c r="B50" s="1123" t="str">
        <f>+'Besoins en micas'!C189</f>
        <v>1 MC</v>
      </c>
      <c r="C50" s="1123" t="str">
        <f>+'Besoins en micas'!D189</f>
        <v>TRA GAZ</v>
      </c>
      <c r="D50" s="1123" t="str">
        <f>+'Besoins en micas'!E189</f>
        <v>Autres</v>
      </c>
      <c r="E50" s="1124">
        <f>+'Besoins en micas'!F189</f>
        <v>83545</v>
      </c>
      <c r="F50" s="1124">
        <f>+'Besoins en micas'!G189</f>
        <v>250</v>
      </c>
      <c r="G50" s="1124">
        <f>+'Besoins en micas'!H189</f>
        <v>20886250</v>
      </c>
      <c r="H50" s="1124">
        <f>+'Besoins en micas'!I189</f>
        <v>200</v>
      </c>
      <c r="I50" s="1124">
        <f>+'Besoins en micas'!J189</f>
        <v>16709000</v>
      </c>
      <c r="J50" s="1124">
        <f>+'Besoins en micas'!K189</f>
        <v>37595250</v>
      </c>
      <c r="K50" s="1124">
        <f>+'Besoins en micas'!L189</f>
        <v>450</v>
      </c>
      <c r="M50"/>
      <c r="O50"/>
      <c r="Q50"/>
    </row>
    <row r="51" spans="1:17" ht="15">
      <c r="A51" s="1123" t="str">
        <f>+'Besoins en micas'!B190</f>
        <v>Janvier</v>
      </c>
      <c r="B51" s="1123" t="str">
        <f>+'Besoins en micas'!C190</f>
        <v>2 MC</v>
      </c>
      <c r="C51" s="1123" t="str">
        <f>+'Besoins en micas'!D190</f>
        <v>ABR GAZ</v>
      </c>
      <c r="D51" s="1123" t="str">
        <f>+'Besoins en micas'!E190</f>
        <v>Tranomaro</v>
      </c>
      <c r="E51" s="1124">
        <f>+'Besoins en micas'!F190</f>
        <v>106462.5</v>
      </c>
      <c r="F51" s="1124">
        <f>+'Besoins en micas'!G190</f>
        <v>250</v>
      </c>
      <c r="G51" s="1124">
        <f>+'Besoins en micas'!H190</f>
        <v>26615625</v>
      </c>
      <c r="H51" s="1124">
        <f>+'Besoins en micas'!I190</f>
        <v>200</v>
      </c>
      <c r="I51" s="1124">
        <f>+'Besoins en micas'!J190</f>
        <v>21292500</v>
      </c>
      <c r="J51" s="1124">
        <f>+'Besoins en micas'!K190</f>
        <v>47908125</v>
      </c>
      <c r="K51" s="1124">
        <f>+'Besoins en micas'!L190</f>
        <v>450</v>
      </c>
      <c r="M51"/>
      <c r="O51"/>
      <c r="Q51"/>
    </row>
    <row r="52" spans="1:17" ht="15">
      <c r="A52" s="1123" t="str">
        <f>+'Besoins en micas'!B191</f>
        <v>Février</v>
      </c>
      <c r="B52" s="1123" t="str">
        <f>+'Besoins en micas'!C191</f>
        <v>2 MC</v>
      </c>
      <c r="C52" s="1123" t="str">
        <f>+'Besoins en micas'!D191</f>
        <v>ABR GAZ</v>
      </c>
      <c r="D52" s="1123" t="str">
        <f>+'Besoins en micas'!E191</f>
        <v>Tranomaro</v>
      </c>
      <c r="E52" s="1124">
        <f>+'Besoins en micas'!F191</f>
        <v>106462.5</v>
      </c>
      <c r="F52" s="1124">
        <f>+'Besoins en micas'!G191</f>
        <v>250</v>
      </c>
      <c r="G52" s="1124">
        <f>+'Besoins en micas'!H191</f>
        <v>26615625</v>
      </c>
      <c r="H52" s="1124">
        <f>+'Besoins en micas'!I191</f>
        <v>200</v>
      </c>
      <c r="I52" s="1124">
        <f>+'Besoins en micas'!J191</f>
        <v>21292500</v>
      </c>
      <c r="J52" s="1124">
        <f>+'Besoins en micas'!K191</f>
        <v>47908125</v>
      </c>
      <c r="K52" s="1124">
        <f>+'Besoins en micas'!L191</f>
        <v>450</v>
      </c>
      <c r="M52"/>
      <c r="O52"/>
      <c r="Q52"/>
    </row>
    <row r="53" spans="1:17" ht="15">
      <c r="A53" s="1123" t="str">
        <f>+'Besoins en micas'!B192</f>
        <v>Mars</v>
      </c>
      <c r="B53" s="1123" t="str">
        <f>+'Besoins en micas'!C192</f>
        <v>2 MC</v>
      </c>
      <c r="C53" s="1123" t="str">
        <f>+'Besoins en micas'!D192</f>
        <v>ABR GAZ</v>
      </c>
      <c r="D53" s="1123" t="str">
        <f>+'Besoins en micas'!E192</f>
        <v>Tranomaro</v>
      </c>
      <c r="E53" s="1124">
        <f>+'Besoins en micas'!F192</f>
        <v>106462.5</v>
      </c>
      <c r="F53" s="1124">
        <f>+'Besoins en micas'!G192</f>
        <v>250</v>
      </c>
      <c r="G53" s="1124">
        <f>+'Besoins en micas'!H192</f>
        <v>26615625</v>
      </c>
      <c r="H53" s="1124">
        <f>+'Besoins en micas'!I192</f>
        <v>200</v>
      </c>
      <c r="I53" s="1124">
        <f>+'Besoins en micas'!J192</f>
        <v>21292500</v>
      </c>
      <c r="J53" s="1124">
        <f>+'Besoins en micas'!K192</f>
        <v>47908125</v>
      </c>
      <c r="K53" s="1124">
        <f>+'Besoins en micas'!L192</f>
        <v>450</v>
      </c>
      <c r="M53"/>
      <c r="O53"/>
      <c r="Q53"/>
    </row>
    <row r="54" spans="1:17" ht="15">
      <c r="A54" s="1123" t="str">
        <f>+'Besoins en micas'!B193</f>
        <v>Avril</v>
      </c>
      <c r="B54" s="1123" t="str">
        <f>+'Besoins en micas'!C193</f>
        <v>2 MC</v>
      </c>
      <c r="C54" s="1123" t="str">
        <f>+'Besoins en micas'!D193</f>
        <v>ABR GAZ</v>
      </c>
      <c r="D54" s="1123" t="str">
        <f>+'Besoins en micas'!E193</f>
        <v>Tranomaro</v>
      </c>
      <c r="E54" s="1124">
        <f>+'Besoins en micas'!F193</f>
        <v>106462.5</v>
      </c>
      <c r="F54" s="1124">
        <f>+'Besoins en micas'!G193</f>
        <v>250</v>
      </c>
      <c r="G54" s="1124">
        <f>+'Besoins en micas'!H193</f>
        <v>26615625</v>
      </c>
      <c r="H54" s="1124">
        <f>+'Besoins en micas'!I193</f>
        <v>200</v>
      </c>
      <c r="I54" s="1124">
        <f>+'Besoins en micas'!J193</f>
        <v>21292500</v>
      </c>
      <c r="J54" s="1124">
        <f>+'Besoins en micas'!K193</f>
        <v>47908125</v>
      </c>
      <c r="K54" s="1124">
        <f>+'Besoins en micas'!L193</f>
        <v>450</v>
      </c>
      <c r="M54"/>
      <c r="O54"/>
      <c r="Q54"/>
    </row>
    <row r="55" spans="1:17" ht="15">
      <c r="A55" s="1123" t="str">
        <f>+'Besoins en micas'!B194</f>
        <v>Mai</v>
      </c>
      <c r="B55" s="1123" t="str">
        <f>+'Besoins en micas'!C194</f>
        <v>2 MC</v>
      </c>
      <c r="C55" s="1123" t="str">
        <f>+'Besoins en micas'!D194</f>
        <v>ABR GAZ</v>
      </c>
      <c r="D55" s="1123" t="str">
        <f>+'Besoins en micas'!E194</f>
        <v>Tranomaro</v>
      </c>
      <c r="E55" s="1124">
        <f>+'Besoins en micas'!F194</f>
        <v>106462.5</v>
      </c>
      <c r="F55" s="1124">
        <f>+'Besoins en micas'!G194</f>
        <v>250</v>
      </c>
      <c r="G55" s="1124">
        <f>+'Besoins en micas'!H194</f>
        <v>26615625</v>
      </c>
      <c r="H55" s="1124">
        <f>+'Besoins en micas'!I194</f>
        <v>200</v>
      </c>
      <c r="I55" s="1124">
        <f>+'Besoins en micas'!J194</f>
        <v>21292500</v>
      </c>
      <c r="J55" s="1124">
        <f>+'Besoins en micas'!K194</f>
        <v>47908125</v>
      </c>
      <c r="K55" s="1124">
        <f>+'Besoins en micas'!L194</f>
        <v>450</v>
      </c>
      <c r="M55"/>
      <c r="O55"/>
      <c r="Q55"/>
    </row>
    <row r="56" spans="1:17" ht="15">
      <c r="A56" s="1123" t="str">
        <f>+'Besoins en micas'!B195</f>
        <v>Juin</v>
      </c>
      <c r="B56" s="1123" t="str">
        <f>+'Besoins en micas'!C195</f>
        <v>2 MC</v>
      </c>
      <c r="C56" s="1123" t="str">
        <f>+'Besoins en micas'!D195</f>
        <v>ABR GAZ</v>
      </c>
      <c r="D56" s="1123" t="str">
        <f>+'Besoins en micas'!E195</f>
        <v>Tranomaro</v>
      </c>
      <c r="E56" s="1124">
        <f>+'Besoins en micas'!F195</f>
        <v>106462.5</v>
      </c>
      <c r="F56" s="1124">
        <f>+'Besoins en micas'!G195</f>
        <v>250</v>
      </c>
      <c r="G56" s="1124">
        <f>+'Besoins en micas'!H195</f>
        <v>26615625</v>
      </c>
      <c r="H56" s="1124">
        <f>+'Besoins en micas'!I195</f>
        <v>200</v>
      </c>
      <c r="I56" s="1124">
        <f>+'Besoins en micas'!J195</f>
        <v>21292500</v>
      </c>
      <c r="J56" s="1124">
        <f>+'Besoins en micas'!K195</f>
        <v>47908125</v>
      </c>
      <c r="K56" s="1124">
        <f>+'Besoins en micas'!L195</f>
        <v>450</v>
      </c>
      <c r="M56"/>
      <c r="O56"/>
      <c r="Q56"/>
    </row>
    <row r="57" spans="1:17" ht="15">
      <c r="A57" s="1123" t="str">
        <f>+'Besoins en micas'!B196</f>
        <v>Juillet</v>
      </c>
      <c r="B57" s="1123" t="str">
        <f>+'Besoins en micas'!C196</f>
        <v>2 MC</v>
      </c>
      <c r="C57" s="1123" t="str">
        <f>+'Besoins en micas'!D196</f>
        <v>ABR GAZ</v>
      </c>
      <c r="D57" s="1123" t="str">
        <f>+'Besoins en micas'!E196</f>
        <v>Tranomaro</v>
      </c>
      <c r="E57" s="1124">
        <f>+'Besoins en micas'!F196</f>
        <v>106462.5</v>
      </c>
      <c r="F57" s="1124">
        <f>+'Besoins en micas'!G196</f>
        <v>250</v>
      </c>
      <c r="G57" s="1124">
        <f>+'Besoins en micas'!H196</f>
        <v>26615625</v>
      </c>
      <c r="H57" s="1124">
        <f>+'Besoins en micas'!I196</f>
        <v>200</v>
      </c>
      <c r="I57" s="1124">
        <f>+'Besoins en micas'!J196</f>
        <v>21292500</v>
      </c>
      <c r="J57" s="1124">
        <f>+'Besoins en micas'!K196</f>
        <v>47908125</v>
      </c>
      <c r="K57" s="1124">
        <f>+'Besoins en micas'!L196</f>
        <v>450</v>
      </c>
      <c r="M57"/>
      <c r="O57"/>
      <c r="Q57"/>
    </row>
    <row r="58" spans="1:17" ht="15">
      <c r="A58" s="1123" t="str">
        <f>+'Besoins en micas'!B197</f>
        <v>Août</v>
      </c>
      <c r="B58" s="1123" t="str">
        <f>+'Besoins en micas'!C197</f>
        <v>2 MC</v>
      </c>
      <c r="C58" s="1123" t="str">
        <f>+'Besoins en micas'!D197</f>
        <v>ABR GAZ</v>
      </c>
      <c r="D58" s="1123" t="str">
        <f>+'Besoins en micas'!E197</f>
        <v>Tranomaro</v>
      </c>
      <c r="E58" s="1124">
        <f>+'Besoins en micas'!F197</f>
        <v>106462.5</v>
      </c>
      <c r="F58" s="1124">
        <f>+'Besoins en micas'!G197</f>
        <v>250</v>
      </c>
      <c r="G58" s="1124">
        <f>+'Besoins en micas'!H197</f>
        <v>26615625</v>
      </c>
      <c r="H58" s="1124">
        <f>+'Besoins en micas'!I197</f>
        <v>200</v>
      </c>
      <c r="I58" s="1124">
        <f>+'Besoins en micas'!J197</f>
        <v>21292500</v>
      </c>
      <c r="J58" s="1124">
        <f>+'Besoins en micas'!K197</f>
        <v>47908125</v>
      </c>
      <c r="K58" s="1124">
        <f>+'Besoins en micas'!L197</f>
        <v>450</v>
      </c>
      <c r="M58"/>
      <c r="O58"/>
      <c r="Q58"/>
    </row>
    <row r="59" spans="1:17" ht="15">
      <c r="A59" s="1123" t="str">
        <f>+'Besoins en micas'!B198</f>
        <v>Septembre</v>
      </c>
      <c r="B59" s="1123" t="str">
        <f>+'Besoins en micas'!C198</f>
        <v>2 MC</v>
      </c>
      <c r="C59" s="1123" t="str">
        <f>+'Besoins en micas'!D198</f>
        <v>ABR GAZ</v>
      </c>
      <c r="D59" s="1123" t="str">
        <f>+'Besoins en micas'!E198</f>
        <v>Tranomaro</v>
      </c>
      <c r="E59" s="1124">
        <f>+'Besoins en micas'!F198</f>
        <v>98306.25</v>
      </c>
      <c r="F59" s="1124">
        <f>+'Besoins en micas'!G198</f>
        <v>250</v>
      </c>
      <c r="G59" s="1124">
        <f>+'Besoins en micas'!H198</f>
        <v>24576562.5</v>
      </c>
      <c r="H59" s="1124">
        <f>+'Besoins en micas'!I198</f>
        <v>200</v>
      </c>
      <c r="I59" s="1124">
        <f>+'Besoins en micas'!J198</f>
        <v>19661250</v>
      </c>
      <c r="J59" s="1124">
        <f>+'Besoins en micas'!K198</f>
        <v>44237812.5</v>
      </c>
      <c r="K59" s="1124">
        <f>+'Besoins en micas'!L198</f>
        <v>450</v>
      </c>
      <c r="M59"/>
      <c r="O59"/>
      <c r="Q59"/>
    </row>
    <row r="60" spans="1:17" ht="15">
      <c r="A60" s="1123" t="str">
        <f>+'Besoins en micas'!B199</f>
        <v>Octobre</v>
      </c>
      <c r="B60" s="1123" t="str">
        <f>+'Besoins en micas'!C199</f>
        <v>2 MC</v>
      </c>
      <c r="C60" s="1123" t="str">
        <f>+'Besoins en micas'!D199</f>
        <v>ABR GAZ</v>
      </c>
      <c r="D60" s="1123" t="str">
        <f>+'Besoins en micas'!E199</f>
        <v>Tranomaro</v>
      </c>
      <c r="E60" s="1124">
        <f>+'Besoins en micas'!F199</f>
        <v>98306.25</v>
      </c>
      <c r="F60" s="1124">
        <f>+'Besoins en micas'!G199</f>
        <v>250</v>
      </c>
      <c r="G60" s="1124">
        <f>+'Besoins en micas'!H199</f>
        <v>24576562.5</v>
      </c>
      <c r="H60" s="1124">
        <f>+'Besoins en micas'!I199</f>
        <v>200</v>
      </c>
      <c r="I60" s="1124">
        <f>+'Besoins en micas'!J199</f>
        <v>19661250</v>
      </c>
      <c r="J60" s="1124">
        <f>+'Besoins en micas'!K199</f>
        <v>44237812.5</v>
      </c>
      <c r="K60" s="1124">
        <f>+'Besoins en micas'!L199</f>
        <v>450</v>
      </c>
      <c r="M60"/>
      <c r="O60"/>
      <c r="Q60"/>
    </row>
    <row r="61" spans="1:17" ht="15">
      <c r="A61" s="1123" t="str">
        <f>+'Besoins en micas'!B200</f>
        <v>Novembre</v>
      </c>
      <c r="B61" s="1123" t="str">
        <f>+'Besoins en micas'!C200</f>
        <v>2 MC</v>
      </c>
      <c r="C61" s="1123" t="str">
        <f>+'Besoins en micas'!D200</f>
        <v>ABR GAZ</v>
      </c>
      <c r="D61" s="1123" t="str">
        <f>+'Besoins en micas'!E200</f>
        <v>Tranomaro</v>
      </c>
      <c r="E61" s="1124">
        <f>+'Besoins en micas'!F200</f>
        <v>98306.25</v>
      </c>
      <c r="F61" s="1124">
        <f>+'Besoins en micas'!G200</f>
        <v>250</v>
      </c>
      <c r="G61" s="1124">
        <f>+'Besoins en micas'!H200</f>
        <v>24576562.5</v>
      </c>
      <c r="H61" s="1124">
        <f>+'Besoins en micas'!I200</f>
        <v>200</v>
      </c>
      <c r="I61" s="1124">
        <f>+'Besoins en micas'!J200</f>
        <v>19661250</v>
      </c>
      <c r="J61" s="1124">
        <f>+'Besoins en micas'!K200</f>
        <v>44237812.5</v>
      </c>
      <c r="K61" s="1124">
        <f>+'Besoins en micas'!L200</f>
        <v>450</v>
      </c>
      <c r="M61"/>
      <c r="O61"/>
      <c r="Q61"/>
    </row>
    <row r="62" spans="1:17" ht="15">
      <c r="A62" s="1123" t="str">
        <f>+'Besoins en micas'!B201</f>
        <v>Décembre</v>
      </c>
      <c r="B62" s="1123" t="str">
        <f>+'Besoins en micas'!C201</f>
        <v>2 MC</v>
      </c>
      <c r="C62" s="1123" t="str">
        <f>+'Besoins en micas'!D201</f>
        <v>ABR GAZ</v>
      </c>
      <c r="D62" s="1123" t="str">
        <f>+'Besoins en micas'!E201</f>
        <v>Tranomaro</v>
      </c>
      <c r="E62" s="1124">
        <f>+'Besoins en micas'!F201</f>
        <v>98306.25</v>
      </c>
      <c r="F62" s="1124">
        <f>+'Besoins en micas'!G201</f>
        <v>250</v>
      </c>
      <c r="G62" s="1124">
        <f>+'Besoins en micas'!H201</f>
        <v>24576562.5</v>
      </c>
      <c r="H62" s="1124">
        <f>+'Besoins en micas'!I201</f>
        <v>200</v>
      </c>
      <c r="I62" s="1124">
        <f>+'Besoins en micas'!J201</f>
        <v>19661250</v>
      </c>
      <c r="J62" s="1124">
        <f>+'Besoins en micas'!K201</f>
        <v>44237812.5</v>
      </c>
      <c r="K62" s="1124">
        <f>+'Besoins en micas'!L201</f>
        <v>450</v>
      </c>
      <c r="M62"/>
      <c r="O62"/>
      <c r="Q62"/>
    </row>
    <row r="63" spans="1:17" ht="15">
      <c r="A63" s="1123" t="str">
        <f>+'Besoins en micas'!B202</f>
        <v>Janvier</v>
      </c>
      <c r="B63" s="1123" t="str">
        <f>+'Besoins en micas'!C202</f>
        <v>2 MC</v>
      </c>
      <c r="C63" s="1123" t="str">
        <f>+'Besoins en micas'!D202</f>
        <v>ABR GAZ</v>
      </c>
      <c r="D63" s="1123" t="str">
        <f>+'Besoins en micas'!E202</f>
        <v>Ampandrandava</v>
      </c>
      <c r="E63" s="1124">
        <f>+'Besoins en micas'!F202</f>
        <v>149047.5</v>
      </c>
      <c r="F63" s="1124">
        <f>+'Besoins en micas'!G202</f>
        <v>100</v>
      </c>
      <c r="G63" s="1124">
        <f>+'Besoins en micas'!H202</f>
        <v>14904750</v>
      </c>
      <c r="H63" s="1124">
        <f>+'Besoins en micas'!I202</f>
        <v>300</v>
      </c>
      <c r="I63" s="1124">
        <f>+'Besoins en micas'!J202</f>
        <v>44714250</v>
      </c>
      <c r="J63" s="1124">
        <f>+'Besoins en micas'!K202</f>
        <v>59619000</v>
      </c>
      <c r="K63" s="1124">
        <f>+'Besoins en micas'!L202</f>
        <v>400</v>
      </c>
      <c r="M63"/>
      <c r="O63"/>
      <c r="Q63"/>
    </row>
    <row r="64" spans="1:17" ht="15">
      <c r="A64" s="1123" t="str">
        <f>+'Besoins en micas'!B203</f>
        <v>Février</v>
      </c>
      <c r="B64" s="1123" t="str">
        <f>+'Besoins en micas'!C203</f>
        <v>2 MC</v>
      </c>
      <c r="C64" s="1123" t="str">
        <f>+'Besoins en micas'!D203</f>
        <v>ABR GAZ</v>
      </c>
      <c r="D64" s="1123" t="str">
        <f>+'Besoins en micas'!E203</f>
        <v>Ampandrandava</v>
      </c>
      <c r="E64" s="1124">
        <f>+'Besoins en micas'!F203</f>
        <v>149047.5</v>
      </c>
      <c r="F64" s="1124">
        <f>+'Besoins en micas'!G203</f>
        <v>100</v>
      </c>
      <c r="G64" s="1124">
        <f>+'Besoins en micas'!H203</f>
        <v>14904750</v>
      </c>
      <c r="H64" s="1124">
        <f>+'Besoins en micas'!I203</f>
        <v>300</v>
      </c>
      <c r="I64" s="1124">
        <f>+'Besoins en micas'!J203</f>
        <v>44714250</v>
      </c>
      <c r="J64" s="1124">
        <f>+'Besoins en micas'!K203</f>
        <v>59619000</v>
      </c>
      <c r="K64" s="1124">
        <f>+'Besoins en micas'!L203</f>
        <v>400</v>
      </c>
      <c r="M64"/>
      <c r="O64"/>
      <c r="Q64"/>
    </row>
    <row r="65" spans="1:17" ht="15">
      <c r="A65" s="1123" t="str">
        <f>+'Besoins en micas'!B204</f>
        <v>Mars</v>
      </c>
      <c r="B65" s="1123" t="str">
        <f>+'Besoins en micas'!C204</f>
        <v>2 MC</v>
      </c>
      <c r="C65" s="1123" t="str">
        <f>+'Besoins en micas'!D204</f>
        <v>ABR GAZ</v>
      </c>
      <c r="D65" s="1123" t="str">
        <f>+'Besoins en micas'!E204</f>
        <v>Ampandrandava</v>
      </c>
      <c r="E65" s="1124">
        <f>+'Besoins en micas'!F204</f>
        <v>149047.5</v>
      </c>
      <c r="F65" s="1124">
        <f>+'Besoins en micas'!G204</f>
        <v>100</v>
      </c>
      <c r="G65" s="1124">
        <f>+'Besoins en micas'!H204</f>
        <v>14904750</v>
      </c>
      <c r="H65" s="1124">
        <f>+'Besoins en micas'!I204</f>
        <v>300</v>
      </c>
      <c r="I65" s="1124">
        <f>+'Besoins en micas'!J204</f>
        <v>44714250</v>
      </c>
      <c r="J65" s="1124">
        <f>+'Besoins en micas'!K204</f>
        <v>59619000</v>
      </c>
      <c r="K65" s="1124">
        <f>+'Besoins en micas'!L204</f>
        <v>400</v>
      </c>
      <c r="M65"/>
      <c r="O65"/>
      <c r="Q65"/>
    </row>
    <row r="66" spans="1:17" ht="15">
      <c r="A66" s="1123" t="str">
        <f>+'Besoins en micas'!B205</f>
        <v>Avril</v>
      </c>
      <c r="B66" s="1123" t="str">
        <f>+'Besoins en micas'!C205</f>
        <v>2 MC</v>
      </c>
      <c r="C66" s="1123" t="str">
        <f>+'Besoins en micas'!D205</f>
        <v>ABR GAZ</v>
      </c>
      <c r="D66" s="1123" t="str">
        <f>+'Besoins en micas'!E205</f>
        <v>Ampandrandava</v>
      </c>
      <c r="E66" s="1124">
        <f>+'Besoins en micas'!F205</f>
        <v>149047.5</v>
      </c>
      <c r="F66" s="1124">
        <f>+'Besoins en micas'!G205</f>
        <v>100</v>
      </c>
      <c r="G66" s="1124">
        <f>+'Besoins en micas'!H205</f>
        <v>14904750</v>
      </c>
      <c r="H66" s="1124">
        <f>+'Besoins en micas'!I205</f>
        <v>300</v>
      </c>
      <c r="I66" s="1124">
        <f>+'Besoins en micas'!J205</f>
        <v>44714250</v>
      </c>
      <c r="J66" s="1124">
        <f>+'Besoins en micas'!K205</f>
        <v>59619000</v>
      </c>
      <c r="K66" s="1124">
        <f>+'Besoins en micas'!L205</f>
        <v>400</v>
      </c>
      <c r="M66"/>
      <c r="O66"/>
      <c r="Q66"/>
    </row>
    <row r="67" spans="1:17" ht="15">
      <c r="A67" s="1123" t="str">
        <f>+'Besoins en micas'!B206</f>
        <v>Mai</v>
      </c>
      <c r="B67" s="1123" t="str">
        <f>+'Besoins en micas'!C206</f>
        <v>2 MC</v>
      </c>
      <c r="C67" s="1123" t="str">
        <f>+'Besoins en micas'!D206</f>
        <v>ABR GAZ</v>
      </c>
      <c r="D67" s="1123" t="str">
        <f>+'Besoins en micas'!E206</f>
        <v>Ampandrandava</v>
      </c>
      <c r="E67" s="1124">
        <f>+'Besoins en micas'!F206</f>
        <v>149047.5</v>
      </c>
      <c r="F67" s="1124">
        <f>+'Besoins en micas'!G206</f>
        <v>100</v>
      </c>
      <c r="G67" s="1124">
        <f>+'Besoins en micas'!H206</f>
        <v>14904750</v>
      </c>
      <c r="H67" s="1124">
        <f>+'Besoins en micas'!I206</f>
        <v>300</v>
      </c>
      <c r="I67" s="1124">
        <f>+'Besoins en micas'!J206</f>
        <v>44714250</v>
      </c>
      <c r="J67" s="1124">
        <f>+'Besoins en micas'!K206</f>
        <v>59619000</v>
      </c>
      <c r="K67" s="1124">
        <f>+'Besoins en micas'!L206</f>
        <v>400</v>
      </c>
      <c r="M67"/>
      <c r="O67"/>
      <c r="Q67"/>
    </row>
    <row r="68" spans="1:17" ht="15">
      <c r="A68" s="1123" t="str">
        <f>+'Besoins en micas'!B207</f>
        <v>Juin</v>
      </c>
      <c r="B68" s="1123" t="str">
        <f>+'Besoins en micas'!C207</f>
        <v>2 MC</v>
      </c>
      <c r="C68" s="1123" t="str">
        <f>+'Besoins en micas'!D207</f>
        <v>ABR GAZ</v>
      </c>
      <c r="D68" s="1123" t="str">
        <f>+'Besoins en micas'!E207</f>
        <v>Ampandrandava</v>
      </c>
      <c r="E68" s="1124">
        <f>+'Besoins en micas'!F207</f>
        <v>149047.5</v>
      </c>
      <c r="F68" s="1124">
        <f>+'Besoins en micas'!G207</f>
        <v>100</v>
      </c>
      <c r="G68" s="1124">
        <f>+'Besoins en micas'!H207</f>
        <v>14904750</v>
      </c>
      <c r="H68" s="1124">
        <f>+'Besoins en micas'!I207</f>
        <v>300</v>
      </c>
      <c r="I68" s="1124">
        <f>+'Besoins en micas'!J207</f>
        <v>44714250</v>
      </c>
      <c r="J68" s="1124">
        <f>+'Besoins en micas'!K207</f>
        <v>59619000</v>
      </c>
      <c r="K68" s="1124">
        <f>+'Besoins en micas'!L207</f>
        <v>400</v>
      </c>
      <c r="M68"/>
      <c r="O68"/>
      <c r="Q68"/>
    </row>
    <row r="69" spans="1:17" ht="15">
      <c r="A69" s="1123" t="str">
        <f>+'Besoins en micas'!B208</f>
        <v>Juillet</v>
      </c>
      <c r="B69" s="1123" t="str">
        <f>+'Besoins en micas'!C208</f>
        <v>2 MC</v>
      </c>
      <c r="C69" s="1123" t="str">
        <f>+'Besoins en micas'!D208</f>
        <v>ABR GAZ</v>
      </c>
      <c r="D69" s="1123" t="str">
        <f>+'Besoins en micas'!E208</f>
        <v>Ampandrandava</v>
      </c>
      <c r="E69" s="1124">
        <f>+'Besoins en micas'!F208</f>
        <v>149047.5</v>
      </c>
      <c r="F69" s="1124">
        <f>+'Besoins en micas'!G208</f>
        <v>100</v>
      </c>
      <c r="G69" s="1124">
        <f>+'Besoins en micas'!H208</f>
        <v>14904750</v>
      </c>
      <c r="H69" s="1124">
        <f>+'Besoins en micas'!I208</f>
        <v>300</v>
      </c>
      <c r="I69" s="1124">
        <f>+'Besoins en micas'!J208</f>
        <v>44714250</v>
      </c>
      <c r="J69" s="1124">
        <f>+'Besoins en micas'!K208</f>
        <v>59619000</v>
      </c>
      <c r="K69" s="1124">
        <f>+'Besoins en micas'!L208</f>
        <v>400</v>
      </c>
      <c r="M69"/>
      <c r="O69"/>
      <c r="Q69"/>
    </row>
    <row r="70" spans="1:17" ht="15">
      <c r="A70" s="1123" t="str">
        <f>+'Besoins en micas'!B209</f>
        <v>Août</v>
      </c>
      <c r="B70" s="1123" t="str">
        <f>+'Besoins en micas'!C209</f>
        <v>2 MC</v>
      </c>
      <c r="C70" s="1123" t="str">
        <f>+'Besoins en micas'!D209</f>
        <v>ABR GAZ</v>
      </c>
      <c r="D70" s="1123" t="str">
        <f>+'Besoins en micas'!E209</f>
        <v>Ampandrandava</v>
      </c>
      <c r="E70" s="1124">
        <f>+'Besoins en micas'!F209</f>
        <v>149047.5</v>
      </c>
      <c r="F70" s="1124">
        <f>+'Besoins en micas'!G209</f>
        <v>100</v>
      </c>
      <c r="G70" s="1124">
        <f>+'Besoins en micas'!H209</f>
        <v>14904750</v>
      </c>
      <c r="H70" s="1124">
        <f>+'Besoins en micas'!I209</f>
        <v>300</v>
      </c>
      <c r="I70" s="1124">
        <f>+'Besoins en micas'!J209</f>
        <v>44714250</v>
      </c>
      <c r="J70" s="1124">
        <f>+'Besoins en micas'!K209</f>
        <v>59619000</v>
      </c>
      <c r="K70" s="1124">
        <f>+'Besoins en micas'!L209</f>
        <v>400</v>
      </c>
      <c r="M70"/>
      <c r="O70"/>
      <c r="Q70"/>
    </row>
    <row r="71" spans="1:17" ht="15">
      <c r="A71" s="1123" t="str">
        <f>+'Besoins en micas'!B210</f>
        <v>Septembre</v>
      </c>
      <c r="B71" s="1123" t="str">
        <f>+'Besoins en micas'!C210</f>
        <v>2 MC</v>
      </c>
      <c r="C71" s="1123" t="str">
        <f>+'Besoins en micas'!D210</f>
        <v>ABR GAZ</v>
      </c>
      <c r="D71" s="1123" t="str">
        <f>+'Besoins en micas'!E210</f>
        <v>Ampandrandava</v>
      </c>
      <c r="E71" s="1124">
        <f>+'Besoins en micas'!F210</f>
        <v>137628.75</v>
      </c>
      <c r="F71" s="1124">
        <f>+'Besoins en micas'!G210</f>
        <v>100</v>
      </c>
      <c r="G71" s="1124">
        <f>+'Besoins en micas'!H210</f>
        <v>13762875</v>
      </c>
      <c r="H71" s="1124">
        <f>+'Besoins en micas'!I210</f>
        <v>300</v>
      </c>
      <c r="I71" s="1124">
        <f>+'Besoins en micas'!J210</f>
        <v>41288625</v>
      </c>
      <c r="J71" s="1124">
        <f>+'Besoins en micas'!K210</f>
        <v>55051500</v>
      </c>
      <c r="K71" s="1124">
        <f>+'Besoins en micas'!L210</f>
        <v>400</v>
      </c>
      <c r="M71"/>
      <c r="O71"/>
      <c r="Q71"/>
    </row>
    <row r="72" spans="1:17" ht="15">
      <c r="A72" s="1123" t="str">
        <f>+'Besoins en micas'!B211</f>
        <v>Octobre</v>
      </c>
      <c r="B72" s="1123" t="str">
        <f>+'Besoins en micas'!C211</f>
        <v>2 MC</v>
      </c>
      <c r="C72" s="1123" t="str">
        <f>+'Besoins en micas'!D211</f>
        <v>ABR GAZ</v>
      </c>
      <c r="D72" s="1123" t="str">
        <f>+'Besoins en micas'!E211</f>
        <v>Ampandrandava</v>
      </c>
      <c r="E72" s="1124">
        <f>+'Besoins en micas'!F211</f>
        <v>137628.75</v>
      </c>
      <c r="F72" s="1124">
        <f>+'Besoins en micas'!G211</f>
        <v>100</v>
      </c>
      <c r="G72" s="1124">
        <f>+'Besoins en micas'!H211</f>
        <v>13762875</v>
      </c>
      <c r="H72" s="1124">
        <f>+'Besoins en micas'!I211</f>
        <v>300</v>
      </c>
      <c r="I72" s="1124">
        <f>+'Besoins en micas'!J211</f>
        <v>41288625</v>
      </c>
      <c r="J72" s="1124">
        <f>+'Besoins en micas'!K211</f>
        <v>55051500</v>
      </c>
      <c r="K72" s="1124">
        <f>+'Besoins en micas'!L211</f>
        <v>400</v>
      </c>
      <c r="M72"/>
      <c r="O72"/>
      <c r="Q72"/>
    </row>
    <row r="73" spans="1:17" ht="15">
      <c r="A73" s="1123" t="str">
        <f>+'Besoins en micas'!B212</f>
        <v>Novembre</v>
      </c>
      <c r="B73" s="1123" t="str">
        <f>+'Besoins en micas'!C212</f>
        <v>2 MC</v>
      </c>
      <c r="C73" s="1123" t="str">
        <f>+'Besoins en micas'!D212</f>
        <v>ABR GAZ</v>
      </c>
      <c r="D73" s="1123" t="str">
        <f>+'Besoins en micas'!E212</f>
        <v>Ampandrandava</v>
      </c>
      <c r="E73" s="1124">
        <f>+'Besoins en micas'!F212</f>
        <v>137628.75</v>
      </c>
      <c r="F73" s="1124">
        <f>+'Besoins en micas'!G212</f>
        <v>100</v>
      </c>
      <c r="G73" s="1124">
        <f>+'Besoins en micas'!H212</f>
        <v>13762875</v>
      </c>
      <c r="H73" s="1124">
        <f>+'Besoins en micas'!I212</f>
        <v>300</v>
      </c>
      <c r="I73" s="1124">
        <f>+'Besoins en micas'!J212</f>
        <v>41288625</v>
      </c>
      <c r="J73" s="1124">
        <f>+'Besoins en micas'!K212</f>
        <v>55051500</v>
      </c>
      <c r="K73" s="1124">
        <f>+'Besoins en micas'!L212</f>
        <v>400</v>
      </c>
      <c r="M73"/>
      <c r="O73"/>
      <c r="Q73"/>
    </row>
    <row r="74" spans="1:17" ht="15">
      <c r="A74" s="1123" t="str">
        <f>+'Besoins en micas'!B213</f>
        <v>Décembre</v>
      </c>
      <c r="B74" s="1123" t="str">
        <f>+'Besoins en micas'!C213</f>
        <v>2 MC</v>
      </c>
      <c r="C74" s="1123" t="str">
        <f>+'Besoins en micas'!D213</f>
        <v>ABR GAZ</v>
      </c>
      <c r="D74" s="1123" t="str">
        <f>+'Besoins en micas'!E213</f>
        <v>Ampandrandava</v>
      </c>
      <c r="E74" s="1124">
        <f>+'Besoins en micas'!F213</f>
        <v>137628.75</v>
      </c>
      <c r="F74" s="1124">
        <f>+'Besoins en micas'!G213</f>
        <v>100</v>
      </c>
      <c r="G74" s="1124">
        <f>+'Besoins en micas'!H213</f>
        <v>13762875</v>
      </c>
      <c r="H74" s="1124">
        <f>+'Besoins en micas'!I213</f>
        <v>300</v>
      </c>
      <c r="I74" s="1124">
        <f>+'Besoins en micas'!J213</f>
        <v>41288625</v>
      </c>
      <c r="J74" s="1124">
        <f>+'Besoins en micas'!K213</f>
        <v>55051500</v>
      </c>
      <c r="K74" s="1124">
        <f>+'Besoins en micas'!L213</f>
        <v>400</v>
      </c>
      <c r="M74"/>
      <c r="O74"/>
      <c r="Q74"/>
    </row>
    <row r="75" spans="1:17" ht="15">
      <c r="A75" s="1123" t="str">
        <f>+'Besoins en micas'!B214</f>
        <v>Janvier</v>
      </c>
      <c r="B75" s="1123" t="str">
        <f>+'Besoins en micas'!C214</f>
        <v>2 MC</v>
      </c>
      <c r="C75" s="1123" t="str">
        <f>+'Besoins en micas'!D214</f>
        <v>ABR GAZ</v>
      </c>
      <c r="D75" s="1123" t="str">
        <f>+'Besoins en micas'!E214</f>
        <v>Fort dauphin</v>
      </c>
      <c r="E75" s="1124">
        <f>+'Besoins en micas'!F214</f>
        <v>85170</v>
      </c>
      <c r="F75" s="1124">
        <f>+'Besoins en micas'!G214</f>
        <v>450</v>
      </c>
      <c r="G75" s="1124">
        <f>+'Besoins en micas'!H214</f>
        <v>38326500</v>
      </c>
      <c r="H75" s="1124">
        <f>+'Besoins en micas'!I214</f>
        <v>0</v>
      </c>
      <c r="I75" s="1124">
        <f>+'Besoins en micas'!J214</f>
        <v>0</v>
      </c>
      <c r="J75" s="1124">
        <f>+'Besoins en micas'!K214</f>
        <v>38326500</v>
      </c>
      <c r="K75" s="1124">
        <f>+'Besoins en micas'!L214</f>
        <v>450</v>
      </c>
      <c r="M75"/>
      <c r="O75"/>
      <c r="Q75"/>
    </row>
    <row r="76" spans="1:17" ht="15">
      <c r="A76" s="1123" t="str">
        <f>+'Besoins en micas'!B215</f>
        <v>Février</v>
      </c>
      <c r="B76" s="1123" t="str">
        <f>+'Besoins en micas'!C215</f>
        <v>2 MC</v>
      </c>
      <c r="C76" s="1123" t="str">
        <f>+'Besoins en micas'!D215</f>
        <v>ABR GAZ</v>
      </c>
      <c r="D76" s="1123" t="str">
        <f>+'Besoins en micas'!E215</f>
        <v>Fort dauphin</v>
      </c>
      <c r="E76" s="1124">
        <f>+'Besoins en micas'!F215</f>
        <v>85170</v>
      </c>
      <c r="F76" s="1124">
        <f>+'Besoins en micas'!G215</f>
        <v>450</v>
      </c>
      <c r="G76" s="1124">
        <f>+'Besoins en micas'!H215</f>
        <v>38326500</v>
      </c>
      <c r="H76" s="1124">
        <f>+'Besoins en micas'!I215</f>
        <v>0</v>
      </c>
      <c r="I76" s="1124">
        <f>+'Besoins en micas'!J215</f>
        <v>0</v>
      </c>
      <c r="J76" s="1124">
        <f>+'Besoins en micas'!K215</f>
        <v>38326500</v>
      </c>
      <c r="K76" s="1124">
        <f>+'Besoins en micas'!L215</f>
        <v>450</v>
      </c>
      <c r="M76"/>
      <c r="O76"/>
      <c r="Q76"/>
    </row>
    <row r="77" spans="1:17" ht="15">
      <c r="A77" s="1123" t="str">
        <f>+'Besoins en micas'!B216</f>
        <v>Mars</v>
      </c>
      <c r="B77" s="1123" t="str">
        <f>+'Besoins en micas'!C216</f>
        <v>2 MC</v>
      </c>
      <c r="C77" s="1123" t="str">
        <f>+'Besoins en micas'!D216</f>
        <v>ABR GAZ</v>
      </c>
      <c r="D77" s="1123" t="str">
        <f>+'Besoins en micas'!E216</f>
        <v>Fort dauphin</v>
      </c>
      <c r="E77" s="1124">
        <f>+'Besoins en micas'!F216</f>
        <v>85170</v>
      </c>
      <c r="F77" s="1124">
        <f>+'Besoins en micas'!G216</f>
        <v>450</v>
      </c>
      <c r="G77" s="1124">
        <f>+'Besoins en micas'!H216</f>
        <v>38326500</v>
      </c>
      <c r="H77" s="1124">
        <f>+'Besoins en micas'!I216</f>
        <v>0</v>
      </c>
      <c r="I77" s="1124">
        <f>+'Besoins en micas'!J216</f>
        <v>0</v>
      </c>
      <c r="J77" s="1124">
        <f>+'Besoins en micas'!K216</f>
        <v>38326500</v>
      </c>
      <c r="K77" s="1124">
        <f>+'Besoins en micas'!L216</f>
        <v>450</v>
      </c>
      <c r="M77"/>
      <c r="O77"/>
      <c r="Q77"/>
    </row>
    <row r="78" spans="1:17" ht="15">
      <c r="A78" s="1123" t="str">
        <f>+'Besoins en micas'!B217</f>
        <v>Avril</v>
      </c>
      <c r="B78" s="1123" t="str">
        <f>+'Besoins en micas'!C217</f>
        <v>2 MC</v>
      </c>
      <c r="C78" s="1123" t="str">
        <f>+'Besoins en micas'!D217</f>
        <v>ABR GAZ</v>
      </c>
      <c r="D78" s="1123" t="str">
        <f>+'Besoins en micas'!E217</f>
        <v>Fort dauphin</v>
      </c>
      <c r="E78" s="1124">
        <f>+'Besoins en micas'!F217</f>
        <v>85170</v>
      </c>
      <c r="F78" s="1124">
        <f>+'Besoins en micas'!G217</f>
        <v>450</v>
      </c>
      <c r="G78" s="1124">
        <f>+'Besoins en micas'!H217</f>
        <v>38326500</v>
      </c>
      <c r="H78" s="1124">
        <f>+'Besoins en micas'!I217</f>
        <v>0</v>
      </c>
      <c r="I78" s="1124">
        <f>+'Besoins en micas'!J217</f>
        <v>0</v>
      </c>
      <c r="J78" s="1124">
        <f>+'Besoins en micas'!K217</f>
        <v>38326500</v>
      </c>
      <c r="K78" s="1124">
        <f>+'Besoins en micas'!L217</f>
        <v>450</v>
      </c>
      <c r="M78"/>
      <c r="O78"/>
      <c r="Q78"/>
    </row>
    <row r="79" spans="1:17" ht="15">
      <c r="A79" s="1123" t="str">
        <f>+'Besoins en micas'!B218</f>
        <v>Mai</v>
      </c>
      <c r="B79" s="1123" t="str">
        <f>+'Besoins en micas'!C218</f>
        <v>2 MC</v>
      </c>
      <c r="C79" s="1123" t="str">
        <f>+'Besoins en micas'!D218</f>
        <v>ABR GAZ</v>
      </c>
      <c r="D79" s="1123" t="str">
        <f>+'Besoins en micas'!E218</f>
        <v>Fort dauphin</v>
      </c>
      <c r="E79" s="1124">
        <f>+'Besoins en micas'!F218</f>
        <v>85170</v>
      </c>
      <c r="F79" s="1124">
        <f>+'Besoins en micas'!G218</f>
        <v>450</v>
      </c>
      <c r="G79" s="1124">
        <f>+'Besoins en micas'!H218</f>
        <v>38326500</v>
      </c>
      <c r="H79" s="1124">
        <f>+'Besoins en micas'!I218</f>
        <v>0</v>
      </c>
      <c r="I79" s="1124">
        <f>+'Besoins en micas'!J218</f>
        <v>0</v>
      </c>
      <c r="J79" s="1124">
        <f>+'Besoins en micas'!K218</f>
        <v>38326500</v>
      </c>
      <c r="K79" s="1124">
        <f>+'Besoins en micas'!L218</f>
        <v>450</v>
      </c>
      <c r="M79"/>
      <c r="O79"/>
      <c r="Q79"/>
    </row>
    <row r="80" spans="1:17" ht="15">
      <c r="A80" s="1123" t="str">
        <f>+'Besoins en micas'!B219</f>
        <v>Juin</v>
      </c>
      <c r="B80" s="1123" t="str">
        <f>+'Besoins en micas'!C219</f>
        <v>2 MC</v>
      </c>
      <c r="C80" s="1123" t="str">
        <f>+'Besoins en micas'!D219</f>
        <v>ABR GAZ</v>
      </c>
      <c r="D80" s="1123" t="str">
        <f>+'Besoins en micas'!E219</f>
        <v>Fort dauphin</v>
      </c>
      <c r="E80" s="1124">
        <f>+'Besoins en micas'!F219</f>
        <v>85170</v>
      </c>
      <c r="F80" s="1124">
        <f>+'Besoins en micas'!G219</f>
        <v>450</v>
      </c>
      <c r="G80" s="1124">
        <f>+'Besoins en micas'!H219</f>
        <v>38326500</v>
      </c>
      <c r="H80" s="1124">
        <f>+'Besoins en micas'!I219</f>
        <v>0</v>
      </c>
      <c r="I80" s="1124">
        <f>+'Besoins en micas'!J219</f>
        <v>0</v>
      </c>
      <c r="J80" s="1124">
        <f>+'Besoins en micas'!K219</f>
        <v>38326500</v>
      </c>
      <c r="K80" s="1124">
        <f>+'Besoins en micas'!L219</f>
        <v>450</v>
      </c>
      <c r="M80"/>
      <c r="O80"/>
      <c r="Q80"/>
    </row>
    <row r="81" spans="1:17" ht="15">
      <c r="A81" s="1123" t="str">
        <f>+'Besoins en micas'!B220</f>
        <v>Juillet</v>
      </c>
      <c r="B81" s="1123" t="str">
        <f>+'Besoins en micas'!C220</f>
        <v>2 MC</v>
      </c>
      <c r="C81" s="1123" t="str">
        <f>+'Besoins en micas'!D220</f>
        <v>ABR GAZ</v>
      </c>
      <c r="D81" s="1123" t="str">
        <f>+'Besoins en micas'!E220</f>
        <v>Fort dauphin</v>
      </c>
      <c r="E81" s="1124">
        <f>+'Besoins en micas'!F220</f>
        <v>85170</v>
      </c>
      <c r="F81" s="1124">
        <f>+'Besoins en micas'!G220</f>
        <v>450</v>
      </c>
      <c r="G81" s="1124">
        <f>+'Besoins en micas'!H220</f>
        <v>38326500</v>
      </c>
      <c r="H81" s="1124">
        <f>+'Besoins en micas'!I220</f>
        <v>0</v>
      </c>
      <c r="I81" s="1124">
        <f>+'Besoins en micas'!J220</f>
        <v>0</v>
      </c>
      <c r="J81" s="1124">
        <f>+'Besoins en micas'!K220</f>
        <v>38326500</v>
      </c>
      <c r="K81" s="1124">
        <f>+'Besoins en micas'!L220</f>
        <v>450</v>
      </c>
      <c r="M81"/>
      <c r="O81"/>
      <c r="Q81"/>
    </row>
    <row r="82" spans="1:17" ht="15">
      <c r="A82" s="1123" t="str">
        <f>+'Besoins en micas'!B221</f>
        <v>Août</v>
      </c>
      <c r="B82" s="1123" t="str">
        <f>+'Besoins en micas'!C221</f>
        <v>2 MC</v>
      </c>
      <c r="C82" s="1123" t="str">
        <f>+'Besoins en micas'!D221</f>
        <v>ABR GAZ</v>
      </c>
      <c r="D82" s="1123" t="str">
        <f>+'Besoins en micas'!E221</f>
        <v>Fort dauphin</v>
      </c>
      <c r="E82" s="1124">
        <f>+'Besoins en micas'!F221</f>
        <v>85170</v>
      </c>
      <c r="F82" s="1124">
        <f>+'Besoins en micas'!G221</f>
        <v>450</v>
      </c>
      <c r="G82" s="1124">
        <f>+'Besoins en micas'!H221</f>
        <v>38326500</v>
      </c>
      <c r="H82" s="1124">
        <f>+'Besoins en micas'!I221</f>
        <v>0</v>
      </c>
      <c r="I82" s="1124">
        <f>+'Besoins en micas'!J221</f>
        <v>0</v>
      </c>
      <c r="J82" s="1124">
        <f>+'Besoins en micas'!K221</f>
        <v>38326500</v>
      </c>
      <c r="K82" s="1124">
        <f>+'Besoins en micas'!L221</f>
        <v>450</v>
      </c>
      <c r="M82"/>
      <c r="O82"/>
      <c r="Q82"/>
    </row>
    <row r="83" spans="1:17" ht="15">
      <c r="A83" s="1123" t="str">
        <f>+'Besoins en micas'!B222</f>
        <v>Septembre</v>
      </c>
      <c r="B83" s="1123" t="str">
        <f>+'Besoins en micas'!C222</f>
        <v>2 MC</v>
      </c>
      <c r="C83" s="1123" t="str">
        <f>+'Besoins en micas'!D222</f>
        <v>ABR GAZ</v>
      </c>
      <c r="D83" s="1123" t="str">
        <f>+'Besoins en micas'!E222</f>
        <v>Fort dauphin</v>
      </c>
      <c r="E83" s="1124">
        <f>+'Besoins en micas'!F222</f>
        <v>78645</v>
      </c>
      <c r="F83" s="1124">
        <f>+'Besoins en micas'!G222</f>
        <v>450</v>
      </c>
      <c r="G83" s="1124">
        <f>+'Besoins en micas'!H222</f>
        <v>35390250</v>
      </c>
      <c r="H83" s="1124">
        <f>+'Besoins en micas'!I222</f>
        <v>0</v>
      </c>
      <c r="I83" s="1124">
        <f>+'Besoins en micas'!J222</f>
        <v>0</v>
      </c>
      <c r="J83" s="1124">
        <f>+'Besoins en micas'!K222</f>
        <v>35390250</v>
      </c>
      <c r="K83" s="1124">
        <f>+'Besoins en micas'!L222</f>
        <v>450</v>
      </c>
      <c r="M83"/>
      <c r="O83"/>
      <c r="Q83"/>
    </row>
    <row r="84" spans="1:17" ht="15">
      <c r="A84" s="1123" t="str">
        <f>+'Besoins en micas'!B223</f>
        <v>Octobre</v>
      </c>
      <c r="B84" s="1123" t="str">
        <f>+'Besoins en micas'!C223</f>
        <v>2 MC</v>
      </c>
      <c r="C84" s="1123" t="str">
        <f>+'Besoins en micas'!D223</f>
        <v>ABR GAZ</v>
      </c>
      <c r="D84" s="1123" t="str">
        <f>+'Besoins en micas'!E223</f>
        <v>Fort dauphin</v>
      </c>
      <c r="E84" s="1124">
        <f>+'Besoins en micas'!F223</f>
        <v>78645</v>
      </c>
      <c r="F84" s="1124">
        <f>+'Besoins en micas'!G223</f>
        <v>450</v>
      </c>
      <c r="G84" s="1124">
        <f>+'Besoins en micas'!H223</f>
        <v>35390250</v>
      </c>
      <c r="H84" s="1124">
        <f>+'Besoins en micas'!I223</f>
        <v>0</v>
      </c>
      <c r="I84" s="1124">
        <f>+'Besoins en micas'!J223</f>
        <v>0</v>
      </c>
      <c r="J84" s="1124">
        <f>+'Besoins en micas'!K223</f>
        <v>35390250</v>
      </c>
      <c r="K84" s="1124">
        <f>+'Besoins en micas'!L223</f>
        <v>450</v>
      </c>
      <c r="M84"/>
      <c r="O84"/>
      <c r="Q84"/>
    </row>
    <row r="85" spans="1:17" ht="15">
      <c r="A85" s="1123" t="str">
        <f>+'Besoins en micas'!B224</f>
        <v>Novembre</v>
      </c>
      <c r="B85" s="1123" t="str">
        <f>+'Besoins en micas'!C224</f>
        <v>2 MC</v>
      </c>
      <c r="C85" s="1123" t="str">
        <f>+'Besoins en micas'!D224</f>
        <v>ABR GAZ</v>
      </c>
      <c r="D85" s="1123" t="str">
        <f>+'Besoins en micas'!E224</f>
        <v>Fort dauphin</v>
      </c>
      <c r="E85" s="1124">
        <f>+'Besoins en micas'!F224</f>
        <v>78645</v>
      </c>
      <c r="F85" s="1124">
        <f>+'Besoins en micas'!G224</f>
        <v>450</v>
      </c>
      <c r="G85" s="1124">
        <f>+'Besoins en micas'!H224</f>
        <v>35390250</v>
      </c>
      <c r="H85" s="1124">
        <f>+'Besoins en micas'!I224</f>
        <v>0</v>
      </c>
      <c r="I85" s="1124">
        <f>+'Besoins en micas'!J224</f>
        <v>0</v>
      </c>
      <c r="J85" s="1124">
        <f>+'Besoins en micas'!K224</f>
        <v>35390250</v>
      </c>
      <c r="K85" s="1124">
        <f>+'Besoins en micas'!L224</f>
        <v>450</v>
      </c>
      <c r="M85"/>
      <c r="O85"/>
      <c r="Q85"/>
    </row>
    <row r="86" spans="1:17" ht="15">
      <c r="A86" s="1123" t="str">
        <f>+'Besoins en micas'!B225</f>
        <v>Décembre</v>
      </c>
      <c r="B86" s="1123" t="str">
        <f>+'Besoins en micas'!C225</f>
        <v>2 MC</v>
      </c>
      <c r="C86" s="1123" t="str">
        <f>+'Besoins en micas'!D225</f>
        <v>ABR GAZ</v>
      </c>
      <c r="D86" s="1123" t="str">
        <f>+'Besoins en micas'!E225</f>
        <v>Fort dauphin</v>
      </c>
      <c r="E86" s="1124">
        <f>+'Besoins en micas'!F225</f>
        <v>78645</v>
      </c>
      <c r="F86" s="1124">
        <f>+'Besoins en micas'!G225</f>
        <v>450</v>
      </c>
      <c r="G86" s="1124">
        <f>+'Besoins en micas'!H225</f>
        <v>35390250</v>
      </c>
      <c r="H86" s="1124">
        <f>+'Besoins en micas'!I225</f>
        <v>0</v>
      </c>
      <c r="I86" s="1124">
        <f>+'Besoins en micas'!J225</f>
        <v>0</v>
      </c>
      <c r="J86" s="1124">
        <f>+'Besoins en micas'!K225</f>
        <v>35390250</v>
      </c>
      <c r="K86" s="1124">
        <f>+'Besoins en micas'!L225</f>
        <v>450</v>
      </c>
      <c r="M86"/>
      <c r="O86"/>
      <c r="Q86"/>
    </row>
    <row r="87" spans="1:17" ht="15">
      <c r="A87" s="1123" t="str">
        <f>+'Besoins en micas'!B226</f>
        <v>Janvier</v>
      </c>
      <c r="B87" s="1123" t="str">
        <f>+'Besoins en micas'!C226</f>
        <v>2 MC</v>
      </c>
      <c r="C87" s="1123" t="str">
        <f>+'Besoins en micas'!D226</f>
        <v>ABR GAZ</v>
      </c>
      <c r="D87" s="1123" t="str">
        <f>+'Besoins en micas'!E226</f>
        <v>Autres</v>
      </c>
      <c r="E87" s="1124">
        <f>+'Besoins en micas'!F226</f>
        <v>85170</v>
      </c>
      <c r="F87" s="1124">
        <f>+'Besoins en micas'!G226</f>
        <v>250</v>
      </c>
      <c r="G87" s="1124">
        <f>+'Besoins en micas'!H226</f>
        <v>21292500</v>
      </c>
      <c r="H87" s="1124">
        <f>+'Besoins en micas'!I226</f>
        <v>200</v>
      </c>
      <c r="I87" s="1124">
        <f>+'Besoins en micas'!J226</f>
        <v>17034000</v>
      </c>
      <c r="J87" s="1124">
        <f>+'Besoins en micas'!K226</f>
        <v>38326500</v>
      </c>
      <c r="K87" s="1124">
        <f>+'Besoins en micas'!L226</f>
        <v>450</v>
      </c>
      <c r="M87"/>
      <c r="O87"/>
      <c r="Q87"/>
    </row>
    <row r="88" spans="1:17" ht="15">
      <c r="A88" s="1123" t="str">
        <f>+'Besoins en micas'!B227</f>
        <v>Février</v>
      </c>
      <c r="B88" s="1123" t="str">
        <f>+'Besoins en micas'!C227</f>
        <v>2 MC</v>
      </c>
      <c r="C88" s="1123" t="str">
        <f>+'Besoins en micas'!D227</f>
        <v>ABR GAZ</v>
      </c>
      <c r="D88" s="1123" t="str">
        <f>+'Besoins en micas'!E227</f>
        <v>Autres</v>
      </c>
      <c r="E88" s="1124">
        <f>+'Besoins en micas'!F227</f>
        <v>85170</v>
      </c>
      <c r="F88" s="1124">
        <f>+'Besoins en micas'!G227</f>
        <v>250</v>
      </c>
      <c r="G88" s="1124">
        <f>+'Besoins en micas'!H227</f>
        <v>21292500</v>
      </c>
      <c r="H88" s="1124">
        <f>+'Besoins en micas'!I227</f>
        <v>200</v>
      </c>
      <c r="I88" s="1124">
        <f>+'Besoins en micas'!J227</f>
        <v>17034000</v>
      </c>
      <c r="J88" s="1124">
        <f>+'Besoins en micas'!K227</f>
        <v>38326500</v>
      </c>
      <c r="K88" s="1124">
        <f>+'Besoins en micas'!L227</f>
        <v>450</v>
      </c>
      <c r="M88"/>
      <c r="O88"/>
      <c r="Q88"/>
    </row>
    <row r="89" spans="1:17" ht="15">
      <c r="A89" s="1123" t="str">
        <f>+'Besoins en micas'!B228</f>
        <v>Mars</v>
      </c>
      <c r="B89" s="1123" t="str">
        <f>+'Besoins en micas'!C228</f>
        <v>2 MC</v>
      </c>
      <c r="C89" s="1123" t="str">
        <f>+'Besoins en micas'!D228</f>
        <v>ABR GAZ</v>
      </c>
      <c r="D89" s="1123" t="str">
        <f>+'Besoins en micas'!E228</f>
        <v>Autres</v>
      </c>
      <c r="E89" s="1124">
        <f>+'Besoins en micas'!F228</f>
        <v>85170</v>
      </c>
      <c r="F89" s="1124">
        <f>+'Besoins en micas'!G228</f>
        <v>250</v>
      </c>
      <c r="G89" s="1124">
        <f>+'Besoins en micas'!H228</f>
        <v>21292500</v>
      </c>
      <c r="H89" s="1124">
        <f>+'Besoins en micas'!I228</f>
        <v>200</v>
      </c>
      <c r="I89" s="1124">
        <f>+'Besoins en micas'!J228</f>
        <v>17034000</v>
      </c>
      <c r="J89" s="1124">
        <f>+'Besoins en micas'!K228</f>
        <v>38326500</v>
      </c>
      <c r="K89" s="1124">
        <f>+'Besoins en micas'!L228</f>
        <v>450</v>
      </c>
      <c r="M89"/>
      <c r="O89"/>
      <c r="Q89"/>
    </row>
    <row r="90" spans="1:17" ht="15">
      <c r="A90" s="1123" t="str">
        <f>+'Besoins en micas'!B229</f>
        <v>Avril</v>
      </c>
      <c r="B90" s="1123" t="str">
        <f>+'Besoins en micas'!C229</f>
        <v>2 MC</v>
      </c>
      <c r="C90" s="1123" t="str">
        <f>+'Besoins en micas'!D229</f>
        <v>ABR GAZ</v>
      </c>
      <c r="D90" s="1123" t="str">
        <f>+'Besoins en micas'!E229</f>
        <v>Autres</v>
      </c>
      <c r="E90" s="1124">
        <f>+'Besoins en micas'!F229</f>
        <v>85170</v>
      </c>
      <c r="F90" s="1124">
        <f>+'Besoins en micas'!G229</f>
        <v>250</v>
      </c>
      <c r="G90" s="1124">
        <f>+'Besoins en micas'!H229</f>
        <v>21292500</v>
      </c>
      <c r="H90" s="1124">
        <f>+'Besoins en micas'!I229</f>
        <v>200</v>
      </c>
      <c r="I90" s="1124">
        <f>+'Besoins en micas'!J229</f>
        <v>17034000</v>
      </c>
      <c r="J90" s="1124">
        <f>+'Besoins en micas'!K229</f>
        <v>38326500</v>
      </c>
      <c r="K90" s="1124">
        <f>+'Besoins en micas'!L229</f>
        <v>450</v>
      </c>
      <c r="M90"/>
      <c r="O90"/>
      <c r="Q90"/>
    </row>
    <row r="91" spans="1:17" ht="15">
      <c r="A91" s="1123" t="str">
        <f>+'Besoins en micas'!B230</f>
        <v>Mai</v>
      </c>
      <c r="B91" s="1123" t="str">
        <f>+'Besoins en micas'!C230</f>
        <v>2 MC</v>
      </c>
      <c r="C91" s="1123" t="str">
        <f>+'Besoins en micas'!D230</f>
        <v>ABR GAZ</v>
      </c>
      <c r="D91" s="1123" t="str">
        <f>+'Besoins en micas'!E230</f>
        <v>Autres</v>
      </c>
      <c r="E91" s="1124">
        <f>+'Besoins en micas'!F230</f>
        <v>85170</v>
      </c>
      <c r="F91" s="1124">
        <f>+'Besoins en micas'!G230</f>
        <v>250</v>
      </c>
      <c r="G91" s="1124">
        <f>+'Besoins en micas'!H230</f>
        <v>21292500</v>
      </c>
      <c r="H91" s="1124">
        <f>+'Besoins en micas'!I230</f>
        <v>200</v>
      </c>
      <c r="I91" s="1124">
        <f>+'Besoins en micas'!J230</f>
        <v>17034000</v>
      </c>
      <c r="J91" s="1124">
        <f>+'Besoins en micas'!K230</f>
        <v>38326500</v>
      </c>
      <c r="K91" s="1124">
        <f>+'Besoins en micas'!L230</f>
        <v>450</v>
      </c>
      <c r="M91"/>
      <c r="O91"/>
      <c r="Q91"/>
    </row>
    <row r="92" spans="1:17" ht="15">
      <c r="A92" s="1123" t="str">
        <f>+'Besoins en micas'!B231</f>
        <v>Juin</v>
      </c>
      <c r="B92" s="1123" t="str">
        <f>+'Besoins en micas'!C231</f>
        <v>2 MC</v>
      </c>
      <c r="C92" s="1123" t="str">
        <f>+'Besoins en micas'!D231</f>
        <v>ABR GAZ</v>
      </c>
      <c r="D92" s="1123" t="str">
        <f>+'Besoins en micas'!E231</f>
        <v>Autres</v>
      </c>
      <c r="E92" s="1124">
        <f>+'Besoins en micas'!F231</f>
        <v>85170</v>
      </c>
      <c r="F92" s="1124">
        <f>+'Besoins en micas'!G231</f>
        <v>250</v>
      </c>
      <c r="G92" s="1124">
        <f>+'Besoins en micas'!H231</f>
        <v>21292500</v>
      </c>
      <c r="H92" s="1124">
        <f>+'Besoins en micas'!I231</f>
        <v>200</v>
      </c>
      <c r="I92" s="1124">
        <f>+'Besoins en micas'!J231</f>
        <v>17034000</v>
      </c>
      <c r="J92" s="1124">
        <f>+'Besoins en micas'!K231</f>
        <v>38326500</v>
      </c>
      <c r="K92" s="1124">
        <f>+'Besoins en micas'!L231</f>
        <v>450</v>
      </c>
      <c r="M92"/>
      <c r="O92"/>
      <c r="Q92"/>
    </row>
    <row r="93" spans="1:17" ht="15">
      <c r="A93" s="1123" t="str">
        <f>+'Besoins en micas'!B232</f>
        <v>Juillet</v>
      </c>
      <c r="B93" s="1123" t="str">
        <f>+'Besoins en micas'!C232</f>
        <v>2 MC</v>
      </c>
      <c r="C93" s="1123" t="str">
        <f>+'Besoins en micas'!D232</f>
        <v>ABR GAZ</v>
      </c>
      <c r="D93" s="1123" t="str">
        <f>+'Besoins en micas'!E232</f>
        <v>Autres</v>
      </c>
      <c r="E93" s="1124">
        <f>+'Besoins en micas'!F232</f>
        <v>85170</v>
      </c>
      <c r="F93" s="1124">
        <f>+'Besoins en micas'!G232</f>
        <v>250</v>
      </c>
      <c r="G93" s="1124">
        <f>+'Besoins en micas'!H232</f>
        <v>21292500</v>
      </c>
      <c r="H93" s="1124">
        <f>+'Besoins en micas'!I232</f>
        <v>200</v>
      </c>
      <c r="I93" s="1124">
        <f>+'Besoins en micas'!J232</f>
        <v>17034000</v>
      </c>
      <c r="J93" s="1124">
        <f>+'Besoins en micas'!K232</f>
        <v>38326500</v>
      </c>
      <c r="K93" s="1124">
        <f>+'Besoins en micas'!L232</f>
        <v>450</v>
      </c>
      <c r="M93"/>
      <c r="O93"/>
      <c r="Q93"/>
    </row>
    <row r="94" spans="1:17" ht="15">
      <c r="A94" s="1123" t="str">
        <f>+'Besoins en micas'!B233</f>
        <v>Août</v>
      </c>
      <c r="B94" s="1123" t="str">
        <f>+'Besoins en micas'!C233</f>
        <v>2 MC</v>
      </c>
      <c r="C94" s="1123" t="str">
        <f>+'Besoins en micas'!D233</f>
        <v>ABR GAZ</v>
      </c>
      <c r="D94" s="1123" t="str">
        <f>+'Besoins en micas'!E233</f>
        <v>Autres</v>
      </c>
      <c r="E94" s="1124">
        <f>+'Besoins en micas'!F233</f>
        <v>85170</v>
      </c>
      <c r="F94" s="1124">
        <f>+'Besoins en micas'!G233</f>
        <v>250</v>
      </c>
      <c r="G94" s="1124">
        <f>+'Besoins en micas'!H233</f>
        <v>21292500</v>
      </c>
      <c r="H94" s="1124">
        <f>+'Besoins en micas'!I233</f>
        <v>200</v>
      </c>
      <c r="I94" s="1124">
        <f>+'Besoins en micas'!J233</f>
        <v>17034000</v>
      </c>
      <c r="J94" s="1124">
        <f>+'Besoins en micas'!K233</f>
        <v>38326500</v>
      </c>
      <c r="K94" s="1124">
        <f>+'Besoins en micas'!L233</f>
        <v>450</v>
      </c>
      <c r="M94"/>
      <c r="O94"/>
      <c r="Q94"/>
    </row>
    <row r="95" spans="1:17" ht="15">
      <c r="A95" s="1123" t="str">
        <f>+'Besoins en micas'!B234</f>
        <v>Septembre</v>
      </c>
      <c r="B95" s="1123" t="str">
        <f>+'Besoins en micas'!C234</f>
        <v>2 MC</v>
      </c>
      <c r="C95" s="1123" t="str">
        <f>+'Besoins en micas'!D234</f>
        <v>ABR GAZ</v>
      </c>
      <c r="D95" s="1123" t="str">
        <f>+'Besoins en micas'!E234</f>
        <v>Autres</v>
      </c>
      <c r="E95" s="1124">
        <f>+'Besoins en micas'!F234</f>
        <v>78645</v>
      </c>
      <c r="F95" s="1124">
        <f>+'Besoins en micas'!G234</f>
        <v>250</v>
      </c>
      <c r="G95" s="1124">
        <f>+'Besoins en micas'!H234</f>
        <v>19661250</v>
      </c>
      <c r="H95" s="1124">
        <f>+'Besoins en micas'!I234</f>
        <v>200</v>
      </c>
      <c r="I95" s="1124">
        <f>+'Besoins en micas'!J234</f>
        <v>15729000</v>
      </c>
      <c r="J95" s="1124">
        <f>+'Besoins en micas'!K234</f>
        <v>35390250</v>
      </c>
      <c r="K95" s="1124">
        <f>+'Besoins en micas'!L234</f>
        <v>450</v>
      </c>
      <c r="M95"/>
      <c r="O95"/>
      <c r="Q95"/>
    </row>
    <row r="96" spans="1:17" ht="15">
      <c r="A96" s="1123" t="str">
        <f>+'Besoins en micas'!B235</f>
        <v>Octobre</v>
      </c>
      <c r="B96" s="1123" t="str">
        <f>+'Besoins en micas'!C235</f>
        <v>2 MC</v>
      </c>
      <c r="C96" s="1123" t="str">
        <f>+'Besoins en micas'!D235</f>
        <v>ABR GAZ</v>
      </c>
      <c r="D96" s="1123" t="str">
        <f>+'Besoins en micas'!E235</f>
        <v>Autres</v>
      </c>
      <c r="E96" s="1124">
        <f>+'Besoins en micas'!F235</f>
        <v>78645</v>
      </c>
      <c r="F96" s="1124">
        <f>+'Besoins en micas'!G235</f>
        <v>250</v>
      </c>
      <c r="G96" s="1124">
        <f>+'Besoins en micas'!H235</f>
        <v>19661250</v>
      </c>
      <c r="H96" s="1124">
        <f>+'Besoins en micas'!I235</f>
        <v>200</v>
      </c>
      <c r="I96" s="1124">
        <f>+'Besoins en micas'!J235</f>
        <v>15729000</v>
      </c>
      <c r="J96" s="1124">
        <f>+'Besoins en micas'!K235</f>
        <v>35390250</v>
      </c>
      <c r="K96" s="1124">
        <f>+'Besoins en micas'!L235</f>
        <v>450</v>
      </c>
      <c r="M96"/>
      <c r="O96"/>
      <c r="Q96"/>
    </row>
    <row r="97" spans="1:17" ht="15">
      <c r="A97" s="1123" t="str">
        <f>+'Besoins en micas'!B236</f>
        <v>Novembre</v>
      </c>
      <c r="B97" s="1123" t="str">
        <f>+'Besoins en micas'!C236</f>
        <v>2 MC</v>
      </c>
      <c r="C97" s="1123" t="str">
        <f>+'Besoins en micas'!D236</f>
        <v>ABR GAZ</v>
      </c>
      <c r="D97" s="1123" t="str">
        <f>+'Besoins en micas'!E236</f>
        <v>Autres</v>
      </c>
      <c r="E97" s="1124">
        <f>+'Besoins en micas'!F236</f>
        <v>78645</v>
      </c>
      <c r="F97" s="1124">
        <f>+'Besoins en micas'!G236</f>
        <v>250</v>
      </c>
      <c r="G97" s="1124">
        <f>+'Besoins en micas'!H236</f>
        <v>19661250</v>
      </c>
      <c r="H97" s="1124">
        <f>+'Besoins en micas'!I236</f>
        <v>200</v>
      </c>
      <c r="I97" s="1124">
        <f>+'Besoins en micas'!J236</f>
        <v>15729000</v>
      </c>
      <c r="J97" s="1124">
        <f>+'Besoins en micas'!K236</f>
        <v>35390250</v>
      </c>
      <c r="K97" s="1124">
        <f>+'Besoins en micas'!L236</f>
        <v>450</v>
      </c>
      <c r="M97"/>
      <c r="O97"/>
      <c r="Q97"/>
    </row>
    <row r="98" spans="1:17" ht="15">
      <c r="A98" s="1123" t="str">
        <f>+'Besoins en micas'!B237</f>
        <v>Décembre</v>
      </c>
      <c r="B98" s="1123" t="str">
        <f>+'Besoins en micas'!C237</f>
        <v>2 MC</v>
      </c>
      <c r="C98" s="1123" t="str">
        <f>+'Besoins en micas'!D237</f>
        <v>ABR GAZ</v>
      </c>
      <c r="D98" s="1123" t="str">
        <f>+'Besoins en micas'!E237</f>
        <v>Autres</v>
      </c>
      <c r="E98" s="1124">
        <f>+'Besoins en micas'!F237</f>
        <v>78645</v>
      </c>
      <c r="F98" s="1124">
        <f>+'Besoins en micas'!G237</f>
        <v>250</v>
      </c>
      <c r="G98" s="1124">
        <f>+'Besoins en micas'!H237</f>
        <v>19661250</v>
      </c>
      <c r="H98" s="1124">
        <f>+'Besoins en micas'!I237</f>
        <v>200</v>
      </c>
      <c r="I98" s="1124">
        <f>+'Besoins en micas'!J237</f>
        <v>15729000</v>
      </c>
      <c r="J98" s="1124">
        <f>+'Besoins en micas'!K237</f>
        <v>35390250</v>
      </c>
      <c r="K98" s="1124">
        <f>+'Besoins en micas'!L237</f>
        <v>450</v>
      </c>
      <c r="M98"/>
      <c r="O98"/>
      <c r="Q98"/>
    </row>
    <row r="99" spans="1:17" ht="15">
      <c r="A99" s="1123" t="str">
        <f>+'Besoins en micas'!B238</f>
        <v>Janvier</v>
      </c>
      <c r="B99" s="1123" t="str">
        <f>+'Besoins en micas'!C238</f>
        <v>3 MC</v>
      </c>
      <c r="C99" s="1123" t="str">
        <f>+'Besoins en micas'!D238</f>
        <v>FP1 GAZ</v>
      </c>
      <c r="D99" s="1123" t="str">
        <f>+'Besoins en micas'!E238</f>
        <v>Ampandrandava</v>
      </c>
      <c r="E99" s="1124">
        <f>+'Besoins en micas'!F238</f>
        <v>0</v>
      </c>
      <c r="F99" s="1124">
        <f>+'Besoins en micas'!G238</f>
        <v>250</v>
      </c>
      <c r="G99" s="1124">
        <f>+'Besoins en micas'!H238</f>
        <v>0</v>
      </c>
      <c r="H99" s="1124">
        <f>+'Besoins en micas'!I238</f>
        <v>300</v>
      </c>
      <c r="I99" s="1124">
        <f>+'Besoins en micas'!J238</f>
        <v>0</v>
      </c>
      <c r="J99" s="1124">
        <f>+'Besoins en micas'!K238</f>
        <v>0</v>
      </c>
      <c r="K99" s="1124" t="str">
        <f>+'Besoins en micas'!L238</f>
        <v/>
      </c>
      <c r="M99"/>
      <c r="O99"/>
      <c r="Q99"/>
    </row>
    <row r="100" spans="1:17" ht="15">
      <c r="A100" s="1123" t="str">
        <f>+'Besoins en micas'!B239</f>
        <v>Février</v>
      </c>
      <c r="B100" s="1123" t="str">
        <f>+'Besoins en micas'!C239</f>
        <v>3 MC</v>
      </c>
      <c r="C100" s="1123" t="str">
        <f>+'Besoins en micas'!D239</f>
        <v>FP1 GAZ</v>
      </c>
      <c r="D100" s="1123" t="str">
        <f>+'Besoins en micas'!E239</f>
        <v>Ampandrandava</v>
      </c>
      <c r="E100" s="1124">
        <f>+'Besoins en micas'!F239</f>
        <v>0</v>
      </c>
      <c r="F100" s="1124">
        <f>+'Besoins en micas'!G239</f>
        <v>250</v>
      </c>
      <c r="G100" s="1124">
        <f>+'Besoins en micas'!H239</f>
        <v>0</v>
      </c>
      <c r="H100" s="1124">
        <f>+'Besoins en micas'!I239</f>
        <v>300</v>
      </c>
      <c r="I100" s="1124">
        <f>+'Besoins en micas'!J239</f>
        <v>0</v>
      </c>
      <c r="J100" s="1124">
        <f>+'Besoins en micas'!K239</f>
        <v>0</v>
      </c>
      <c r="K100" s="1124" t="str">
        <f>+'Besoins en micas'!L239</f>
        <v/>
      </c>
      <c r="M100"/>
      <c r="O100"/>
      <c r="Q100"/>
    </row>
    <row r="101" spans="1:17" ht="15">
      <c r="A101" s="1123" t="str">
        <f>+'Besoins en micas'!B240</f>
        <v>Mars</v>
      </c>
      <c r="B101" s="1123" t="str">
        <f>+'Besoins en micas'!C240</f>
        <v>3 MC</v>
      </c>
      <c r="C101" s="1123" t="str">
        <f>+'Besoins en micas'!D240</f>
        <v>FP1 GAZ</v>
      </c>
      <c r="D101" s="1123" t="str">
        <f>+'Besoins en micas'!E240</f>
        <v>Ampandrandava</v>
      </c>
      <c r="E101" s="1124">
        <f>+'Besoins en micas'!F240</f>
        <v>0</v>
      </c>
      <c r="F101" s="1124">
        <f>+'Besoins en micas'!G240</f>
        <v>250</v>
      </c>
      <c r="G101" s="1124">
        <f>+'Besoins en micas'!H240</f>
        <v>0</v>
      </c>
      <c r="H101" s="1124">
        <f>+'Besoins en micas'!I240</f>
        <v>300</v>
      </c>
      <c r="I101" s="1124">
        <f>+'Besoins en micas'!J240</f>
        <v>0</v>
      </c>
      <c r="J101" s="1124">
        <f>+'Besoins en micas'!K240</f>
        <v>0</v>
      </c>
      <c r="K101" s="1124" t="str">
        <f>+'Besoins en micas'!L240</f>
        <v/>
      </c>
      <c r="M101"/>
      <c r="O101"/>
      <c r="Q101"/>
    </row>
    <row r="102" spans="1:17" ht="15">
      <c r="A102" s="1123" t="str">
        <f>+'Besoins en micas'!B241</f>
        <v>Avril</v>
      </c>
      <c r="B102" s="1123" t="str">
        <f>+'Besoins en micas'!C241</f>
        <v>3 MC</v>
      </c>
      <c r="C102" s="1123" t="str">
        <f>+'Besoins en micas'!D241</f>
        <v>FP1 GAZ</v>
      </c>
      <c r="D102" s="1123" t="str">
        <f>+'Besoins en micas'!E241</f>
        <v>Ampandrandava</v>
      </c>
      <c r="E102" s="1124">
        <f>+'Besoins en micas'!F241</f>
        <v>0</v>
      </c>
      <c r="F102" s="1124">
        <f>+'Besoins en micas'!G241</f>
        <v>250</v>
      </c>
      <c r="G102" s="1124">
        <f>+'Besoins en micas'!H241</f>
        <v>0</v>
      </c>
      <c r="H102" s="1124">
        <f>+'Besoins en micas'!I241</f>
        <v>300</v>
      </c>
      <c r="I102" s="1124">
        <f>+'Besoins en micas'!J241</f>
        <v>0</v>
      </c>
      <c r="J102" s="1124">
        <f>+'Besoins en micas'!K241</f>
        <v>0</v>
      </c>
      <c r="K102" s="1124" t="str">
        <f>+'Besoins en micas'!L241</f>
        <v/>
      </c>
      <c r="M102"/>
      <c r="O102"/>
      <c r="Q102"/>
    </row>
    <row r="103" spans="1:17" ht="15">
      <c r="A103" s="1123" t="str">
        <f>+'Besoins en micas'!B242</f>
        <v>Mai</v>
      </c>
      <c r="B103" s="1123" t="str">
        <f>+'Besoins en micas'!C242</f>
        <v>3 MC</v>
      </c>
      <c r="C103" s="1123" t="str">
        <f>+'Besoins en micas'!D242</f>
        <v>FP1 GAZ</v>
      </c>
      <c r="D103" s="1123" t="str">
        <f>+'Besoins en micas'!E242</f>
        <v>Ampandrandava</v>
      </c>
      <c r="E103" s="1124">
        <f>+'Besoins en micas'!F242</f>
        <v>0</v>
      </c>
      <c r="F103" s="1124">
        <f>+'Besoins en micas'!G242</f>
        <v>250</v>
      </c>
      <c r="G103" s="1124">
        <f>+'Besoins en micas'!H242</f>
        <v>0</v>
      </c>
      <c r="H103" s="1124">
        <f>+'Besoins en micas'!I242</f>
        <v>300</v>
      </c>
      <c r="I103" s="1124">
        <f>+'Besoins en micas'!J242</f>
        <v>0</v>
      </c>
      <c r="J103" s="1124">
        <f>+'Besoins en micas'!K242</f>
        <v>0</v>
      </c>
      <c r="K103" s="1124" t="str">
        <f>+'Besoins en micas'!L242</f>
        <v/>
      </c>
      <c r="M103"/>
      <c r="O103"/>
      <c r="Q103"/>
    </row>
    <row r="104" spans="1:17" ht="15">
      <c r="A104" s="1123" t="str">
        <f>+'Besoins en micas'!B243</f>
        <v>Juin</v>
      </c>
      <c r="B104" s="1123" t="str">
        <f>+'Besoins en micas'!C243</f>
        <v>3 MC</v>
      </c>
      <c r="C104" s="1123" t="str">
        <f>+'Besoins en micas'!D243</f>
        <v>FP1 GAZ</v>
      </c>
      <c r="D104" s="1123" t="str">
        <f>+'Besoins en micas'!E243</f>
        <v>Ampandrandava</v>
      </c>
      <c r="E104" s="1124">
        <f>+'Besoins en micas'!F243</f>
        <v>0</v>
      </c>
      <c r="F104" s="1124">
        <f>+'Besoins en micas'!G243</f>
        <v>250</v>
      </c>
      <c r="G104" s="1124">
        <f>+'Besoins en micas'!H243</f>
        <v>0</v>
      </c>
      <c r="H104" s="1124">
        <f>+'Besoins en micas'!I243</f>
        <v>300</v>
      </c>
      <c r="I104" s="1124">
        <f>+'Besoins en micas'!J243</f>
        <v>0</v>
      </c>
      <c r="J104" s="1124">
        <f>+'Besoins en micas'!K243</f>
        <v>0</v>
      </c>
      <c r="K104" s="1124" t="str">
        <f>+'Besoins en micas'!L243</f>
        <v/>
      </c>
      <c r="M104"/>
      <c r="O104"/>
      <c r="Q104"/>
    </row>
    <row r="105" spans="1:17" ht="15">
      <c r="A105" s="1123" t="str">
        <f>+'Besoins en micas'!B244</f>
        <v>Juillet</v>
      </c>
      <c r="B105" s="1123" t="str">
        <f>+'Besoins en micas'!C244</f>
        <v>3 MC</v>
      </c>
      <c r="C105" s="1123" t="str">
        <f>+'Besoins en micas'!D244</f>
        <v>FP1 GAZ</v>
      </c>
      <c r="D105" s="1123" t="str">
        <f>+'Besoins en micas'!E244</f>
        <v>Ampandrandava</v>
      </c>
      <c r="E105" s="1124">
        <f>+'Besoins en micas'!F244</f>
        <v>0</v>
      </c>
      <c r="F105" s="1124">
        <f>+'Besoins en micas'!G244</f>
        <v>250</v>
      </c>
      <c r="G105" s="1124">
        <f>+'Besoins en micas'!H244</f>
        <v>0</v>
      </c>
      <c r="H105" s="1124">
        <f>+'Besoins en micas'!I244</f>
        <v>300</v>
      </c>
      <c r="I105" s="1124">
        <f>+'Besoins en micas'!J244</f>
        <v>0</v>
      </c>
      <c r="J105" s="1124">
        <f>+'Besoins en micas'!K244</f>
        <v>0</v>
      </c>
      <c r="K105" s="1124" t="str">
        <f>+'Besoins en micas'!L244</f>
        <v/>
      </c>
      <c r="M105"/>
      <c r="O105"/>
      <c r="Q105"/>
    </row>
    <row r="106" spans="1:17" ht="15">
      <c r="A106" s="1123" t="str">
        <f>+'Besoins en micas'!B245</f>
        <v>Août</v>
      </c>
      <c r="B106" s="1123" t="str">
        <f>+'Besoins en micas'!C245</f>
        <v>3 MC</v>
      </c>
      <c r="C106" s="1123" t="str">
        <f>+'Besoins en micas'!D245</f>
        <v>FP1 GAZ</v>
      </c>
      <c r="D106" s="1123" t="str">
        <f>+'Besoins en micas'!E245</f>
        <v>Ampandrandava</v>
      </c>
      <c r="E106" s="1124">
        <f>+'Besoins en micas'!F245</f>
        <v>0</v>
      </c>
      <c r="F106" s="1124">
        <f>+'Besoins en micas'!G245</f>
        <v>250</v>
      </c>
      <c r="G106" s="1124">
        <f>+'Besoins en micas'!H245</f>
        <v>0</v>
      </c>
      <c r="H106" s="1124">
        <f>+'Besoins en micas'!I245</f>
        <v>300</v>
      </c>
      <c r="I106" s="1124">
        <f>+'Besoins en micas'!J245</f>
        <v>0</v>
      </c>
      <c r="J106" s="1124">
        <f>+'Besoins en micas'!K245</f>
        <v>0</v>
      </c>
      <c r="K106" s="1124" t="str">
        <f>+'Besoins en micas'!L245</f>
        <v/>
      </c>
      <c r="M106"/>
      <c r="O106"/>
      <c r="Q106"/>
    </row>
    <row r="107" spans="1:17" ht="15">
      <c r="A107" s="1123" t="str">
        <f>+'Besoins en micas'!B246</f>
        <v>Septembre</v>
      </c>
      <c r="B107" s="1123" t="str">
        <f>+'Besoins en micas'!C246</f>
        <v>3 MC</v>
      </c>
      <c r="C107" s="1123" t="str">
        <f>+'Besoins en micas'!D246</f>
        <v>FP1 GAZ</v>
      </c>
      <c r="D107" s="1123" t="str">
        <f>+'Besoins en micas'!E246</f>
        <v>Ampandrandava</v>
      </c>
      <c r="E107" s="1124">
        <f>+'Besoins en micas'!F246</f>
        <v>0</v>
      </c>
      <c r="F107" s="1124">
        <f>+'Besoins en micas'!G246</f>
        <v>250</v>
      </c>
      <c r="G107" s="1124">
        <f>+'Besoins en micas'!H246</f>
        <v>0</v>
      </c>
      <c r="H107" s="1124">
        <f>+'Besoins en micas'!I246</f>
        <v>300</v>
      </c>
      <c r="I107" s="1124">
        <f>+'Besoins en micas'!J246</f>
        <v>0</v>
      </c>
      <c r="J107" s="1124">
        <f>+'Besoins en micas'!K246</f>
        <v>0</v>
      </c>
      <c r="K107" s="1124" t="str">
        <f>+'Besoins en micas'!L246</f>
        <v/>
      </c>
      <c r="M107"/>
      <c r="O107"/>
      <c r="Q107"/>
    </row>
    <row r="108" spans="1:17" ht="15">
      <c r="A108" s="1123" t="str">
        <f>+'Besoins en micas'!B247</f>
        <v>Octobre</v>
      </c>
      <c r="B108" s="1123" t="str">
        <f>+'Besoins en micas'!C247</f>
        <v>3 MC</v>
      </c>
      <c r="C108" s="1123" t="str">
        <f>+'Besoins en micas'!D247</f>
        <v>FP1 GAZ</v>
      </c>
      <c r="D108" s="1123" t="str">
        <f>+'Besoins en micas'!E247</f>
        <v>Ampandrandava</v>
      </c>
      <c r="E108" s="1124">
        <f>+'Besoins en micas'!F247</f>
        <v>0</v>
      </c>
      <c r="F108" s="1124">
        <f>+'Besoins en micas'!G247</f>
        <v>250</v>
      </c>
      <c r="G108" s="1124">
        <f>+'Besoins en micas'!H247</f>
        <v>0</v>
      </c>
      <c r="H108" s="1124">
        <f>+'Besoins en micas'!I247</f>
        <v>300</v>
      </c>
      <c r="I108" s="1124">
        <f>+'Besoins en micas'!J247</f>
        <v>0</v>
      </c>
      <c r="J108" s="1124">
        <f>+'Besoins en micas'!K247</f>
        <v>0</v>
      </c>
      <c r="K108" s="1124" t="str">
        <f>+'Besoins en micas'!L247</f>
        <v/>
      </c>
      <c r="M108"/>
      <c r="O108"/>
      <c r="Q108"/>
    </row>
    <row r="109" spans="1:17" ht="15">
      <c r="A109" s="1123" t="str">
        <f>+'Besoins en micas'!B248</f>
        <v>Novembre</v>
      </c>
      <c r="B109" s="1123" t="str">
        <f>+'Besoins en micas'!C248</f>
        <v>3 MC</v>
      </c>
      <c r="C109" s="1123" t="str">
        <f>+'Besoins en micas'!D248</f>
        <v>FP1 GAZ</v>
      </c>
      <c r="D109" s="1123" t="str">
        <f>+'Besoins en micas'!E248</f>
        <v>Ampandrandava</v>
      </c>
      <c r="E109" s="1124">
        <f>+'Besoins en micas'!F248</f>
        <v>0</v>
      </c>
      <c r="F109" s="1124">
        <f>+'Besoins en micas'!G248</f>
        <v>250</v>
      </c>
      <c r="G109" s="1124">
        <f>+'Besoins en micas'!H248</f>
        <v>0</v>
      </c>
      <c r="H109" s="1124">
        <f>+'Besoins en micas'!I248</f>
        <v>300</v>
      </c>
      <c r="I109" s="1124">
        <f>+'Besoins en micas'!J248</f>
        <v>0</v>
      </c>
      <c r="J109" s="1124">
        <f>+'Besoins en micas'!K248</f>
        <v>0</v>
      </c>
      <c r="K109" s="1124" t="str">
        <f>+'Besoins en micas'!L248</f>
        <v/>
      </c>
      <c r="M109"/>
      <c r="O109"/>
      <c r="Q109"/>
    </row>
    <row r="110" spans="1:17" ht="15">
      <c r="A110" s="1123" t="str">
        <f>+'Besoins en micas'!B249</f>
        <v>Décembre</v>
      </c>
      <c r="B110" s="1123" t="str">
        <f>+'Besoins en micas'!C249</f>
        <v>3 MC</v>
      </c>
      <c r="C110" s="1123" t="str">
        <f>+'Besoins en micas'!D249</f>
        <v>FP1 GAZ</v>
      </c>
      <c r="D110" s="1123" t="str">
        <f>+'Besoins en micas'!E249</f>
        <v>Ampandrandava</v>
      </c>
      <c r="E110" s="1124">
        <f>+'Besoins en micas'!F249</f>
        <v>0</v>
      </c>
      <c r="F110" s="1124">
        <f>+'Besoins en micas'!G249</f>
        <v>250</v>
      </c>
      <c r="G110" s="1124">
        <f>+'Besoins en micas'!H249</f>
        <v>0</v>
      </c>
      <c r="H110" s="1124">
        <f>+'Besoins en micas'!I249</f>
        <v>300</v>
      </c>
      <c r="I110" s="1124">
        <f>+'Besoins en micas'!J249</f>
        <v>0</v>
      </c>
      <c r="J110" s="1124">
        <f>+'Besoins en micas'!K249</f>
        <v>0</v>
      </c>
      <c r="K110" s="1124" t="str">
        <f>+'Besoins en micas'!L249</f>
        <v/>
      </c>
      <c r="M110"/>
    </row>
    <row r="111" spans="1:17" ht="15">
      <c r="M111"/>
    </row>
    <row r="112" spans="1:17" ht="15">
      <c r="A112" s="1122" t="s">
        <v>693</v>
      </c>
      <c r="M112"/>
    </row>
    <row r="113" spans="1:13" ht="15">
      <c r="A113" s="1123" t="s">
        <v>1743</v>
      </c>
      <c r="B113" s="1123" t="s">
        <v>1735</v>
      </c>
      <c r="C113" s="1123" t="s">
        <v>1732</v>
      </c>
      <c r="D113" s="1123" t="s">
        <v>804</v>
      </c>
      <c r="E113" s="1123" t="s">
        <v>1749</v>
      </c>
      <c r="F113" s="1123" t="s">
        <v>843</v>
      </c>
      <c r="G113" s="1123" t="s">
        <v>382</v>
      </c>
      <c r="H113" s="1123" t="s">
        <v>1745</v>
      </c>
      <c r="I113" s="1123" t="s">
        <v>1094</v>
      </c>
      <c r="J113" s="1123" t="s">
        <v>612</v>
      </c>
      <c r="K113" s="1123"/>
      <c r="M113"/>
    </row>
    <row r="114" spans="1:13" ht="15">
      <c r="A114" s="1123" t="str">
        <f>CA!B59</f>
        <v>1 PF</v>
      </c>
      <c r="B114" s="1123" t="str">
        <f>CA!C59</f>
        <v>TRA COUPE</v>
      </c>
      <c r="C114" s="1123" t="str">
        <f>CA!D59</f>
        <v>Janvier</v>
      </c>
      <c r="D114" s="1123" t="str">
        <f>CA!E59</f>
        <v>Okabe</v>
      </c>
      <c r="E114" s="1123" t="str">
        <f>CA!F59</f>
        <v>Japon</v>
      </c>
      <c r="F114" s="1125">
        <f>CA!G59*1000</f>
        <v>0</v>
      </c>
      <c r="G114" s="1125">
        <f>CA!H59</f>
        <v>1715000</v>
      </c>
      <c r="H114" s="1125">
        <f>CA!I59</f>
        <v>0</v>
      </c>
      <c r="I114" s="1125">
        <f>CA!J59</f>
        <v>0</v>
      </c>
      <c r="J114" s="1125">
        <f>CA!K59</f>
        <v>0</v>
      </c>
      <c r="M114"/>
    </row>
    <row r="115" spans="1:13" ht="15">
      <c r="A115" s="1123" t="str">
        <f>CA!B60</f>
        <v>1 PF</v>
      </c>
      <c r="B115" s="1123" t="str">
        <f>CA!C60</f>
        <v>TRA COUPE</v>
      </c>
      <c r="C115" s="1123" t="str">
        <f>CA!D60</f>
        <v>Janvier</v>
      </c>
      <c r="D115" s="1123" t="str">
        <f>CA!E60</f>
        <v>NRK</v>
      </c>
      <c r="E115" s="1123" t="str">
        <f>CA!F60</f>
        <v>Japon</v>
      </c>
      <c r="F115" s="1125">
        <f>CA!G60*1000</f>
        <v>17800</v>
      </c>
      <c r="G115" s="1125">
        <f>CA!H60</f>
        <v>1715000</v>
      </c>
      <c r="H115" s="1125">
        <f>CA!I60</f>
        <v>30527000</v>
      </c>
      <c r="I115" s="1125">
        <f>CA!J60</f>
        <v>6783.7777777777774</v>
      </c>
      <c r="J115" s="1125">
        <f>CA!K60</f>
        <v>6230</v>
      </c>
      <c r="M115"/>
    </row>
    <row r="116" spans="1:13" ht="15">
      <c r="A116" s="1123" t="str">
        <f>CA!B61</f>
        <v>1 PF</v>
      </c>
      <c r="B116" s="1123" t="str">
        <f>CA!C61</f>
        <v>TRA COUPE</v>
      </c>
      <c r="C116" s="1123" t="str">
        <f>CA!D61</f>
        <v>Janvier</v>
      </c>
      <c r="D116" s="1123" t="str">
        <f>CA!E61</f>
        <v>Goodies</v>
      </c>
      <c r="E116" s="1123" t="str">
        <f>CA!F61</f>
        <v>Chine</v>
      </c>
      <c r="F116" s="1125">
        <f>CA!G61*1000</f>
        <v>252000</v>
      </c>
      <c r="G116" s="1125">
        <f>CA!H61</f>
        <v>1912500</v>
      </c>
      <c r="H116" s="1125">
        <f>CA!I61</f>
        <v>481950000</v>
      </c>
      <c r="I116" s="1125">
        <f>CA!J61</f>
        <v>107100</v>
      </c>
      <c r="J116" s="1125">
        <f>CA!K61</f>
        <v>98357.142857142855</v>
      </c>
      <c r="M116"/>
    </row>
    <row r="117" spans="1:13" ht="15">
      <c r="A117" s="1123" t="str">
        <f>CA!B62</f>
        <v>1 PF</v>
      </c>
      <c r="B117" s="1123" t="str">
        <f>CA!C62</f>
        <v>TRA COUPE</v>
      </c>
      <c r="C117" s="1123" t="str">
        <f>CA!D62</f>
        <v>Janvier</v>
      </c>
      <c r="D117" s="1123" t="str">
        <f>CA!E62</f>
        <v>Elinar</v>
      </c>
      <c r="E117" s="1123" t="str">
        <f>CA!F62</f>
        <v>Russie</v>
      </c>
      <c r="F117" s="1125">
        <f>CA!G62*1000</f>
        <v>75600</v>
      </c>
      <c r="G117" s="1125">
        <f>CA!H62</f>
        <v>1470000</v>
      </c>
      <c r="H117" s="1125">
        <f>CA!I62</f>
        <v>111131999.99999999</v>
      </c>
      <c r="I117" s="1125">
        <f>CA!J62</f>
        <v>24695.999999999996</v>
      </c>
      <c r="J117" s="1125">
        <f>CA!K62</f>
        <v>22679.999999999996</v>
      </c>
      <c r="M117"/>
    </row>
    <row r="118" spans="1:13" ht="15">
      <c r="A118" s="1123" t="str">
        <f>CA!B63</f>
        <v>2 PF</v>
      </c>
      <c r="B118" s="1123" t="str">
        <f>CA!C63</f>
        <v>ABR COUPE</v>
      </c>
      <c r="C118" s="1123" t="str">
        <f>CA!D63</f>
        <v>Janvier</v>
      </c>
      <c r="D118" s="1123" t="str">
        <f>CA!E63</f>
        <v>Okabe</v>
      </c>
      <c r="E118" s="1123" t="str">
        <f>CA!F63</f>
        <v>Japon</v>
      </c>
      <c r="F118" s="1125">
        <f>CA!G63*1000</f>
        <v>0</v>
      </c>
      <c r="G118" s="1125">
        <f>CA!H63</f>
        <v>1715000</v>
      </c>
      <c r="H118" s="1125">
        <f>CA!I63</f>
        <v>0</v>
      </c>
      <c r="I118" s="1125">
        <f>CA!J63</f>
        <v>0</v>
      </c>
      <c r="J118" s="1125">
        <f>CA!K63</f>
        <v>0</v>
      </c>
      <c r="M118"/>
    </row>
    <row r="119" spans="1:13" ht="15">
      <c r="A119" s="1123" t="str">
        <f>CA!B64</f>
        <v>2 PF</v>
      </c>
      <c r="B119" s="1123" t="str">
        <f>CA!C64</f>
        <v>ABR COUPE</v>
      </c>
      <c r="C119" s="1123" t="str">
        <f>CA!D64</f>
        <v>Janvier</v>
      </c>
      <c r="D119" s="1123" t="str">
        <f>CA!E64</f>
        <v>NRK</v>
      </c>
      <c r="E119" s="1123" t="str">
        <f>CA!F64</f>
        <v>Japon</v>
      </c>
      <c r="F119" s="1125">
        <f>CA!G64*1000</f>
        <v>0</v>
      </c>
      <c r="G119" s="1125">
        <f>CA!H64</f>
        <v>1715000</v>
      </c>
      <c r="H119" s="1125">
        <f>CA!I64</f>
        <v>0</v>
      </c>
      <c r="I119" s="1125">
        <f>CA!J64</f>
        <v>0</v>
      </c>
      <c r="J119" s="1125">
        <f>CA!K64</f>
        <v>0</v>
      </c>
      <c r="M119"/>
    </row>
    <row r="120" spans="1:13" ht="15">
      <c r="A120" s="1123" t="str">
        <f>CA!B65</f>
        <v>2 PF</v>
      </c>
      <c r="B120" s="1123" t="str">
        <f>CA!C65</f>
        <v>ABR COUPE</v>
      </c>
      <c r="C120" s="1123" t="str">
        <f>CA!D65</f>
        <v>Janvier</v>
      </c>
      <c r="D120" s="1123" t="str">
        <f>CA!E65</f>
        <v>Goodies</v>
      </c>
      <c r="E120" s="1123" t="str">
        <f>CA!F65</f>
        <v>Chine</v>
      </c>
      <c r="F120" s="1125">
        <f>CA!G65*1000</f>
        <v>252000</v>
      </c>
      <c r="G120" s="1125">
        <f>CA!H65</f>
        <v>1912500</v>
      </c>
      <c r="H120" s="1125">
        <f>CA!I65</f>
        <v>481950000</v>
      </c>
      <c r="I120" s="1125">
        <f>CA!J65</f>
        <v>107100</v>
      </c>
      <c r="J120" s="1125">
        <f>CA!K65</f>
        <v>98357.142857142855</v>
      </c>
      <c r="M120"/>
    </row>
    <row r="121" spans="1:13" ht="15">
      <c r="A121" s="1123" t="str">
        <f>CA!B66</f>
        <v>2 PF</v>
      </c>
      <c r="B121" s="1123" t="str">
        <f>CA!C66</f>
        <v>ABR COUPE</v>
      </c>
      <c r="C121" s="1123" t="str">
        <f>CA!D66</f>
        <v>Janvier</v>
      </c>
      <c r="D121" s="1123" t="str">
        <f>CA!E66</f>
        <v>Elinar</v>
      </c>
      <c r="E121" s="1123" t="str">
        <f>CA!F66</f>
        <v>Russie</v>
      </c>
      <c r="F121" s="1125">
        <f>CA!G66*1000</f>
        <v>75600</v>
      </c>
      <c r="G121" s="1125">
        <f>CA!H66</f>
        <v>1470000</v>
      </c>
      <c r="H121" s="1125">
        <f>CA!I66</f>
        <v>111131999.99999999</v>
      </c>
      <c r="I121" s="1125">
        <f>CA!J66</f>
        <v>24695.999999999996</v>
      </c>
      <c r="J121" s="1125">
        <f>CA!K66</f>
        <v>22679.999999999996</v>
      </c>
      <c r="M121"/>
    </row>
    <row r="122" spans="1:13" ht="15">
      <c r="A122" s="1123" t="str">
        <f>CA!B67</f>
        <v>3 PF</v>
      </c>
      <c r="B122" s="1123" t="str">
        <f>CA!C67</f>
        <v>FP1 COUPE</v>
      </c>
      <c r="C122" s="1123" t="str">
        <f>CA!D67</f>
        <v>Janvier</v>
      </c>
      <c r="D122" s="1123" t="str">
        <f>CA!E67</f>
        <v>Okabe</v>
      </c>
      <c r="E122" s="1123" t="str">
        <f>CA!F67</f>
        <v>Japon</v>
      </c>
      <c r="F122" s="1125">
        <f>CA!G67*1000</f>
        <v>0</v>
      </c>
      <c r="G122" s="1125">
        <f>CA!H67</f>
        <v>2205000</v>
      </c>
      <c r="H122" s="1125">
        <f>CA!I67</f>
        <v>0</v>
      </c>
      <c r="I122" s="1125">
        <f>CA!J67</f>
        <v>0</v>
      </c>
      <c r="J122" s="1125">
        <f>CA!K67</f>
        <v>0</v>
      </c>
      <c r="M122"/>
    </row>
    <row r="123" spans="1:13" ht="15">
      <c r="A123" s="1123" t="str">
        <f>CA!B68</f>
        <v>1 PF</v>
      </c>
      <c r="B123" s="1123" t="str">
        <f>CA!C68</f>
        <v>TRA COUPE</v>
      </c>
      <c r="C123" s="1123" t="str">
        <f>CA!D68</f>
        <v>Février</v>
      </c>
      <c r="D123" s="1123" t="str">
        <f>CA!E68</f>
        <v>Okabe</v>
      </c>
      <c r="E123" s="1123" t="str">
        <f>CA!F68</f>
        <v>Japon</v>
      </c>
      <c r="F123" s="1125">
        <f>CA!G68*1000</f>
        <v>20000</v>
      </c>
      <c r="G123" s="1125">
        <f>CA!H68</f>
        <v>1715000</v>
      </c>
      <c r="H123" s="1125">
        <f>CA!I68</f>
        <v>34300000</v>
      </c>
      <c r="I123" s="1125">
        <f>CA!J68</f>
        <v>7622.2222222222226</v>
      </c>
      <c r="J123" s="1125">
        <f>CA!K68</f>
        <v>7000</v>
      </c>
      <c r="M123"/>
    </row>
    <row r="124" spans="1:13" ht="15">
      <c r="A124" s="1123" t="str">
        <f>CA!B69</f>
        <v>1 PF</v>
      </c>
      <c r="B124" s="1123" t="str">
        <f>CA!C69</f>
        <v>TRA COUPE</v>
      </c>
      <c r="C124" s="1123" t="str">
        <f>CA!D69</f>
        <v>Février</v>
      </c>
      <c r="D124" s="1123" t="str">
        <f>CA!E69</f>
        <v>NRK</v>
      </c>
      <c r="E124" s="1123" t="str">
        <f>CA!F69</f>
        <v>Japon</v>
      </c>
      <c r="F124" s="1125">
        <f>CA!G69*1000</f>
        <v>0</v>
      </c>
      <c r="G124" s="1125">
        <f>CA!H69</f>
        <v>1715000</v>
      </c>
      <c r="H124" s="1125">
        <f>CA!I69</f>
        <v>0</v>
      </c>
      <c r="I124" s="1125">
        <f>CA!J69</f>
        <v>0</v>
      </c>
      <c r="J124" s="1125">
        <f>CA!K69</f>
        <v>0</v>
      </c>
      <c r="M124"/>
    </row>
    <row r="125" spans="1:13" ht="15">
      <c r="A125" s="1123" t="str">
        <f>CA!B70</f>
        <v>1 PF</v>
      </c>
      <c r="B125" s="1123" t="str">
        <f>CA!C70</f>
        <v>TRA COUPE</v>
      </c>
      <c r="C125" s="1123" t="str">
        <f>CA!D70</f>
        <v>Février</v>
      </c>
      <c r="D125" s="1123" t="str">
        <f>CA!E70</f>
        <v>Goodies</v>
      </c>
      <c r="E125" s="1123" t="str">
        <f>CA!F70</f>
        <v>Chine</v>
      </c>
      <c r="F125" s="1125">
        <f>CA!G70*1000</f>
        <v>252000</v>
      </c>
      <c r="G125" s="1125">
        <f>CA!H70</f>
        <v>1912500</v>
      </c>
      <c r="H125" s="1125">
        <f>CA!I70</f>
        <v>481950000</v>
      </c>
      <c r="I125" s="1125">
        <f>CA!J70</f>
        <v>107100</v>
      </c>
      <c r="J125" s="1125">
        <f>CA!K70</f>
        <v>98357.142857142855</v>
      </c>
      <c r="M125"/>
    </row>
    <row r="126" spans="1:13" ht="15">
      <c r="A126" s="1123" t="str">
        <f>CA!B71</f>
        <v>1 PF</v>
      </c>
      <c r="B126" s="1123" t="str">
        <f>CA!C71</f>
        <v>TRA COUPE</v>
      </c>
      <c r="C126" s="1123" t="str">
        <f>CA!D71</f>
        <v>Février</v>
      </c>
      <c r="D126" s="1123" t="str">
        <f>CA!E71</f>
        <v>Elinar</v>
      </c>
      <c r="E126" s="1123" t="str">
        <f>CA!F71</f>
        <v>Russie</v>
      </c>
      <c r="F126" s="1125">
        <f>CA!G71*1000</f>
        <v>75600</v>
      </c>
      <c r="G126" s="1125">
        <f>CA!H71</f>
        <v>1470000</v>
      </c>
      <c r="H126" s="1125">
        <f>CA!I71</f>
        <v>111131999.99999999</v>
      </c>
      <c r="I126" s="1125">
        <f>CA!J71</f>
        <v>24695.999999999996</v>
      </c>
      <c r="J126" s="1125">
        <f>CA!K71</f>
        <v>22679.999999999996</v>
      </c>
      <c r="M126"/>
    </row>
    <row r="127" spans="1:13" ht="15">
      <c r="A127" s="1123" t="str">
        <f>CA!B72</f>
        <v>2 PF</v>
      </c>
      <c r="B127" s="1123" t="str">
        <f>CA!C72</f>
        <v>ABR COUPE</v>
      </c>
      <c r="C127" s="1123" t="str">
        <f>CA!D72</f>
        <v>Février</v>
      </c>
      <c r="D127" s="1123" t="str">
        <f>CA!E72</f>
        <v>Okabe</v>
      </c>
      <c r="E127" s="1123" t="str">
        <f>CA!F72</f>
        <v>Japon</v>
      </c>
      <c r="F127" s="1125">
        <f>CA!G72*1000</f>
        <v>0</v>
      </c>
      <c r="G127" s="1125">
        <f>CA!H72</f>
        <v>1715000</v>
      </c>
      <c r="H127" s="1125">
        <f>CA!I72</f>
        <v>0</v>
      </c>
      <c r="I127" s="1125">
        <f>CA!J72</f>
        <v>0</v>
      </c>
      <c r="J127" s="1125">
        <f>CA!K72</f>
        <v>0</v>
      </c>
      <c r="M127"/>
    </row>
    <row r="128" spans="1:13" ht="15">
      <c r="A128" s="1123" t="str">
        <f>CA!B73</f>
        <v>2 PF</v>
      </c>
      <c r="B128" s="1123" t="str">
        <f>CA!C73</f>
        <v>ABR COUPE</v>
      </c>
      <c r="C128" s="1123" t="str">
        <f>CA!D73</f>
        <v>Février</v>
      </c>
      <c r="D128" s="1123" t="str">
        <f>CA!E73</f>
        <v>NRK</v>
      </c>
      <c r="E128" s="1123" t="str">
        <f>CA!F73</f>
        <v>Japon</v>
      </c>
      <c r="F128" s="1125">
        <f>CA!G73*1000</f>
        <v>0</v>
      </c>
      <c r="G128" s="1125">
        <f>CA!H73</f>
        <v>1715000</v>
      </c>
      <c r="H128" s="1125">
        <f>CA!I73</f>
        <v>0</v>
      </c>
      <c r="I128" s="1125">
        <f>CA!J73</f>
        <v>0</v>
      </c>
      <c r="J128" s="1125">
        <f>CA!K73</f>
        <v>0</v>
      </c>
      <c r="M128"/>
    </row>
    <row r="129" spans="1:13" ht="15">
      <c r="A129" s="1123" t="str">
        <f>CA!B74</f>
        <v>2 PF</v>
      </c>
      <c r="B129" s="1123" t="str">
        <f>CA!C74</f>
        <v>ABR COUPE</v>
      </c>
      <c r="C129" s="1123" t="str">
        <f>CA!D74</f>
        <v>Février</v>
      </c>
      <c r="D129" s="1123" t="str">
        <f>CA!E74</f>
        <v>Goodies</v>
      </c>
      <c r="E129" s="1123" t="str">
        <f>CA!F74</f>
        <v>Chine</v>
      </c>
      <c r="F129" s="1125">
        <f>CA!G74*1000</f>
        <v>252000</v>
      </c>
      <c r="G129" s="1125">
        <f>CA!H74</f>
        <v>1912500</v>
      </c>
      <c r="H129" s="1125">
        <f>CA!I74</f>
        <v>481950000</v>
      </c>
      <c r="I129" s="1125">
        <f>CA!J74</f>
        <v>107100</v>
      </c>
      <c r="J129" s="1125">
        <f>CA!K74</f>
        <v>98357.142857142855</v>
      </c>
      <c r="M129"/>
    </row>
    <row r="130" spans="1:13" ht="15">
      <c r="A130" s="1123" t="str">
        <f>CA!B75</f>
        <v>2 PF</v>
      </c>
      <c r="B130" s="1123" t="str">
        <f>CA!C75</f>
        <v>ABR COUPE</v>
      </c>
      <c r="C130" s="1123" t="str">
        <f>CA!D75</f>
        <v>Février</v>
      </c>
      <c r="D130" s="1123" t="str">
        <f>CA!E75</f>
        <v>Elinar</v>
      </c>
      <c r="E130" s="1123" t="str">
        <f>CA!F75</f>
        <v>Russie</v>
      </c>
      <c r="F130" s="1125">
        <f>CA!G75*1000</f>
        <v>75600</v>
      </c>
      <c r="G130" s="1125">
        <f>CA!H75</f>
        <v>1470000</v>
      </c>
      <c r="H130" s="1125">
        <f>CA!I75</f>
        <v>111131999.99999999</v>
      </c>
      <c r="I130" s="1125">
        <f>CA!J75</f>
        <v>24695.999999999996</v>
      </c>
      <c r="J130" s="1125">
        <f>CA!K75</f>
        <v>22679.999999999996</v>
      </c>
      <c r="M130"/>
    </row>
    <row r="131" spans="1:13" ht="15">
      <c r="A131" s="1123" t="str">
        <f>CA!B76</f>
        <v>3 PF</v>
      </c>
      <c r="B131" s="1123" t="str">
        <f>CA!C76</f>
        <v>FP1 COUPE</v>
      </c>
      <c r="C131" s="1123" t="str">
        <f>CA!D76</f>
        <v>Février</v>
      </c>
      <c r="D131" s="1123" t="str">
        <f>CA!E76</f>
        <v>Okabe</v>
      </c>
      <c r="E131" s="1123" t="str">
        <f>CA!F76</f>
        <v>Japon</v>
      </c>
      <c r="F131" s="1125">
        <f>CA!G76*1000</f>
        <v>0</v>
      </c>
      <c r="G131" s="1125">
        <f>CA!H76</f>
        <v>2205000</v>
      </c>
      <c r="H131" s="1125">
        <f>CA!I76</f>
        <v>0</v>
      </c>
      <c r="I131" s="1125">
        <f>CA!J76</f>
        <v>0</v>
      </c>
      <c r="J131" s="1125">
        <f>CA!K76</f>
        <v>0</v>
      </c>
      <c r="M131"/>
    </row>
    <row r="132" spans="1:13" ht="15">
      <c r="A132" s="1123" t="str">
        <f>CA!B77</f>
        <v>1 PF</v>
      </c>
      <c r="B132" s="1123" t="str">
        <f>CA!C77</f>
        <v>TRA COUPE</v>
      </c>
      <c r="C132" s="1123" t="str">
        <f>CA!D77</f>
        <v>Mars</v>
      </c>
      <c r="D132" s="1123" t="str">
        <f>CA!E77</f>
        <v>Okabe</v>
      </c>
      <c r="E132" s="1123" t="str">
        <f>CA!F77</f>
        <v>Japon</v>
      </c>
      <c r="F132" s="1125">
        <f>CA!G77*1000</f>
        <v>0</v>
      </c>
      <c r="G132" s="1125">
        <f>CA!H77</f>
        <v>1715000</v>
      </c>
      <c r="H132" s="1125">
        <f>CA!I77</f>
        <v>0</v>
      </c>
      <c r="I132" s="1125">
        <f>CA!J77</f>
        <v>0</v>
      </c>
      <c r="J132" s="1125">
        <f>CA!K77</f>
        <v>0</v>
      </c>
      <c r="M132"/>
    </row>
    <row r="133" spans="1:13" ht="15">
      <c r="A133" s="1123" t="str">
        <f>CA!B78</f>
        <v>1 PF</v>
      </c>
      <c r="B133" s="1123" t="str">
        <f>CA!C78</f>
        <v>TRA COUPE</v>
      </c>
      <c r="C133" s="1123" t="str">
        <f>CA!D78</f>
        <v>Mars</v>
      </c>
      <c r="D133" s="1123" t="str">
        <f>CA!E78</f>
        <v>NRK</v>
      </c>
      <c r="E133" s="1123" t="str">
        <f>CA!F78</f>
        <v>Japon</v>
      </c>
      <c r="F133" s="1125">
        <f>CA!G78*1000</f>
        <v>17800</v>
      </c>
      <c r="G133" s="1125">
        <f>CA!H78</f>
        <v>1715000</v>
      </c>
      <c r="H133" s="1125">
        <f>CA!I78</f>
        <v>30527000</v>
      </c>
      <c r="I133" s="1125">
        <f>CA!J78</f>
        <v>6783.7777777777774</v>
      </c>
      <c r="J133" s="1125">
        <f>CA!K78</f>
        <v>6230</v>
      </c>
      <c r="M133"/>
    </row>
    <row r="134" spans="1:13" ht="15">
      <c r="A134" s="1123" t="str">
        <f>CA!B79</f>
        <v>1 PF</v>
      </c>
      <c r="B134" s="1123" t="str">
        <f>CA!C79</f>
        <v>TRA COUPE</v>
      </c>
      <c r="C134" s="1123" t="str">
        <f>CA!D79</f>
        <v>Mars</v>
      </c>
      <c r="D134" s="1123" t="str">
        <f>CA!E79</f>
        <v>Goodies</v>
      </c>
      <c r="E134" s="1123" t="str">
        <f>CA!F79</f>
        <v>Chine</v>
      </c>
      <c r="F134" s="1125">
        <f>CA!G79*1000</f>
        <v>252000</v>
      </c>
      <c r="G134" s="1125">
        <f>CA!H79</f>
        <v>1912500</v>
      </c>
      <c r="H134" s="1125">
        <f>CA!I79</f>
        <v>481950000</v>
      </c>
      <c r="I134" s="1125">
        <f>CA!J79</f>
        <v>107100</v>
      </c>
      <c r="J134" s="1125">
        <f>CA!K79</f>
        <v>98357.142857142855</v>
      </c>
      <c r="M134"/>
    </row>
    <row r="135" spans="1:13" ht="15">
      <c r="A135" s="1123" t="str">
        <f>CA!B80</f>
        <v>1 PF</v>
      </c>
      <c r="B135" s="1123" t="str">
        <f>CA!C80</f>
        <v>TRA COUPE</v>
      </c>
      <c r="C135" s="1123" t="str">
        <f>CA!D80</f>
        <v>Mars</v>
      </c>
      <c r="D135" s="1123" t="str">
        <f>CA!E80</f>
        <v>Elinar</v>
      </c>
      <c r="E135" s="1123" t="str">
        <f>CA!F80</f>
        <v>Russie</v>
      </c>
      <c r="F135" s="1125">
        <f>CA!G80*1000</f>
        <v>75600</v>
      </c>
      <c r="G135" s="1125">
        <f>CA!H80</f>
        <v>1470000</v>
      </c>
      <c r="H135" s="1125">
        <f>CA!I80</f>
        <v>111131999.99999999</v>
      </c>
      <c r="I135" s="1125">
        <f>CA!J80</f>
        <v>24695.999999999996</v>
      </c>
      <c r="J135" s="1125">
        <f>CA!K80</f>
        <v>22679.999999999996</v>
      </c>
      <c r="M135"/>
    </row>
    <row r="136" spans="1:13" ht="15">
      <c r="A136" s="1123" t="str">
        <f>CA!B81</f>
        <v>2 PF</v>
      </c>
      <c r="B136" s="1123" t="str">
        <f>CA!C81</f>
        <v>ABR COUPE</v>
      </c>
      <c r="C136" s="1123" t="str">
        <f>CA!D81</f>
        <v>Mars</v>
      </c>
      <c r="D136" s="1123" t="str">
        <f>CA!E81</f>
        <v>Okabe</v>
      </c>
      <c r="E136" s="1123" t="str">
        <f>CA!F81</f>
        <v>Japon</v>
      </c>
      <c r="F136" s="1125">
        <f>CA!G81*1000</f>
        <v>0</v>
      </c>
      <c r="G136" s="1125">
        <f>CA!H81</f>
        <v>1715000</v>
      </c>
      <c r="H136" s="1125">
        <f>CA!I81</f>
        <v>0</v>
      </c>
      <c r="I136" s="1125">
        <f>CA!J81</f>
        <v>0</v>
      </c>
      <c r="J136" s="1125">
        <f>CA!K81</f>
        <v>0</v>
      </c>
      <c r="M136"/>
    </row>
    <row r="137" spans="1:13" ht="15">
      <c r="A137" s="1123" t="str">
        <f>CA!B82</f>
        <v>2 PF</v>
      </c>
      <c r="B137" s="1123" t="str">
        <f>CA!C82</f>
        <v>ABR COUPE</v>
      </c>
      <c r="C137" s="1123" t="str">
        <f>CA!D82</f>
        <v>Mars</v>
      </c>
      <c r="D137" s="1123" t="str">
        <f>CA!E82</f>
        <v>NRK</v>
      </c>
      <c r="E137" s="1123" t="str">
        <f>CA!F82</f>
        <v>Japon</v>
      </c>
      <c r="F137" s="1125">
        <f>CA!G82*1000</f>
        <v>0</v>
      </c>
      <c r="G137" s="1125">
        <f>CA!H82</f>
        <v>1715000</v>
      </c>
      <c r="H137" s="1125">
        <f>CA!I82</f>
        <v>0</v>
      </c>
      <c r="I137" s="1125">
        <f>CA!J82</f>
        <v>0</v>
      </c>
      <c r="J137" s="1125">
        <f>CA!K82</f>
        <v>0</v>
      </c>
      <c r="M137"/>
    </row>
    <row r="138" spans="1:13" ht="15">
      <c r="A138" s="1123" t="str">
        <f>CA!B83</f>
        <v>2 PF</v>
      </c>
      <c r="B138" s="1123" t="str">
        <f>CA!C83</f>
        <v>ABR COUPE</v>
      </c>
      <c r="C138" s="1123" t="str">
        <f>CA!D83</f>
        <v>Mars</v>
      </c>
      <c r="D138" s="1123" t="str">
        <f>CA!E83</f>
        <v>Goodies</v>
      </c>
      <c r="E138" s="1123" t="str">
        <f>CA!F83</f>
        <v>Chine</v>
      </c>
      <c r="F138" s="1125">
        <f>CA!G83*1000</f>
        <v>252000</v>
      </c>
      <c r="G138" s="1125">
        <f>CA!H83</f>
        <v>1912500</v>
      </c>
      <c r="H138" s="1125">
        <f>CA!I83</f>
        <v>481950000</v>
      </c>
      <c r="I138" s="1125">
        <f>CA!J83</f>
        <v>107100</v>
      </c>
      <c r="J138" s="1125">
        <f>CA!K83</f>
        <v>98357.142857142855</v>
      </c>
      <c r="M138"/>
    </row>
    <row r="139" spans="1:13" ht="15">
      <c r="A139" s="1123" t="str">
        <f>CA!B84</f>
        <v>2 PF</v>
      </c>
      <c r="B139" s="1123" t="str">
        <f>CA!C84</f>
        <v>ABR COUPE</v>
      </c>
      <c r="C139" s="1123" t="str">
        <f>CA!D84</f>
        <v>Mars</v>
      </c>
      <c r="D139" s="1123" t="str">
        <f>CA!E84</f>
        <v>Elinar</v>
      </c>
      <c r="E139" s="1123" t="str">
        <f>CA!F84</f>
        <v>Russie</v>
      </c>
      <c r="F139" s="1125">
        <f>CA!G84*1000</f>
        <v>75600</v>
      </c>
      <c r="G139" s="1125">
        <f>CA!H84</f>
        <v>1470000</v>
      </c>
      <c r="H139" s="1125">
        <f>CA!I84</f>
        <v>111131999.99999999</v>
      </c>
      <c r="I139" s="1125">
        <f>CA!J84</f>
        <v>24695.999999999996</v>
      </c>
      <c r="J139" s="1125">
        <f>CA!K84</f>
        <v>22679.999999999996</v>
      </c>
      <c r="M139"/>
    </row>
    <row r="140" spans="1:13" ht="15">
      <c r="A140" s="1123" t="str">
        <f>CA!B85</f>
        <v>3 PF</v>
      </c>
      <c r="B140" s="1123" t="str">
        <f>CA!C85</f>
        <v>FP1 COUPE</v>
      </c>
      <c r="C140" s="1123" t="str">
        <f>CA!D85</f>
        <v>Mars</v>
      </c>
      <c r="D140" s="1123" t="str">
        <f>CA!E85</f>
        <v>Okabe</v>
      </c>
      <c r="E140" s="1123" t="str">
        <f>CA!F85</f>
        <v>Japon</v>
      </c>
      <c r="F140" s="1125">
        <f>CA!G85*1000</f>
        <v>0</v>
      </c>
      <c r="G140" s="1125">
        <f>CA!H85</f>
        <v>2205000</v>
      </c>
      <c r="H140" s="1125">
        <f>CA!I85</f>
        <v>0</v>
      </c>
      <c r="I140" s="1125">
        <f>CA!J85</f>
        <v>0</v>
      </c>
      <c r="J140" s="1125">
        <f>CA!K85</f>
        <v>0</v>
      </c>
      <c r="M140"/>
    </row>
    <row r="141" spans="1:13" ht="15">
      <c r="A141" s="1123" t="str">
        <f>CA!B86</f>
        <v>1 PF</v>
      </c>
      <c r="B141" s="1123" t="str">
        <f>CA!C86</f>
        <v>TRA COUPE</v>
      </c>
      <c r="C141" s="1123" t="str">
        <f>CA!D86</f>
        <v>Avril</v>
      </c>
      <c r="D141" s="1123" t="str">
        <f>CA!E86</f>
        <v>Okabe</v>
      </c>
      <c r="E141" s="1123" t="str">
        <f>CA!F86</f>
        <v>Japon</v>
      </c>
      <c r="F141" s="1125">
        <f>CA!G86*1000</f>
        <v>20000</v>
      </c>
      <c r="G141" s="1125">
        <f>CA!H86</f>
        <v>1715000</v>
      </c>
      <c r="H141" s="1125">
        <f>CA!I86</f>
        <v>34300000</v>
      </c>
      <c r="I141" s="1125">
        <f>CA!J86</f>
        <v>7622.2222222222226</v>
      </c>
      <c r="J141" s="1125">
        <f>CA!K86</f>
        <v>7000</v>
      </c>
      <c r="M141"/>
    </row>
    <row r="142" spans="1:13" ht="15">
      <c r="A142" s="1123" t="str">
        <f>CA!B87</f>
        <v>1 PF</v>
      </c>
      <c r="B142" s="1123" t="str">
        <f>CA!C87</f>
        <v>TRA COUPE</v>
      </c>
      <c r="C142" s="1123" t="str">
        <f>CA!D87</f>
        <v>Avril</v>
      </c>
      <c r="D142" s="1123" t="str">
        <f>CA!E87</f>
        <v>NRK</v>
      </c>
      <c r="E142" s="1123" t="str">
        <f>CA!F87</f>
        <v>Japon</v>
      </c>
      <c r="F142" s="1125">
        <f>CA!G87*1000</f>
        <v>0</v>
      </c>
      <c r="G142" s="1125">
        <f>CA!H87</f>
        <v>1715000</v>
      </c>
      <c r="H142" s="1125">
        <f>CA!I87</f>
        <v>0</v>
      </c>
      <c r="I142" s="1125">
        <f>CA!J87</f>
        <v>0</v>
      </c>
      <c r="J142" s="1125">
        <f>CA!K87</f>
        <v>0</v>
      </c>
      <c r="M142"/>
    </row>
    <row r="143" spans="1:13" ht="15">
      <c r="A143" s="1123" t="str">
        <f>CA!B88</f>
        <v>1 PF</v>
      </c>
      <c r="B143" s="1123" t="str">
        <f>CA!C88</f>
        <v>TRA COUPE</v>
      </c>
      <c r="C143" s="1123" t="str">
        <f>CA!D88</f>
        <v>Avril</v>
      </c>
      <c r="D143" s="1123" t="str">
        <f>CA!E88</f>
        <v>Goodies</v>
      </c>
      <c r="E143" s="1123" t="str">
        <f>CA!F88</f>
        <v>Chine</v>
      </c>
      <c r="F143" s="1125">
        <f>CA!G88*1000</f>
        <v>252000</v>
      </c>
      <c r="G143" s="1125">
        <f>CA!H88</f>
        <v>1912500</v>
      </c>
      <c r="H143" s="1125">
        <f>CA!I88</f>
        <v>481950000</v>
      </c>
      <c r="I143" s="1125">
        <f>CA!J88</f>
        <v>107100</v>
      </c>
      <c r="J143" s="1125">
        <f>CA!K88</f>
        <v>98357.142857142855</v>
      </c>
      <c r="M143"/>
    </row>
    <row r="144" spans="1:13" ht="15">
      <c r="A144" s="1123" t="str">
        <f>CA!B89</f>
        <v>1 PF</v>
      </c>
      <c r="B144" s="1123" t="str">
        <f>CA!C89</f>
        <v>TRA COUPE</v>
      </c>
      <c r="C144" s="1123" t="str">
        <f>CA!D89</f>
        <v>Avril</v>
      </c>
      <c r="D144" s="1123" t="str">
        <f>CA!E89</f>
        <v>Elinar</v>
      </c>
      <c r="E144" s="1123" t="str">
        <f>CA!F89</f>
        <v>Russie</v>
      </c>
      <c r="F144" s="1125">
        <f>CA!G89*1000</f>
        <v>75600</v>
      </c>
      <c r="G144" s="1125">
        <f>CA!H89</f>
        <v>1470000</v>
      </c>
      <c r="H144" s="1125">
        <f>CA!I89</f>
        <v>111131999.99999999</v>
      </c>
      <c r="I144" s="1125">
        <f>CA!J89</f>
        <v>24695.999999999996</v>
      </c>
      <c r="J144" s="1125">
        <f>CA!K89</f>
        <v>22679.999999999996</v>
      </c>
      <c r="M144"/>
    </row>
    <row r="145" spans="1:13" ht="15">
      <c r="A145" s="1123" t="str">
        <f>CA!B90</f>
        <v>2 PF</v>
      </c>
      <c r="B145" s="1123" t="str">
        <f>CA!C90</f>
        <v>ABR COUPE</v>
      </c>
      <c r="C145" s="1123" t="str">
        <f>CA!D90</f>
        <v>Avril</v>
      </c>
      <c r="D145" s="1123" t="str">
        <f>CA!E90</f>
        <v>Okabe</v>
      </c>
      <c r="E145" s="1123" t="str">
        <f>CA!F90</f>
        <v>Japon</v>
      </c>
      <c r="F145" s="1125">
        <f>CA!G90*1000</f>
        <v>0</v>
      </c>
      <c r="G145" s="1125">
        <f>CA!H90</f>
        <v>1715000</v>
      </c>
      <c r="H145" s="1125">
        <f>CA!I90</f>
        <v>0</v>
      </c>
      <c r="I145" s="1125">
        <f>CA!J90</f>
        <v>0</v>
      </c>
      <c r="J145" s="1125">
        <f>CA!K90</f>
        <v>0</v>
      </c>
      <c r="M145"/>
    </row>
    <row r="146" spans="1:13" ht="15">
      <c r="A146" s="1123" t="str">
        <f>CA!B91</f>
        <v>2 PF</v>
      </c>
      <c r="B146" s="1123" t="str">
        <f>CA!C91</f>
        <v>ABR COUPE</v>
      </c>
      <c r="C146" s="1123" t="str">
        <f>CA!D91</f>
        <v>Avril</v>
      </c>
      <c r="D146" s="1123" t="str">
        <f>CA!E91</f>
        <v>NRK</v>
      </c>
      <c r="E146" s="1123" t="str">
        <f>CA!F91</f>
        <v>Japon</v>
      </c>
      <c r="F146" s="1125">
        <f>CA!G91*1000</f>
        <v>0</v>
      </c>
      <c r="G146" s="1125">
        <f>CA!H91</f>
        <v>1715000</v>
      </c>
      <c r="H146" s="1125">
        <f>CA!I91</f>
        <v>0</v>
      </c>
      <c r="I146" s="1125">
        <f>CA!J91</f>
        <v>0</v>
      </c>
      <c r="J146" s="1125">
        <f>CA!K91</f>
        <v>0</v>
      </c>
      <c r="M146"/>
    </row>
    <row r="147" spans="1:13" ht="15">
      <c r="A147" s="1123" t="str">
        <f>CA!B92</f>
        <v>2 PF</v>
      </c>
      <c r="B147" s="1123" t="str">
        <f>CA!C92</f>
        <v>ABR COUPE</v>
      </c>
      <c r="C147" s="1123" t="str">
        <f>CA!D92</f>
        <v>Avril</v>
      </c>
      <c r="D147" s="1123" t="str">
        <f>CA!E92</f>
        <v>Goodies</v>
      </c>
      <c r="E147" s="1123" t="str">
        <f>CA!F92</f>
        <v>Chine</v>
      </c>
      <c r="F147" s="1125">
        <f>CA!G92*1000</f>
        <v>252000</v>
      </c>
      <c r="G147" s="1125">
        <f>CA!H92</f>
        <v>1912500</v>
      </c>
      <c r="H147" s="1125">
        <f>CA!I92</f>
        <v>481950000</v>
      </c>
      <c r="I147" s="1125">
        <f>CA!J92</f>
        <v>107100</v>
      </c>
      <c r="J147" s="1125">
        <f>CA!K92</f>
        <v>98357.142857142855</v>
      </c>
      <c r="M147"/>
    </row>
    <row r="148" spans="1:13" ht="15">
      <c r="A148" s="1123" t="str">
        <f>CA!B93</f>
        <v>2 PF</v>
      </c>
      <c r="B148" s="1123" t="str">
        <f>CA!C93</f>
        <v>ABR COUPE</v>
      </c>
      <c r="C148" s="1123" t="str">
        <f>CA!D93</f>
        <v>Avril</v>
      </c>
      <c r="D148" s="1123" t="str">
        <f>CA!E93</f>
        <v>Elinar</v>
      </c>
      <c r="E148" s="1123" t="str">
        <f>CA!F93</f>
        <v>Russie</v>
      </c>
      <c r="F148" s="1125">
        <f>CA!G93*1000</f>
        <v>75600</v>
      </c>
      <c r="G148" s="1125">
        <f>CA!H93</f>
        <v>1470000</v>
      </c>
      <c r="H148" s="1125">
        <f>CA!I93</f>
        <v>111131999.99999999</v>
      </c>
      <c r="I148" s="1125">
        <f>CA!J93</f>
        <v>24695.999999999996</v>
      </c>
      <c r="J148" s="1125">
        <f>CA!K93</f>
        <v>22679.999999999996</v>
      </c>
      <c r="M148"/>
    </row>
    <row r="149" spans="1:13" ht="15">
      <c r="A149" s="1123" t="str">
        <f>CA!B94</f>
        <v>3 PF</v>
      </c>
      <c r="B149" s="1123" t="str">
        <f>CA!C94</f>
        <v>FP1 COUPE</v>
      </c>
      <c r="C149" s="1123" t="str">
        <f>CA!D94</f>
        <v>Avril</v>
      </c>
      <c r="D149" s="1123" t="str">
        <f>CA!E94</f>
        <v>Okabe</v>
      </c>
      <c r="E149" s="1123" t="str">
        <f>CA!F94</f>
        <v>Japon</v>
      </c>
      <c r="F149" s="1125">
        <f>CA!G94*1000</f>
        <v>0</v>
      </c>
      <c r="G149" s="1125">
        <f>CA!H94</f>
        <v>2205000</v>
      </c>
      <c r="H149" s="1125">
        <f>CA!I94</f>
        <v>0</v>
      </c>
      <c r="I149" s="1125">
        <f>CA!J94</f>
        <v>0</v>
      </c>
      <c r="J149" s="1125">
        <f>CA!K94</f>
        <v>0</v>
      </c>
      <c r="M149"/>
    </row>
    <row r="150" spans="1:13" ht="15">
      <c r="A150" s="1123" t="str">
        <f>CA!B95</f>
        <v>1 PF</v>
      </c>
      <c r="B150" s="1123" t="str">
        <f>CA!C95</f>
        <v>TRA COUPE</v>
      </c>
      <c r="C150" s="1123" t="str">
        <f>CA!D95</f>
        <v>Mai</v>
      </c>
      <c r="D150" s="1123" t="str">
        <f>CA!E95</f>
        <v>Okabe</v>
      </c>
      <c r="E150" s="1123" t="str">
        <f>CA!F95</f>
        <v>Japon</v>
      </c>
      <c r="F150" s="1125">
        <f>CA!G95*1000</f>
        <v>0</v>
      </c>
      <c r="G150" s="1125">
        <f>CA!H95</f>
        <v>1715000</v>
      </c>
      <c r="H150" s="1125">
        <f>CA!I95</f>
        <v>0</v>
      </c>
      <c r="I150" s="1125">
        <f>CA!J95</f>
        <v>0</v>
      </c>
      <c r="J150" s="1125">
        <f>CA!K95</f>
        <v>0</v>
      </c>
      <c r="M150"/>
    </row>
    <row r="151" spans="1:13" ht="15">
      <c r="A151" s="1123" t="str">
        <f>CA!B96</f>
        <v>1 PF</v>
      </c>
      <c r="B151" s="1123" t="str">
        <f>CA!C96</f>
        <v>TRA COUPE</v>
      </c>
      <c r="C151" s="1123" t="str">
        <f>CA!D96</f>
        <v>Mai</v>
      </c>
      <c r="D151" s="1123" t="str">
        <f>CA!E96</f>
        <v>NRK</v>
      </c>
      <c r="E151" s="1123" t="str">
        <f>CA!F96</f>
        <v>Japon</v>
      </c>
      <c r="F151" s="1125">
        <f>CA!G96*1000</f>
        <v>17800</v>
      </c>
      <c r="G151" s="1125">
        <f>CA!H96</f>
        <v>1715000</v>
      </c>
      <c r="H151" s="1125">
        <f>CA!I96</f>
        <v>30527000</v>
      </c>
      <c r="I151" s="1125">
        <f>CA!J96</f>
        <v>6783.7777777777774</v>
      </c>
      <c r="J151" s="1125">
        <f>CA!K96</f>
        <v>6230</v>
      </c>
      <c r="M151"/>
    </row>
    <row r="152" spans="1:13" ht="15">
      <c r="A152" s="1123" t="str">
        <f>CA!B97</f>
        <v>1 PF</v>
      </c>
      <c r="B152" s="1123" t="str">
        <f>CA!C97</f>
        <v>TRA COUPE</v>
      </c>
      <c r="C152" s="1123" t="str">
        <f>CA!D97</f>
        <v>Mai</v>
      </c>
      <c r="D152" s="1123" t="str">
        <f>CA!E97</f>
        <v>Goodies</v>
      </c>
      <c r="E152" s="1123" t="str">
        <f>CA!F97</f>
        <v>Chine</v>
      </c>
      <c r="F152" s="1125">
        <f>CA!G97*1000</f>
        <v>252000</v>
      </c>
      <c r="G152" s="1125">
        <f>CA!H97</f>
        <v>1912500</v>
      </c>
      <c r="H152" s="1125">
        <f>CA!I97</f>
        <v>481950000</v>
      </c>
      <c r="I152" s="1125">
        <f>CA!J97</f>
        <v>107100</v>
      </c>
      <c r="J152" s="1125">
        <f>CA!K97</f>
        <v>98357.142857142855</v>
      </c>
      <c r="M152"/>
    </row>
    <row r="153" spans="1:13" ht="15">
      <c r="A153" s="1123" t="str">
        <f>CA!B98</f>
        <v>1 PF</v>
      </c>
      <c r="B153" s="1123" t="str">
        <f>CA!C98</f>
        <v>TRA COUPE</v>
      </c>
      <c r="C153" s="1123" t="str">
        <f>CA!D98</f>
        <v>Mai</v>
      </c>
      <c r="D153" s="1123" t="str">
        <f>CA!E98</f>
        <v>Elinar</v>
      </c>
      <c r="E153" s="1123" t="str">
        <f>CA!F98</f>
        <v>Russie</v>
      </c>
      <c r="F153" s="1125">
        <f>CA!G98*1000</f>
        <v>75600</v>
      </c>
      <c r="G153" s="1125">
        <f>CA!H98</f>
        <v>1470000</v>
      </c>
      <c r="H153" s="1125">
        <f>CA!I98</f>
        <v>111131999.99999999</v>
      </c>
      <c r="I153" s="1125">
        <f>CA!J98</f>
        <v>24695.999999999996</v>
      </c>
      <c r="J153" s="1125">
        <f>CA!K98</f>
        <v>22679.999999999996</v>
      </c>
      <c r="M153"/>
    </row>
    <row r="154" spans="1:13" ht="15">
      <c r="A154" s="1123" t="str">
        <f>CA!B99</f>
        <v>2 PF</v>
      </c>
      <c r="B154" s="1123" t="str">
        <f>CA!C99</f>
        <v>ABR COUPE</v>
      </c>
      <c r="C154" s="1123" t="str">
        <f>CA!D99</f>
        <v>Mai</v>
      </c>
      <c r="D154" s="1123" t="str">
        <f>CA!E99</f>
        <v>Okabe</v>
      </c>
      <c r="E154" s="1123" t="str">
        <f>CA!F99</f>
        <v>Japon</v>
      </c>
      <c r="F154" s="1125">
        <f>CA!G99*1000</f>
        <v>0</v>
      </c>
      <c r="G154" s="1125">
        <f>CA!H99</f>
        <v>1715000</v>
      </c>
      <c r="H154" s="1125">
        <f>CA!I99</f>
        <v>0</v>
      </c>
      <c r="I154" s="1125">
        <f>CA!J99</f>
        <v>0</v>
      </c>
      <c r="J154" s="1125">
        <f>CA!K99</f>
        <v>0</v>
      </c>
      <c r="M154"/>
    </row>
    <row r="155" spans="1:13" ht="15">
      <c r="A155" s="1123" t="str">
        <f>CA!B100</f>
        <v>2 PF</v>
      </c>
      <c r="B155" s="1123" t="str">
        <f>CA!C100</f>
        <v>ABR COUPE</v>
      </c>
      <c r="C155" s="1123" t="str">
        <f>CA!D100</f>
        <v>Mai</v>
      </c>
      <c r="D155" s="1123" t="str">
        <f>CA!E100</f>
        <v>NRK</v>
      </c>
      <c r="E155" s="1123" t="str">
        <f>CA!F100</f>
        <v>Japon</v>
      </c>
      <c r="F155" s="1125">
        <f>CA!G100*1000</f>
        <v>0</v>
      </c>
      <c r="G155" s="1125">
        <f>CA!H100</f>
        <v>1715000</v>
      </c>
      <c r="H155" s="1125">
        <f>CA!I100</f>
        <v>0</v>
      </c>
      <c r="I155" s="1125">
        <f>CA!J100</f>
        <v>0</v>
      </c>
      <c r="J155" s="1125">
        <f>CA!K100</f>
        <v>0</v>
      </c>
      <c r="M155"/>
    </row>
    <row r="156" spans="1:13" ht="15">
      <c r="A156" s="1123" t="str">
        <f>CA!B101</f>
        <v>2 PF</v>
      </c>
      <c r="B156" s="1123" t="str">
        <f>CA!C101</f>
        <v>ABR COUPE</v>
      </c>
      <c r="C156" s="1123" t="str">
        <f>CA!D101</f>
        <v>Mai</v>
      </c>
      <c r="D156" s="1123" t="str">
        <f>CA!E101</f>
        <v>Goodies</v>
      </c>
      <c r="E156" s="1123" t="str">
        <f>CA!F101</f>
        <v>Chine</v>
      </c>
      <c r="F156" s="1125">
        <f>CA!G101*1000</f>
        <v>252000</v>
      </c>
      <c r="G156" s="1125">
        <f>CA!H101</f>
        <v>1912500</v>
      </c>
      <c r="H156" s="1125">
        <f>CA!I101</f>
        <v>481950000</v>
      </c>
      <c r="I156" s="1125">
        <f>CA!J101</f>
        <v>107100</v>
      </c>
      <c r="J156" s="1125">
        <f>CA!K101</f>
        <v>98357.142857142855</v>
      </c>
      <c r="M156"/>
    </row>
    <row r="157" spans="1:13" ht="15">
      <c r="A157" s="1123" t="str">
        <f>CA!B102</f>
        <v>2 PF</v>
      </c>
      <c r="B157" s="1123" t="str">
        <f>CA!C102</f>
        <v>ABR COUPE</v>
      </c>
      <c r="C157" s="1123" t="str">
        <f>CA!D102</f>
        <v>Mai</v>
      </c>
      <c r="D157" s="1123" t="str">
        <f>CA!E102</f>
        <v>Elinar</v>
      </c>
      <c r="E157" s="1123" t="str">
        <f>CA!F102</f>
        <v>Russie</v>
      </c>
      <c r="F157" s="1125">
        <f>CA!G102*1000</f>
        <v>75600</v>
      </c>
      <c r="G157" s="1125">
        <f>CA!H102</f>
        <v>1470000</v>
      </c>
      <c r="H157" s="1125">
        <f>CA!I102</f>
        <v>111131999.99999999</v>
      </c>
      <c r="I157" s="1125">
        <f>CA!J102</f>
        <v>24695.999999999996</v>
      </c>
      <c r="J157" s="1125">
        <f>CA!K102</f>
        <v>22679.999999999996</v>
      </c>
      <c r="M157"/>
    </row>
    <row r="158" spans="1:13" ht="15">
      <c r="A158" s="1123" t="str">
        <f>CA!B103</f>
        <v>3 PF</v>
      </c>
      <c r="B158" s="1123" t="str">
        <f>CA!C103</f>
        <v>FP1 COUPE</v>
      </c>
      <c r="C158" s="1123" t="str">
        <f>CA!D103</f>
        <v>Mai</v>
      </c>
      <c r="D158" s="1123" t="str">
        <f>CA!E103</f>
        <v>Okabe</v>
      </c>
      <c r="E158" s="1123" t="str">
        <f>CA!F103</f>
        <v>Japon</v>
      </c>
      <c r="F158" s="1125">
        <f>CA!G103*1000</f>
        <v>0</v>
      </c>
      <c r="G158" s="1125">
        <f>CA!H103</f>
        <v>2205000</v>
      </c>
      <c r="H158" s="1125">
        <f>CA!I103</f>
        <v>0</v>
      </c>
      <c r="I158" s="1125">
        <f>CA!J103</f>
        <v>0</v>
      </c>
      <c r="J158" s="1125">
        <f>CA!K103</f>
        <v>0</v>
      </c>
      <c r="M158"/>
    </row>
    <row r="159" spans="1:13" ht="15">
      <c r="A159" s="1123" t="str">
        <f>CA!B104</f>
        <v>1 PF</v>
      </c>
      <c r="B159" s="1123" t="str">
        <f>CA!C104</f>
        <v>TRA COUPE</v>
      </c>
      <c r="C159" s="1123" t="str">
        <f>CA!D104</f>
        <v>Juin</v>
      </c>
      <c r="D159" s="1123" t="str">
        <f>CA!E104</f>
        <v>Okabe</v>
      </c>
      <c r="E159" s="1123" t="str">
        <f>CA!F104</f>
        <v>Japon</v>
      </c>
      <c r="F159" s="1125">
        <f>CA!G104*1000</f>
        <v>20000</v>
      </c>
      <c r="G159" s="1125">
        <f>CA!H104</f>
        <v>1715000</v>
      </c>
      <c r="H159" s="1125">
        <f>CA!I104</f>
        <v>34300000</v>
      </c>
      <c r="I159" s="1125">
        <f>CA!J104</f>
        <v>7622.2222222222226</v>
      </c>
      <c r="J159" s="1125">
        <f>CA!K104</f>
        <v>7000</v>
      </c>
      <c r="M159"/>
    </row>
    <row r="160" spans="1:13" ht="15">
      <c r="A160" s="1123" t="str">
        <f>CA!B105</f>
        <v>1 PF</v>
      </c>
      <c r="B160" s="1123" t="str">
        <f>CA!C105</f>
        <v>TRA COUPE</v>
      </c>
      <c r="C160" s="1123" t="str">
        <f>CA!D105</f>
        <v>Juin</v>
      </c>
      <c r="D160" s="1123" t="str">
        <f>CA!E105</f>
        <v>NRK</v>
      </c>
      <c r="E160" s="1123" t="str">
        <f>CA!F105</f>
        <v>Japon</v>
      </c>
      <c r="F160" s="1125">
        <f>CA!G105*1000</f>
        <v>0</v>
      </c>
      <c r="G160" s="1125">
        <f>CA!H105</f>
        <v>1715000</v>
      </c>
      <c r="H160" s="1125">
        <f>CA!I105</f>
        <v>0</v>
      </c>
      <c r="I160" s="1125">
        <f>CA!J105</f>
        <v>0</v>
      </c>
      <c r="J160" s="1125">
        <f>CA!K105</f>
        <v>0</v>
      </c>
      <c r="M160"/>
    </row>
    <row r="161" spans="1:13" ht="15">
      <c r="A161" s="1123" t="str">
        <f>CA!B106</f>
        <v>1 PF</v>
      </c>
      <c r="B161" s="1123" t="str">
        <f>CA!C106</f>
        <v>TRA COUPE</v>
      </c>
      <c r="C161" s="1123" t="str">
        <f>CA!D106</f>
        <v>Juin</v>
      </c>
      <c r="D161" s="1123" t="str">
        <f>CA!E106</f>
        <v>Goodies</v>
      </c>
      <c r="E161" s="1123" t="str">
        <f>CA!F106</f>
        <v>Chine</v>
      </c>
      <c r="F161" s="1125">
        <f>CA!G106*1000</f>
        <v>252000</v>
      </c>
      <c r="G161" s="1125">
        <f>CA!H106</f>
        <v>1912500</v>
      </c>
      <c r="H161" s="1125">
        <f>CA!I106</f>
        <v>481950000</v>
      </c>
      <c r="I161" s="1125">
        <f>CA!J106</f>
        <v>107100</v>
      </c>
      <c r="J161" s="1125">
        <f>CA!K106</f>
        <v>98357.142857142855</v>
      </c>
      <c r="M161"/>
    </row>
    <row r="162" spans="1:13" ht="15">
      <c r="A162" s="1123" t="str">
        <f>CA!B107</f>
        <v>1 PF</v>
      </c>
      <c r="B162" s="1123" t="str">
        <f>CA!C107</f>
        <v>TRA COUPE</v>
      </c>
      <c r="C162" s="1123" t="str">
        <f>CA!D107</f>
        <v>Juin</v>
      </c>
      <c r="D162" s="1123" t="str">
        <f>CA!E107</f>
        <v>Elinar</v>
      </c>
      <c r="E162" s="1123" t="str">
        <f>CA!F107</f>
        <v>Russie</v>
      </c>
      <c r="F162" s="1125">
        <f>CA!G107*1000</f>
        <v>75600</v>
      </c>
      <c r="G162" s="1125">
        <f>CA!H107</f>
        <v>1470000</v>
      </c>
      <c r="H162" s="1125">
        <f>CA!I107</f>
        <v>111131999.99999999</v>
      </c>
      <c r="I162" s="1125">
        <f>CA!J107</f>
        <v>24695.999999999996</v>
      </c>
      <c r="J162" s="1125">
        <f>CA!K107</f>
        <v>22679.999999999996</v>
      </c>
      <c r="M162"/>
    </row>
    <row r="163" spans="1:13" ht="15">
      <c r="A163" s="1123" t="str">
        <f>CA!B108</f>
        <v>2 PF</v>
      </c>
      <c r="B163" s="1123" t="str">
        <f>CA!C108</f>
        <v>ABR COUPE</v>
      </c>
      <c r="C163" s="1123" t="str">
        <f>CA!D108</f>
        <v>Juin</v>
      </c>
      <c r="D163" s="1123" t="str">
        <f>CA!E108</f>
        <v>Okabe</v>
      </c>
      <c r="E163" s="1123" t="str">
        <f>CA!F108</f>
        <v>Japon</v>
      </c>
      <c r="F163" s="1125">
        <f>CA!G108*1000</f>
        <v>0</v>
      </c>
      <c r="G163" s="1125">
        <f>CA!H108</f>
        <v>1715000</v>
      </c>
      <c r="H163" s="1125">
        <f>CA!I108</f>
        <v>0</v>
      </c>
      <c r="I163" s="1125">
        <f>CA!J108</f>
        <v>0</v>
      </c>
      <c r="J163" s="1125">
        <f>CA!K108</f>
        <v>0</v>
      </c>
      <c r="M163"/>
    </row>
    <row r="164" spans="1:13" ht="15">
      <c r="A164" s="1123" t="str">
        <f>CA!B109</f>
        <v>2 PF</v>
      </c>
      <c r="B164" s="1123" t="str">
        <f>CA!C109</f>
        <v>ABR COUPE</v>
      </c>
      <c r="C164" s="1123" t="str">
        <f>CA!D109</f>
        <v>Juin</v>
      </c>
      <c r="D164" s="1123" t="str">
        <f>CA!E109</f>
        <v>NRK</v>
      </c>
      <c r="E164" s="1123" t="str">
        <f>CA!F109</f>
        <v>Japon</v>
      </c>
      <c r="F164" s="1125">
        <f>CA!G109*1000</f>
        <v>0</v>
      </c>
      <c r="G164" s="1125">
        <f>CA!H109</f>
        <v>1715000</v>
      </c>
      <c r="H164" s="1125">
        <f>CA!I109</f>
        <v>0</v>
      </c>
      <c r="I164" s="1125">
        <f>CA!J109</f>
        <v>0</v>
      </c>
      <c r="J164" s="1125">
        <f>CA!K109</f>
        <v>0</v>
      </c>
      <c r="M164"/>
    </row>
    <row r="165" spans="1:13" ht="15">
      <c r="A165" s="1123" t="str">
        <f>CA!B110</f>
        <v>2 PF</v>
      </c>
      <c r="B165" s="1123" t="str">
        <f>CA!C110</f>
        <v>ABR COUPE</v>
      </c>
      <c r="C165" s="1123" t="str">
        <f>CA!D110</f>
        <v>Juin</v>
      </c>
      <c r="D165" s="1123" t="str">
        <f>CA!E110</f>
        <v>Goodies</v>
      </c>
      <c r="E165" s="1123" t="str">
        <f>CA!F110</f>
        <v>Chine</v>
      </c>
      <c r="F165" s="1125">
        <f>CA!G110*1000</f>
        <v>252000</v>
      </c>
      <c r="G165" s="1125">
        <f>CA!H110</f>
        <v>1912500</v>
      </c>
      <c r="H165" s="1125">
        <f>CA!I110</f>
        <v>481950000</v>
      </c>
      <c r="I165" s="1125">
        <f>CA!J110</f>
        <v>107100</v>
      </c>
      <c r="J165" s="1125">
        <f>CA!K110</f>
        <v>98357.142857142855</v>
      </c>
      <c r="M165"/>
    </row>
    <row r="166" spans="1:13" ht="15">
      <c r="A166" s="1123" t="str">
        <f>CA!B111</f>
        <v>2 PF</v>
      </c>
      <c r="B166" s="1123" t="str">
        <f>CA!C111</f>
        <v>ABR COUPE</v>
      </c>
      <c r="C166" s="1123" t="str">
        <f>CA!D111</f>
        <v>Juin</v>
      </c>
      <c r="D166" s="1123" t="str">
        <f>CA!E111</f>
        <v>Elinar</v>
      </c>
      <c r="E166" s="1123" t="str">
        <f>CA!F111</f>
        <v>Russie</v>
      </c>
      <c r="F166" s="1125">
        <f>CA!G111*1000</f>
        <v>75600</v>
      </c>
      <c r="G166" s="1125">
        <f>CA!H111</f>
        <v>1470000</v>
      </c>
      <c r="H166" s="1125">
        <f>CA!I111</f>
        <v>111131999.99999999</v>
      </c>
      <c r="I166" s="1125">
        <f>CA!J111</f>
        <v>24695.999999999996</v>
      </c>
      <c r="J166" s="1125">
        <f>CA!K111</f>
        <v>22679.999999999996</v>
      </c>
      <c r="M166"/>
    </row>
    <row r="167" spans="1:13" ht="15">
      <c r="A167" s="1123" t="str">
        <f>CA!B112</f>
        <v>3 PF</v>
      </c>
      <c r="B167" s="1123" t="str">
        <f>CA!C112</f>
        <v>FP1 COUPE</v>
      </c>
      <c r="C167" s="1123" t="str">
        <f>CA!D112</f>
        <v>Juin</v>
      </c>
      <c r="D167" s="1123" t="str">
        <f>CA!E112</f>
        <v>Okabe</v>
      </c>
      <c r="E167" s="1123" t="str">
        <f>CA!F112</f>
        <v>Japon</v>
      </c>
      <c r="F167" s="1125">
        <f>CA!G112*1000</f>
        <v>0</v>
      </c>
      <c r="G167" s="1125">
        <f>CA!H112</f>
        <v>2205000</v>
      </c>
      <c r="H167" s="1125">
        <f>CA!I112</f>
        <v>0</v>
      </c>
      <c r="I167" s="1125">
        <f>CA!J112</f>
        <v>0</v>
      </c>
      <c r="J167" s="1125">
        <f>CA!K112</f>
        <v>0</v>
      </c>
      <c r="M167"/>
    </row>
    <row r="168" spans="1:13" ht="15">
      <c r="A168" s="1123" t="str">
        <f>CA!B113</f>
        <v>1 PF</v>
      </c>
      <c r="B168" s="1123" t="str">
        <f>CA!C113</f>
        <v>TRA COUPE</v>
      </c>
      <c r="C168" s="1123" t="str">
        <f>CA!D113</f>
        <v>Juillet</v>
      </c>
      <c r="D168" s="1123" t="str">
        <f>CA!E113</f>
        <v>Okabe</v>
      </c>
      <c r="E168" s="1123" t="str">
        <f>CA!F113</f>
        <v>Japon</v>
      </c>
      <c r="F168" s="1125">
        <f>CA!G113*1000</f>
        <v>0</v>
      </c>
      <c r="G168" s="1125">
        <f>CA!H113</f>
        <v>1715000</v>
      </c>
      <c r="H168" s="1125">
        <f>CA!I113</f>
        <v>0</v>
      </c>
      <c r="I168" s="1125">
        <f>CA!J113</f>
        <v>0</v>
      </c>
      <c r="J168" s="1125">
        <f>CA!K113</f>
        <v>0</v>
      </c>
      <c r="M168"/>
    </row>
    <row r="169" spans="1:13" ht="15">
      <c r="A169" s="1123" t="str">
        <f>CA!B114</f>
        <v>1 PF</v>
      </c>
      <c r="B169" s="1123" t="str">
        <f>CA!C114</f>
        <v>TRA COUPE</v>
      </c>
      <c r="C169" s="1123" t="str">
        <f>CA!D114</f>
        <v>Juillet</v>
      </c>
      <c r="D169" s="1123" t="str">
        <f>CA!E114</f>
        <v>NRK</v>
      </c>
      <c r="E169" s="1123" t="str">
        <f>CA!F114</f>
        <v>Japon</v>
      </c>
      <c r="F169" s="1125">
        <f>CA!G114*1000</f>
        <v>17800</v>
      </c>
      <c r="G169" s="1125">
        <f>CA!H114</f>
        <v>1715000</v>
      </c>
      <c r="H169" s="1125">
        <f>CA!I114</f>
        <v>30527000</v>
      </c>
      <c r="I169" s="1125">
        <f>CA!J114</f>
        <v>6783.7777777777774</v>
      </c>
      <c r="J169" s="1125">
        <f>CA!K114</f>
        <v>6230</v>
      </c>
      <c r="M169"/>
    </row>
    <row r="170" spans="1:13" ht="15">
      <c r="A170" s="1123" t="str">
        <f>CA!B115</f>
        <v>1 PF</v>
      </c>
      <c r="B170" s="1123" t="str">
        <f>CA!C115</f>
        <v>TRA COUPE</v>
      </c>
      <c r="C170" s="1123" t="str">
        <f>CA!D115</f>
        <v>Juillet</v>
      </c>
      <c r="D170" s="1123" t="str">
        <f>CA!E115</f>
        <v>Goodies</v>
      </c>
      <c r="E170" s="1123" t="str">
        <f>CA!F115</f>
        <v>Chine</v>
      </c>
      <c r="F170" s="1125">
        <f>CA!G115*1000</f>
        <v>252000</v>
      </c>
      <c r="G170" s="1125">
        <f>CA!H115</f>
        <v>1912500</v>
      </c>
      <c r="H170" s="1125">
        <f>CA!I115</f>
        <v>481950000</v>
      </c>
      <c r="I170" s="1125">
        <f>CA!J115</f>
        <v>107100</v>
      </c>
      <c r="J170" s="1125">
        <f>CA!K115</f>
        <v>98357.142857142855</v>
      </c>
      <c r="M170"/>
    </row>
    <row r="171" spans="1:13" ht="15">
      <c r="A171" s="1123" t="str">
        <f>CA!B116</f>
        <v>1 PF</v>
      </c>
      <c r="B171" s="1123" t="str">
        <f>CA!C116</f>
        <v>TRA COUPE</v>
      </c>
      <c r="C171" s="1123" t="str">
        <f>CA!D116</f>
        <v>Juillet</v>
      </c>
      <c r="D171" s="1123" t="str">
        <f>CA!E116</f>
        <v>Elinar</v>
      </c>
      <c r="E171" s="1123" t="str">
        <f>CA!F116</f>
        <v>Russie</v>
      </c>
      <c r="F171" s="1125">
        <f>CA!G116*1000</f>
        <v>75600</v>
      </c>
      <c r="G171" s="1125">
        <f>CA!H116</f>
        <v>1470000</v>
      </c>
      <c r="H171" s="1125">
        <f>CA!I116</f>
        <v>111131999.99999999</v>
      </c>
      <c r="I171" s="1125">
        <f>CA!J116</f>
        <v>24695.999999999996</v>
      </c>
      <c r="J171" s="1125">
        <f>CA!K116</f>
        <v>22679.999999999996</v>
      </c>
      <c r="M171"/>
    </row>
    <row r="172" spans="1:13" ht="15">
      <c r="A172" s="1123" t="str">
        <f>CA!B117</f>
        <v>2 PF</v>
      </c>
      <c r="B172" s="1123" t="str">
        <f>CA!C117</f>
        <v>ABR COUPE</v>
      </c>
      <c r="C172" s="1123" t="str">
        <f>CA!D117</f>
        <v>Juillet</v>
      </c>
      <c r="D172" s="1123" t="str">
        <f>CA!E117</f>
        <v>Okabe</v>
      </c>
      <c r="E172" s="1123" t="str">
        <f>CA!F117</f>
        <v>Japon</v>
      </c>
      <c r="F172" s="1125">
        <f>CA!G117*1000</f>
        <v>0</v>
      </c>
      <c r="G172" s="1125">
        <f>CA!H117</f>
        <v>1715000</v>
      </c>
      <c r="H172" s="1125">
        <f>CA!I117</f>
        <v>0</v>
      </c>
      <c r="I172" s="1125">
        <f>CA!J117</f>
        <v>0</v>
      </c>
      <c r="J172" s="1125">
        <f>CA!K117</f>
        <v>0</v>
      </c>
      <c r="M172"/>
    </row>
    <row r="173" spans="1:13" ht="15">
      <c r="A173" s="1123" t="str">
        <f>CA!B118</f>
        <v>2 PF</v>
      </c>
      <c r="B173" s="1123" t="str">
        <f>CA!C118</f>
        <v>ABR COUPE</v>
      </c>
      <c r="C173" s="1123" t="str">
        <f>CA!D118</f>
        <v>Juillet</v>
      </c>
      <c r="D173" s="1123" t="str">
        <f>CA!E118</f>
        <v>NRK</v>
      </c>
      <c r="E173" s="1123" t="str">
        <f>CA!F118</f>
        <v>Japon</v>
      </c>
      <c r="F173" s="1125">
        <f>CA!G118*1000</f>
        <v>0</v>
      </c>
      <c r="G173" s="1125">
        <f>CA!H118</f>
        <v>1715000</v>
      </c>
      <c r="H173" s="1125">
        <f>CA!I118</f>
        <v>0</v>
      </c>
      <c r="I173" s="1125">
        <f>CA!J118</f>
        <v>0</v>
      </c>
      <c r="J173" s="1125">
        <f>CA!K118</f>
        <v>0</v>
      </c>
      <c r="M173"/>
    </row>
    <row r="174" spans="1:13" ht="15">
      <c r="A174" s="1123" t="str">
        <f>CA!B119</f>
        <v>2 PF</v>
      </c>
      <c r="B174" s="1123" t="str">
        <f>CA!C119</f>
        <v>ABR COUPE</v>
      </c>
      <c r="C174" s="1123" t="str">
        <f>CA!D119</f>
        <v>Juillet</v>
      </c>
      <c r="D174" s="1123" t="str">
        <f>CA!E119</f>
        <v>Goodies</v>
      </c>
      <c r="E174" s="1123" t="str">
        <f>CA!F119</f>
        <v>Chine</v>
      </c>
      <c r="F174" s="1125">
        <f>CA!G119*1000</f>
        <v>252000</v>
      </c>
      <c r="G174" s="1125">
        <f>CA!H119</f>
        <v>1912500</v>
      </c>
      <c r="H174" s="1125">
        <f>CA!I119</f>
        <v>481950000</v>
      </c>
      <c r="I174" s="1125">
        <f>CA!J119</f>
        <v>107100</v>
      </c>
      <c r="J174" s="1125">
        <f>CA!K119</f>
        <v>98357.142857142855</v>
      </c>
      <c r="M174"/>
    </row>
    <row r="175" spans="1:13" ht="15">
      <c r="A175" s="1123" t="str">
        <f>CA!B120</f>
        <v>2 PF</v>
      </c>
      <c r="B175" s="1123" t="str">
        <f>CA!C120</f>
        <v>ABR COUPE</v>
      </c>
      <c r="C175" s="1123" t="str">
        <f>CA!D120</f>
        <v>Juillet</v>
      </c>
      <c r="D175" s="1123" t="str">
        <f>CA!E120</f>
        <v>Elinar</v>
      </c>
      <c r="E175" s="1123" t="str">
        <f>CA!F120</f>
        <v>Russie</v>
      </c>
      <c r="F175" s="1125">
        <f>CA!G120*1000</f>
        <v>75600</v>
      </c>
      <c r="G175" s="1125">
        <f>CA!H120</f>
        <v>1470000</v>
      </c>
      <c r="H175" s="1125">
        <f>CA!I120</f>
        <v>111131999.99999999</v>
      </c>
      <c r="I175" s="1125">
        <f>CA!J120</f>
        <v>24695.999999999996</v>
      </c>
      <c r="J175" s="1125">
        <f>CA!K120</f>
        <v>22679.999999999996</v>
      </c>
      <c r="M175"/>
    </row>
    <row r="176" spans="1:13" ht="15">
      <c r="A176" s="1123" t="str">
        <f>CA!B121</f>
        <v>3 PF</v>
      </c>
      <c r="B176" s="1123" t="str">
        <f>CA!C121</f>
        <v>FP1 COUPE</v>
      </c>
      <c r="C176" s="1123" t="str">
        <f>CA!D121</f>
        <v>Juillet</v>
      </c>
      <c r="D176" s="1123" t="str">
        <f>CA!E121</f>
        <v>Okabe</v>
      </c>
      <c r="E176" s="1123" t="str">
        <f>CA!F121</f>
        <v>Japon</v>
      </c>
      <c r="F176" s="1125">
        <f>CA!G121*1000</f>
        <v>0</v>
      </c>
      <c r="G176" s="1125">
        <f>CA!H121</f>
        <v>2205000</v>
      </c>
      <c r="H176" s="1125">
        <f>CA!I121</f>
        <v>0</v>
      </c>
      <c r="I176" s="1125">
        <f>CA!J121</f>
        <v>0</v>
      </c>
      <c r="J176" s="1125">
        <f>CA!K121</f>
        <v>0</v>
      </c>
      <c r="M176"/>
    </row>
    <row r="177" spans="1:13" ht="15">
      <c r="A177" s="1123" t="str">
        <f>CA!B122</f>
        <v>1 PF</v>
      </c>
      <c r="B177" s="1123" t="str">
        <f>CA!C122</f>
        <v>TRA COUPE</v>
      </c>
      <c r="C177" s="1123" t="str">
        <f>CA!D122</f>
        <v>Août</v>
      </c>
      <c r="D177" s="1123" t="str">
        <f>CA!E122</f>
        <v>Okabe</v>
      </c>
      <c r="E177" s="1123" t="str">
        <f>CA!F122</f>
        <v>Japon</v>
      </c>
      <c r="F177" s="1125">
        <f>CA!G122*1000</f>
        <v>20000</v>
      </c>
      <c r="G177" s="1125">
        <f>CA!H122</f>
        <v>1715000</v>
      </c>
      <c r="H177" s="1125">
        <f>CA!I122</f>
        <v>34300000</v>
      </c>
      <c r="I177" s="1125">
        <f>CA!J122</f>
        <v>7622.2222222222226</v>
      </c>
      <c r="J177" s="1125">
        <f>CA!K122</f>
        <v>7000</v>
      </c>
      <c r="M177"/>
    </row>
    <row r="178" spans="1:13" ht="15">
      <c r="A178" s="1123" t="str">
        <f>CA!B123</f>
        <v>1 PF</v>
      </c>
      <c r="B178" s="1123" t="str">
        <f>CA!C123</f>
        <v>TRA COUPE</v>
      </c>
      <c r="C178" s="1123" t="str">
        <f>CA!D123</f>
        <v>Août</v>
      </c>
      <c r="D178" s="1123" t="str">
        <f>CA!E123</f>
        <v>NRK</v>
      </c>
      <c r="E178" s="1123" t="str">
        <f>CA!F123</f>
        <v>Japon</v>
      </c>
      <c r="F178" s="1125">
        <f>CA!G123*1000</f>
        <v>0</v>
      </c>
      <c r="G178" s="1125">
        <f>CA!H123</f>
        <v>1715000</v>
      </c>
      <c r="H178" s="1125">
        <f>CA!I123</f>
        <v>0</v>
      </c>
      <c r="I178" s="1125">
        <f>CA!J123</f>
        <v>0</v>
      </c>
      <c r="J178" s="1125">
        <f>CA!K123</f>
        <v>0</v>
      </c>
      <c r="M178"/>
    </row>
    <row r="179" spans="1:13" ht="15">
      <c r="A179" s="1123" t="str">
        <f>CA!B124</f>
        <v>1 PF</v>
      </c>
      <c r="B179" s="1123" t="str">
        <f>CA!C124</f>
        <v>TRA COUPE</v>
      </c>
      <c r="C179" s="1123" t="str">
        <f>CA!D124</f>
        <v>Août</v>
      </c>
      <c r="D179" s="1123" t="str">
        <f>CA!E124</f>
        <v>Goodies</v>
      </c>
      <c r="E179" s="1123" t="str">
        <f>CA!F124</f>
        <v>Chine</v>
      </c>
      <c r="F179" s="1125">
        <f>CA!G124*1000</f>
        <v>252000</v>
      </c>
      <c r="G179" s="1125">
        <f>CA!H124</f>
        <v>1912500</v>
      </c>
      <c r="H179" s="1125">
        <f>CA!I124</f>
        <v>481950000</v>
      </c>
      <c r="I179" s="1125">
        <f>CA!J124</f>
        <v>107100</v>
      </c>
      <c r="J179" s="1125">
        <f>CA!K124</f>
        <v>98357.142857142855</v>
      </c>
      <c r="M179"/>
    </row>
    <row r="180" spans="1:13" ht="15">
      <c r="A180" s="1123" t="str">
        <f>CA!B125</f>
        <v>1 PF</v>
      </c>
      <c r="B180" s="1123" t="str">
        <f>CA!C125</f>
        <v>TRA COUPE</v>
      </c>
      <c r="C180" s="1123" t="str">
        <f>CA!D125</f>
        <v>Août</v>
      </c>
      <c r="D180" s="1123" t="str">
        <f>CA!E125</f>
        <v>Elinar</v>
      </c>
      <c r="E180" s="1123" t="str">
        <f>CA!F125</f>
        <v>Russie</v>
      </c>
      <c r="F180" s="1125">
        <f>CA!G125*1000</f>
        <v>75600</v>
      </c>
      <c r="G180" s="1125">
        <f>CA!H125</f>
        <v>1470000</v>
      </c>
      <c r="H180" s="1125">
        <f>CA!I125</f>
        <v>111131999.99999999</v>
      </c>
      <c r="I180" s="1125">
        <f>CA!J125</f>
        <v>24695.999999999996</v>
      </c>
      <c r="J180" s="1125">
        <f>CA!K125</f>
        <v>22679.999999999996</v>
      </c>
      <c r="M180"/>
    </row>
    <row r="181" spans="1:13" ht="15">
      <c r="A181" s="1123" t="str">
        <f>CA!B126</f>
        <v>2 PF</v>
      </c>
      <c r="B181" s="1123" t="str">
        <f>CA!C126</f>
        <v>ABR COUPE</v>
      </c>
      <c r="C181" s="1123" t="str">
        <f>CA!D126</f>
        <v>Août</v>
      </c>
      <c r="D181" s="1123" t="str">
        <f>CA!E126</f>
        <v>Okabe</v>
      </c>
      <c r="E181" s="1123" t="str">
        <f>CA!F126</f>
        <v>Japon</v>
      </c>
      <c r="F181" s="1125">
        <f>CA!G126*1000</f>
        <v>0</v>
      </c>
      <c r="G181" s="1125">
        <f>CA!H126</f>
        <v>1715000</v>
      </c>
      <c r="H181" s="1125">
        <f>CA!I126</f>
        <v>0</v>
      </c>
      <c r="I181" s="1125">
        <f>CA!J126</f>
        <v>0</v>
      </c>
      <c r="J181" s="1125">
        <f>CA!K126</f>
        <v>0</v>
      </c>
      <c r="M181"/>
    </row>
    <row r="182" spans="1:13" ht="15">
      <c r="A182" s="1123" t="str">
        <f>CA!B127</f>
        <v>2 PF</v>
      </c>
      <c r="B182" s="1123" t="str">
        <f>CA!C127</f>
        <v>ABR COUPE</v>
      </c>
      <c r="C182" s="1123" t="str">
        <f>CA!D127</f>
        <v>Août</v>
      </c>
      <c r="D182" s="1123" t="str">
        <f>CA!E127</f>
        <v>NRK</v>
      </c>
      <c r="E182" s="1123" t="str">
        <f>CA!F127</f>
        <v>Japon</v>
      </c>
      <c r="F182" s="1125">
        <f>CA!G127*1000</f>
        <v>0</v>
      </c>
      <c r="G182" s="1125">
        <f>CA!H127</f>
        <v>1715000</v>
      </c>
      <c r="H182" s="1125">
        <f>CA!I127</f>
        <v>0</v>
      </c>
      <c r="I182" s="1125">
        <f>CA!J127</f>
        <v>0</v>
      </c>
      <c r="J182" s="1125">
        <f>CA!K127</f>
        <v>0</v>
      </c>
      <c r="M182"/>
    </row>
    <row r="183" spans="1:13" ht="15">
      <c r="A183" s="1123" t="str">
        <f>CA!B128</f>
        <v>2 PF</v>
      </c>
      <c r="B183" s="1123" t="str">
        <f>CA!C128</f>
        <v>ABR COUPE</v>
      </c>
      <c r="C183" s="1123" t="str">
        <f>CA!D128</f>
        <v>Août</v>
      </c>
      <c r="D183" s="1123" t="str">
        <f>CA!E128</f>
        <v>Goodies</v>
      </c>
      <c r="E183" s="1123" t="str">
        <f>CA!F128</f>
        <v>Chine</v>
      </c>
      <c r="F183" s="1125">
        <f>CA!G128*1000</f>
        <v>252000</v>
      </c>
      <c r="G183" s="1125">
        <f>CA!H128</f>
        <v>1912500</v>
      </c>
      <c r="H183" s="1125">
        <f>CA!I128</f>
        <v>481950000</v>
      </c>
      <c r="I183" s="1125">
        <f>CA!J128</f>
        <v>107100</v>
      </c>
      <c r="J183" s="1125">
        <f>CA!K128</f>
        <v>98357.142857142855</v>
      </c>
      <c r="M183"/>
    </row>
    <row r="184" spans="1:13" ht="15">
      <c r="A184" s="1123" t="str">
        <f>CA!B129</f>
        <v>2 PF</v>
      </c>
      <c r="B184" s="1123" t="str">
        <f>CA!C129</f>
        <v>ABR COUPE</v>
      </c>
      <c r="C184" s="1123" t="str">
        <f>CA!D129</f>
        <v>Août</v>
      </c>
      <c r="D184" s="1123" t="str">
        <f>CA!E129</f>
        <v>Elinar</v>
      </c>
      <c r="E184" s="1123" t="str">
        <f>CA!F129</f>
        <v>Russie</v>
      </c>
      <c r="F184" s="1125">
        <f>CA!G129*1000</f>
        <v>75600</v>
      </c>
      <c r="G184" s="1125">
        <f>CA!H129</f>
        <v>1470000</v>
      </c>
      <c r="H184" s="1125">
        <f>CA!I129</f>
        <v>111131999.99999999</v>
      </c>
      <c r="I184" s="1125">
        <f>CA!J129</f>
        <v>24695.999999999996</v>
      </c>
      <c r="J184" s="1125">
        <f>CA!K129</f>
        <v>22679.999999999996</v>
      </c>
      <c r="M184"/>
    </row>
    <row r="185" spans="1:13" ht="15">
      <c r="A185" s="1123" t="str">
        <f>CA!B130</f>
        <v>3 PF</v>
      </c>
      <c r="B185" s="1123" t="str">
        <f>CA!C130</f>
        <v>FP1 COUPE</v>
      </c>
      <c r="C185" s="1123" t="str">
        <f>CA!D130</f>
        <v>Août</v>
      </c>
      <c r="D185" s="1123" t="str">
        <f>CA!E130</f>
        <v>Okabe</v>
      </c>
      <c r="E185" s="1123" t="str">
        <f>CA!F130</f>
        <v>Japon</v>
      </c>
      <c r="F185" s="1125">
        <f>CA!G130*1000</f>
        <v>0</v>
      </c>
      <c r="G185" s="1125">
        <f>CA!H130</f>
        <v>2205000</v>
      </c>
      <c r="H185" s="1125">
        <f>CA!I130</f>
        <v>0</v>
      </c>
      <c r="I185" s="1125">
        <f>CA!J130</f>
        <v>0</v>
      </c>
      <c r="J185" s="1125">
        <f>CA!K130</f>
        <v>0</v>
      </c>
      <c r="M185"/>
    </row>
    <row r="186" spans="1:13" ht="15">
      <c r="A186" s="1123" t="str">
        <f>CA!B131</f>
        <v>1 PF</v>
      </c>
      <c r="B186" s="1123" t="str">
        <f>CA!C131</f>
        <v>TRA COUPE</v>
      </c>
      <c r="C186" s="1123" t="str">
        <f>CA!D131</f>
        <v>Septembre</v>
      </c>
      <c r="D186" s="1123" t="str">
        <f>CA!E131</f>
        <v>Okabe</v>
      </c>
      <c r="E186" s="1123" t="str">
        <f>CA!F131</f>
        <v>Japon</v>
      </c>
      <c r="F186" s="1125">
        <f>CA!G131*1000</f>
        <v>0</v>
      </c>
      <c r="G186" s="1125">
        <f>CA!H131</f>
        <v>1715000</v>
      </c>
      <c r="H186" s="1125">
        <f>CA!I131</f>
        <v>0</v>
      </c>
      <c r="I186" s="1125">
        <f>CA!J131</f>
        <v>0</v>
      </c>
      <c r="J186" s="1125">
        <f>CA!K131</f>
        <v>0</v>
      </c>
      <c r="M186"/>
    </row>
    <row r="187" spans="1:13" ht="15">
      <c r="A187" s="1123" t="str">
        <f>CA!B132</f>
        <v>1 PF</v>
      </c>
      <c r="B187" s="1123" t="str">
        <f>CA!C132</f>
        <v>TRA COUPE</v>
      </c>
      <c r="C187" s="1123" t="str">
        <f>CA!D132</f>
        <v>Septembre</v>
      </c>
      <c r="D187" s="1123" t="str">
        <f>CA!E132</f>
        <v>NRK</v>
      </c>
      <c r="E187" s="1123" t="str">
        <f>CA!F132</f>
        <v>Japon</v>
      </c>
      <c r="F187" s="1125">
        <f>CA!G132*1000</f>
        <v>17800</v>
      </c>
      <c r="G187" s="1125">
        <f>CA!H132</f>
        <v>1715000</v>
      </c>
      <c r="H187" s="1125">
        <f>CA!I132</f>
        <v>30527000</v>
      </c>
      <c r="I187" s="1125">
        <f>CA!J132</f>
        <v>6783.7777777777774</v>
      </c>
      <c r="J187" s="1125">
        <f>CA!K132</f>
        <v>6230</v>
      </c>
      <c r="M187"/>
    </row>
    <row r="188" spans="1:13" ht="15">
      <c r="A188" s="1123" t="str">
        <f>CA!B133</f>
        <v>1 PF</v>
      </c>
      <c r="B188" s="1123" t="str">
        <f>CA!C133</f>
        <v>TRA COUPE</v>
      </c>
      <c r="C188" s="1123" t="str">
        <f>CA!D133</f>
        <v>Septembre</v>
      </c>
      <c r="D188" s="1123" t="str">
        <f>CA!E133</f>
        <v>Goodies</v>
      </c>
      <c r="E188" s="1123" t="str">
        <f>CA!F133</f>
        <v>Chine</v>
      </c>
      <c r="F188" s="1125">
        <f>CA!G133*1000</f>
        <v>252000</v>
      </c>
      <c r="G188" s="1125">
        <f>CA!H133</f>
        <v>1912500</v>
      </c>
      <c r="H188" s="1125">
        <f>CA!I133</f>
        <v>481950000</v>
      </c>
      <c r="I188" s="1125">
        <f>CA!J133</f>
        <v>107100</v>
      </c>
      <c r="J188" s="1125">
        <f>CA!K133</f>
        <v>98357.142857142855</v>
      </c>
      <c r="M188"/>
    </row>
    <row r="189" spans="1:13" ht="15">
      <c r="A189" s="1123" t="str">
        <f>CA!B134</f>
        <v>1 PF</v>
      </c>
      <c r="B189" s="1123" t="str">
        <f>CA!C134</f>
        <v>TRA COUPE</v>
      </c>
      <c r="C189" s="1123" t="str">
        <f>CA!D134</f>
        <v>Septembre</v>
      </c>
      <c r="D189" s="1123" t="str">
        <f>CA!E134</f>
        <v>Elinar</v>
      </c>
      <c r="E189" s="1123" t="str">
        <f>CA!F134</f>
        <v>Russie</v>
      </c>
      <c r="F189" s="1125">
        <f>CA!G134*1000</f>
        <v>75600</v>
      </c>
      <c r="G189" s="1125">
        <f>CA!H134</f>
        <v>1470000</v>
      </c>
      <c r="H189" s="1125">
        <f>CA!I134</f>
        <v>111131999.99999999</v>
      </c>
      <c r="I189" s="1125">
        <f>CA!J134</f>
        <v>24695.999999999996</v>
      </c>
      <c r="J189" s="1125">
        <f>CA!K134</f>
        <v>22679.999999999996</v>
      </c>
      <c r="M189"/>
    </row>
    <row r="190" spans="1:13" ht="15">
      <c r="A190" s="1123" t="str">
        <f>CA!B135</f>
        <v>2 PF</v>
      </c>
      <c r="B190" s="1123" t="str">
        <f>CA!C135</f>
        <v>ABR COUPE</v>
      </c>
      <c r="C190" s="1123" t="str">
        <f>CA!D135</f>
        <v>Septembre</v>
      </c>
      <c r="D190" s="1123" t="str">
        <f>CA!E135</f>
        <v>Okabe</v>
      </c>
      <c r="E190" s="1123" t="str">
        <f>CA!F135</f>
        <v>Japon</v>
      </c>
      <c r="F190" s="1125">
        <f>CA!G135*1000</f>
        <v>0</v>
      </c>
      <c r="G190" s="1125">
        <f>CA!H135</f>
        <v>1715000</v>
      </c>
      <c r="H190" s="1125">
        <f>CA!I135</f>
        <v>0</v>
      </c>
      <c r="I190" s="1125">
        <f>CA!J135</f>
        <v>0</v>
      </c>
      <c r="J190" s="1125">
        <f>CA!K135</f>
        <v>0</v>
      </c>
      <c r="M190"/>
    </row>
    <row r="191" spans="1:13" ht="15">
      <c r="A191" s="1123" t="str">
        <f>CA!B136</f>
        <v>2 PF</v>
      </c>
      <c r="B191" s="1123" t="str">
        <f>CA!C136</f>
        <v>ABR COUPE</v>
      </c>
      <c r="C191" s="1123" t="str">
        <f>CA!D136</f>
        <v>Septembre</v>
      </c>
      <c r="D191" s="1123" t="str">
        <f>CA!E136</f>
        <v>NRK</v>
      </c>
      <c r="E191" s="1123" t="str">
        <f>CA!F136</f>
        <v>Japon</v>
      </c>
      <c r="F191" s="1125">
        <f>CA!G136*1000</f>
        <v>0</v>
      </c>
      <c r="G191" s="1125">
        <f>CA!H136</f>
        <v>1715000</v>
      </c>
      <c r="H191" s="1125">
        <f>CA!I136</f>
        <v>0</v>
      </c>
      <c r="I191" s="1125">
        <f>CA!J136</f>
        <v>0</v>
      </c>
      <c r="J191" s="1125">
        <f>CA!K136</f>
        <v>0</v>
      </c>
      <c r="M191"/>
    </row>
    <row r="192" spans="1:13" ht="15">
      <c r="A192" s="1123" t="str">
        <f>CA!B137</f>
        <v>2 PF</v>
      </c>
      <c r="B192" s="1123" t="str">
        <f>CA!C137</f>
        <v>ABR COUPE</v>
      </c>
      <c r="C192" s="1123" t="str">
        <f>CA!D137</f>
        <v>Septembre</v>
      </c>
      <c r="D192" s="1123" t="str">
        <f>CA!E137</f>
        <v>Goodies</v>
      </c>
      <c r="E192" s="1123" t="str">
        <f>CA!F137</f>
        <v>Chine</v>
      </c>
      <c r="F192" s="1125">
        <f>CA!G137*1000</f>
        <v>252000</v>
      </c>
      <c r="G192" s="1125">
        <f>CA!H137</f>
        <v>1912500</v>
      </c>
      <c r="H192" s="1125">
        <f>CA!I137</f>
        <v>481950000</v>
      </c>
      <c r="I192" s="1125">
        <f>CA!J137</f>
        <v>107100</v>
      </c>
      <c r="J192" s="1125">
        <f>CA!K137</f>
        <v>98357.142857142855</v>
      </c>
      <c r="M192"/>
    </row>
    <row r="193" spans="1:13" ht="15">
      <c r="A193" s="1123" t="str">
        <f>CA!B138</f>
        <v>2 PF</v>
      </c>
      <c r="B193" s="1123" t="str">
        <f>CA!C138</f>
        <v>ABR COUPE</v>
      </c>
      <c r="C193" s="1123" t="str">
        <f>CA!D138</f>
        <v>Septembre</v>
      </c>
      <c r="D193" s="1123" t="str">
        <f>CA!E138</f>
        <v>Elinar</v>
      </c>
      <c r="E193" s="1123" t="str">
        <f>CA!F138</f>
        <v>Russie</v>
      </c>
      <c r="F193" s="1125">
        <f>CA!G138*1000</f>
        <v>75600</v>
      </c>
      <c r="G193" s="1125">
        <f>CA!H138</f>
        <v>1470000</v>
      </c>
      <c r="H193" s="1125">
        <f>CA!I138</f>
        <v>111131999.99999999</v>
      </c>
      <c r="I193" s="1125">
        <f>CA!J138</f>
        <v>24695.999999999996</v>
      </c>
      <c r="J193" s="1125">
        <f>CA!K138</f>
        <v>22679.999999999996</v>
      </c>
      <c r="M193"/>
    </row>
    <row r="194" spans="1:13" ht="15">
      <c r="A194" s="1123" t="str">
        <f>CA!B139</f>
        <v>3 PF</v>
      </c>
      <c r="B194" s="1123" t="str">
        <f>CA!C139</f>
        <v>FP1 COUPE</v>
      </c>
      <c r="C194" s="1123" t="str">
        <f>CA!D139</f>
        <v>Septembre</v>
      </c>
      <c r="D194" s="1123" t="str">
        <f>CA!E139</f>
        <v>Okabe</v>
      </c>
      <c r="E194" s="1123" t="str">
        <f>CA!F139</f>
        <v>Japon</v>
      </c>
      <c r="F194" s="1125">
        <f>CA!G139*1000</f>
        <v>0</v>
      </c>
      <c r="G194" s="1125">
        <f>CA!H139</f>
        <v>2205000</v>
      </c>
      <c r="H194" s="1125">
        <f>CA!I139</f>
        <v>0</v>
      </c>
      <c r="I194" s="1125">
        <f>CA!J139</f>
        <v>0</v>
      </c>
      <c r="J194" s="1125">
        <f>CA!K139</f>
        <v>0</v>
      </c>
      <c r="M194"/>
    </row>
    <row r="195" spans="1:13" ht="15">
      <c r="A195" s="1123" t="str">
        <f>CA!B140</f>
        <v>1 PF</v>
      </c>
      <c r="B195" s="1123" t="str">
        <f>CA!C140</f>
        <v>TRA COUPE</v>
      </c>
      <c r="C195" s="1123" t="str">
        <f>CA!D140</f>
        <v>Octobre</v>
      </c>
      <c r="D195" s="1123" t="str">
        <f>CA!E140</f>
        <v>Okabe</v>
      </c>
      <c r="E195" s="1123" t="str">
        <f>CA!F140</f>
        <v>Japon</v>
      </c>
      <c r="F195" s="1125">
        <f>CA!G140*1000</f>
        <v>20000</v>
      </c>
      <c r="G195" s="1125">
        <f>CA!H140</f>
        <v>1715000</v>
      </c>
      <c r="H195" s="1125">
        <f>CA!I140</f>
        <v>34300000</v>
      </c>
      <c r="I195" s="1125">
        <f>CA!J140</f>
        <v>7622.2222222222226</v>
      </c>
      <c r="J195" s="1125">
        <f>CA!K140</f>
        <v>7000</v>
      </c>
      <c r="M195"/>
    </row>
    <row r="196" spans="1:13" ht="15">
      <c r="A196" s="1123" t="str">
        <f>CA!B141</f>
        <v>1 PF</v>
      </c>
      <c r="B196" s="1123" t="str">
        <f>CA!C141</f>
        <v>TRA COUPE</v>
      </c>
      <c r="C196" s="1123" t="str">
        <f>CA!D141</f>
        <v>Octobre</v>
      </c>
      <c r="D196" s="1123" t="str">
        <f>CA!E141</f>
        <v>NRK</v>
      </c>
      <c r="E196" s="1123" t="str">
        <f>CA!F141</f>
        <v>Japon</v>
      </c>
      <c r="F196" s="1125">
        <f>CA!G141*1000</f>
        <v>0</v>
      </c>
      <c r="G196" s="1125">
        <f>CA!H141</f>
        <v>1715000</v>
      </c>
      <c r="H196" s="1125">
        <f>CA!I141</f>
        <v>0</v>
      </c>
      <c r="I196" s="1125">
        <f>CA!J141</f>
        <v>0</v>
      </c>
      <c r="J196" s="1125">
        <f>CA!K141</f>
        <v>0</v>
      </c>
      <c r="M196"/>
    </row>
    <row r="197" spans="1:13" ht="15">
      <c r="A197" s="1123" t="str">
        <f>CA!B142</f>
        <v>1 PF</v>
      </c>
      <c r="B197" s="1123" t="str">
        <f>CA!C142</f>
        <v>TRA COUPE</v>
      </c>
      <c r="C197" s="1123" t="str">
        <f>CA!D142</f>
        <v>Octobre</v>
      </c>
      <c r="D197" s="1123" t="str">
        <f>CA!E142</f>
        <v>Goodies</v>
      </c>
      <c r="E197" s="1123" t="str">
        <f>CA!F142</f>
        <v>Chine</v>
      </c>
      <c r="F197" s="1125">
        <f>CA!G142*1000</f>
        <v>252000</v>
      </c>
      <c r="G197" s="1125">
        <f>CA!H142</f>
        <v>1912500</v>
      </c>
      <c r="H197" s="1125">
        <f>CA!I142</f>
        <v>481950000</v>
      </c>
      <c r="I197" s="1125">
        <f>CA!J142</f>
        <v>107100</v>
      </c>
      <c r="J197" s="1125">
        <f>CA!K142</f>
        <v>98357.142857142855</v>
      </c>
      <c r="M197"/>
    </row>
    <row r="198" spans="1:13" ht="15">
      <c r="A198" s="1123" t="str">
        <f>CA!B143</f>
        <v>1 PF</v>
      </c>
      <c r="B198" s="1123" t="str">
        <f>CA!C143</f>
        <v>TRA COUPE</v>
      </c>
      <c r="C198" s="1123" t="str">
        <f>CA!D143</f>
        <v>Octobre</v>
      </c>
      <c r="D198" s="1123" t="str">
        <f>CA!E143</f>
        <v>Elinar</v>
      </c>
      <c r="E198" s="1123" t="str">
        <f>CA!F143</f>
        <v>Russie</v>
      </c>
      <c r="F198" s="1125">
        <f>CA!G143*1000</f>
        <v>75600</v>
      </c>
      <c r="G198" s="1125">
        <f>CA!H143</f>
        <v>1470000</v>
      </c>
      <c r="H198" s="1125">
        <f>CA!I143</f>
        <v>111131999.99999999</v>
      </c>
      <c r="I198" s="1125">
        <f>CA!J143</f>
        <v>24695.999999999996</v>
      </c>
      <c r="J198" s="1125">
        <f>CA!K143</f>
        <v>22679.999999999996</v>
      </c>
      <c r="M198"/>
    </row>
    <row r="199" spans="1:13" ht="15">
      <c r="A199" s="1123" t="str">
        <f>CA!B144</f>
        <v>2 PF</v>
      </c>
      <c r="B199" s="1123" t="str">
        <f>CA!C144</f>
        <v>ABR COUPE</v>
      </c>
      <c r="C199" s="1123" t="str">
        <f>CA!D144</f>
        <v>Octobre</v>
      </c>
      <c r="D199" s="1123" t="str">
        <f>CA!E144</f>
        <v>Okabe</v>
      </c>
      <c r="E199" s="1123" t="str">
        <f>CA!F144</f>
        <v>Japon</v>
      </c>
      <c r="F199" s="1125">
        <f>CA!G144*1000</f>
        <v>0</v>
      </c>
      <c r="G199" s="1125">
        <f>CA!H144</f>
        <v>1715000</v>
      </c>
      <c r="H199" s="1125">
        <f>CA!I144</f>
        <v>0</v>
      </c>
      <c r="I199" s="1125">
        <f>CA!J144</f>
        <v>0</v>
      </c>
      <c r="J199" s="1125">
        <f>CA!K144</f>
        <v>0</v>
      </c>
      <c r="M199"/>
    </row>
    <row r="200" spans="1:13" ht="15">
      <c r="A200" s="1123" t="str">
        <f>CA!B145</f>
        <v>2 PF</v>
      </c>
      <c r="B200" s="1123" t="str">
        <f>CA!C145</f>
        <v>ABR COUPE</v>
      </c>
      <c r="C200" s="1123" t="str">
        <f>CA!D145</f>
        <v>Octobre</v>
      </c>
      <c r="D200" s="1123" t="str">
        <f>CA!E145</f>
        <v>NRK</v>
      </c>
      <c r="E200" s="1123" t="str">
        <f>CA!F145</f>
        <v>Japon</v>
      </c>
      <c r="F200" s="1125">
        <f>CA!G145*1000</f>
        <v>0</v>
      </c>
      <c r="G200" s="1125">
        <f>CA!H145</f>
        <v>1715000</v>
      </c>
      <c r="H200" s="1125">
        <f>CA!I145</f>
        <v>0</v>
      </c>
      <c r="I200" s="1125">
        <f>CA!J145</f>
        <v>0</v>
      </c>
      <c r="J200" s="1125">
        <f>CA!K145</f>
        <v>0</v>
      </c>
      <c r="M200"/>
    </row>
    <row r="201" spans="1:13" ht="15">
      <c r="A201" s="1123" t="str">
        <f>CA!B146</f>
        <v>2 PF</v>
      </c>
      <c r="B201" s="1123" t="str">
        <f>CA!C146</f>
        <v>ABR COUPE</v>
      </c>
      <c r="C201" s="1123" t="str">
        <f>CA!D146</f>
        <v>Octobre</v>
      </c>
      <c r="D201" s="1123" t="str">
        <f>CA!E146</f>
        <v>Goodies</v>
      </c>
      <c r="E201" s="1123" t="str">
        <f>CA!F146</f>
        <v>Chine</v>
      </c>
      <c r="F201" s="1125">
        <f>CA!G146*1000</f>
        <v>252000</v>
      </c>
      <c r="G201" s="1125">
        <f>CA!H146</f>
        <v>1912500</v>
      </c>
      <c r="H201" s="1125">
        <f>CA!I146</f>
        <v>481950000</v>
      </c>
      <c r="I201" s="1125">
        <f>CA!J146</f>
        <v>107100</v>
      </c>
      <c r="J201" s="1125">
        <f>CA!K146</f>
        <v>98357.142857142855</v>
      </c>
      <c r="M201"/>
    </row>
    <row r="202" spans="1:13" ht="15">
      <c r="A202" s="1123" t="str">
        <f>CA!B147</f>
        <v>2 PF</v>
      </c>
      <c r="B202" s="1123" t="str">
        <f>CA!C147</f>
        <v>ABR COUPE</v>
      </c>
      <c r="C202" s="1123" t="str">
        <f>CA!D147</f>
        <v>Octobre</v>
      </c>
      <c r="D202" s="1123" t="str">
        <f>CA!E147</f>
        <v>Elinar</v>
      </c>
      <c r="E202" s="1123" t="str">
        <f>CA!F147</f>
        <v>Russie</v>
      </c>
      <c r="F202" s="1125">
        <f>CA!G147*1000</f>
        <v>75600</v>
      </c>
      <c r="G202" s="1125">
        <f>CA!H147</f>
        <v>1470000</v>
      </c>
      <c r="H202" s="1125">
        <f>CA!I147</f>
        <v>111131999.99999999</v>
      </c>
      <c r="I202" s="1125">
        <f>CA!J147</f>
        <v>24695.999999999996</v>
      </c>
      <c r="J202" s="1125">
        <f>CA!K147</f>
        <v>22679.999999999996</v>
      </c>
      <c r="M202"/>
    </row>
    <row r="203" spans="1:13" ht="15">
      <c r="A203" s="1123" t="str">
        <f>CA!B148</f>
        <v>3 PF</v>
      </c>
      <c r="B203" s="1123" t="str">
        <f>CA!C148</f>
        <v>FP1 COUPE</v>
      </c>
      <c r="C203" s="1123" t="str">
        <f>CA!D148</f>
        <v>Octobre</v>
      </c>
      <c r="D203" s="1123" t="str">
        <f>CA!E148</f>
        <v>Okabe</v>
      </c>
      <c r="E203" s="1123" t="str">
        <f>CA!F148</f>
        <v>Japon</v>
      </c>
      <c r="F203" s="1125">
        <f>CA!G148*1000</f>
        <v>0</v>
      </c>
      <c r="G203" s="1125">
        <f>CA!H148</f>
        <v>2205000</v>
      </c>
      <c r="H203" s="1125">
        <f>CA!I148</f>
        <v>0</v>
      </c>
      <c r="I203" s="1125">
        <f>CA!J148</f>
        <v>0</v>
      </c>
      <c r="J203" s="1125">
        <f>CA!K148</f>
        <v>0</v>
      </c>
      <c r="M203"/>
    </row>
    <row r="204" spans="1:13" ht="15">
      <c r="A204" s="1123" t="str">
        <f>CA!B149</f>
        <v>1 PF</v>
      </c>
      <c r="B204" s="1123" t="str">
        <f>CA!C149</f>
        <v>TRA COUPE</v>
      </c>
      <c r="C204" s="1123" t="str">
        <f>CA!D149</f>
        <v>Novembre</v>
      </c>
      <c r="D204" s="1123" t="str">
        <f>CA!E149</f>
        <v>Okabe</v>
      </c>
      <c r="E204" s="1123" t="str">
        <f>CA!F149</f>
        <v>Japon</v>
      </c>
      <c r="F204" s="1125">
        <f>CA!G149*1000</f>
        <v>0</v>
      </c>
      <c r="G204" s="1125">
        <f>CA!H149</f>
        <v>1715000</v>
      </c>
      <c r="H204" s="1125">
        <f>CA!I149</f>
        <v>0</v>
      </c>
      <c r="I204" s="1125">
        <f>CA!J149</f>
        <v>0</v>
      </c>
      <c r="J204" s="1125">
        <f>CA!K149</f>
        <v>0</v>
      </c>
      <c r="M204"/>
    </row>
    <row r="205" spans="1:13" ht="15">
      <c r="A205" s="1123" t="str">
        <f>CA!B150</f>
        <v>1 PF</v>
      </c>
      <c r="B205" s="1123" t="str">
        <f>CA!C150</f>
        <v>TRA COUPE</v>
      </c>
      <c r="C205" s="1123" t="str">
        <f>CA!D150</f>
        <v>Novembre</v>
      </c>
      <c r="D205" s="1123" t="str">
        <f>CA!E150</f>
        <v>NRK</v>
      </c>
      <c r="E205" s="1123" t="str">
        <f>CA!F150</f>
        <v>Japon</v>
      </c>
      <c r="F205" s="1125">
        <f>CA!G150*1000</f>
        <v>17800</v>
      </c>
      <c r="G205" s="1125">
        <f>CA!H150</f>
        <v>1715000</v>
      </c>
      <c r="H205" s="1125">
        <f>CA!I150</f>
        <v>30527000</v>
      </c>
      <c r="I205" s="1125">
        <f>CA!J150</f>
        <v>6783.7777777777774</v>
      </c>
      <c r="J205" s="1125">
        <f>CA!K150</f>
        <v>6230</v>
      </c>
      <c r="M205"/>
    </row>
    <row r="206" spans="1:13" ht="15">
      <c r="A206" s="1123" t="str">
        <f>CA!B151</f>
        <v>1 PF</v>
      </c>
      <c r="B206" s="1123" t="str">
        <f>CA!C151</f>
        <v>TRA COUPE</v>
      </c>
      <c r="C206" s="1123" t="str">
        <f>CA!D151</f>
        <v>Novembre</v>
      </c>
      <c r="D206" s="1123" t="str">
        <f>CA!E151</f>
        <v>Goodies</v>
      </c>
      <c r="E206" s="1123" t="str">
        <f>CA!F151</f>
        <v>Chine</v>
      </c>
      <c r="F206" s="1125">
        <f>CA!G151*1000</f>
        <v>252000</v>
      </c>
      <c r="G206" s="1125">
        <f>CA!H151</f>
        <v>1912500</v>
      </c>
      <c r="H206" s="1125">
        <f>CA!I151</f>
        <v>481950000</v>
      </c>
      <c r="I206" s="1125">
        <f>CA!J151</f>
        <v>107100</v>
      </c>
      <c r="J206" s="1125">
        <f>CA!K151</f>
        <v>98357.142857142855</v>
      </c>
      <c r="M206"/>
    </row>
    <row r="207" spans="1:13" ht="15">
      <c r="A207" s="1123" t="str">
        <f>CA!B152</f>
        <v>1 PF</v>
      </c>
      <c r="B207" s="1123" t="str">
        <f>CA!C152</f>
        <v>TRA COUPE</v>
      </c>
      <c r="C207" s="1123" t="str">
        <f>CA!D152</f>
        <v>Novembre</v>
      </c>
      <c r="D207" s="1123" t="str">
        <f>CA!E152</f>
        <v>Elinar</v>
      </c>
      <c r="E207" s="1123" t="str">
        <f>CA!F152</f>
        <v>Russie</v>
      </c>
      <c r="F207" s="1125">
        <f>CA!G152*1000</f>
        <v>75600</v>
      </c>
      <c r="G207" s="1125">
        <f>CA!H152</f>
        <v>1470000</v>
      </c>
      <c r="H207" s="1125">
        <f>CA!I152</f>
        <v>111131999.99999999</v>
      </c>
      <c r="I207" s="1125">
        <f>CA!J152</f>
        <v>24695.999999999996</v>
      </c>
      <c r="J207" s="1125">
        <f>CA!K152</f>
        <v>22679.999999999996</v>
      </c>
      <c r="M207"/>
    </row>
    <row r="208" spans="1:13" ht="15">
      <c r="A208" s="1123" t="str">
        <f>CA!B153</f>
        <v>2 PF</v>
      </c>
      <c r="B208" s="1123" t="str">
        <f>CA!C153</f>
        <v>ABR COUPE</v>
      </c>
      <c r="C208" s="1123" t="str">
        <f>CA!D153</f>
        <v>Novembre</v>
      </c>
      <c r="D208" s="1123" t="str">
        <f>CA!E153</f>
        <v>Okabe</v>
      </c>
      <c r="E208" s="1123" t="str">
        <f>CA!F153</f>
        <v>Japon</v>
      </c>
      <c r="F208" s="1125">
        <f>CA!G153*1000</f>
        <v>0</v>
      </c>
      <c r="G208" s="1125">
        <f>CA!H153</f>
        <v>1715000</v>
      </c>
      <c r="H208" s="1125">
        <f>CA!I153</f>
        <v>0</v>
      </c>
      <c r="I208" s="1125">
        <f>CA!J153</f>
        <v>0</v>
      </c>
      <c r="J208" s="1125">
        <f>CA!K153</f>
        <v>0</v>
      </c>
      <c r="M208"/>
    </row>
    <row r="209" spans="1:13" ht="15">
      <c r="A209" s="1123" t="str">
        <f>CA!B154</f>
        <v>2 PF</v>
      </c>
      <c r="B209" s="1123" t="str">
        <f>CA!C154</f>
        <v>ABR COUPE</v>
      </c>
      <c r="C209" s="1123" t="str">
        <f>CA!D154</f>
        <v>Novembre</v>
      </c>
      <c r="D209" s="1123" t="str">
        <f>CA!E154</f>
        <v>NRK</v>
      </c>
      <c r="E209" s="1123" t="str">
        <f>CA!F154</f>
        <v>Japon</v>
      </c>
      <c r="F209" s="1125">
        <f>CA!G154*1000</f>
        <v>0</v>
      </c>
      <c r="G209" s="1125">
        <f>CA!H154</f>
        <v>1715000</v>
      </c>
      <c r="H209" s="1125">
        <f>CA!I154</f>
        <v>0</v>
      </c>
      <c r="I209" s="1125">
        <f>CA!J154</f>
        <v>0</v>
      </c>
      <c r="J209" s="1125">
        <f>CA!K154</f>
        <v>0</v>
      </c>
      <c r="M209"/>
    </row>
    <row r="210" spans="1:13" ht="15">
      <c r="A210" s="1123" t="str">
        <f>CA!B155</f>
        <v>2 PF</v>
      </c>
      <c r="B210" s="1123" t="str">
        <f>CA!C155</f>
        <v>ABR COUPE</v>
      </c>
      <c r="C210" s="1123" t="str">
        <f>CA!D155</f>
        <v>Novembre</v>
      </c>
      <c r="D210" s="1123" t="str">
        <f>CA!E155</f>
        <v>Goodies</v>
      </c>
      <c r="E210" s="1123" t="str">
        <f>CA!F155</f>
        <v>Chine</v>
      </c>
      <c r="F210" s="1125">
        <f>CA!G155*1000</f>
        <v>252000</v>
      </c>
      <c r="G210" s="1125">
        <f>CA!H155</f>
        <v>1912500</v>
      </c>
      <c r="H210" s="1125">
        <f>CA!I155</f>
        <v>481950000</v>
      </c>
      <c r="I210" s="1125">
        <f>CA!J155</f>
        <v>107100</v>
      </c>
      <c r="J210" s="1125">
        <f>CA!K155</f>
        <v>98357.142857142855</v>
      </c>
      <c r="M210"/>
    </row>
    <row r="211" spans="1:13" ht="15">
      <c r="A211" s="1123" t="str">
        <f>CA!B156</f>
        <v>2 PF</v>
      </c>
      <c r="B211" s="1123" t="str">
        <f>CA!C156</f>
        <v>ABR COUPE</v>
      </c>
      <c r="C211" s="1123" t="str">
        <f>CA!D156</f>
        <v>Novembre</v>
      </c>
      <c r="D211" s="1123" t="str">
        <f>CA!E156</f>
        <v>Elinar</v>
      </c>
      <c r="E211" s="1123" t="str">
        <f>CA!F156</f>
        <v>Russie</v>
      </c>
      <c r="F211" s="1125">
        <f>CA!G156*1000</f>
        <v>75600</v>
      </c>
      <c r="G211" s="1125">
        <f>CA!H156</f>
        <v>1470000</v>
      </c>
      <c r="H211" s="1125">
        <f>CA!I156</f>
        <v>111131999.99999999</v>
      </c>
      <c r="I211" s="1125">
        <f>CA!J156</f>
        <v>24695.999999999996</v>
      </c>
      <c r="J211" s="1125">
        <f>CA!K156</f>
        <v>22679.999999999996</v>
      </c>
      <c r="M211"/>
    </row>
    <row r="212" spans="1:13" ht="15">
      <c r="A212" s="1123" t="str">
        <f>CA!B157</f>
        <v>3 PF</v>
      </c>
      <c r="B212" s="1123" t="str">
        <f>CA!C157</f>
        <v>FP1 COUPE</v>
      </c>
      <c r="C212" s="1123" t="str">
        <f>CA!D157</f>
        <v>Novembre</v>
      </c>
      <c r="D212" s="1123" t="str">
        <f>CA!E157</f>
        <v>Okabe</v>
      </c>
      <c r="E212" s="1123" t="str">
        <f>CA!F157</f>
        <v>Japon</v>
      </c>
      <c r="F212" s="1125">
        <f>CA!G157*1000</f>
        <v>0</v>
      </c>
      <c r="G212" s="1125">
        <f>CA!H157</f>
        <v>2205000</v>
      </c>
      <c r="H212" s="1125">
        <f>CA!I157</f>
        <v>0</v>
      </c>
      <c r="I212" s="1125">
        <f>CA!J157</f>
        <v>0</v>
      </c>
      <c r="J212" s="1125">
        <f>CA!K157</f>
        <v>0</v>
      </c>
      <c r="M212"/>
    </row>
    <row r="213" spans="1:13" ht="15">
      <c r="A213" s="1123" t="str">
        <f>CA!B158</f>
        <v>1 PF</v>
      </c>
      <c r="B213" s="1123" t="str">
        <f>CA!C158</f>
        <v>TRA COUPE</v>
      </c>
      <c r="C213" s="1123" t="str">
        <f>CA!D158</f>
        <v>Décembre</v>
      </c>
      <c r="D213" s="1123" t="str">
        <f>CA!E158</f>
        <v>Okabe</v>
      </c>
      <c r="E213" s="1123" t="str">
        <f>CA!F158</f>
        <v>Japon</v>
      </c>
      <c r="F213" s="1125">
        <f>CA!G158*1000</f>
        <v>20000</v>
      </c>
      <c r="G213" s="1125">
        <f>CA!H158</f>
        <v>1715000</v>
      </c>
      <c r="H213" s="1125">
        <f>CA!I158</f>
        <v>34300000</v>
      </c>
      <c r="I213" s="1125">
        <f>CA!J158</f>
        <v>7622.2222222222226</v>
      </c>
      <c r="J213" s="1125">
        <f>CA!K158</f>
        <v>7000</v>
      </c>
      <c r="M213"/>
    </row>
    <row r="214" spans="1:13" ht="15">
      <c r="A214" s="1123" t="str">
        <f>CA!B159</f>
        <v>1 PF</v>
      </c>
      <c r="B214" s="1123" t="str">
        <f>CA!C159</f>
        <v>TRA COUPE</v>
      </c>
      <c r="C214" s="1123" t="str">
        <f>CA!D159</f>
        <v>Décembre</v>
      </c>
      <c r="D214" s="1123" t="str">
        <f>CA!E159</f>
        <v>NRK</v>
      </c>
      <c r="E214" s="1123" t="str">
        <f>CA!F159</f>
        <v>Japon</v>
      </c>
      <c r="F214" s="1125">
        <f>CA!G159*1000</f>
        <v>0</v>
      </c>
      <c r="G214" s="1125">
        <f>CA!H159</f>
        <v>1715000</v>
      </c>
      <c r="H214" s="1125">
        <f>CA!I159</f>
        <v>0</v>
      </c>
      <c r="I214" s="1125">
        <f>CA!J159</f>
        <v>0</v>
      </c>
      <c r="J214" s="1125">
        <f>CA!K159</f>
        <v>0</v>
      </c>
      <c r="M214"/>
    </row>
    <row r="215" spans="1:13" ht="15">
      <c r="A215" s="1123" t="str">
        <f>CA!B160</f>
        <v>1 PF</v>
      </c>
      <c r="B215" s="1123" t="str">
        <f>CA!C160</f>
        <v>TRA COUPE</v>
      </c>
      <c r="C215" s="1123" t="str">
        <f>CA!D160</f>
        <v>Décembre</v>
      </c>
      <c r="D215" s="1123" t="str">
        <f>CA!E160</f>
        <v>Goodies</v>
      </c>
      <c r="E215" s="1123" t="str">
        <f>CA!F160</f>
        <v>Chine</v>
      </c>
      <c r="F215" s="1125">
        <f>CA!G160*1000</f>
        <v>252000</v>
      </c>
      <c r="G215" s="1125">
        <f>CA!H160</f>
        <v>1912500</v>
      </c>
      <c r="H215" s="1125">
        <f>CA!I160</f>
        <v>481950000</v>
      </c>
      <c r="I215" s="1125">
        <f>CA!J160</f>
        <v>107100</v>
      </c>
      <c r="J215" s="1125">
        <f>CA!K160</f>
        <v>98357.142857142855</v>
      </c>
      <c r="M215"/>
    </row>
    <row r="216" spans="1:13" ht="15">
      <c r="A216" s="1123" t="str">
        <f>CA!B161</f>
        <v>1 PF</v>
      </c>
      <c r="B216" s="1123" t="str">
        <f>CA!C161</f>
        <v>TRA COUPE</v>
      </c>
      <c r="C216" s="1123" t="str">
        <f>CA!D161</f>
        <v>Décembre</v>
      </c>
      <c r="D216" s="1123" t="str">
        <f>CA!E161</f>
        <v>Elinar</v>
      </c>
      <c r="E216" s="1123" t="str">
        <f>CA!F161</f>
        <v>Russie</v>
      </c>
      <c r="F216" s="1125">
        <f>CA!G161*1000</f>
        <v>75600</v>
      </c>
      <c r="G216" s="1125">
        <f>CA!H161</f>
        <v>1470000</v>
      </c>
      <c r="H216" s="1125">
        <f>CA!I161</f>
        <v>111131999.99999999</v>
      </c>
      <c r="I216" s="1125">
        <f>CA!J161</f>
        <v>24695.999999999996</v>
      </c>
      <c r="J216" s="1125">
        <f>CA!K161</f>
        <v>22679.999999999996</v>
      </c>
      <c r="M216"/>
    </row>
    <row r="217" spans="1:13" ht="15">
      <c r="A217" s="1123" t="str">
        <f>CA!B162</f>
        <v>2 PF</v>
      </c>
      <c r="B217" s="1123" t="str">
        <f>CA!C162</f>
        <v>ABR COUPE</v>
      </c>
      <c r="C217" s="1123" t="str">
        <f>CA!D162</f>
        <v>Décembre</v>
      </c>
      <c r="D217" s="1123" t="str">
        <f>CA!E162</f>
        <v>Okabe</v>
      </c>
      <c r="E217" s="1123" t="str">
        <f>CA!F162</f>
        <v>Japon</v>
      </c>
      <c r="F217" s="1125">
        <f>CA!G162*1000</f>
        <v>0</v>
      </c>
      <c r="G217" s="1125">
        <f>CA!H162</f>
        <v>1715000</v>
      </c>
      <c r="H217" s="1125">
        <f>CA!I162</f>
        <v>0</v>
      </c>
      <c r="I217" s="1125">
        <f>CA!J162</f>
        <v>0</v>
      </c>
      <c r="J217" s="1125">
        <f>CA!K162</f>
        <v>0</v>
      </c>
      <c r="M217"/>
    </row>
    <row r="218" spans="1:13">
      <c r="A218" s="1123" t="str">
        <f>CA!B163</f>
        <v>2 PF</v>
      </c>
      <c r="B218" s="1123" t="str">
        <f>CA!C163</f>
        <v>ABR COUPE</v>
      </c>
      <c r="C218" s="1123" t="str">
        <f>CA!D163</f>
        <v>Décembre</v>
      </c>
      <c r="D218" s="1123" t="str">
        <f>CA!E163</f>
        <v>NRK</v>
      </c>
      <c r="E218" s="1123" t="str">
        <f>CA!F163</f>
        <v>Japon</v>
      </c>
      <c r="F218" s="1125">
        <f>CA!G163*1000</f>
        <v>0</v>
      </c>
      <c r="G218" s="1125">
        <f>CA!H163</f>
        <v>1715000</v>
      </c>
      <c r="H218" s="1125">
        <f>CA!I163</f>
        <v>0</v>
      </c>
      <c r="I218" s="1125">
        <f>CA!J163</f>
        <v>0</v>
      </c>
      <c r="J218" s="1125">
        <f>CA!K163</f>
        <v>0</v>
      </c>
    </row>
    <row r="219" spans="1:13">
      <c r="A219" s="1123" t="str">
        <f>CA!B164</f>
        <v>2 PF</v>
      </c>
      <c r="B219" s="1123" t="str">
        <f>CA!C164</f>
        <v>ABR COUPE</v>
      </c>
      <c r="C219" s="1123" t="str">
        <f>CA!D164</f>
        <v>Décembre</v>
      </c>
      <c r="D219" s="1123" t="str">
        <f>CA!E164</f>
        <v>Goodies</v>
      </c>
      <c r="E219" s="1123" t="str">
        <f>CA!F164</f>
        <v>Chine</v>
      </c>
      <c r="F219" s="1125">
        <f>CA!G164*1000</f>
        <v>252000</v>
      </c>
      <c r="G219" s="1125">
        <f>CA!H164</f>
        <v>1912500</v>
      </c>
      <c r="H219" s="1125">
        <f>CA!I164</f>
        <v>481950000</v>
      </c>
      <c r="I219" s="1125">
        <f>CA!J164</f>
        <v>107100</v>
      </c>
      <c r="J219" s="1125">
        <f>CA!K164</f>
        <v>98357.142857142855</v>
      </c>
    </row>
    <row r="220" spans="1:13">
      <c r="A220" s="1123" t="str">
        <f>CA!B165</f>
        <v>2 PF</v>
      </c>
      <c r="B220" s="1123" t="str">
        <f>CA!C165</f>
        <v>ABR COUPE</v>
      </c>
      <c r="C220" s="1123" t="str">
        <f>CA!D165</f>
        <v>Décembre</v>
      </c>
      <c r="D220" s="1123" t="str">
        <f>CA!E165</f>
        <v>Elinar</v>
      </c>
      <c r="E220" s="1123" t="str">
        <f>CA!F165</f>
        <v>Russie</v>
      </c>
      <c r="F220" s="1125">
        <f>CA!G165*1000</f>
        <v>75600</v>
      </c>
      <c r="G220" s="1125">
        <f>CA!H165</f>
        <v>1470000</v>
      </c>
      <c r="H220" s="1125">
        <f>CA!I165</f>
        <v>111131999.99999999</v>
      </c>
      <c r="I220" s="1125">
        <f>CA!J165</f>
        <v>24695.999999999996</v>
      </c>
      <c r="J220" s="1125">
        <f>CA!K165</f>
        <v>22679.999999999996</v>
      </c>
    </row>
    <row r="221" spans="1:13">
      <c r="A221" s="1123" t="str">
        <f>CA!B166</f>
        <v>3 PF</v>
      </c>
      <c r="B221" s="1123" t="str">
        <f>CA!C166</f>
        <v>FP1 COUPE</v>
      </c>
      <c r="C221" s="1123" t="str">
        <f>CA!D166</f>
        <v>Décembre</v>
      </c>
      <c r="D221" s="1123" t="str">
        <f>CA!E166</f>
        <v>Okabe</v>
      </c>
      <c r="E221" s="1123" t="str">
        <f>CA!F166</f>
        <v>Japon</v>
      </c>
      <c r="F221" s="1125">
        <f>CA!G166*1000</f>
        <v>0</v>
      </c>
      <c r="G221" s="1125">
        <f>CA!H166</f>
        <v>2205000</v>
      </c>
      <c r="H221" s="1125">
        <f>CA!I166</f>
        <v>0</v>
      </c>
      <c r="I221" s="1125">
        <f>CA!J166</f>
        <v>0</v>
      </c>
      <c r="J221" s="1125">
        <f>CA!K166</f>
        <v>0</v>
      </c>
    </row>
    <row r="223" spans="1:13">
      <c r="A223" s="1122" t="s">
        <v>361</v>
      </c>
      <c r="D223" s="1128">
        <f>+SUBTOTAL(9,TProd[Quantité])</f>
        <v>8138000</v>
      </c>
      <c r="F223" s="1128">
        <f>+SUBTOTAL(9,TProd[Productions])</f>
        <v>11897458471.851543</v>
      </c>
    </row>
    <row r="224" spans="1:13">
      <c r="A224" s="1122" t="s">
        <v>1732</v>
      </c>
      <c r="B224" s="1122" t="s">
        <v>1743</v>
      </c>
      <c r="C224" s="1122" t="s">
        <v>807</v>
      </c>
      <c r="D224" s="1122" t="s">
        <v>1121</v>
      </c>
      <c r="E224" s="1122" t="s">
        <v>382</v>
      </c>
      <c r="F224" s="1122" t="s">
        <v>361</v>
      </c>
      <c r="G224" s="1123"/>
      <c r="H224" s="1123"/>
      <c r="I224" s="1123"/>
    </row>
    <row r="225" spans="1:6">
      <c r="A225" s="1123" t="str">
        <f>+Production!I139</f>
        <v>Janvier</v>
      </c>
      <c r="B225" s="1123" t="str">
        <f>+Production!J139</f>
        <v>1 PF</v>
      </c>
      <c r="C225" s="1123" t="str">
        <f>+Production!K139</f>
        <v>TRA COUPE</v>
      </c>
      <c r="D225" s="1125">
        <f>+Production!L139</f>
        <v>352000</v>
      </c>
      <c r="E225" s="1125">
        <f>+Production!M139</f>
        <v>1347.082450187246</v>
      </c>
      <c r="F225" s="1125">
        <f>+Production!N139</f>
        <v>474173022.46591055</v>
      </c>
    </row>
    <row r="226" spans="1:6">
      <c r="A226" s="1123" t="str">
        <f>+Production!I140</f>
        <v>Janvier</v>
      </c>
      <c r="B226" s="1123" t="str">
        <f>+Production!J140</f>
        <v>2 PF</v>
      </c>
      <c r="C226" s="1123" t="str">
        <f>+Production!K140</f>
        <v>ABR COUPE</v>
      </c>
      <c r="D226" s="1125">
        <f>+Production!L140</f>
        <v>334000</v>
      </c>
      <c r="E226" s="1125">
        <f>+Production!M140</f>
        <v>1347.0824501872457</v>
      </c>
      <c r="F226" s="1125">
        <f>+Production!N140</f>
        <v>449925538.36254007</v>
      </c>
    </row>
    <row r="227" spans="1:6">
      <c r="A227" s="1123" t="str">
        <f>+Production!I141</f>
        <v>Janvier</v>
      </c>
      <c r="B227" s="1123" t="str">
        <f>+Production!J141</f>
        <v>3 PF</v>
      </c>
      <c r="C227" s="1123" t="str">
        <f>+Production!K141</f>
        <v>FP1 COUPE</v>
      </c>
      <c r="D227" s="1125">
        <f>+Production!L141</f>
        <v>0</v>
      </c>
      <c r="E227" s="1125">
        <f>+Production!M141</f>
        <v>0</v>
      </c>
      <c r="F227" s="1125">
        <f>+Production!N141</f>
        <v>0</v>
      </c>
    </row>
    <row r="228" spans="1:6">
      <c r="A228" s="1123" t="str">
        <f>+Production!I142</f>
        <v>Février</v>
      </c>
      <c r="B228" s="1123" t="str">
        <f>+Production!J142</f>
        <v>1 PF</v>
      </c>
      <c r="C228" s="1123" t="str">
        <f>+Production!K142</f>
        <v>TRA COUPE</v>
      </c>
      <c r="D228" s="1125">
        <f>+Production!L142</f>
        <v>354000</v>
      </c>
      <c r="E228" s="1125">
        <f>+Production!M142</f>
        <v>1353.3999961169341</v>
      </c>
      <c r="F228" s="1125">
        <f>+Production!N142</f>
        <v>479103598.62539464</v>
      </c>
    </row>
    <row r="229" spans="1:6">
      <c r="A229" s="1123" t="str">
        <f>+Production!I143</f>
        <v>Février</v>
      </c>
      <c r="B229" s="1123" t="str">
        <f>+Production!J143</f>
        <v>2 PF</v>
      </c>
      <c r="C229" s="1123" t="str">
        <f>+Production!K143</f>
        <v>ABR COUPE</v>
      </c>
      <c r="D229" s="1125">
        <f>+Production!L143</f>
        <v>334000</v>
      </c>
      <c r="E229" s="1125">
        <f>+Production!M143</f>
        <v>1353.3999961169341</v>
      </c>
      <c r="F229" s="1125">
        <f>+Production!N143</f>
        <v>452035598.70305598</v>
      </c>
    </row>
    <row r="230" spans="1:6">
      <c r="A230" s="1123" t="str">
        <f>+Production!I144</f>
        <v>Février</v>
      </c>
      <c r="B230" s="1123" t="str">
        <f>+Production!J144</f>
        <v>3 PF</v>
      </c>
      <c r="C230" s="1123" t="str">
        <f>+Production!K144</f>
        <v>FP1 COUPE</v>
      </c>
      <c r="D230" s="1125">
        <f>+Production!L144</f>
        <v>0</v>
      </c>
      <c r="E230" s="1125">
        <f>+Production!M144</f>
        <v>0</v>
      </c>
      <c r="F230" s="1125">
        <f>+Production!N144</f>
        <v>0</v>
      </c>
    </row>
    <row r="231" spans="1:6">
      <c r="A231" s="1123" t="str">
        <f>+Production!I145</f>
        <v>Mars</v>
      </c>
      <c r="B231" s="1123" t="str">
        <f>+Production!J145</f>
        <v>1 PF</v>
      </c>
      <c r="C231" s="1123" t="str">
        <f>+Production!K145</f>
        <v>TRA COUPE</v>
      </c>
      <c r="D231" s="1125">
        <f>+Production!L145</f>
        <v>352000</v>
      </c>
      <c r="E231" s="1125">
        <f>+Production!M145</f>
        <v>1417.7085434817063</v>
      </c>
      <c r="F231" s="1125">
        <f>+Production!N145</f>
        <v>499033407.30556059</v>
      </c>
    </row>
    <row r="232" spans="1:6">
      <c r="A232" s="1123" t="str">
        <f>+Production!I146</f>
        <v>Mars</v>
      </c>
      <c r="B232" s="1123" t="str">
        <f>+Production!J146</f>
        <v>2 PF</v>
      </c>
      <c r="C232" s="1123" t="str">
        <f>+Production!K146</f>
        <v>ABR COUPE</v>
      </c>
      <c r="D232" s="1125">
        <f>+Production!L146</f>
        <v>334000</v>
      </c>
      <c r="E232" s="1125">
        <f>+Production!M146</f>
        <v>1417.7085434817061</v>
      </c>
      <c r="F232" s="1125">
        <f>+Production!N146</f>
        <v>473514653.52288985</v>
      </c>
    </row>
    <row r="233" spans="1:6">
      <c r="A233" s="1123" t="str">
        <f>+Production!I147</f>
        <v>Mars</v>
      </c>
      <c r="B233" s="1123" t="str">
        <f>+Production!J147</f>
        <v>3 PF</v>
      </c>
      <c r="C233" s="1123" t="str">
        <f>+Production!K147</f>
        <v>FP1 COUPE</v>
      </c>
      <c r="D233" s="1125">
        <f>+Production!L147</f>
        <v>0</v>
      </c>
      <c r="E233" s="1125">
        <f>+Production!M147</f>
        <v>0</v>
      </c>
      <c r="F233" s="1125">
        <f>+Production!N147</f>
        <v>0</v>
      </c>
    </row>
    <row r="234" spans="1:6">
      <c r="A234" s="1123" t="str">
        <f>+Production!I148</f>
        <v>Avril</v>
      </c>
      <c r="B234" s="1123" t="str">
        <f>+Production!J148</f>
        <v>1 PF</v>
      </c>
      <c r="C234" s="1123" t="str">
        <f>+Production!K148</f>
        <v>TRA COUPE</v>
      </c>
      <c r="D234" s="1125">
        <f>+Production!L148</f>
        <v>354000</v>
      </c>
      <c r="E234" s="1125">
        <f>+Production!M148</f>
        <v>1354.5598798378642</v>
      </c>
      <c r="F234" s="1125">
        <f>+Production!N148</f>
        <v>479514197.46260393</v>
      </c>
    </row>
    <row r="235" spans="1:6">
      <c r="A235" s="1123" t="str">
        <f>+Production!I149</f>
        <v>Avril</v>
      </c>
      <c r="B235" s="1123" t="str">
        <f>+Production!J149</f>
        <v>2 PF</v>
      </c>
      <c r="C235" s="1123" t="str">
        <f>+Production!K149</f>
        <v>ABR COUPE</v>
      </c>
      <c r="D235" s="1125">
        <f>+Production!L149</f>
        <v>334000</v>
      </c>
      <c r="E235" s="1125">
        <f>+Production!M149</f>
        <v>1354.5598798378642</v>
      </c>
      <c r="F235" s="1125">
        <f>+Production!N149</f>
        <v>452422999.86584663</v>
      </c>
    </row>
    <row r="236" spans="1:6">
      <c r="A236" s="1123" t="str">
        <f>+Production!I150</f>
        <v>Avril</v>
      </c>
      <c r="B236" s="1123" t="str">
        <f>+Production!J150</f>
        <v>3 PF</v>
      </c>
      <c r="C236" s="1123" t="str">
        <f>+Production!K150</f>
        <v>FP1 COUPE</v>
      </c>
      <c r="D236" s="1125">
        <f>+Production!L150</f>
        <v>0</v>
      </c>
      <c r="E236" s="1125">
        <f>+Production!M150</f>
        <v>0</v>
      </c>
      <c r="F236" s="1125">
        <f>+Production!N150</f>
        <v>0</v>
      </c>
    </row>
    <row r="237" spans="1:6">
      <c r="A237" s="1123" t="str">
        <f>+Production!I151</f>
        <v>Mai</v>
      </c>
      <c r="B237" s="1123" t="str">
        <f>+Production!J151</f>
        <v>1 PF</v>
      </c>
      <c r="C237" s="1123" t="str">
        <f>+Production!K151</f>
        <v>TRA COUPE</v>
      </c>
      <c r="D237" s="1125">
        <f>+Production!L151</f>
        <v>352000</v>
      </c>
      <c r="E237" s="1125">
        <f>+Production!M151</f>
        <v>1366.4216000413528</v>
      </c>
      <c r="F237" s="1125">
        <f>+Production!N151</f>
        <v>480980403.21455616</v>
      </c>
    </row>
    <row r="238" spans="1:6">
      <c r="A238" s="1123" t="str">
        <f>+Production!I152</f>
        <v>Mai</v>
      </c>
      <c r="B238" s="1123" t="str">
        <f>+Production!J152</f>
        <v>2 PF</v>
      </c>
      <c r="C238" s="1123" t="str">
        <f>+Production!K152</f>
        <v>ABR COUPE</v>
      </c>
      <c r="D238" s="1125">
        <f>+Production!L152</f>
        <v>334000</v>
      </c>
      <c r="E238" s="1125">
        <f>+Production!M152</f>
        <v>1366.4216000413528</v>
      </c>
      <c r="F238" s="1125">
        <f>+Production!N152</f>
        <v>456384814.4138118</v>
      </c>
    </row>
    <row r="239" spans="1:6">
      <c r="A239" s="1123" t="str">
        <f>+Production!I153</f>
        <v>Mai</v>
      </c>
      <c r="B239" s="1123" t="str">
        <f>+Production!J153</f>
        <v>3 PF</v>
      </c>
      <c r="C239" s="1123" t="str">
        <f>+Production!K153</f>
        <v>FP1 COUPE</v>
      </c>
      <c r="D239" s="1125">
        <f>+Production!L153</f>
        <v>0</v>
      </c>
      <c r="E239" s="1125">
        <f>+Production!M153</f>
        <v>0</v>
      </c>
      <c r="F239" s="1125">
        <f>+Production!N153</f>
        <v>0</v>
      </c>
    </row>
    <row r="240" spans="1:6">
      <c r="A240" s="1123" t="str">
        <f>+Production!I154</f>
        <v>Juin</v>
      </c>
      <c r="B240" s="1123" t="str">
        <f>+Production!J154</f>
        <v>1 PF</v>
      </c>
      <c r="C240" s="1123" t="str">
        <f>+Production!K154</f>
        <v>TRA COUPE</v>
      </c>
      <c r="D240" s="1125">
        <f>+Production!L154</f>
        <v>354000</v>
      </c>
      <c r="E240" s="1125">
        <f>+Production!M154</f>
        <v>1397.0773216983291</v>
      </c>
      <c r="F240" s="1125">
        <f>+Production!N154</f>
        <v>494565371.88120848</v>
      </c>
    </row>
    <row r="241" spans="1:6">
      <c r="A241" s="1123" t="str">
        <f>+Production!I155</f>
        <v>Juin</v>
      </c>
      <c r="B241" s="1123" t="str">
        <f>+Production!J155</f>
        <v>2 PF</v>
      </c>
      <c r="C241" s="1123" t="str">
        <f>+Production!K155</f>
        <v>ABR COUPE</v>
      </c>
      <c r="D241" s="1125">
        <f>+Production!L155</f>
        <v>334000</v>
      </c>
      <c r="E241" s="1125">
        <f>+Production!M155</f>
        <v>1397.0773216983291</v>
      </c>
      <c r="F241" s="1125">
        <f>+Production!N155</f>
        <v>466623825.4472419</v>
      </c>
    </row>
    <row r="242" spans="1:6">
      <c r="A242" s="1123" t="str">
        <f>+Production!I156</f>
        <v>Juin</v>
      </c>
      <c r="B242" s="1123" t="str">
        <f>+Production!J156</f>
        <v>3 PF</v>
      </c>
      <c r="C242" s="1123" t="str">
        <f>+Production!K156</f>
        <v>FP1 COUPE</v>
      </c>
      <c r="D242" s="1125">
        <f>+Production!L156</f>
        <v>0</v>
      </c>
      <c r="E242" s="1125">
        <f>+Production!M156</f>
        <v>0</v>
      </c>
      <c r="F242" s="1125">
        <f>+Production!N156</f>
        <v>0</v>
      </c>
    </row>
    <row r="243" spans="1:6">
      <c r="A243" s="1123" t="str">
        <f>+Production!I157</f>
        <v>Juillet</v>
      </c>
      <c r="B243" s="1123" t="str">
        <f>+Production!J157</f>
        <v>1 PF</v>
      </c>
      <c r="C243" s="1123" t="str">
        <f>+Production!K157</f>
        <v>TRA COUPE</v>
      </c>
      <c r="D243" s="1125">
        <f>+Production!L157</f>
        <v>352000</v>
      </c>
      <c r="E243" s="1125">
        <f>+Production!M157</f>
        <v>1355.1910507703362</v>
      </c>
      <c r="F243" s="1125">
        <f>+Production!N157</f>
        <v>477027249.87115836</v>
      </c>
    </row>
    <row r="244" spans="1:6">
      <c r="A244" s="1123" t="str">
        <f>+Production!I158</f>
        <v>Juillet</v>
      </c>
      <c r="B244" s="1123" t="str">
        <f>+Production!J158</f>
        <v>2 PF</v>
      </c>
      <c r="C244" s="1123" t="str">
        <f>+Production!K158</f>
        <v>ABR COUPE</v>
      </c>
      <c r="D244" s="1125">
        <f>+Production!L158</f>
        <v>334000</v>
      </c>
      <c r="E244" s="1125">
        <f>+Production!M158</f>
        <v>1355.191050770336</v>
      </c>
      <c r="F244" s="1125">
        <f>+Production!N158</f>
        <v>452633810.95729226</v>
      </c>
    </row>
    <row r="245" spans="1:6">
      <c r="A245" s="1123" t="str">
        <f>+Production!I159</f>
        <v>Juillet</v>
      </c>
      <c r="B245" s="1123" t="str">
        <f>+Production!J159</f>
        <v>3 PF</v>
      </c>
      <c r="C245" s="1123" t="str">
        <f>+Production!K159</f>
        <v>FP1 COUPE</v>
      </c>
      <c r="D245" s="1125">
        <f>+Production!L159</f>
        <v>0</v>
      </c>
      <c r="E245" s="1125">
        <f>+Production!M159</f>
        <v>0</v>
      </c>
      <c r="F245" s="1125">
        <f>+Production!N159</f>
        <v>0</v>
      </c>
    </row>
    <row r="246" spans="1:6">
      <c r="A246" s="1123" t="str">
        <f>+Production!I160</f>
        <v>Août</v>
      </c>
      <c r="B246" s="1123" t="str">
        <f>+Production!J160</f>
        <v>1 PF</v>
      </c>
      <c r="C246" s="1123" t="str">
        <f>+Production!K160</f>
        <v>TRA COUPE</v>
      </c>
      <c r="D246" s="1125">
        <f>+Production!L160</f>
        <v>354000</v>
      </c>
      <c r="E246" s="1125">
        <f>+Production!M160</f>
        <v>1351.9525225401696</v>
      </c>
      <c r="F246" s="1125">
        <f>+Production!N160</f>
        <v>478591192.97922009</v>
      </c>
    </row>
    <row r="247" spans="1:6">
      <c r="A247" s="1123" t="str">
        <f>+Production!I161</f>
        <v>Août</v>
      </c>
      <c r="B247" s="1123" t="str">
        <f>+Production!J161</f>
        <v>2 PF</v>
      </c>
      <c r="C247" s="1123" t="str">
        <f>+Production!K161</f>
        <v>ABR COUPE</v>
      </c>
      <c r="D247" s="1125">
        <f>+Production!L161</f>
        <v>334000</v>
      </c>
      <c r="E247" s="1125">
        <f>+Production!M161</f>
        <v>1351.9525225401696</v>
      </c>
      <c r="F247" s="1125">
        <f>+Production!N161</f>
        <v>451552142.52841669</v>
      </c>
    </row>
    <row r="248" spans="1:6">
      <c r="A248" s="1123" t="str">
        <f>+Production!I162</f>
        <v>Août</v>
      </c>
      <c r="B248" s="1123" t="str">
        <f>+Production!J162</f>
        <v>3 PF</v>
      </c>
      <c r="C248" s="1123" t="str">
        <f>+Production!K162</f>
        <v>FP1 COUPE</v>
      </c>
      <c r="D248" s="1125">
        <f>+Production!L162</f>
        <v>0</v>
      </c>
      <c r="E248" s="1125">
        <f>+Production!M162</f>
        <v>0</v>
      </c>
      <c r="F248" s="1125">
        <f>+Production!N162</f>
        <v>0</v>
      </c>
    </row>
    <row r="249" spans="1:6">
      <c r="A249" s="1123" t="str">
        <f>+Production!I163</f>
        <v>Septembre</v>
      </c>
      <c r="B249" s="1123" t="str">
        <f>+Production!J163</f>
        <v>1 PF</v>
      </c>
      <c r="C249" s="1123" t="str">
        <f>+Production!K163</f>
        <v>TRA COUPE</v>
      </c>
      <c r="D249" s="1125">
        <f>+Production!L163</f>
        <v>338000</v>
      </c>
      <c r="E249" s="1125">
        <f>+Production!M163</f>
        <v>1401.7870254018351</v>
      </c>
      <c r="F249" s="1125">
        <f>+Production!N163</f>
        <v>473804014.58582026</v>
      </c>
    </row>
    <row r="250" spans="1:6">
      <c r="A250" s="1123" t="str">
        <f>+Production!I164</f>
        <v>Septembre</v>
      </c>
      <c r="B250" s="1123" t="str">
        <f>+Production!J164</f>
        <v>2 PF</v>
      </c>
      <c r="C250" s="1123" t="str">
        <f>+Production!K164</f>
        <v>ABR COUPE</v>
      </c>
      <c r="D250" s="1125">
        <f>+Production!L164</f>
        <v>321000</v>
      </c>
      <c r="E250" s="1125">
        <f>+Production!M164</f>
        <v>1401.7870254018351</v>
      </c>
      <c r="F250" s="1125">
        <f>+Production!N164</f>
        <v>449973635.15398908</v>
      </c>
    </row>
    <row r="251" spans="1:6">
      <c r="A251" s="1123" t="str">
        <f>+Production!I165</f>
        <v>Septembre</v>
      </c>
      <c r="B251" s="1123" t="str">
        <f>+Production!J165</f>
        <v>3 PF</v>
      </c>
      <c r="C251" s="1123" t="str">
        <f>+Production!K165</f>
        <v>FP1 COUPE</v>
      </c>
      <c r="D251" s="1125">
        <f>+Production!L165</f>
        <v>0</v>
      </c>
      <c r="E251" s="1125">
        <f>+Production!M165</f>
        <v>0</v>
      </c>
      <c r="F251" s="1125">
        <f>+Production!N165</f>
        <v>0</v>
      </c>
    </row>
    <row r="252" spans="1:6">
      <c r="A252" s="1123" t="str">
        <f>+Production!I166</f>
        <v>Octobre</v>
      </c>
      <c r="B252" s="1123" t="str">
        <f>+Production!J166</f>
        <v>1 PF</v>
      </c>
      <c r="C252" s="1123" t="str">
        <f>+Production!K166</f>
        <v>TRA COUPE</v>
      </c>
      <c r="D252" s="1125">
        <f>+Production!L166</f>
        <v>341000</v>
      </c>
      <c r="E252" s="1125">
        <f>+Production!M166</f>
        <v>1369.2169659819008</v>
      </c>
      <c r="F252" s="1125">
        <f>+Production!N166</f>
        <v>466902985.3998282</v>
      </c>
    </row>
    <row r="253" spans="1:6">
      <c r="A253" s="1123" t="str">
        <f>+Production!I167</f>
        <v>Octobre</v>
      </c>
      <c r="B253" s="1123" t="str">
        <f>+Production!J167</f>
        <v>2 PF</v>
      </c>
      <c r="C253" s="1123" t="str">
        <f>+Production!K167</f>
        <v>ABR COUPE</v>
      </c>
      <c r="D253" s="1125">
        <f>+Production!L167</f>
        <v>321000</v>
      </c>
      <c r="E253" s="1125">
        <f>+Production!M167</f>
        <v>1369.2169659819008</v>
      </c>
      <c r="F253" s="1125">
        <f>+Production!N167</f>
        <v>439518646.08019012</v>
      </c>
    </row>
    <row r="254" spans="1:6">
      <c r="A254" s="1123" t="str">
        <f>+Production!I168</f>
        <v>Octobre</v>
      </c>
      <c r="B254" s="1123" t="str">
        <f>+Production!J168</f>
        <v>3 PF</v>
      </c>
      <c r="C254" s="1123" t="str">
        <f>+Production!K168</f>
        <v>FP1 COUPE</v>
      </c>
      <c r="D254" s="1125">
        <f>+Production!L168</f>
        <v>0</v>
      </c>
      <c r="E254" s="1125">
        <f>+Production!M168</f>
        <v>0</v>
      </c>
      <c r="F254" s="1125">
        <f>+Production!N168</f>
        <v>0</v>
      </c>
    </row>
    <row r="255" spans="1:6">
      <c r="A255" s="1123" t="str">
        <f>+Production!I169</f>
        <v>Novembre</v>
      </c>
      <c r="B255" s="1123" t="str">
        <f>+Production!J169</f>
        <v>1 PF</v>
      </c>
      <c r="C255" s="1123" t="str">
        <f>+Production!K169</f>
        <v>TRA COUPE</v>
      </c>
      <c r="D255" s="1125">
        <f>+Production!L169</f>
        <v>338000</v>
      </c>
      <c r="E255" s="1125">
        <f>+Production!M169</f>
        <v>1369.0739854629198</v>
      </c>
      <c r="F255" s="1125">
        <f>+Production!N169</f>
        <v>462747007.08646691</v>
      </c>
    </row>
    <row r="256" spans="1:6">
      <c r="A256" s="1123" t="str">
        <f>+Production!I170</f>
        <v>Novembre</v>
      </c>
      <c r="B256" s="1123" t="str">
        <f>+Production!J170</f>
        <v>2 PF</v>
      </c>
      <c r="C256" s="1123" t="str">
        <f>+Production!K170</f>
        <v>ABR COUPE</v>
      </c>
      <c r="D256" s="1125">
        <f>+Production!L170</f>
        <v>321000</v>
      </c>
      <c r="E256" s="1125">
        <f>+Production!M170</f>
        <v>1369.0739854629196</v>
      </c>
      <c r="F256" s="1125">
        <f>+Production!N170</f>
        <v>439472749.33359718</v>
      </c>
    </row>
    <row r="257" spans="1:6">
      <c r="A257" s="1123" t="str">
        <f>+Production!I171</f>
        <v>Novembre</v>
      </c>
      <c r="B257" s="1123" t="str">
        <f>+Production!J171</f>
        <v>3 PF</v>
      </c>
      <c r="C257" s="1123" t="str">
        <f>+Production!K171</f>
        <v>FP1 COUPE</v>
      </c>
      <c r="D257" s="1125">
        <f>+Production!L171</f>
        <v>0</v>
      </c>
      <c r="E257" s="1125">
        <f>+Production!M171</f>
        <v>0</v>
      </c>
      <c r="F257" s="1125">
        <f>+Production!N171</f>
        <v>0</v>
      </c>
    </row>
    <row r="258" spans="1:6">
      <c r="A258" s="1123" t="str">
        <f>+Production!I172</f>
        <v>Décembre</v>
      </c>
      <c r="B258" s="1123" t="str">
        <f>+Production!J172</f>
        <v>1 PF</v>
      </c>
      <c r="C258" s="1123" t="str">
        <f>+Production!K172</f>
        <v>TRA COUPE</v>
      </c>
      <c r="D258" s="1125">
        <f>+Production!L172</f>
        <v>341000</v>
      </c>
      <c r="E258" s="1125">
        <f>+Production!M172</f>
        <v>2487.8513694938724</v>
      </c>
      <c r="F258" s="1125">
        <f>+Production!N172</f>
        <v>848357316.99741054</v>
      </c>
    </row>
    <row r="259" spans="1:6">
      <c r="A259" s="1123" t="str">
        <f>+Production!I173</f>
        <v>Décembre</v>
      </c>
      <c r="B259" s="1123" t="str">
        <f>+Production!J173</f>
        <v>2 PF</v>
      </c>
      <c r="C259" s="1123" t="str">
        <f>+Production!K173</f>
        <v>ABR COUPE</v>
      </c>
      <c r="D259" s="1125">
        <f>+Production!L173</f>
        <v>321000</v>
      </c>
      <c r="E259" s="1125">
        <f>+Production!M173</f>
        <v>2487.8513694938724</v>
      </c>
      <c r="F259" s="1125">
        <f>+Production!N173</f>
        <v>798600289.6075331</v>
      </c>
    </row>
    <row r="260" spans="1:6">
      <c r="A260" s="1123" t="str">
        <f>+Production!I174</f>
        <v>Décembre</v>
      </c>
      <c r="B260" s="1123" t="str">
        <f>+Production!J174</f>
        <v>3 PF</v>
      </c>
      <c r="C260" s="1123" t="str">
        <f>+Production!K174</f>
        <v>FP1 COUPE</v>
      </c>
      <c r="D260" s="1125">
        <f>+Production!L174</f>
        <v>0</v>
      </c>
      <c r="E260" s="1125">
        <f>+Production!M174</f>
        <v>0</v>
      </c>
      <c r="F260" s="1125">
        <f>+Production!N174</f>
        <v>0</v>
      </c>
    </row>
  </sheetData>
  <dataConsolidate/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22EA-58A8-4004-B11B-E10EE25D57EF}">
  <sheetPr codeName="Feuil32"/>
  <dimension ref="J5:AW15"/>
  <sheetViews>
    <sheetView showGridLines="0" topLeftCell="Q41" zoomScale="115" zoomScaleNormal="106" workbookViewId="0">
      <selection activeCell="AX9" sqref="AX9"/>
    </sheetView>
  </sheetViews>
  <sheetFormatPr baseColWidth="10" defaultColWidth="4.7109375" defaultRowHeight="15"/>
  <cols>
    <col min="10" max="10" width="2" style="1130" customWidth="1"/>
    <col min="11" max="48" width="4.7109375" style="1130"/>
    <col min="49" max="49" width="3.140625" style="1130" customWidth="1"/>
  </cols>
  <sheetData>
    <row r="5" spans="11:48" ht="15" customHeight="1">
      <c r="K5" s="1299" t="s">
        <v>1834</v>
      </c>
      <c r="L5" s="1299"/>
      <c r="M5" s="1299"/>
      <c r="N5" s="1299"/>
      <c r="O5" s="1299"/>
      <c r="P5" s="1299"/>
      <c r="Q5" s="1299"/>
      <c r="R5" s="1299"/>
      <c r="S5" s="1299"/>
      <c r="T5" s="1299"/>
      <c r="U5" s="1299"/>
      <c r="V5" s="1299"/>
      <c r="W5" s="1299"/>
      <c r="X5" s="1299"/>
      <c r="Y5" s="1299"/>
      <c r="Z5" s="1299"/>
      <c r="AA5" s="1299"/>
      <c r="AB5" s="1299"/>
      <c r="AC5" s="1299"/>
      <c r="AD5" s="1299"/>
      <c r="AE5" s="1299"/>
      <c r="AF5" s="1299"/>
      <c r="AG5" s="1299"/>
      <c r="AH5" s="1299"/>
      <c r="AI5" s="1299"/>
      <c r="AJ5" s="1299"/>
      <c r="AK5" s="1299"/>
      <c r="AL5" s="1299"/>
      <c r="AM5" s="1299"/>
      <c r="AN5" s="1299"/>
      <c r="AO5" s="1299"/>
      <c r="AP5" s="1299"/>
      <c r="AQ5" s="1299"/>
      <c r="AR5" s="1299"/>
      <c r="AS5" s="1299"/>
      <c r="AT5" s="1299"/>
      <c r="AU5" s="1299"/>
      <c r="AV5" s="1299"/>
    </row>
    <row r="6" spans="11:48" ht="15" customHeight="1">
      <c r="K6" s="1299"/>
      <c r="L6" s="1299"/>
      <c r="M6" s="1299"/>
      <c r="N6" s="1299"/>
      <c r="O6" s="1299"/>
      <c r="P6" s="1299"/>
      <c r="Q6" s="1299"/>
      <c r="R6" s="1299"/>
      <c r="S6" s="1299"/>
      <c r="T6" s="1299"/>
      <c r="U6" s="1299"/>
      <c r="V6" s="1299"/>
      <c r="W6" s="1299"/>
      <c r="X6" s="1299"/>
      <c r="Y6" s="1299"/>
      <c r="Z6" s="1299"/>
      <c r="AA6" s="1299"/>
      <c r="AB6" s="1299"/>
      <c r="AC6" s="1299"/>
      <c r="AD6" s="1299"/>
      <c r="AE6" s="1299"/>
      <c r="AF6" s="1299"/>
      <c r="AG6" s="1299"/>
      <c r="AH6" s="1299"/>
      <c r="AI6" s="1299"/>
      <c r="AJ6" s="1299"/>
      <c r="AK6" s="1299"/>
      <c r="AL6" s="1299"/>
      <c r="AM6" s="1299"/>
      <c r="AN6" s="1299"/>
      <c r="AO6" s="1299"/>
      <c r="AP6" s="1299"/>
      <c r="AQ6" s="1299"/>
      <c r="AR6" s="1299"/>
      <c r="AS6" s="1299"/>
      <c r="AT6" s="1299"/>
      <c r="AU6" s="1299"/>
      <c r="AV6" s="1299"/>
    </row>
    <row r="7" spans="11:48" ht="15" customHeight="1">
      <c r="K7" s="1299"/>
      <c r="L7" s="1299"/>
      <c r="M7" s="1299"/>
      <c r="N7" s="1299"/>
      <c r="O7" s="1299"/>
      <c r="P7" s="1299"/>
      <c r="Q7" s="1299"/>
      <c r="R7" s="1299"/>
      <c r="S7" s="1299"/>
      <c r="T7" s="1299"/>
      <c r="U7" s="1299"/>
      <c r="V7" s="1299"/>
      <c r="W7" s="1299"/>
      <c r="X7" s="1299"/>
      <c r="Y7" s="1299"/>
      <c r="Z7" s="1299"/>
      <c r="AA7" s="1299"/>
      <c r="AB7" s="1299"/>
      <c r="AC7" s="1299"/>
      <c r="AD7" s="1299"/>
      <c r="AE7" s="1299"/>
      <c r="AF7" s="1299"/>
      <c r="AG7" s="1299"/>
      <c r="AH7" s="1299"/>
      <c r="AI7" s="1299"/>
      <c r="AJ7" s="1299"/>
      <c r="AK7" s="1299"/>
      <c r="AL7" s="1299"/>
      <c r="AM7" s="1299"/>
      <c r="AN7" s="1299"/>
      <c r="AO7" s="1299"/>
      <c r="AP7" s="1299"/>
      <c r="AQ7" s="1299"/>
      <c r="AR7" s="1299"/>
      <c r="AS7" s="1299"/>
      <c r="AT7" s="1299"/>
      <c r="AU7" s="1299"/>
      <c r="AV7" s="1299"/>
    </row>
    <row r="8" spans="11:48" ht="3" customHeight="1">
      <c r="K8" s="1133"/>
      <c r="L8" s="1133"/>
      <c r="M8" s="1133"/>
      <c r="N8" s="1133"/>
      <c r="O8" s="1133"/>
      <c r="P8" s="1133"/>
      <c r="Q8" s="1133"/>
      <c r="R8" s="1133"/>
      <c r="S8" s="1133"/>
      <c r="T8" s="1133"/>
      <c r="U8" s="1133"/>
      <c r="V8" s="1133"/>
      <c r="W8" s="1133"/>
      <c r="X8" s="1133"/>
      <c r="Y8" s="1133"/>
      <c r="Z8" s="1133"/>
      <c r="AA8" s="1133"/>
      <c r="AB8" s="1133"/>
      <c r="AC8" s="1133"/>
      <c r="AD8" s="1133"/>
      <c r="AE8" s="1133"/>
      <c r="AF8" s="1133"/>
      <c r="AG8" s="1133"/>
      <c r="AH8" s="1133"/>
      <c r="AI8" s="1133"/>
      <c r="AJ8" s="1133"/>
      <c r="AK8" s="1133"/>
      <c r="AL8" s="1133"/>
      <c r="AM8" s="1133"/>
      <c r="AN8" s="1133"/>
      <c r="AO8" s="1133"/>
      <c r="AP8" s="1133"/>
      <c r="AQ8" s="1133"/>
      <c r="AR8" s="1133"/>
      <c r="AS8" s="1133"/>
      <c r="AT8" s="1133"/>
      <c r="AU8" s="1133"/>
      <c r="AV8" s="1133"/>
    </row>
    <row r="11" spans="11:48" ht="14.45" customHeight="1">
      <c r="K11" s="1131"/>
      <c r="L11" s="1131"/>
      <c r="M11" s="1131"/>
      <c r="N11" s="1131"/>
      <c r="O11" s="1131"/>
      <c r="R11" s="1131"/>
      <c r="S11" s="1131"/>
      <c r="T11" s="1131"/>
      <c r="U11" s="1131"/>
      <c r="X11" s="1131"/>
      <c r="Y11" s="1131"/>
      <c r="Z11" s="1131"/>
      <c r="AA11" s="1131"/>
    </row>
    <row r="12" spans="11:48" ht="14.45" customHeight="1">
      <c r="K12" s="1131"/>
      <c r="L12" s="1131"/>
      <c r="M12" s="1131"/>
      <c r="N12" s="1131"/>
      <c r="O12" s="1131"/>
      <c r="R12" s="1131"/>
      <c r="S12" s="1131"/>
      <c r="T12" s="1131"/>
      <c r="U12" s="1131"/>
      <c r="X12" s="1131"/>
      <c r="Y12" s="1131"/>
      <c r="Z12" s="1131"/>
      <c r="AA12" s="1131"/>
    </row>
    <row r="13" spans="11:48" ht="8.4499999999999993" customHeight="1">
      <c r="K13" s="1131"/>
      <c r="L13" s="1131"/>
      <c r="M13" s="1131"/>
      <c r="N13" s="1131"/>
      <c r="O13" s="1131"/>
      <c r="R13" s="1131"/>
      <c r="S13" s="1131"/>
      <c r="T13" s="1131"/>
      <c r="U13" s="1131"/>
      <c r="X13" s="1131"/>
      <c r="Y13" s="1131"/>
      <c r="Z13" s="1131"/>
      <c r="AA13" s="1131"/>
    </row>
    <row r="15" spans="11:48">
      <c r="AF15" s="1132"/>
    </row>
  </sheetData>
  <mergeCells count="1">
    <mergeCell ref="K5:AV7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E7400-71A7-40A1-B2E7-A4DB17AFE1BF}">
  <sheetPr codeName="Feuil34"/>
  <dimension ref="B1:R292"/>
  <sheetViews>
    <sheetView topLeftCell="B1" zoomScale="98" zoomScaleNormal="98" workbookViewId="0">
      <selection activeCell="E15" sqref="E15"/>
    </sheetView>
  </sheetViews>
  <sheetFormatPr baseColWidth="10" defaultRowHeight="16.5"/>
  <cols>
    <col min="1" max="1" width="2.140625" style="198" customWidth="1"/>
    <col min="2" max="2" width="18.140625" style="198" customWidth="1"/>
    <col min="3" max="3" width="13.28515625" style="198" bestFit="1" customWidth="1"/>
    <col min="4" max="4" width="13.85546875" style="198" bestFit="1" customWidth="1"/>
    <col min="5" max="6" width="14.7109375" style="198" bestFit="1" customWidth="1"/>
    <col min="7" max="7" width="12.7109375" style="198" bestFit="1" customWidth="1"/>
    <col min="8" max="8" width="17.28515625" style="198" bestFit="1" customWidth="1"/>
    <col min="9" max="9" width="13.7109375" style="198" bestFit="1" customWidth="1"/>
    <col min="10" max="11" width="17.28515625" style="198" bestFit="1" customWidth="1"/>
    <col min="12" max="12" width="13.7109375" style="198" bestFit="1" customWidth="1"/>
    <col min="13" max="14" width="13.28515625" style="198" bestFit="1" customWidth="1"/>
    <col min="15" max="15" width="13.7109375" style="198" bestFit="1" customWidth="1"/>
    <col min="16" max="16384" width="11.42578125" style="198"/>
  </cols>
  <sheetData>
    <row r="1" spans="2:16" ht="17.25" thickBot="1">
      <c r="B1" s="199" t="s">
        <v>961</v>
      </c>
    </row>
    <row r="2" spans="2:16">
      <c r="B2" s="407" t="s">
        <v>1095</v>
      </c>
      <c r="C2" s="408" t="s">
        <v>473</v>
      </c>
      <c r="D2" s="408" t="s">
        <v>474</v>
      </c>
      <c r="E2" s="408" t="s">
        <v>475</v>
      </c>
      <c r="F2" s="408" t="s">
        <v>476</v>
      </c>
      <c r="G2" s="408" t="s">
        <v>477</v>
      </c>
      <c r="H2" s="408" t="s">
        <v>478</v>
      </c>
      <c r="I2" s="408" t="s">
        <v>479</v>
      </c>
      <c r="J2" s="408" t="s">
        <v>480</v>
      </c>
      <c r="K2" s="408" t="s">
        <v>481</v>
      </c>
      <c r="L2" s="408" t="s">
        <v>482</v>
      </c>
      <c r="M2" s="408" t="s">
        <v>483</v>
      </c>
      <c r="N2" s="408" t="s">
        <v>484</v>
      </c>
      <c r="O2" s="408" t="str">
        <f>+Production!P8</f>
        <v>Total</v>
      </c>
    </row>
    <row r="3" spans="2:16">
      <c r="B3" s="406" t="str">
        <f>+'Données SOMIDA'!C31</f>
        <v>TRA GAZ</v>
      </c>
      <c r="C3" s="245">
        <f>+Production!D9/'Données SOMIDA'!$D$58</f>
        <v>440000</v>
      </c>
      <c r="D3" s="245">
        <f>+Production!E9/'Données SOMIDA'!$D$58</f>
        <v>442500</v>
      </c>
      <c r="E3" s="245">
        <f>+Production!F9/'Données SOMIDA'!$D$58</f>
        <v>440000</v>
      </c>
      <c r="F3" s="245">
        <f>+Production!G9/'Données SOMIDA'!$D$58</f>
        <v>442500</v>
      </c>
      <c r="G3" s="245">
        <f>+Production!H9/'Données SOMIDA'!$D$58</f>
        <v>440000</v>
      </c>
      <c r="H3" s="245">
        <f>+Production!I9/'Données SOMIDA'!$D$58</f>
        <v>442500</v>
      </c>
      <c r="I3" s="245">
        <f>+Production!J9/'Données SOMIDA'!$D$58</f>
        <v>440000</v>
      </c>
      <c r="J3" s="245">
        <f>+Production!K9/'Données SOMIDA'!$D$58</f>
        <v>442500</v>
      </c>
      <c r="K3" s="245">
        <f>+Production!L9/'Données SOMIDA'!$D$58</f>
        <v>422500</v>
      </c>
      <c r="L3" s="245">
        <f>+Production!M9/'Données SOMIDA'!$D$58</f>
        <v>426250</v>
      </c>
      <c r="M3" s="245">
        <f>+Production!N9/'Données SOMIDA'!$D$58</f>
        <v>422500</v>
      </c>
      <c r="N3" s="245">
        <f>+Production!O9/'Données SOMIDA'!$D$58</f>
        <v>426250</v>
      </c>
      <c r="O3" s="245">
        <f>SUM(C3:N3)</f>
        <v>5227500</v>
      </c>
    </row>
    <row r="4" spans="2:16">
      <c r="B4" s="406" t="str">
        <f>+'Données SOMIDA'!C32</f>
        <v>ABR GAZ</v>
      </c>
      <c r="C4" s="245">
        <f>+Production!D10/'Données SOMIDA'!$D$58</f>
        <v>417500</v>
      </c>
      <c r="D4" s="245">
        <f>+Production!E10/'Données SOMIDA'!$D$58</f>
        <v>417500</v>
      </c>
      <c r="E4" s="245">
        <f>+Production!F10/'Données SOMIDA'!$D$58</f>
        <v>417500</v>
      </c>
      <c r="F4" s="245">
        <f>+Production!G10/'Données SOMIDA'!$D$58</f>
        <v>417500</v>
      </c>
      <c r="G4" s="245">
        <f>+Production!H10/'Données SOMIDA'!$D$58</f>
        <v>417500</v>
      </c>
      <c r="H4" s="245">
        <f>+Production!I10/'Données SOMIDA'!$D$58</f>
        <v>417500</v>
      </c>
      <c r="I4" s="245">
        <f>+Production!J10/'Données SOMIDA'!$D$58</f>
        <v>417500</v>
      </c>
      <c r="J4" s="245">
        <f>+Production!K10/'Données SOMIDA'!$D$58</f>
        <v>417500</v>
      </c>
      <c r="K4" s="245">
        <f>+Production!L10/'Données SOMIDA'!$D$58</f>
        <v>401250</v>
      </c>
      <c r="L4" s="245">
        <f>+Production!M10/'Données SOMIDA'!$D$58</f>
        <v>401250</v>
      </c>
      <c r="M4" s="245">
        <f>+Production!N10/'Données SOMIDA'!$D$58</f>
        <v>401250</v>
      </c>
      <c r="N4" s="245">
        <f>+Production!O10/'Données SOMIDA'!$D$58</f>
        <v>401250</v>
      </c>
      <c r="O4" s="245">
        <f>SUM(C4:N4)</f>
        <v>4945000</v>
      </c>
    </row>
    <row r="5" spans="2:16">
      <c r="B5" s="406" t="str">
        <f>+'Données SOMIDA'!C33</f>
        <v>FP1 GAZ</v>
      </c>
      <c r="C5" s="245">
        <f>+Production!D11*100/80</f>
        <v>0</v>
      </c>
      <c r="D5" s="245">
        <f>+Production!E11*100/80</f>
        <v>0</v>
      </c>
      <c r="E5" s="245">
        <f>+Production!F11*100/80</f>
        <v>0</v>
      </c>
      <c r="F5" s="245">
        <f>+Production!G11*100/80</f>
        <v>0</v>
      </c>
      <c r="G5" s="245">
        <f>+Production!H11*100/80</f>
        <v>0</v>
      </c>
      <c r="H5" s="245">
        <f>+Production!I11*100/80</f>
        <v>0</v>
      </c>
      <c r="I5" s="245">
        <f>+Production!J11*100/80</f>
        <v>0</v>
      </c>
      <c r="J5" s="245">
        <f>+Production!K11*100/80</f>
        <v>0</v>
      </c>
      <c r="K5" s="245">
        <f>+Production!L11*100/80</f>
        <v>0</v>
      </c>
      <c r="L5" s="245">
        <f>+Production!M11*100/80</f>
        <v>0</v>
      </c>
      <c r="M5" s="245">
        <f>+Production!N11*100/80</f>
        <v>0</v>
      </c>
      <c r="N5" s="245">
        <f>+Production!O11*100/80</f>
        <v>0</v>
      </c>
      <c r="O5" s="245">
        <f>SUM(C5:N5)</f>
        <v>0</v>
      </c>
    </row>
    <row r="6" spans="2:16" ht="17.25" thickBot="1">
      <c r="B6" s="409" t="s">
        <v>362</v>
      </c>
      <c r="C6" s="410">
        <f t="shared" ref="C6:O6" si="0">SUM(C3:C5)</f>
        <v>857500</v>
      </c>
      <c r="D6" s="410">
        <f t="shared" si="0"/>
        <v>860000</v>
      </c>
      <c r="E6" s="410">
        <f t="shared" si="0"/>
        <v>857500</v>
      </c>
      <c r="F6" s="410">
        <f t="shared" si="0"/>
        <v>860000</v>
      </c>
      <c r="G6" s="410">
        <f t="shared" si="0"/>
        <v>857500</v>
      </c>
      <c r="H6" s="410">
        <f t="shared" si="0"/>
        <v>860000</v>
      </c>
      <c r="I6" s="410">
        <f t="shared" si="0"/>
        <v>857500</v>
      </c>
      <c r="J6" s="410">
        <f t="shared" si="0"/>
        <v>860000</v>
      </c>
      <c r="K6" s="410">
        <f t="shared" si="0"/>
        <v>823750</v>
      </c>
      <c r="L6" s="410">
        <f t="shared" si="0"/>
        <v>827500</v>
      </c>
      <c r="M6" s="410">
        <f t="shared" si="0"/>
        <v>823750</v>
      </c>
      <c r="N6" s="410">
        <f t="shared" si="0"/>
        <v>827500</v>
      </c>
      <c r="O6" s="410">
        <f t="shared" si="0"/>
        <v>10172500</v>
      </c>
      <c r="P6" s="245"/>
    </row>
    <row r="7" spans="2:16" ht="3.75" customHeight="1">
      <c r="P7" s="245"/>
    </row>
    <row r="8" spans="2:16" ht="17.25" thickBot="1">
      <c r="B8" s="966" t="s">
        <v>1765</v>
      </c>
      <c r="C8" s="967">
        <v>0.02</v>
      </c>
      <c r="P8" s="245"/>
    </row>
    <row r="9" spans="2:16">
      <c r="B9" s="407" t="s">
        <v>657</v>
      </c>
      <c r="C9" s="408" t="str">
        <f>+C2</f>
        <v>Janvier</v>
      </c>
      <c r="D9" s="408" t="str">
        <f t="shared" ref="D9:O9" si="1">+D2</f>
        <v>Février</v>
      </c>
      <c r="E9" s="408" t="str">
        <f t="shared" si="1"/>
        <v>Mars</v>
      </c>
      <c r="F9" s="408" t="str">
        <f t="shared" si="1"/>
        <v>Avril</v>
      </c>
      <c r="G9" s="408" t="str">
        <f t="shared" si="1"/>
        <v>Mai</v>
      </c>
      <c r="H9" s="408" t="str">
        <f t="shared" si="1"/>
        <v>Juin</v>
      </c>
      <c r="I9" s="408" t="str">
        <f t="shared" si="1"/>
        <v>Juillet</v>
      </c>
      <c r="J9" s="408" t="str">
        <f t="shared" si="1"/>
        <v>Août</v>
      </c>
      <c r="K9" s="408" t="str">
        <f t="shared" si="1"/>
        <v>Septembre</v>
      </c>
      <c r="L9" s="408" t="str">
        <f t="shared" si="1"/>
        <v>Octobre</v>
      </c>
      <c r="M9" s="408" t="str">
        <f t="shared" si="1"/>
        <v>Novembre</v>
      </c>
      <c r="N9" s="408" t="str">
        <f t="shared" si="1"/>
        <v>Décembre</v>
      </c>
      <c r="O9" s="408" t="str">
        <f t="shared" si="1"/>
        <v>Total</v>
      </c>
    </row>
    <row r="10" spans="2:16">
      <c r="B10" s="406" t="str">
        <f>+B3</f>
        <v>TRA GAZ</v>
      </c>
      <c r="C10" s="245">
        <v>0</v>
      </c>
      <c r="D10" s="245">
        <f>+C22</f>
        <v>8800</v>
      </c>
      <c r="E10" s="245">
        <f t="shared" ref="E10:N10" si="2">+D22</f>
        <v>17650</v>
      </c>
      <c r="F10" s="245">
        <f t="shared" si="2"/>
        <v>26450</v>
      </c>
      <c r="G10" s="245">
        <f t="shared" si="2"/>
        <v>35300</v>
      </c>
      <c r="H10" s="245">
        <f t="shared" si="2"/>
        <v>44100</v>
      </c>
      <c r="I10" s="245">
        <f t="shared" si="2"/>
        <v>52950</v>
      </c>
      <c r="J10" s="245">
        <f t="shared" si="2"/>
        <v>61750</v>
      </c>
      <c r="K10" s="245">
        <f t="shared" si="2"/>
        <v>70600</v>
      </c>
      <c r="L10" s="245">
        <f t="shared" si="2"/>
        <v>62150</v>
      </c>
      <c r="M10" s="245">
        <f t="shared" si="2"/>
        <v>53625</v>
      </c>
      <c r="N10" s="245">
        <f t="shared" si="2"/>
        <v>45175</v>
      </c>
      <c r="O10" s="245">
        <f>+C10</f>
        <v>0</v>
      </c>
      <c r="P10" s="245"/>
    </row>
    <row r="11" spans="2:16">
      <c r="B11" s="406" t="str">
        <f t="shared" ref="B11:B12" si="3">+B4</f>
        <v>ABR GAZ</v>
      </c>
      <c r="C11" s="245">
        <v>0</v>
      </c>
      <c r="D11" s="245">
        <f t="shared" ref="D11:N12" si="4">+C23</f>
        <v>8350</v>
      </c>
      <c r="E11" s="245">
        <f t="shared" si="4"/>
        <v>16700</v>
      </c>
      <c r="F11" s="245">
        <f t="shared" si="4"/>
        <v>25050</v>
      </c>
      <c r="G11" s="245">
        <f t="shared" si="4"/>
        <v>33400</v>
      </c>
      <c r="H11" s="245">
        <f t="shared" si="4"/>
        <v>41750</v>
      </c>
      <c r="I11" s="245">
        <f t="shared" si="4"/>
        <v>50100</v>
      </c>
      <c r="J11" s="245">
        <f t="shared" si="4"/>
        <v>58450</v>
      </c>
      <c r="K11" s="245">
        <f t="shared" si="4"/>
        <v>66800</v>
      </c>
      <c r="L11" s="245">
        <f t="shared" si="4"/>
        <v>58775</v>
      </c>
      <c r="M11" s="245">
        <f t="shared" si="4"/>
        <v>50750</v>
      </c>
      <c r="N11" s="245">
        <f t="shared" si="4"/>
        <v>42725</v>
      </c>
      <c r="O11" s="245">
        <f t="shared" ref="O11:O12" si="5">+C11</f>
        <v>0</v>
      </c>
      <c r="P11" s="245"/>
    </row>
    <row r="12" spans="2:16">
      <c r="B12" s="406" t="str">
        <f t="shared" si="3"/>
        <v>FP1 GAZ</v>
      </c>
      <c r="C12" s="245">
        <v>0</v>
      </c>
      <c r="D12" s="245">
        <f t="shared" si="4"/>
        <v>0</v>
      </c>
      <c r="E12" s="245">
        <f t="shared" si="4"/>
        <v>0</v>
      </c>
      <c r="F12" s="245">
        <f t="shared" si="4"/>
        <v>0</v>
      </c>
      <c r="G12" s="245">
        <f t="shared" si="4"/>
        <v>0</v>
      </c>
      <c r="H12" s="245">
        <f t="shared" si="4"/>
        <v>0</v>
      </c>
      <c r="I12" s="245">
        <f t="shared" si="4"/>
        <v>0</v>
      </c>
      <c r="J12" s="245">
        <f t="shared" si="4"/>
        <v>0</v>
      </c>
      <c r="K12" s="245">
        <f t="shared" si="4"/>
        <v>0</v>
      </c>
      <c r="L12" s="245">
        <f t="shared" si="4"/>
        <v>0</v>
      </c>
      <c r="M12" s="245">
        <f t="shared" si="4"/>
        <v>0</v>
      </c>
      <c r="N12" s="245">
        <f t="shared" si="4"/>
        <v>0</v>
      </c>
      <c r="O12" s="245">
        <f t="shared" si="5"/>
        <v>0</v>
      </c>
      <c r="P12" s="245"/>
    </row>
    <row r="13" spans="2:16">
      <c r="B13" s="968" t="s">
        <v>605</v>
      </c>
      <c r="C13" s="941">
        <f>SUM(C10:C12)</f>
        <v>0</v>
      </c>
      <c r="D13" s="941">
        <f t="shared" ref="D13:O13" si="6">SUM(D10:D12)</f>
        <v>17150</v>
      </c>
      <c r="E13" s="941">
        <f t="shared" si="6"/>
        <v>34350</v>
      </c>
      <c r="F13" s="941">
        <f t="shared" si="6"/>
        <v>51500</v>
      </c>
      <c r="G13" s="941">
        <f t="shared" si="6"/>
        <v>68700</v>
      </c>
      <c r="H13" s="941">
        <f t="shared" si="6"/>
        <v>85850</v>
      </c>
      <c r="I13" s="941">
        <f t="shared" si="6"/>
        <v>103050</v>
      </c>
      <c r="J13" s="941">
        <f t="shared" si="6"/>
        <v>120200</v>
      </c>
      <c r="K13" s="941">
        <f t="shared" si="6"/>
        <v>137400</v>
      </c>
      <c r="L13" s="941">
        <f t="shared" si="6"/>
        <v>120925</v>
      </c>
      <c r="M13" s="941">
        <f t="shared" si="6"/>
        <v>104375</v>
      </c>
      <c r="N13" s="941">
        <f t="shared" si="6"/>
        <v>87900</v>
      </c>
      <c r="O13" s="941">
        <f t="shared" si="6"/>
        <v>0</v>
      </c>
      <c r="P13" s="245"/>
    </row>
    <row r="14" spans="2:16">
      <c r="B14" s="406" t="str">
        <f>+B10</f>
        <v>TRA GAZ</v>
      </c>
      <c r="C14" s="245">
        <f t="shared" ref="C14:J14" si="7">+C3*(1+$C$8)</f>
        <v>448800</v>
      </c>
      <c r="D14" s="245">
        <f t="shared" si="7"/>
        <v>451350</v>
      </c>
      <c r="E14" s="245">
        <f t="shared" si="7"/>
        <v>448800</v>
      </c>
      <c r="F14" s="245">
        <f t="shared" si="7"/>
        <v>451350</v>
      </c>
      <c r="G14" s="245">
        <f t="shared" si="7"/>
        <v>448800</v>
      </c>
      <c r="H14" s="245">
        <f t="shared" si="7"/>
        <v>451350</v>
      </c>
      <c r="I14" s="245">
        <f t="shared" si="7"/>
        <v>448800</v>
      </c>
      <c r="J14" s="245">
        <f t="shared" si="7"/>
        <v>451350</v>
      </c>
      <c r="K14" s="245">
        <f t="shared" ref="K14:N14" si="8">+K3*(1-$C$8)</f>
        <v>414050</v>
      </c>
      <c r="L14" s="245">
        <f t="shared" si="8"/>
        <v>417725</v>
      </c>
      <c r="M14" s="245">
        <f t="shared" si="8"/>
        <v>414050</v>
      </c>
      <c r="N14" s="245">
        <f t="shared" si="8"/>
        <v>417725</v>
      </c>
      <c r="O14" s="245">
        <f>SUM(C14:N14)</f>
        <v>5264150</v>
      </c>
      <c r="P14" s="245"/>
    </row>
    <row r="15" spans="2:16">
      <c r="B15" s="406" t="str">
        <f t="shared" ref="B15:B16" si="9">+B11</f>
        <v>ABR GAZ</v>
      </c>
      <c r="C15" s="245">
        <f>+C4*(1+$C$8)</f>
        <v>425850</v>
      </c>
      <c r="D15" s="245">
        <f t="shared" ref="D15:J15" si="10">+D4*(1+$C$8)</f>
        <v>425850</v>
      </c>
      <c r="E15" s="245">
        <f t="shared" si="10"/>
        <v>425850</v>
      </c>
      <c r="F15" s="245">
        <f t="shared" si="10"/>
        <v>425850</v>
      </c>
      <c r="G15" s="245">
        <f t="shared" si="10"/>
        <v>425850</v>
      </c>
      <c r="H15" s="245">
        <f t="shared" si="10"/>
        <v>425850</v>
      </c>
      <c r="I15" s="245">
        <f t="shared" si="10"/>
        <v>425850</v>
      </c>
      <c r="J15" s="245">
        <f t="shared" si="10"/>
        <v>425850</v>
      </c>
      <c r="K15" s="245">
        <f t="shared" ref="K15:N15" si="11">+K4*(1-$C$8)</f>
        <v>393225</v>
      </c>
      <c r="L15" s="245">
        <f t="shared" si="11"/>
        <v>393225</v>
      </c>
      <c r="M15" s="245">
        <f t="shared" si="11"/>
        <v>393225</v>
      </c>
      <c r="N15" s="245">
        <f t="shared" si="11"/>
        <v>393225</v>
      </c>
      <c r="O15" s="245">
        <f t="shared" ref="O15:O16" si="12">SUM(C15:N15)</f>
        <v>4979700</v>
      </c>
      <c r="P15" s="245"/>
    </row>
    <row r="16" spans="2:16">
      <c r="B16" s="406" t="str">
        <f t="shared" si="9"/>
        <v>FP1 GAZ</v>
      </c>
      <c r="C16" s="245">
        <f>+C5*(1+$C$8)</f>
        <v>0</v>
      </c>
      <c r="D16" s="245">
        <f t="shared" ref="D16:J16" si="13">+D5*(1+$C$8)</f>
        <v>0</v>
      </c>
      <c r="E16" s="245">
        <f t="shared" si="13"/>
        <v>0</v>
      </c>
      <c r="F16" s="245">
        <f t="shared" si="13"/>
        <v>0</v>
      </c>
      <c r="G16" s="245">
        <f t="shared" si="13"/>
        <v>0</v>
      </c>
      <c r="H16" s="245">
        <f t="shared" si="13"/>
        <v>0</v>
      </c>
      <c r="I16" s="245">
        <f t="shared" si="13"/>
        <v>0</v>
      </c>
      <c r="J16" s="245">
        <f t="shared" si="13"/>
        <v>0</v>
      </c>
      <c r="K16" s="245">
        <f t="shared" ref="K16:N16" si="14">+K5*(1-$C$8)</f>
        <v>0</v>
      </c>
      <c r="L16" s="245">
        <f t="shared" si="14"/>
        <v>0</v>
      </c>
      <c r="M16" s="245">
        <f t="shared" si="14"/>
        <v>0</v>
      </c>
      <c r="N16" s="245">
        <f t="shared" si="14"/>
        <v>0</v>
      </c>
      <c r="O16" s="245">
        <f t="shared" si="12"/>
        <v>0</v>
      </c>
      <c r="P16" s="245"/>
    </row>
    <row r="17" spans="2:18">
      <c r="B17" s="968" t="s">
        <v>606</v>
      </c>
      <c r="C17" s="941">
        <f>SUM(C14:C16)</f>
        <v>874650</v>
      </c>
      <c r="D17" s="941">
        <f t="shared" ref="D17:O17" si="15">SUM(D14:D16)</f>
        <v>877200</v>
      </c>
      <c r="E17" s="941">
        <f t="shared" si="15"/>
        <v>874650</v>
      </c>
      <c r="F17" s="941">
        <f t="shared" si="15"/>
        <v>877200</v>
      </c>
      <c r="G17" s="941">
        <f t="shared" si="15"/>
        <v>874650</v>
      </c>
      <c r="H17" s="941">
        <f t="shared" si="15"/>
        <v>877200</v>
      </c>
      <c r="I17" s="941">
        <f t="shared" si="15"/>
        <v>874650</v>
      </c>
      <c r="J17" s="941">
        <f t="shared" si="15"/>
        <v>877200</v>
      </c>
      <c r="K17" s="941">
        <f t="shared" si="15"/>
        <v>807275</v>
      </c>
      <c r="L17" s="941">
        <f t="shared" si="15"/>
        <v>810950</v>
      </c>
      <c r="M17" s="941">
        <f t="shared" si="15"/>
        <v>807275</v>
      </c>
      <c r="N17" s="941">
        <f t="shared" si="15"/>
        <v>810950</v>
      </c>
      <c r="O17" s="941">
        <f t="shared" si="15"/>
        <v>10243850</v>
      </c>
      <c r="P17" s="245"/>
    </row>
    <row r="18" spans="2:18">
      <c r="B18" s="406" t="str">
        <f>+B14</f>
        <v>TRA GAZ</v>
      </c>
      <c r="C18" s="245">
        <f>+C3</f>
        <v>440000</v>
      </c>
      <c r="D18" s="245">
        <f t="shared" ref="D18:N18" si="16">+D3</f>
        <v>442500</v>
      </c>
      <c r="E18" s="245">
        <f t="shared" si="16"/>
        <v>440000</v>
      </c>
      <c r="F18" s="245">
        <f t="shared" si="16"/>
        <v>442500</v>
      </c>
      <c r="G18" s="245">
        <f t="shared" si="16"/>
        <v>440000</v>
      </c>
      <c r="H18" s="245">
        <f t="shared" si="16"/>
        <v>442500</v>
      </c>
      <c r="I18" s="245">
        <f t="shared" si="16"/>
        <v>440000</v>
      </c>
      <c r="J18" s="245">
        <f t="shared" si="16"/>
        <v>442500</v>
      </c>
      <c r="K18" s="245">
        <f t="shared" si="16"/>
        <v>422500</v>
      </c>
      <c r="L18" s="245">
        <f t="shared" si="16"/>
        <v>426250</v>
      </c>
      <c r="M18" s="245">
        <f t="shared" si="16"/>
        <v>422500</v>
      </c>
      <c r="N18" s="245">
        <f t="shared" si="16"/>
        <v>426250</v>
      </c>
      <c r="O18" s="245">
        <f t="shared" ref="O18:O20" si="17">SUM(C18:N18)</f>
        <v>5227500</v>
      </c>
      <c r="P18" s="245"/>
    </row>
    <row r="19" spans="2:18">
      <c r="B19" s="406" t="str">
        <f t="shared" ref="B19:B20" si="18">+B15</f>
        <v>ABR GAZ</v>
      </c>
      <c r="C19" s="245">
        <f t="shared" ref="C19:N20" si="19">+C4</f>
        <v>417500</v>
      </c>
      <c r="D19" s="245">
        <f t="shared" si="19"/>
        <v>417500</v>
      </c>
      <c r="E19" s="245">
        <f t="shared" si="19"/>
        <v>417500</v>
      </c>
      <c r="F19" s="245">
        <f t="shared" si="19"/>
        <v>417500</v>
      </c>
      <c r="G19" s="245">
        <f t="shared" si="19"/>
        <v>417500</v>
      </c>
      <c r="H19" s="245">
        <f t="shared" si="19"/>
        <v>417500</v>
      </c>
      <c r="I19" s="245">
        <f t="shared" si="19"/>
        <v>417500</v>
      </c>
      <c r="J19" s="245">
        <f t="shared" si="19"/>
        <v>417500</v>
      </c>
      <c r="K19" s="245">
        <f t="shared" si="19"/>
        <v>401250</v>
      </c>
      <c r="L19" s="245">
        <f t="shared" si="19"/>
        <v>401250</v>
      </c>
      <c r="M19" s="245">
        <f t="shared" si="19"/>
        <v>401250</v>
      </c>
      <c r="N19" s="245">
        <f t="shared" si="19"/>
        <v>401250</v>
      </c>
      <c r="O19" s="245">
        <f t="shared" si="17"/>
        <v>4945000</v>
      </c>
      <c r="P19" s="245"/>
    </row>
    <row r="20" spans="2:18">
      <c r="B20" s="406" t="str">
        <f t="shared" si="18"/>
        <v>FP1 GAZ</v>
      </c>
      <c r="C20" s="245">
        <f t="shared" si="19"/>
        <v>0</v>
      </c>
      <c r="D20" s="245">
        <f t="shared" si="19"/>
        <v>0</v>
      </c>
      <c r="E20" s="245">
        <f t="shared" si="19"/>
        <v>0</v>
      </c>
      <c r="F20" s="245">
        <f t="shared" si="19"/>
        <v>0</v>
      </c>
      <c r="G20" s="245">
        <f t="shared" si="19"/>
        <v>0</v>
      </c>
      <c r="H20" s="245">
        <f t="shared" si="19"/>
        <v>0</v>
      </c>
      <c r="I20" s="245">
        <f t="shared" si="19"/>
        <v>0</v>
      </c>
      <c r="J20" s="245">
        <f t="shared" si="19"/>
        <v>0</v>
      </c>
      <c r="K20" s="245">
        <f t="shared" si="19"/>
        <v>0</v>
      </c>
      <c r="L20" s="245">
        <f t="shared" si="19"/>
        <v>0</v>
      </c>
      <c r="M20" s="245">
        <f t="shared" si="19"/>
        <v>0</v>
      </c>
      <c r="N20" s="245">
        <f t="shared" si="19"/>
        <v>0</v>
      </c>
      <c r="O20" s="245">
        <f t="shared" si="17"/>
        <v>0</v>
      </c>
      <c r="P20" s="245"/>
    </row>
    <row r="21" spans="2:18">
      <c r="B21" s="968" t="s">
        <v>607</v>
      </c>
      <c r="C21" s="941">
        <f>SUM(C18:C20)</f>
        <v>857500</v>
      </c>
      <c r="D21" s="941">
        <f t="shared" ref="D21:O21" si="20">SUM(D18:D20)</f>
        <v>860000</v>
      </c>
      <c r="E21" s="941">
        <f t="shared" si="20"/>
        <v>857500</v>
      </c>
      <c r="F21" s="941">
        <f t="shared" si="20"/>
        <v>860000</v>
      </c>
      <c r="G21" s="941">
        <f t="shared" si="20"/>
        <v>857500</v>
      </c>
      <c r="H21" s="941">
        <f t="shared" si="20"/>
        <v>860000</v>
      </c>
      <c r="I21" s="941">
        <f t="shared" si="20"/>
        <v>857500</v>
      </c>
      <c r="J21" s="941">
        <f t="shared" si="20"/>
        <v>860000</v>
      </c>
      <c r="K21" s="941">
        <f t="shared" si="20"/>
        <v>823750</v>
      </c>
      <c r="L21" s="941">
        <f t="shared" si="20"/>
        <v>827500</v>
      </c>
      <c r="M21" s="941">
        <f t="shared" si="20"/>
        <v>823750</v>
      </c>
      <c r="N21" s="941">
        <f t="shared" si="20"/>
        <v>827500</v>
      </c>
      <c r="O21" s="941">
        <f t="shared" si="20"/>
        <v>10172500</v>
      </c>
      <c r="P21" s="245"/>
    </row>
    <row r="22" spans="2:18">
      <c r="B22" s="406" t="str">
        <f>+B18</f>
        <v>TRA GAZ</v>
      </c>
      <c r="C22" s="245">
        <f>+C10+C14-C18</f>
        <v>8800</v>
      </c>
      <c r="D22" s="245">
        <f>+D10+D14-D18</f>
        <v>17650</v>
      </c>
      <c r="E22" s="245">
        <f t="shared" ref="E22:N22" si="21">+E10+E14-E18</f>
        <v>26450</v>
      </c>
      <c r="F22" s="245">
        <f t="shared" si="21"/>
        <v>35300</v>
      </c>
      <c r="G22" s="245">
        <f t="shared" si="21"/>
        <v>44100</v>
      </c>
      <c r="H22" s="245">
        <f t="shared" si="21"/>
        <v>52950</v>
      </c>
      <c r="I22" s="245">
        <f t="shared" si="21"/>
        <v>61750</v>
      </c>
      <c r="J22" s="245">
        <f t="shared" si="21"/>
        <v>70600</v>
      </c>
      <c r="K22" s="245">
        <f t="shared" si="21"/>
        <v>62150</v>
      </c>
      <c r="L22" s="245">
        <f t="shared" si="21"/>
        <v>53625</v>
      </c>
      <c r="M22" s="245">
        <f t="shared" si="21"/>
        <v>45175</v>
      </c>
      <c r="N22" s="245">
        <f t="shared" si="21"/>
        <v>36650</v>
      </c>
      <c r="O22" s="245">
        <f t="shared" ref="O22" si="22">+O10+O14-O18</f>
        <v>36650</v>
      </c>
      <c r="P22" s="245"/>
    </row>
    <row r="23" spans="2:18">
      <c r="B23" s="406" t="str">
        <f t="shared" ref="B23:B24" si="23">+B19</f>
        <v>ABR GAZ</v>
      </c>
      <c r="C23" s="245">
        <f t="shared" ref="C23:D24" si="24">+C11+C15-C19</f>
        <v>8350</v>
      </c>
      <c r="D23" s="245">
        <f t="shared" si="24"/>
        <v>16700</v>
      </c>
      <c r="E23" s="245">
        <f t="shared" ref="E23:N23" si="25">+E11+E15-E19</f>
        <v>25050</v>
      </c>
      <c r="F23" s="245">
        <f t="shared" si="25"/>
        <v>33400</v>
      </c>
      <c r="G23" s="245">
        <f t="shared" si="25"/>
        <v>41750</v>
      </c>
      <c r="H23" s="245">
        <f t="shared" si="25"/>
        <v>50100</v>
      </c>
      <c r="I23" s="245">
        <f t="shared" si="25"/>
        <v>58450</v>
      </c>
      <c r="J23" s="245">
        <f t="shared" si="25"/>
        <v>66800</v>
      </c>
      <c r="K23" s="245">
        <f t="shared" si="25"/>
        <v>58775</v>
      </c>
      <c r="L23" s="245">
        <f t="shared" si="25"/>
        <v>50750</v>
      </c>
      <c r="M23" s="245">
        <f t="shared" si="25"/>
        <v>42725</v>
      </c>
      <c r="N23" s="245">
        <f t="shared" si="25"/>
        <v>34700</v>
      </c>
      <c r="O23" s="245">
        <f t="shared" ref="O23" si="26">+O11+O15-O19</f>
        <v>34700</v>
      </c>
      <c r="P23" s="245"/>
    </row>
    <row r="24" spans="2:18">
      <c r="B24" s="406" t="str">
        <f t="shared" si="23"/>
        <v>FP1 GAZ</v>
      </c>
      <c r="C24" s="245">
        <f t="shared" si="24"/>
        <v>0</v>
      </c>
      <c r="D24" s="245">
        <f t="shared" si="24"/>
        <v>0</v>
      </c>
      <c r="E24" s="245">
        <f t="shared" ref="E24:N24" si="27">+E12+E16-E20</f>
        <v>0</v>
      </c>
      <c r="F24" s="245">
        <f t="shared" si="27"/>
        <v>0</v>
      </c>
      <c r="G24" s="245">
        <f t="shared" si="27"/>
        <v>0</v>
      </c>
      <c r="H24" s="245">
        <f t="shared" si="27"/>
        <v>0</v>
      </c>
      <c r="I24" s="245">
        <f t="shared" si="27"/>
        <v>0</v>
      </c>
      <c r="J24" s="245">
        <f t="shared" si="27"/>
        <v>0</v>
      </c>
      <c r="K24" s="245">
        <f t="shared" si="27"/>
        <v>0</v>
      </c>
      <c r="L24" s="245">
        <f t="shared" si="27"/>
        <v>0</v>
      </c>
      <c r="M24" s="245">
        <f t="shared" si="27"/>
        <v>0</v>
      </c>
      <c r="N24" s="245">
        <f t="shared" si="27"/>
        <v>0</v>
      </c>
      <c r="O24" s="245">
        <f t="shared" ref="O24" si="28">+O12+O16-O20</f>
        <v>0</v>
      </c>
      <c r="P24" s="245"/>
    </row>
    <row r="25" spans="2:18" ht="17.25" thickBot="1">
      <c r="B25" s="929" t="s">
        <v>608</v>
      </c>
      <c r="C25" s="928">
        <f>SUM(C22:C24)</f>
        <v>17150</v>
      </c>
      <c r="D25" s="928">
        <f t="shared" ref="D25:O25" si="29">SUM(D22:D24)</f>
        <v>34350</v>
      </c>
      <c r="E25" s="928">
        <f t="shared" si="29"/>
        <v>51500</v>
      </c>
      <c r="F25" s="928">
        <f t="shared" si="29"/>
        <v>68700</v>
      </c>
      <c r="G25" s="928">
        <f t="shared" si="29"/>
        <v>85850</v>
      </c>
      <c r="H25" s="928">
        <f t="shared" si="29"/>
        <v>103050</v>
      </c>
      <c r="I25" s="928">
        <f t="shared" si="29"/>
        <v>120200</v>
      </c>
      <c r="J25" s="928">
        <f t="shared" si="29"/>
        <v>137400</v>
      </c>
      <c r="K25" s="928">
        <f t="shared" si="29"/>
        <v>120925</v>
      </c>
      <c r="L25" s="928">
        <f t="shared" si="29"/>
        <v>104375</v>
      </c>
      <c r="M25" s="928">
        <f t="shared" si="29"/>
        <v>87900</v>
      </c>
      <c r="N25" s="928">
        <f t="shared" si="29"/>
        <v>71350</v>
      </c>
      <c r="O25" s="928">
        <f t="shared" si="29"/>
        <v>71350</v>
      </c>
      <c r="P25" s="245"/>
    </row>
    <row r="26" spans="2:18" ht="17.25" thickBot="1">
      <c r="B26" s="199"/>
      <c r="C26" s="926"/>
      <c r="D26" s="926"/>
      <c r="E26" s="926"/>
      <c r="F26" s="926"/>
      <c r="G26" s="926"/>
      <c r="H26" s="926"/>
      <c r="I26" s="926"/>
      <c r="J26" s="926"/>
      <c r="K26" s="926"/>
      <c r="L26" s="926"/>
      <c r="M26" s="926"/>
      <c r="N26" s="926"/>
      <c r="O26" s="926"/>
      <c r="P26" s="245"/>
    </row>
    <row r="27" spans="2:18" s="223" customFormat="1">
      <c r="B27" s="949" t="s">
        <v>1734</v>
      </c>
      <c r="C27" s="950">
        <f>IFERROR(+C25*$O$91,"")</f>
        <v>7417375</v>
      </c>
      <c r="D27" s="950">
        <f t="shared" ref="D27:O27" si="30">IFERROR(+D25*$O$91,"")</f>
        <v>14856375</v>
      </c>
      <c r="E27" s="950">
        <f t="shared" si="30"/>
        <v>22273750</v>
      </c>
      <c r="F27" s="950">
        <f t="shared" si="30"/>
        <v>29712750</v>
      </c>
      <c r="G27" s="950">
        <f t="shared" si="30"/>
        <v>37130125</v>
      </c>
      <c r="H27" s="950">
        <f t="shared" si="30"/>
        <v>44569125</v>
      </c>
      <c r="I27" s="950">
        <f t="shared" si="30"/>
        <v>51986500</v>
      </c>
      <c r="J27" s="950">
        <f t="shared" si="30"/>
        <v>59425500</v>
      </c>
      <c r="K27" s="950">
        <f t="shared" si="30"/>
        <v>52300062.5</v>
      </c>
      <c r="L27" s="950">
        <f t="shared" si="30"/>
        <v>45142187.5</v>
      </c>
      <c r="M27" s="950">
        <f t="shared" si="30"/>
        <v>38016750</v>
      </c>
      <c r="N27" s="950">
        <f t="shared" si="30"/>
        <v>30858875</v>
      </c>
      <c r="O27" s="950">
        <f t="shared" si="30"/>
        <v>30858875</v>
      </c>
      <c r="P27" s="767"/>
      <c r="Q27" s="224"/>
      <c r="R27" s="651"/>
    </row>
    <row r="28" spans="2:18" s="223" customFormat="1" ht="17.25" thickBot="1">
      <c r="B28" s="951" t="s">
        <v>1758</v>
      </c>
      <c r="C28" s="953">
        <f>C27</f>
        <v>7417375</v>
      </c>
      <c r="D28" s="953">
        <f>IFERROR((-C27+D27),"")</f>
        <v>7439000</v>
      </c>
      <c r="E28" s="953">
        <f t="shared" ref="E28:O28" si="31">IFERROR((-D27+E27),"")</f>
        <v>7417375</v>
      </c>
      <c r="F28" s="953">
        <f t="shared" si="31"/>
        <v>7439000</v>
      </c>
      <c r="G28" s="953">
        <f t="shared" si="31"/>
        <v>7417375</v>
      </c>
      <c r="H28" s="953">
        <f t="shared" si="31"/>
        <v>7439000</v>
      </c>
      <c r="I28" s="953">
        <f t="shared" si="31"/>
        <v>7417375</v>
      </c>
      <c r="J28" s="953">
        <f t="shared" si="31"/>
        <v>7439000</v>
      </c>
      <c r="K28" s="953">
        <f t="shared" si="31"/>
        <v>-7125437.5</v>
      </c>
      <c r="L28" s="953">
        <f t="shared" si="31"/>
        <v>-7157875</v>
      </c>
      <c r="M28" s="953">
        <f t="shared" si="31"/>
        <v>-7125437.5</v>
      </c>
      <c r="N28" s="953">
        <f t="shared" si="31"/>
        <v>-7157875</v>
      </c>
      <c r="O28" s="953">
        <f t="shared" si="31"/>
        <v>0</v>
      </c>
      <c r="P28" s="767"/>
      <c r="Q28" s="224"/>
    </row>
    <row r="29" spans="2:18" ht="17.25" thickBot="1">
      <c r="P29" s="245"/>
    </row>
    <row r="30" spans="2:18">
      <c r="B30" s="407" t="s">
        <v>863</v>
      </c>
      <c r="C30" s="408" t="str">
        <f>+C2</f>
        <v>Janvier</v>
      </c>
      <c r="D30" s="408" t="str">
        <f t="shared" ref="D30:N30" si="32">+D2</f>
        <v>Février</v>
      </c>
      <c r="E30" s="408" t="str">
        <f t="shared" si="32"/>
        <v>Mars</v>
      </c>
      <c r="F30" s="408" t="str">
        <f t="shared" si="32"/>
        <v>Avril</v>
      </c>
      <c r="G30" s="408" t="str">
        <f t="shared" si="32"/>
        <v>Mai</v>
      </c>
      <c r="H30" s="408" t="str">
        <f t="shared" si="32"/>
        <v>Juin</v>
      </c>
      <c r="I30" s="408" t="str">
        <f t="shared" si="32"/>
        <v>Juillet</v>
      </c>
      <c r="J30" s="408" t="str">
        <f t="shared" si="32"/>
        <v>Août</v>
      </c>
      <c r="K30" s="408" t="str">
        <f t="shared" si="32"/>
        <v>Septembre</v>
      </c>
      <c r="L30" s="408" t="str">
        <f t="shared" si="32"/>
        <v>Octobre</v>
      </c>
      <c r="M30" s="408" t="str">
        <f t="shared" si="32"/>
        <v>Novembre</v>
      </c>
      <c r="N30" s="408" t="str">
        <f t="shared" si="32"/>
        <v>Décembre</v>
      </c>
      <c r="O30" s="408" t="s">
        <v>362</v>
      </c>
      <c r="P30" s="245"/>
    </row>
    <row r="31" spans="2:18">
      <c r="B31" s="406" t="str">
        <f>+B3</f>
        <v>TRA GAZ</v>
      </c>
      <c r="C31" s="245">
        <f>+C3*'Données SOMIDA'!$D$58</f>
        <v>352000</v>
      </c>
      <c r="D31" s="245">
        <f>+D3*'Données SOMIDA'!$D$58</f>
        <v>354000</v>
      </c>
      <c r="E31" s="245">
        <f>+E3*'Données SOMIDA'!$D$58</f>
        <v>352000</v>
      </c>
      <c r="F31" s="245">
        <f>+F3*'Données SOMIDA'!$D$58</f>
        <v>354000</v>
      </c>
      <c r="G31" s="245">
        <f>+G3*'Données SOMIDA'!$D$58</f>
        <v>352000</v>
      </c>
      <c r="H31" s="245">
        <f>+H3*'Données SOMIDA'!$D$58</f>
        <v>354000</v>
      </c>
      <c r="I31" s="245">
        <f>+I3*'Données SOMIDA'!$D$58</f>
        <v>352000</v>
      </c>
      <c r="J31" s="245">
        <f>+J3*'Données SOMIDA'!$D$58</f>
        <v>354000</v>
      </c>
      <c r="K31" s="245">
        <f>+K3*'Données SOMIDA'!$D$58</f>
        <v>338000</v>
      </c>
      <c r="L31" s="245">
        <f>+L3*'Données SOMIDA'!$D$58</f>
        <v>341000</v>
      </c>
      <c r="M31" s="245">
        <f>+M3*'Données SOMIDA'!$D$58</f>
        <v>338000</v>
      </c>
      <c r="N31" s="245">
        <f>+N3*'Données SOMIDA'!$D$58</f>
        <v>341000</v>
      </c>
      <c r="O31" s="245">
        <f>SUM(C31:N31)</f>
        <v>4182000</v>
      </c>
      <c r="P31" s="245"/>
    </row>
    <row r="32" spans="2:18">
      <c r="B32" s="406" t="str">
        <f>+B4</f>
        <v>ABR GAZ</v>
      </c>
      <c r="C32" s="245">
        <f>+C4*'Données SOMIDA'!$D$58</f>
        <v>334000</v>
      </c>
      <c r="D32" s="245">
        <f>+D4*'Données SOMIDA'!$D$58</f>
        <v>334000</v>
      </c>
      <c r="E32" s="245">
        <f>+E4*'Données SOMIDA'!$D$58</f>
        <v>334000</v>
      </c>
      <c r="F32" s="245">
        <f>+F4*'Données SOMIDA'!$D$58</f>
        <v>334000</v>
      </c>
      <c r="G32" s="245">
        <f>+G4*'Données SOMIDA'!$D$58</f>
        <v>334000</v>
      </c>
      <c r="H32" s="245">
        <f>+H4*'Données SOMIDA'!$D$58</f>
        <v>334000</v>
      </c>
      <c r="I32" s="245">
        <f>+I4*'Données SOMIDA'!$D$58</f>
        <v>334000</v>
      </c>
      <c r="J32" s="245">
        <f>+J4*'Données SOMIDA'!$D$58</f>
        <v>334000</v>
      </c>
      <c r="K32" s="245">
        <f>+K4*'Données SOMIDA'!$D$58</f>
        <v>321000</v>
      </c>
      <c r="L32" s="245">
        <f>+L4*'Données SOMIDA'!$D$58</f>
        <v>321000</v>
      </c>
      <c r="M32" s="245">
        <f>+M4*'Données SOMIDA'!$D$58</f>
        <v>321000</v>
      </c>
      <c r="N32" s="245">
        <f>+N4*'Données SOMIDA'!$D$58</f>
        <v>321000</v>
      </c>
      <c r="O32" s="245">
        <f>SUM(C32:N32)</f>
        <v>3956000</v>
      </c>
      <c r="P32" s="245"/>
    </row>
    <row r="33" spans="2:16">
      <c r="B33" s="406" t="str">
        <f>+B5</f>
        <v>FP1 GAZ</v>
      </c>
      <c r="C33" s="245">
        <f>C5*'Données SOMIDA'!$D$58</f>
        <v>0</v>
      </c>
      <c r="D33" s="245">
        <f>D5*'Données SOMIDA'!$D$58</f>
        <v>0</v>
      </c>
      <c r="E33" s="245">
        <f>E5*'Données SOMIDA'!$D$58</f>
        <v>0</v>
      </c>
      <c r="F33" s="245">
        <f>F5*'Données SOMIDA'!$D$58</f>
        <v>0</v>
      </c>
      <c r="G33" s="245">
        <f>G5*'Données SOMIDA'!$D$58</f>
        <v>0</v>
      </c>
      <c r="H33" s="245">
        <f>H5*'Données SOMIDA'!$D$58</f>
        <v>0</v>
      </c>
      <c r="I33" s="245">
        <f>I5*'Données SOMIDA'!$D$58</f>
        <v>0</v>
      </c>
      <c r="J33" s="245">
        <f>J5*'Données SOMIDA'!$D$58</f>
        <v>0</v>
      </c>
      <c r="K33" s="245">
        <f>K5*'Données SOMIDA'!$D$58</f>
        <v>0</v>
      </c>
      <c r="L33" s="245">
        <f>L5*'Données SOMIDA'!$D$58</f>
        <v>0</v>
      </c>
      <c r="M33" s="245">
        <f>M5*'Données SOMIDA'!$D$58</f>
        <v>0</v>
      </c>
      <c r="N33" s="245">
        <f>N5*'Données SOMIDA'!$D$58</f>
        <v>0</v>
      </c>
      <c r="O33" s="245">
        <f>SUM(C33:N33)</f>
        <v>0</v>
      </c>
      <c r="P33" s="245"/>
    </row>
    <row r="34" spans="2:16" ht="17.25" thickBot="1">
      <c r="B34" s="409" t="s">
        <v>362</v>
      </c>
      <c r="C34" s="410">
        <f t="shared" ref="C34:O34" si="33">SUM(C31:C33)</f>
        <v>686000</v>
      </c>
      <c r="D34" s="410">
        <f t="shared" si="33"/>
        <v>688000</v>
      </c>
      <c r="E34" s="410">
        <f t="shared" si="33"/>
        <v>686000</v>
      </c>
      <c r="F34" s="410">
        <f t="shared" si="33"/>
        <v>688000</v>
      </c>
      <c r="G34" s="410">
        <f t="shared" si="33"/>
        <v>686000</v>
      </c>
      <c r="H34" s="410">
        <f t="shared" si="33"/>
        <v>688000</v>
      </c>
      <c r="I34" s="410">
        <f t="shared" si="33"/>
        <v>686000</v>
      </c>
      <c r="J34" s="410">
        <f t="shared" si="33"/>
        <v>688000</v>
      </c>
      <c r="K34" s="410">
        <f t="shared" si="33"/>
        <v>659000</v>
      </c>
      <c r="L34" s="410">
        <f t="shared" si="33"/>
        <v>662000</v>
      </c>
      <c r="M34" s="410">
        <f t="shared" si="33"/>
        <v>659000</v>
      </c>
      <c r="N34" s="410">
        <f t="shared" si="33"/>
        <v>662000</v>
      </c>
      <c r="O34" s="410">
        <f t="shared" si="33"/>
        <v>8138000</v>
      </c>
      <c r="P34" s="245">
        <f>+O34/O6</f>
        <v>0.8</v>
      </c>
    </row>
    <row r="35" spans="2:16" ht="6.75" customHeight="1" thickBot="1">
      <c r="O35" s="198">
        <f>SUM(C35:N35)</f>
        <v>0</v>
      </c>
      <c r="P35" s="245"/>
    </row>
    <row r="36" spans="2:16">
      <c r="B36" s="407" t="s">
        <v>972</v>
      </c>
      <c r="C36" s="408" t="str">
        <f>+C30</f>
        <v>Janvier</v>
      </c>
      <c r="D36" s="408" t="str">
        <f t="shared" ref="D36:N36" si="34">+D30</f>
        <v>Février</v>
      </c>
      <c r="E36" s="408" t="str">
        <f t="shared" si="34"/>
        <v>Mars</v>
      </c>
      <c r="F36" s="408" t="str">
        <f t="shared" si="34"/>
        <v>Avril</v>
      </c>
      <c r="G36" s="408" t="str">
        <f t="shared" si="34"/>
        <v>Mai</v>
      </c>
      <c r="H36" s="408" t="str">
        <f t="shared" si="34"/>
        <v>Juin</v>
      </c>
      <c r="I36" s="408" t="str">
        <f t="shared" si="34"/>
        <v>Juillet</v>
      </c>
      <c r="J36" s="408" t="str">
        <f t="shared" si="34"/>
        <v>Août</v>
      </c>
      <c r="K36" s="408" t="str">
        <f t="shared" si="34"/>
        <v>Septembre</v>
      </c>
      <c r="L36" s="408" t="str">
        <f t="shared" si="34"/>
        <v>Octobre</v>
      </c>
      <c r="M36" s="408" t="str">
        <f t="shared" si="34"/>
        <v>Novembre</v>
      </c>
      <c r="N36" s="408" t="str">
        <f t="shared" si="34"/>
        <v>Décembre</v>
      </c>
      <c r="O36" s="408" t="s">
        <v>362</v>
      </c>
      <c r="P36" s="245"/>
    </row>
    <row r="37" spans="2:16">
      <c r="B37" s="406" t="str">
        <f>+B3</f>
        <v>TRA GAZ</v>
      </c>
      <c r="C37" s="245">
        <f>+Commandes!C32</f>
        <v>345.4</v>
      </c>
      <c r="D37" s="245">
        <f>+Commandes!D32</f>
        <v>347.6</v>
      </c>
      <c r="E37" s="245">
        <f>+Commandes!E32</f>
        <v>345.4</v>
      </c>
      <c r="F37" s="245">
        <f>+Commandes!F32</f>
        <v>347.6</v>
      </c>
      <c r="G37" s="245">
        <f>+Commandes!G32</f>
        <v>345.4</v>
      </c>
      <c r="H37" s="245">
        <f>+Commandes!H32</f>
        <v>347.6</v>
      </c>
      <c r="I37" s="245">
        <f>+Commandes!I32</f>
        <v>345.4</v>
      </c>
      <c r="J37" s="245">
        <f>+Commandes!J32</f>
        <v>347.6</v>
      </c>
      <c r="K37" s="245">
        <f>+Commandes!K32</f>
        <v>345.4</v>
      </c>
      <c r="L37" s="245">
        <f>+Commandes!L32</f>
        <v>347.6</v>
      </c>
      <c r="M37" s="245">
        <f>+Commandes!M32</f>
        <v>345.4</v>
      </c>
      <c r="N37" s="245">
        <f>+Commandes!N32</f>
        <v>347.6</v>
      </c>
      <c r="O37" s="245">
        <f>SUM(C37:N37)</f>
        <v>4158</v>
      </c>
      <c r="P37" s="245"/>
    </row>
    <row r="38" spans="2:16">
      <c r="B38" s="406" t="str">
        <f>+B4</f>
        <v>ABR GAZ</v>
      </c>
      <c r="C38" s="245">
        <f>+Commandes!C39</f>
        <v>327.60000000000002</v>
      </c>
      <c r="D38" s="245">
        <f>+Commandes!D39</f>
        <v>327.60000000000002</v>
      </c>
      <c r="E38" s="245">
        <f>+Commandes!E39</f>
        <v>327.60000000000002</v>
      </c>
      <c r="F38" s="245">
        <f>+Commandes!F39</f>
        <v>327.60000000000002</v>
      </c>
      <c r="G38" s="245">
        <f>+Commandes!G39</f>
        <v>327.60000000000002</v>
      </c>
      <c r="H38" s="245">
        <f>+Commandes!H39</f>
        <v>327.60000000000002</v>
      </c>
      <c r="I38" s="245">
        <f>+Commandes!I39</f>
        <v>327.60000000000002</v>
      </c>
      <c r="J38" s="245">
        <f>+Commandes!J39</f>
        <v>327.60000000000002</v>
      </c>
      <c r="K38" s="245">
        <f>+Commandes!K39</f>
        <v>327.60000000000002</v>
      </c>
      <c r="L38" s="245">
        <f>+Commandes!L39</f>
        <v>327.60000000000002</v>
      </c>
      <c r="M38" s="245">
        <f>+Commandes!M39</f>
        <v>327.60000000000002</v>
      </c>
      <c r="N38" s="245">
        <f>+Commandes!N39</f>
        <v>327.60000000000002</v>
      </c>
      <c r="O38" s="245">
        <f>SUM(C38:N38)</f>
        <v>3931.1999999999994</v>
      </c>
      <c r="P38" s="245"/>
    </row>
    <row r="39" spans="2:16">
      <c r="B39" s="406" t="str">
        <f>+B33</f>
        <v>FP1 GAZ</v>
      </c>
      <c r="C39" s="245">
        <f>+Commandes!C42</f>
        <v>0</v>
      </c>
      <c r="D39" s="245">
        <f>+Commandes!D42</f>
        <v>0</v>
      </c>
      <c r="E39" s="245">
        <f>+Commandes!E42</f>
        <v>0</v>
      </c>
      <c r="F39" s="245">
        <f>+Commandes!F42</f>
        <v>0</v>
      </c>
      <c r="G39" s="245">
        <f>+Commandes!G42</f>
        <v>0</v>
      </c>
      <c r="H39" s="245">
        <f>+Commandes!H42</f>
        <v>0</v>
      </c>
      <c r="I39" s="245">
        <f>+Commandes!I42</f>
        <v>0</v>
      </c>
      <c r="J39" s="245">
        <f>+Commandes!J42</f>
        <v>0</v>
      </c>
      <c r="K39" s="245">
        <f>+Commandes!K42</f>
        <v>0</v>
      </c>
      <c r="L39" s="245">
        <f>+Commandes!L42</f>
        <v>0</v>
      </c>
      <c r="M39" s="245">
        <f>+Commandes!M42</f>
        <v>0</v>
      </c>
      <c r="N39" s="245">
        <f>+Commandes!N42</f>
        <v>0</v>
      </c>
      <c r="O39" s="245">
        <f>SUM(C39:N39)</f>
        <v>0</v>
      </c>
      <c r="P39" s="245"/>
    </row>
    <row r="40" spans="2:16" ht="17.25" thickBot="1">
      <c r="B40" s="409" t="s">
        <v>362</v>
      </c>
      <c r="C40" s="410">
        <f t="shared" ref="C40:O40" si="35">SUM(C37:C39)</f>
        <v>673</v>
      </c>
      <c r="D40" s="410">
        <f t="shared" si="35"/>
        <v>675.2</v>
      </c>
      <c r="E40" s="410">
        <f t="shared" si="35"/>
        <v>673</v>
      </c>
      <c r="F40" s="410">
        <f t="shared" si="35"/>
        <v>675.2</v>
      </c>
      <c r="G40" s="410">
        <f t="shared" si="35"/>
        <v>673</v>
      </c>
      <c r="H40" s="410">
        <f t="shared" si="35"/>
        <v>675.2</v>
      </c>
      <c r="I40" s="410">
        <f t="shared" si="35"/>
        <v>673</v>
      </c>
      <c r="J40" s="410">
        <f t="shared" si="35"/>
        <v>675.2</v>
      </c>
      <c r="K40" s="410">
        <f t="shared" si="35"/>
        <v>673</v>
      </c>
      <c r="L40" s="410">
        <f t="shared" si="35"/>
        <v>675.2</v>
      </c>
      <c r="M40" s="410">
        <f t="shared" si="35"/>
        <v>673</v>
      </c>
      <c r="N40" s="410">
        <f t="shared" si="35"/>
        <v>675.2</v>
      </c>
      <c r="O40" s="410">
        <f t="shared" si="35"/>
        <v>8089.1999999999989</v>
      </c>
    </row>
    <row r="41" spans="2:16" ht="4.5" customHeight="1"/>
    <row r="42" spans="2:16" ht="17.25" thickBot="1">
      <c r="B42" s="199" t="s">
        <v>960</v>
      </c>
      <c r="C42" s="405"/>
      <c r="D42" s="405"/>
      <c r="E42" s="405"/>
      <c r="F42" s="405"/>
      <c r="G42" s="405"/>
      <c r="H42" s="405"/>
      <c r="I42" s="405"/>
      <c r="J42" s="405"/>
      <c r="K42" s="405"/>
      <c r="L42" s="405"/>
      <c r="M42" s="405"/>
      <c r="N42" s="405"/>
      <c r="O42" s="405"/>
    </row>
    <row r="43" spans="2:16" s="468" customFormat="1">
      <c r="B43" s="467" t="s">
        <v>1729</v>
      </c>
      <c r="C43" s="408" t="str">
        <f t="shared" ref="C43:O43" si="36">+C36</f>
        <v>Janvier</v>
      </c>
      <c r="D43" s="408" t="str">
        <f t="shared" si="36"/>
        <v>Février</v>
      </c>
      <c r="E43" s="408" t="str">
        <f t="shared" si="36"/>
        <v>Mars</v>
      </c>
      <c r="F43" s="408" t="str">
        <f t="shared" si="36"/>
        <v>Avril</v>
      </c>
      <c r="G43" s="408" t="str">
        <f t="shared" si="36"/>
        <v>Mai</v>
      </c>
      <c r="H43" s="408" t="str">
        <f t="shared" si="36"/>
        <v>Juin</v>
      </c>
      <c r="I43" s="408" t="str">
        <f t="shared" si="36"/>
        <v>Juillet</v>
      </c>
      <c r="J43" s="408" t="str">
        <f t="shared" si="36"/>
        <v>Août</v>
      </c>
      <c r="K43" s="408" t="str">
        <f t="shared" si="36"/>
        <v>Septembre</v>
      </c>
      <c r="L43" s="408" t="str">
        <f t="shared" si="36"/>
        <v>Octobre</v>
      </c>
      <c r="M43" s="408" t="str">
        <f t="shared" si="36"/>
        <v>Novembre</v>
      </c>
      <c r="N43" s="408" t="str">
        <f t="shared" si="36"/>
        <v>Décembre</v>
      </c>
      <c r="O43" s="408" t="str">
        <f t="shared" si="36"/>
        <v>Total</v>
      </c>
      <c r="P43" s="469"/>
    </row>
    <row r="44" spans="2:16">
      <c r="B44" s="461" t="str">
        <f>+'Données SOMIDA'!C62</f>
        <v>Tranomaro</v>
      </c>
      <c r="C44" s="462">
        <f>+C14*'Données SOMIDA'!$D$62</f>
        <v>112200</v>
      </c>
      <c r="D44" s="462">
        <f>+D14*'Données SOMIDA'!$D$62</f>
        <v>112837.5</v>
      </c>
      <c r="E44" s="462">
        <f>+E14*'Données SOMIDA'!$D$62</f>
        <v>112200</v>
      </c>
      <c r="F44" s="462">
        <f>+F14*'Données SOMIDA'!$D$62</f>
        <v>112837.5</v>
      </c>
      <c r="G44" s="462">
        <f>+G14*'Données SOMIDA'!$D$62</f>
        <v>112200</v>
      </c>
      <c r="H44" s="462">
        <f>+H14*'Données SOMIDA'!$D$62</f>
        <v>112837.5</v>
      </c>
      <c r="I44" s="462">
        <f>+I14*'Données SOMIDA'!$D$62</f>
        <v>112200</v>
      </c>
      <c r="J44" s="462">
        <f>+J14*'Données SOMIDA'!$D$62</f>
        <v>112837.5</v>
      </c>
      <c r="K44" s="462">
        <f>+K14*'Données SOMIDA'!$D$62</f>
        <v>103512.5</v>
      </c>
      <c r="L44" s="462">
        <f>+L14*'Données SOMIDA'!$D$62</f>
        <v>104431.25</v>
      </c>
      <c r="M44" s="462">
        <f>+M14*'Données SOMIDA'!$D$62</f>
        <v>103512.5</v>
      </c>
      <c r="N44" s="462">
        <f>+N14*'Données SOMIDA'!$D$62</f>
        <v>104431.25</v>
      </c>
      <c r="O44" s="462">
        <f t="shared" ref="O44:O48" si="37">SUM(C44:N44)</f>
        <v>1316037.5</v>
      </c>
    </row>
    <row r="45" spans="2:16">
      <c r="B45" s="461" t="str">
        <f>+'Données SOMIDA'!C63</f>
        <v>Ampandrandava</v>
      </c>
      <c r="C45" s="462">
        <f>+C14*'Données SOMIDA'!$D$63</f>
        <v>157080</v>
      </c>
      <c r="D45" s="462">
        <f>+D14*'Données SOMIDA'!$D$63</f>
        <v>157972.5</v>
      </c>
      <c r="E45" s="462">
        <f>+E14*'Données SOMIDA'!$D$63</f>
        <v>157080</v>
      </c>
      <c r="F45" s="462">
        <f>+F14*'Données SOMIDA'!$D$63</f>
        <v>157972.5</v>
      </c>
      <c r="G45" s="462">
        <f>+G14*'Données SOMIDA'!$D$63</f>
        <v>157080</v>
      </c>
      <c r="H45" s="462">
        <f>+H14*'Données SOMIDA'!$D$63</f>
        <v>157972.5</v>
      </c>
      <c r="I45" s="462">
        <f>+I14*'Données SOMIDA'!$D$63</f>
        <v>157080</v>
      </c>
      <c r="J45" s="462">
        <f>+J14*'Données SOMIDA'!$D$63</f>
        <v>157972.5</v>
      </c>
      <c r="K45" s="462">
        <f>+K14*'Données SOMIDA'!$D$63</f>
        <v>144917.5</v>
      </c>
      <c r="L45" s="462">
        <f>+L14*'Données SOMIDA'!$D$63</f>
        <v>146203.75</v>
      </c>
      <c r="M45" s="462">
        <f>+M14*'Données SOMIDA'!$D$63</f>
        <v>144917.5</v>
      </c>
      <c r="N45" s="462">
        <f>+N14*'Données SOMIDA'!$D$63</f>
        <v>146203.75</v>
      </c>
      <c r="O45" s="462">
        <f t="shared" si="37"/>
        <v>1842452.5</v>
      </c>
    </row>
    <row r="46" spans="2:16">
      <c r="B46" s="461" t="str">
        <f>+'Données SOMIDA'!C64</f>
        <v>Fort dauphin</v>
      </c>
      <c r="C46" s="462">
        <f>+C14*'Données SOMIDA'!$D$64</f>
        <v>89760</v>
      </c>
      <c r="D46" s="462">
        <f>+D14*'Données SOMIDA'!$D$64</f>
        <v>90270</v>
      </c>
      <c r="E46" s="462">
        <f>+E14*'Données SOMIDA'!$D$64</f>
        <v>89760</v>
      </c>
      <c r="F46" s="462">
        <f>+F14*'Données SOMIDA'!$D$64</f>
        <v>90270</v>
      </c>
      <c r="G46" s="462">
        <f>+G14*'Données SOMIDA'!$D$64</f>
        <v>89760</v>
      </c>
      <c r="H46" s="462">
        <f>+H14*'Données SOMIDA'!$D$64</f>
        <v>90270</v>
      </c>
      <c r="I46" s="462">
        <f>+I14*'Données SOMIDA'!$D$64</f>
        <v>89760</v>
      </c>
      <c r="J46" s="462">
        <f>+J14*'Données SOMIDA'!$D$64</f>
        <v>90270</v>
      </c>
      <c r="K46" s="462">
        <f>+K14*'Données SOMIDA'!$D$64</f>
        <v>82810</v>
      </c>
      <c r="L46" s="462">
        <f>+L14*'Données SOMIDA'!$D$64</f>
        <v>83545</v>
      </c>
      <c r="M46" s="462">
        <f>+M14*'Données SOMIDA'!$D$64</f>
        <v>82810</v>
      </c>
      <c r="N46" s="462">
        <f>+N14*'Données SOMIDA'!$D$64</f>
        <v>83545</v>
      </c>
      <c r="O46" s="462">
        <f t="shared" si="37"/>
        <v>1052830</v>
      </c>
    </row>
    <row r="47" spans="2:16">
      <c r="B47" s="466" t="str">
        <f>+'Données SOMIDA'!C65</f>
        <v>Autres</v>
      </c>
      <c r="C47" s="462">
        <f>+C14*'Données SOMIDA'!$D$65</f>
        <v>89760</v>
      </c>
      <c r="D47" s="462">
        <f>+D14*'Données SOMIDA'!$D$65</f>
        <v>90270</v>
      </c>
      <c r="E47" s="462">
        <f>+E14*'Données SOMIDA'!$D$65</f>
        <v>89760</v>
      </c>
      <c r="F47" s="462">
        <f>+F14*'Données SOMIDA'!$D$65</f>
        <v>90270</v>
      </c>
      <c r="G47" s="462">
        <f>+G14*'Données SOMIDA'!$D$65</f>
        <v>89760</v>
      </c>
      <c r="H47" s="462">
        <f>+H14*'Données SOMIDA'!$D$65</f>
        <v>90270</v>
      </c>
      <c r="I47" s="462">
        <f>+I14*'Données SOMIDA'!$D$65</f>
        <v>89760</v>
      </c>
      <c r="J47" s="462">
        <f>+J14*'Données SOMIDA'!$D$65</f>
        <v>90270</v>
      </c>
      <c r="K47" s="462">
        <f>+K14*'Données SOMIDA'!$D$65</f>
        <v>82810</v>
      </c>
      <c r="L47" s="462">
        <f>+L14*'Données SOMIDA'!$D$65</f>
        <v>83545</v>
      </c>
      <c r="M47" s="462">
        <f>+M14*'Données SOMIDA'!$D$65</f>
        <v>82810</v>
      </c>
      <c r="N47" s="462">
        <f>+N14*'Données SOMIDA'!$D$65</f>
        <v>83545</v>
      </c>
      <c r="O47" s="462">
        <f t="shared" si="37"/>
        <v>1052830</v>
      </c>
    </row>
    <row r="48" spans="2:16">
      <c r="B48" s="465" t="str">
        <f>+B31</f>
        <v>TRA GAZ</v>
      </c>
      <c r="C48" s="464">
        <f>SUM(C44:C47)</f>
        <v>448800</v>
      </c>
      <c r="D48" s="464">
        <f t="shared" ref="D48:N48" si="38">SUM(D44:D47)</f>
        <v>451350</v>
      </c>
      <c r="E48" s="464">
        <f t="shared" si="38"/>
        <v>448800</v>
      </c>
      <c r="F48" s="464">
        <f t="shared" si="38"/>
        <v>451350</v>
      </c>
      <c r="G48" s="464">
        <f t="shared" si="38"/>
        <v>448800</v>
      </c>
      <c r="H48" s="464">
        <f t="shared" si="38"/>
        <v>451350</v>
      </c>
      <c r="I48" s="464">
        <f t="shared" si="38"/>
        <v>448800</v>
      </c>
      <c r="J48" s="464">
        <f t="shared" si="38"/>
        <v>451350</v>
      </c>
      <c r="K48" s="464">
        <f t="shared" si="38"/>
        <v>414050</v>
      </c>
      <c r="L48" s="464">
        <f t="shared" si="38"/>
        <v>417725</v>
      </c>
      <c r="M48" s="464">
        <f t="shared" si="38"/>
        <v>414050</v>
      </c>
      <c r="N48" s="464">
        <f t="shared" si="38"/>
        <v>417725</v>
      </c>
      <c r="O48" s="464">
        <f t="shared" si="37"/>
        <v>5264150</v>
      </c>
    </row>
    <row r="49" spans="2:16">
      <c r="B49" s="461" t="str">
        <f>+B44</f>
        <v>Tranomaro</v>
      </c>
      <c r="C49" s="462">
        <f>+C15*'Données SOMIDA'!$D$62</f>
        <v>106462.5</v>
      </c>
      <c r="D49" s="462">
        <f>+D15*'Données SOMIDA'!$D$62</f>
        <v>106462.5</v>
      </c>
      <c r="E49" s="462">
        <f>+E15*'Données SOMIDA'!$D$62</f>
        <v>106462.5</v>
      </c>
      <c r="F49" s="462">
        <f>+F15*'Données SOMIDA'!$D$62</f>
        <v>106462.5</v>
      </c>
      <c r="G49" s="462">
        <f>+G15*'Données SOMIDA'!$D$62</f>
        <v>106462.5</v>
      </c>
      <c r="H49" s="462">
        <f>+H15*'Données SOMIDA'!$D$62</f>
        <v>106462.5</v>
      </c>
      <c r="I49" s="462">
        <f>+I15*'Données SOMIDA'!$D$62</f>
        <v>106462.5</v>
      </c>
      <c r="J49" s="462">
        <f>+J15*'Données SOMIDA'!$D$62</f>
        <v>106462.5</v>
      </c>
      <c r="K49" s="462">
        <f>+K15*'Données SOMIDA'!$D$62</f>
        <v>98306.25</v>
      </c>
      <c r="L49" s="462">
        <f>+L15*'Données SOMIDA'!$D$62</f>
        <v>98306.25</v>
      </c>
      <c r="M49" s="462">
        <f>+M15*'Données SOMIDA'!$D$62</f>
        <v>98306.25</v>
      </c>
      <c r="N49" s="462">
        <f>+N15*'Données SOMIDA'!$D$62</f>
        <v>98306.25</v>
      </c>
      <c r="O49" s="462">
        <f t="shared" ref="O49:O54" si="39">SUM(C49:N49)</f>
        <v>1244925</v>
      </c>
    </row>
    <row r="50" spans="2:16">
      <c r="B50" s="461" t="str">
        <f>+B45</f>
        <v>Ampandrandava</v>
      </c>
      <c r="C50" s="462">
        <f>+C15*'Données SOMIDA'!$D$63</f>
        <v>149047.5</v>
      </c>
      <c r="D50" s="462">
        <f>+D15*'Données SOMIDA'!$D$63</f>
        <v>149047.5</v>
      </c>
      <c r="E50" s="462">
        <f>+E15*'Données SOMIDA'!$D$63</f>
        <v>149047.5</v>
      </c>
      <c r="F50" s="462">
        <f>+F15*'Données SOMIDA'!$D$63</f>
        <v>149047.5</v>
      </c>
      <c r="G50" s="462">
        <f>+G15*'Données SOMIDA'!$D$63</f>
        <v>149047.5</v>
      </c>
      <c r="H50" s="462">
        <f>+H15*'Données SOMIDA'!$D$63</f>
        <v>149047.5</v>
      </c>
      <c r="I50" s="462">
        <f>+I15*'Données SOMIDA'!$D$63</f>
        <v>149047.5</v>
      </c>
      <c r="J50" s="462">
        <f>+J15*'Données SOMIDA'!$D$63</f>
        <v>149047.5</v>
      </c>
      <c r="K50" s="462">
        <f>+K15*'Données SOMIDA'!$D$63</f>
        <v>137628.75</v>
      </c>
      <c r="L50" s="462">
        <f>+L15*'Données SOMIDA'!$D$63</f>
        <v>137628.75</v>
      </c>
      <c r="M50" s="462">
        <f>+M15*'Données SOMIDA'!$D$63</f>
        <v>137628.75</v>
      </c>
      <c r="N50" s="462">
        <f>+N15*'Données SOMIDA'!$D$63</f>
        <v>137628.75</v>
      </c>
      <c r="O50" s="462">
        <f t="shared" si="39"/>
        <v>1742895</v>
      </c>
    </row>
    <row r="51" spans="2:16">
      <c r="B51" s="461" t="str">
        <f>+B46</f>
        <v>Fort dauphin</v>
      </c>
      <c r="C51" s="462">
        <f>+C15*'Données SOMIDA'!$D$64</f>
        <v>85170</v>
      </c>
      <c r="D51" s="462">
        <f>+D15*'Données SOMIDA'!$D$64</f>
        <v>85170</v>
      </c>
      <c r="E51" s="462">
        <f>+E15*'Données SOMIDA'!$D$64</f>
        <v>85170</v>
      </c>
      <c r="F51" s="462">
        <f>+F15*'Données SOMIDA'!$D$64</f>
        <v>85170</v>
      </c>
      <c r="G51" s="462">
        <f>+G15*'Données SOMIDA'!$D$64</f>
        <v>85170</v>
      </c>
      <c r="H51" s="462">
        <f>+H15*'Données SOMIDA'!$D$64</f>
        <v>85170</v>
      </c>
      <c r="I51" s="462">
        <f>+I15*'Données SOMIDA'!$D$64</f>
        <v>85170</v>
      </c>
      <c r="J51" s="462">
        <f>+J15*'Données SOMIDA'!$D$64</f>
        <v>85170</v>
      </c>
      <c r="K51" s="462">
        <f>+K15*'Données SOMIDA'!$D$64</f>
        <v>78645</v>
      </c>
      <c r="L51" s="462">
        <f>+L15*'Données SOMIDA'!$D$64</f>
        <v>78645</v>
      </c>
      <c r="M51" s="462">
        <f>+M15*'Données SOMIDA'!$D$64</f>
        <v>78645</v>
      </c>
      <c r="N51" s="462">
        <f>+N15*'Données SOMIDA'!$D$64</f>
        <v>78645</v>
      </c>
      <c r="O51" s="462">
        <f t="shared" si="39"/>
        <v>995940</v>
      </c>
    </row>
    <row r="52" spans="2:16">
      <c r="B52" s="466" t="str">
        <f>+B47</f>
        <v>Autres</v>
      </c>
      <c r="C52" s="462">
        <f>+C15*'Données SOMIDA'!$D$65</f>
        <v>85170</v>
      </c>
      <c r="D52" s="462">
        <f>+D15*'Données SOMIDA'!$D$65</f>
        <v>85170</v>
      </c>
      <c r="E52" s="462">
        <f>+E15*'Données SOMIDA'!$D$65</f>
        <v>85170</v>
      </c>
      <c r="F52" s="462">
        <f>+F15*'Données SOMIDA'!$D$65</f>
        <v>85170</v>
      </c>
      <c r="G52" s="462">
        <f>+G15*'Données SOMIDA'!$D$65</f>
        <v>85170</v>
      </c>
      <c r="H52" s="462">
        <f>+H15*'Données SOMIDA'!$D$65</f>
        <v>85170</v>
      </c>
      <c r="I52" s="462">
        <f>+I15*'Données SOMIDA'!$D$65</f>
        <v>85170</v>
      </c>
      <c r="J52" s="462">
        <f>+J15*'Données SOMIDA'!$D$65</f>
        <v>85170</v>
      </c>
      <c r="K52" s="462">
        <f>+K15*'Données SOMIDA'!$D$65</f>
        <v>78645</v>
      </c>
      <c r="L52" s="462">
        <f>+L15*'Données SOMIDA'!$D$65</f>
        <v>78645</v>
      </c>
      <c r="M52" s="462">
        <f>+M15*'Données SOMIDA'!$D$65</f>
        <v>78645</v>
      </c>
      <c r="N52" s="462">
        <f>+N15*'Données SOMIDA'!$D$65</f>
        <v>78645</v>
      </c>
      <c r="O52" s="462">
        <f t="shared" si="39"/>
        <v>995940</v>
      </c>
    </row>
    <row r="53" spans="2:16">
      <c r="B53" s="465" t="str">
        <f>+B32</f>
        <v>ABR GAZ</v>
      </c>
      <c r="C53" s="464">
        <f>SUM(C49:C52)</f>
        <v>425850</v>
      </c>
      <c r="D53" s="464">
        <f t="shared" ref="D53" si="40">SUM(D49:D52)</f>
        <v>425850</v>
      </c>
      <c r="E53" s="464">
        <f t="shared" ref="E53" si="41">SUM(E49:E52)</f>
        <v>425850</v>
      </c>
      <c r="F53" s="464">
        <f t="shared" ref="F53" si="42">SUM(F49:F52)</f>
        <v>425850</v>
      </c>
      <c r="G53" s="464">
        <f t="shared" ref="G53" si="43">SUM(G49:G52)</f>
        <v>425850</v>
      </c>
      <c r="H53" s="464">
        <f t="shared" ref="H53" si="44">SUM(H49:H52)</f>
        <v>425850</v>
      </c>
      <c r="I53" s="464">
        <f t="shared" ref="I53" si="45">SUM(I49:I52)</f>
        <v>425850</v>
      </c>
      <c r="J53" s="464">
        <f t="shared" ref="J53" si="46">SUM(J49:J52)</f>
        <v>425850</v>
      </c>
      <c r="K53" s="464">
        <f t="shared" ref="K53" si="47">SUM(K49:K52)</f>
        <v>393225</v>
      </c>
      <c r="L53" s="464">
        <f t="shared" ref="L53" si="48">SUM(L49:L52)</f>
        <v>393225</v>
      </c>
      <c r="M53" s="464">
        <f t="shared" ref="M53" si="49">SUM(M49:M52)</f>
        <v>393225</v>
      </c>
      <c r="N53" s="464">
        <f t="shared" ref="N53" si="50">SUM(N49:N52)</f>
        <v>393225</v>
      </c>
      <c r="O53" s="464">
        <f t="shared" si="39"/>
        <v>4979700</v>
      </c>
    </row>
    <row r="54" spans="2:16">
      <c r="B54" s="810" t="str">
        <f>+B50</f>
        <v>Ampandrandava</v>
      </c>
      <c r="C54" s="811">
        <f>+C16</f>
        <v>0</v>
      </c>
      <c r="D54" s="811">
        <f t="shared" ref="D54:N54" si="51">+D16</f>
        <v>0</v>
      </c>
      <c r="E54" s="811">
        <f t="shared" si="51"/>
        <v>0</v>
      </c>
      <c r="F54" s="811">
        <f t="shared" si="51"/>
        <v>0</v>
      </c>
      <c r="G54" s="811">
        <f t="shared" si="51"/>
        <v>0</v>
      </c>
      <c r="H54" s="811">
        <f t="shared" si="51"/>
        <v>0</v>
      </c>
      <c r="I54" s="811">
        <f t="shared" si="51"/>
        <v>0</v>
      </c>
      <c r="J54" s="811">
        <f t="shared" si="51"/>
        <v>0</v>
      </c>
      <c r="K54" s="811">
        <f t="shared" si="51"/>
        <v>0</v>
      </c>
      <c r="L54" s="811">
        <f t="shared" si="51"/>
        <v>0</v>
      </c>
      <c r="M54" s="811">
        <f t="shared" si="51"/>
        <v>0</v>
      </c>
      <c r="N54" s="811">
        <f t="shared" si="51"/>
        <v>0</v>
      </c>
      <c r="O54" s="785">
        <f t="shared" si="39"/>
        <v>0</v>
      </c>
    </row>
    <row r="55" spans="2:16" ht="17.25" thickBot="1">
      <c r="B55" s="460" t="str">
        <f>+B33</f>
        <v>FP1 GAZ</v>
      </c>
      <c r="C55" s="463">
        <f t="shared" ref="C55:O55" si="52">+C54</f>
        <v>0</v>
      </c>
      <c r="D55" s="463">
        <f t="shared" si="52"/>
        <v>0</v>
      </c>
      <c r="E55" s="463">
        <f t="shared" si="52"/>
        <v>0</v>
      </c>
      <c r="F55" s="463">
        <f t="shared" si="52"/>
        <v>0</v>
      </c>
      <c r="G55" s="463">
        <f t="shared" si="52"/>
        <v>0</v>
      </c>
      <c r="H55" s="463">
        <f t="shared" si="52"/>
        <v>0</v>
      </c>
      <c r="I55" s="463">
        <f t="shared" si="52"/>
        <v>0</v>
      </c>
      <c r="J55" s="463">
        <f t="shared" si="52"/>
        <v>0</v>
      </c>
      <c r="K55" s="463">
        <f t="shared" si="52"/>
        <v>0</v>
      </c>
      <c r="L55" s="463">
        <f t="shared" si="52"/>
        <v>0</v>
      </c>
      <c r="M55" s="463">
        <f t="shared" si="52"/>
        <v>0</v>
      </c>
      <c r="N55" s="463">
        <f t="shared" si="52"/>
        <v>0</v>
      </c>
      <c r="O55" s="463">
        <f t="shared" si="52"/>
        <v>0</v>
      </c>
    </row>
    <row r="56" spans="2:16" ht="17.25" thickBot="1">
      <c r="B56" s="484" t="s">
        <v>976</v>
      </c>
      <c r="C56" s="485">
        <f>+C53+C48+C55</f>
        <v>874650</v>
      </c>
      <c r="D56" s="485">
        <f t="shared" ref="D56:O56" si="53">+D53+D48+D55</f>
        <v>877200</v>
      </c>
      <c r="E56" s="485">
        <f t="shared" si="53"/>
        <v>874650</v>
      </c>
      <c r="F56" s="485">
        <f t="shared" si="53"/>
        <v>877200</v>
      </c>
      <c r="G56" s="485">
        <f t="shared" si="53"/>
        <v>874650</v>
      </c>
      <c r="H56" s="485">
        <f t="shared" si="53"/>
        <v>877200</v>
      </c>
      <c r="I56" s="485">
        <f t="shared" si="53"/>
        <v>874650</v>
      </c>
      <c r="J56" s="485">
        <f t="shared" si="53"/>
        <v>877200</v>
      </c>
      <c r="K56" s="485">
        <f t="shared" si="53"/>
        <v>807275</v>
      </c>
      <c r="L56" s="485">
        <f t="shared" si="53"/>
        <v>810950</v>
      </c>
      <c r="M56" s="485">
        <f t="shared" si="53"/>
        <v>807275</v>
      </c>
      <c r="N56" s="485">
        <f t="shared" si="53"/>
        <v>810950</v>
      </c>
      <c r="O56" s="485">
        <f t="shared" si="53"/>
        <v>10243850</v>
      </c>
      <c r="P56" s="462">
        <f>+O71/O56</f>
        <v>237.5</v>
      </c>
    </row>
    <row r="57" spans="2:16" ht="6" customHeight="1">
      <c r="B57" s="460"/>
      <c r="C57" s="463"/>
      <c r="D57" s="463"/>
      <c r="E57" s="463"/>
      <c r="F57" s="463"/>
      <c r="G57" s="463"/>
      <c r="H57" s="463"/>
      <c r="I57" s="463"/>
      <c r="J57" s="463"/>
      <c r="K57" s="463"/>
      <c r="L57" s="463"/>
      <c r="M57" s="463"/>
      <c r="N57" s="463"/>
      <c r="O57" s="463"/>
    </row>
    <row r="58" spans="2:16" ht="17.25" thickBot="1">
      <c r="B58" s="199" t="s">
        <v>670</v>
      </c>
    </row>
    <row r="59" spans="2:16" s="468" customFormat="1">
      <c r="B59" s="472" t="s">
        <v>1827</v>
      </c>
      <c r="C59" s="408" t="str">
        <f t="shared" ref="C59:O59" si="54">+C43</f>
        <v>Janvier</v>
      </c>
      <c r="D59" s="408" t="str">
        <f t="shared" si="54"/>
        <v>Février</v>
      </c>
      <c r="E59" s="408" t="str">
        <f t="shared" si="54"/>
        <v>Mars</v>
      </c>
      <c r="F59" s="408" t="str">
        <f t="shared" si="54"/>
        <v>Avril</v>
      </c>
      <c r="G59" s="408" t="str">
        <f t="shared" si="54"/>
        <v>Mai</v>
      </c>
      <c r="H59" s="408" t="str">
        <f t="shared" si="54"/>
        <v>Juin</v>
      </c>
      <c r="I59" s="408" t="str">
        <f t="shared" si="54"/>
        <v>Juillet</v>
      </c>
      <c r="J59" s="408" t="str">
        <f t="shared" si="54"/>
        <v>Août</v>
      </c>
      <c r="K59" s="408" t="str">
        <f t="shared" si="54"/>
        <v>Septembre</v>
      </c>
      <c r="L59" s="408" t="str">
        <f t="shared" si="54"/>
        <v>Octobre</v>
      </c>
      <c r="M59" s="408" t="str">
        <f t="shared" si="54"/>
        <v>Novembre</v>
      </c>
      <c r="N59" s="408" t="str">
        <f t="shared" si="54"/>
        <v>Décembre</v>
      </c>
      <c r="O59" s="408" t="str">
        <f t="shared" si="54"/>
        <v>Total</v>
      </c>
      <c r="P59" s="469"/>
    </row>
    <row r="60" spans="2:16">
      <c r="B60" s="461" t="str">
        <f>+B49</f>
        <v>Tranomaro</v>
      </c>
      <c r="C60" s="462">
        <f>+C44*'Données SOMIDA'!$G$71</f>
        <v>28050000</v>
      </c>
      <c r="D60" s="462">
        <f>+D44*'Données SOMIDA'!$G$71</f>
        <v>28209375</v>
      </c>
      <c r="E60" s="462">
        <f>+E44*'Données SOMIDA'!$G$71</f>
        <v>28050000</v>
      </c>
      <c r="F60" s="462">
        <f>+F44*'Données SOMIDA'!$G$71</f>
        <v>28209375</v>
      </c>
      <c r="G60" s="462">
        <f>+G44*'Données SOMIDA'!$G$71</f>
        <v>28050000</v>
      </c>
      <c r="H60" s="462">
        <f>+H44*'Données SOMIDA'!$G$71</f>
        <v>28209375</v>
      </c>
      <c r="I60" s="462">
        <f>+I44*'Données SOMIDA'!$G$71</f>
        <v>28050000</v>
      </c>
      <c r="J60" s="462">
        <f>+J44*'Données SOMIDA'!$G$71</f>
        <v>28209375</v>
      </c>
      <c r="K60" s="462">
        <f>+K44*'Données SOMIDA'!$G$71</f>
        <v>25878125</v>
      </c>
      <c r="L60" s="462">
        <f>+L44*'Données SOMIDA'!$G$71</f>
        <v>26107812.5</v>
      </c>
      <c r="M60" s="462">
        <f>+M44*'Données SOMIDA'!$G$71</f>
        <v>25878125</v>
      </c>
      <c r="N60" s="462">
        <f>+N44*'Données SOMIDA'!$G$71</f>
        <v>26107812.5</v>
      </c>
      <c r="O60" s="462">
        <f t="shared" ref="O60:O63" si="55">SUM(C60:N60)</f>
        <v>329009375</v>
      </c>
    </row>
    <row r="61" spans="2:16">
      <c r="B61" s="461" t="str">
        <f>+B50</f>
        <v>Ampandrandava</v>
      </c>
      <c r="C61" s="462">
        <f>(+C45)*'Données SOMIDA'!$G$72</f>
        <v>15708000</v>
      </c>
      <c r="D61" s="462">
        <f>(+D45)*'Données SOMIDA'!$G$72</f>
        <v>15797250</v>
      </c>
      <c r="E61" s="462">
        <f>(+E45)*'Données SOMIDA'!$G$72</f>
        <v>15708000</v>
      </c>
      <c r="F61" s="462">
        <f>(+F45)*'Données SOMIDA'!$G$72</f>
        <v>15797250</v>
      </c>
      <c r="G61" s="462">
        <f>(+G45)*'Données SOMIDA'!$G$72</f>
        <v>15708000</v>
      </c>
      <c r="H61" s="462">
        <f>(+H45)*'Données SOMIDA'!$G$72</f>
        <v>15797250</v>
      </c>
      <c r="I61" s="462">
        <f>(+I45)*'Données SOMIDA'!$G$72</f>
        <v>15708000</v>
      </c>
      <c r="J61" s="462">
        <f>(+J45)*'Données SOMIDA'!$G$72</f>
        <v>15797250</v>
      </c>
      <c r="K61" s="462">
        <f>(+K45)*'Données SOMIDA'!$G$72</f>
        <v>14491750</v>
      </c>
      <c r="L61" s="462">
        <f>(+L45)*'Données SOMIDA'!$G$72</f>
        <v>14620375</v>
      </c>
      <c r="M61" s="462">
        <f>(+M45)*'Données SOMIDA'!$G$72</f>
        <v>14491750</v>
      </c>
      <c r="N61" s="462">
        <f>(+N45)*'Données SOMIDA'!$G$72</f>
        <v>14620375</v>
      </c>
      <c r="O61" s="462">
        <f t="shared" si="55"/>
        <v>184245250</v>
      </c>
    </row>
    <row r="62" spans="2:16">
      <c r="B62" s="461" t="str">
        <f>+B51</f>
        <v>Fort dauphin</v>
      </c>
      <c r="C62" s="462">
        <f>+C46*'Données SOMIDA'!$G$74</f>
        <v>40392000</v>
      </c>
      <c r="D62" s="462">
        <f>+D46*'Données SOMIDA'!$G$74</f>
        <v>40621500</v>
      </c>
      <c r="E62" s="462">
        <f>+E46*'Données SOMIDA'!$G$74</f>
        <v>40392000</v>
      </c>
      <c r="F62" s="462">
        <f>+F46*'Données SOMIDA'!$G$74</f>
        <v>40621500</v>
      </c>
      <c r="G62" s="462">
        <f>+G46*'Données SOMIDA'!$G$74</f>
        <v>40392000</v>
      </c>
      <c r="H62" s="462">
        <f>+H46*'Données SOMIDA'!$G$74</f>
        <v>40621500</v>
      </c>
      <c r="I62" s="462">
        <f>+I46*'Données SOMIDA'!$G$74</f>
        <v>40392000</v>
      </c>
      <c r="J62" s="462">
        <f>+J46*'Données SOMIDA'!$G$74</f>
        <v>40621500</v>
      </c>
      <c r="K62" s="462">
        <f>+K46*'Données SOMIDA'!$G$74</f>
        <v>37264500</v>
      </c>
      <c r="L62" s="462">
        <f>+L46*'Données SOMIDA'!$G$74</f>
        <v>37595250</v>
      </c>
      <c r="M62" s="462">
        <f>+M46*'Données SOMIDA'!$G$74</f>
        <v>37264500</v>
      </c>
      <c r="N62" s="462">
        <f>+N46*'Données SOMIDA'!$G$74</f>
        <v>37595250</v>
      </c>
      <c r="O62" s="462">
        <f t="shared" si="55"/>
        <v>473773500</v>
      </c>
    </row>
    <row r="63" spans="2:16">
      <c r="B63" s="466" t="str">
        <f>+B52</f>
        <v>Autres</v>
      </c>
      <c r="C63" s="462">
        <f>+C47*'Données SOMIDA'!$G$75</f>
        <v>22440000</v>
      </c>
      <c r="D63" s="462">
        <f>+D47*'Données SOMIDA'!$G$75</f>
        <v>22567500</v>
      </c>
      <c r="E63" s="462">
        <f>+E47*'Données SOMIDA'!$G$75</f>
        <v>22440000</v>
      </c>
      <c r="F63" s="462">
        <f>+F47*'Données SOMIDA'!$G$75</f>
        <v>22567500</v>
      </c>
      <c r="G63" s="462">
        <f>+G47*'Données SOMIDA'!$G$75</f>
        <v>22440000</v>
      </c>
      <c r="H63" s="462">
        <f>+H47*'Données SOMIDA'!$G$75</f>
        <v>22567500</v>
      </c>
      <c r="I63" s="462">
        <f>+I47*'Données SOMIDA'!$G$75</f>
        <v>22440000</v>
      </c>
      <c r="J63" s="462">
        <f>+J47*'Données SOMIDA'!$G$75</f>
        <v>22567500</v>
      </c>
      <c r="K63" s="462">
        <f>+K47*'Données SOMIDA'!$G$75</f>
        <v>20702500</v>
      </c>
      <c r="L63" s="462">
        <f>+L47*'Données SOMIDA'!$G$75</f>
        <v>20886250</v>
      </c>
      <c r="M63" s="462">
        <f>+M47*'Données SOMIDA'!$G$75</f>
        <v>20702500</v>
      </c>
      <c r="N63" s="462">
        <f>+N47*'Données SOMIDA'!$G$75</f>
        <v>20886250</v>
      </c>
      <c r="O63" s="462">
        <f t="shared" si="55"/>
        <v>263207500</v>
      </c>
    </row>
    <row r="64" spans="2:16">
      <c r="B64" s="465" t="str">
        <f>+B48</f>
        <v>TRA GAZ</v>
      </c>
      <c r="C64" s="464">
        <f t="shared" ref="C64:O64" si="56">SUM(C60:C63)</f>
        <v>106590000</v>
      </c>
      <c r="D64" s="464">
        <f t="shared" si="56"/>
        <v>107195625</v>
      </c>
      <c r="E64" s="464">
        <f t="shared" si="56"/>
        <v>106590000</v>
      </c>
      <c r="F64" s="464">
        <f t="shared" si="56"/>
        <v>107195625</v>
      </c>
      <c r="G64" s="464">
        <f t="shared" si="56"/>
        <v>106590000</v>
      </c>
      <c r="H64" s="464">
        <f t="shared" si="56"/>
        <v>107195625</v>
      </c>
      <c r="I64" s="464">
        <f t="shared" si="56"/>
        <v>106590000</v>
      </c>
      <c r="J64" s="464">
        <f t="shared" si="56"/>
        <v>107195625</v>
      </c>
      <c r="K64" s="464">
        <f t="shared" si="56"/>
        <v>98336875</v>
      </c>
      <c r="L64" s="464">
        <f t="shared" si="56"/>
        <v>99209687.5</v>
      </c>
      <c r="M64" s="464">
        <f t="shared" si="56"/>
        <v>98336875</v>
      </c>
      <c r="N64" s="464">
        <f t="shared" si="56"/>
        <v>99209687.5</v>
      </c>
      <c r="O64" s="464">
        <f t="shared" si="56"/>
        <v>1250235625</v>
      </c>
    </row>
    <row r="65" spans="2:16">
      <c r="B65" s="461" t="str">
        <f>+B60</f>
        <v>Tranomaro</v>
      </c>
      <c r="C65" s="462">
        <f>+C49*'Données SOMIDA'!$G$71</f>
        <v>26615625</v>
      </c>
      <c r="D65" s="462">
        <f>+D49*'Données SOMIDA'!$G$71</f>
        <v>26615625</v>
      </c>
      <c r="E65" s="462">
        <f>+E49*'Données SOMIDA'!$G$71</f>
        <v>26615625</v>
      </c>
      <c r="F65" s="462">
        <f>+F49*'Données SOMIDA'!$G$71</f>
        <v>26615625</v>
      </c>
      <c r="G65" s="462">
        <f>+G49*'Données SOMIDA'!$G$71</f>
        <v>26615625</v>
      </c>
      <c r="H65" s="462">
        <f>+H49*'Données SOMIDA'!$G$71</f>
        <v>26615625</v>
      </c>
      <c r="I65" s="462">
        <f>+I49*'Données SOMIDA'!$G$71</f>
        <v>26615625</v>
      </c>
      <c r="J65" s="462">
        <f>+J49*'Données SOMIDA'!$G$71</f>
        <v>26615625</v>
      </c>
      <c r="K65" s="462">
        <f>+K49*'Données SOMIDA'!$G$71</f>
        <v>24576562.5</v>
      </c>
      <c r="L65" s="462">
        <f>+L49*'Données SOMIDA'!$G$71</f>
        <v>24576562.5</v>
      </c>
      <c r="M65" s="462">
        <f>+M49*'Données SOMIDA'!$G$71</f>
        <v>24576562.5</v>
      </c>
      <c r="N65" s="462">
        <f>+N49*'Données SOMIDA'!$G$71</f>
        <v>24576562.5</v>
      </c>
      <c r="O65" s="462">
        <f t="shared" ref="O65:O70" si="57">SUM(C65:N65)</f>
        <v>311231250</v>
      </c>
    </row>
    <row r="66" spans="2:16">
      <c r="B66" s="461" t="str">
        <f>+B61</f>
        <v>Ampandrandava</v>
      </c>
      <c r="C66" s="462">
        <f>+C50*'Données SOMIDA'!$G$72</f>
        <v>14904750</v>
      </c>
      <c r="D66" s="462">
        <f>+D50*'Données SOMIDA'!$G$72</f>
        <v>14904750</v>
      </c>
      <c r="E66" s="462">
        <f>+E50*'Données SOMIDA'!$G$72</f>
        <v>14904750</v>
      </c>
      <c r="F66" s="462">
        <f>+F50*'Données SOMIDA'!$G$72</f>
        <v>14904750</v>
      </c>
      <c r="G66" s="462">
        <f>+G50*'Données SOMIDA'!$G$72</f>
        <v>14904750</v>
      </c>
      <c r="H66" s="462">
        <f>+H50*'Données SOMIDA'!$G$72</f>
        <v>14904750</v>
      </c>
      <c r="I66" s="462">
        <f>+I50*'Données SOMIDA'!$G$72</f>
        <v>14904750</v>
      </c>
      <c r="J66" s="462">
        <f>+J50*'Données SOMIDA'!$G$72</f>
        <v>14904750</v>
      </c>
      <c r="K66" s="462">
        <f>+K50*'Données SOMIDA'!$G$72</f>
        <v>13762875</v>
      </c>
      <c r="L66" s="462">
        <f>+L50*'Données SOMIDA'!$G$72</f>
        <v>13762875</v>
      </c>
      <c r="M66" s="462">
        <f>+M50*'Données SOMIDA'!$G$72</f>
        <v>13762875</v>
      </c>
      <c r="N66" s="462">
        <f>+N50*'Données SOMIDA'!$G$72</f>
        <v>13762875</v>
      </c>
      <c r="O66" s="462">
        <f t="shared" si="57"/>
        <v>174289500</v>
      </c>
    </row>
    <row r="67" spans="2:16">
      <c r="B67" s="461" t="str">
        <f t="shared" ref="B67:B68" si="58">+B62</f>
        <v>Fort dauphin</v>
      </c>
      <c r="C67" s="462">
        <f>+C51*'Données SOMIDA'!$G$74</f>
        <v>38326500</v>
      </c>
      <c r="D67" s="462">
        <f>+D51*'Données SOMIDA'!$G$74</f>
        <v>38326500</v>
      </c>
      <c r="E67" s="462">
        <f>+E51*'Données SOMIDA'!$G$74</f>
        <v>38326500</v>
      </c>
      <c r="F67" s="462">
        <f>+F51*'Données SOMIDA'!$G$74</f>
        <v>38326500</v>
      </c>
      <c r="G67" s="462">
        <f>+G51*'Données SOMIDA'!$G$74</f>
        <v>38326500</v>
      </c>
      <c r="H67" s="462">
        <f>+H51*'Données SOMIDA'!$G$74</f>
        <v>38326500</v>
      </c>
      <c r="I67" s="462">
        <f>+I51*'Données SOMIDA'!$G$74</f>
        <v>38326500</v>
      </c>
      <c r="J67" s="462">
        <f>+J51*'Données SOMIDA'!$G$74</f>
        <v>38326500</v>
      </c>
      <c r="K67" s="462">
        <f>+K51*'Données SOMIDA'!$G$74</f>
        <v>35390250</v>
      </c>
      <c r="L67" s="462">
        <f>+L51*'Données SOMIDA'!$G$74</f>
        <v>35390250</v>
      </c>
      <c r="M67" s="462">
        <f>+M51*'Données SOMIDA'!$G$74</f>
        <v>35390250</v>
      </c>
      <c r="N67" s="462">
        <f>+N51*'Données SOMIDA'!$G$74</f>
        <v>35390250</v>
      </c>
      <c r="O67" s="462">
        <f t="shared" si="57"/>
        <v>448173000</v>
      </c>
    </row>
    <row r="68" spans="2:16">
      <c r="B68" s="466" t="str">
        <f t="shared" si="58"/>
        <v>Autres</v>
      </c>
      <c r="C68" s="462">
        <f>+C52*'Données SOMIDA'!$G$75</f>
        <v>21292500</v>
      </c>
      <c r="D68" s="462">
        <f>+D52*'Données SOMIDA'!$G$75</f>
        <v>21292500</v>
      </c>
      <c r="E68" s="462">
        <f>+E52*'Données SOMIDA'!$G$75</f>
        <v>21292500</v>
      </c>
      <c r="F68" s="462">
        <f>+F52*'Données SOMIDA'!$G$75</f>
        <v>21292500</v>
      </c>
      <c r="G68" s="462">
        <f>+G52*'Données SOMIDA'!$G$75</f>
        <v>21292500</v>
      </c>
      <c r="H68" s="462">
        <f>+H52*'Données SOMIDA'!$G$75</f>
        <v>21292500</v>
      </c>
      <c r="I68" s="462">
        <f>+I52*'Données SOMIDA'!$G$75</f>
        <v>21292500</v>
      </c>
      <c r="J68" s="462">
        <f>+J52*'Données SOMIDA'!$G$75</f>
        <v>21292500</v>
      </c>
      <c r="K68" s="462">
        <f>+K52*'Données SOMIDA'!$G$75</f>
        <v>19661250</v>
      </c>
      <c r="L68" s="462">
        <f>+L52*'Données SOMIDA'!$G$75</f>
        <v>19661250</v>
      </c>
      <c r="M68" s="462">
        <f>+M52*'Données SOMIDA'!$G$75</f>
        <v>19661250</v>
      </c>
      <c r="N68" s="462">
        <f>+N52*'Données SOMIDA'!$G$75</f>
        <v>19661250</v>
      </c>
      <c r="O68" s="462">
        <f t="shared" si="57"/>
        <v>248985000</v>
      </c>
    </row>
    <row r="69" spans="2:16">
      <c r="B69" s="465" t="str">
        <f>+B53</f>
        <v>ABR GAZ</v>
      </c>
      <c r="C69" s="464">
        <f>SUM(C65:C68)</f>
        <v>101139375</v>
      </c>
      <c r="D69" s="464">
        <f t="shared" ref="D69:O69" si="59">SUM(D65:D68)</f>
        <v>101139375</v>
      </c>
      <c r="E69" s="464">
        <f t="shared" si="59"/>
        <v>101139375</v>
      </c>
      <c r="F69" s="464">
        <f t="shared" si="59"/>
        <v>101139375</v>
      </c>
      <c r="G69" s="464">
        <f t="shared" si="59"/>
        <v>101139375</v>
      </c>
      <c r="H69" s="464">
        <f t="shared" si="59"/>
        <v>101139375</v>
      </c>
      <c r="I69" s="464">
        <f t="shared" si="59"/>
        <v>101139375</v>
      </c>
      <c r="J69" s="464">
        <f t="shared" si="59"/>
        <v>101139375</v>
      </c>
      <c r="K69" s="464">
        <f t="shared" si="59"/>
        <v>93390937.5</v>
      </c>
      <c r="L69" s="464">
        <f t="shared" si="59"/>
        <v>93390937.5</v>
      </c>
      <c r="M69" s="464">
        <f t="shared" si="59"/>
        <v>93390937.5</v>
      </c>
      <c r="N69" s="464">
        <f t="shared" si="59"/>
        <v>93390937.5</v>
      </c>
      <c r="O69" s="464">
        <f t="shared" si="59"/>
        <v>1182678750</v>
      </c>
    </row>
    <row r="70" spans="2:16">
      <c r="B70" s="460" t="str">
        <f>+B55</f>
        <v>FP1 GAZ</v>
      </c>
      <c r="C70" s="812">
        <f>+C54*'Données SOMIDA'!$G$73</f>
        <v>0</v>
      </c>
      <c r="D70" s="812">
        <f>+D54*'Données SOMIDA'!$G$73</f>
        <v>0</v>
      </c>
      <c r="E70" s="812">
        <f>+E54*'Données SOMIDA'!$G$73</f>
        <v>0</v>
      </c>
      <c r="F70" s="812">
        <f>+F54*'Données SOMIDA'!$G$73</f>
        <v>0</v>
      </c>
      <c r="G70" s="812">
        <f>+G54*'Données SOMIDA'!$G$73</f>
        <v>0</v>
      </c>
      <c r="H70" s="812">
        <f>+H54*'Données SOMIDA'!$G$73</f>
        <v>0</v>
      </c>
      <c r="I70" s="812">
        <f>+I54*'Données SOMIDA'!$G$73</f>
        <v>0</v>
      </c>
      <c r="J70" s="812">
        <f>+J54*'Données SOMIDA'!$G$73</f>
        <v>0</v>
      </c>
      <c r="K70" s="812">
        <f>+K54*'Données SOMIDA'!$G$73</f>
        <v>0</v>
      </c>
      <c r="L70" s="812">
        <f>+L54*'Données SOMIDA'!$G$73</f>
        <v>0</v>
      </c>
      <c r="M70" s="812">
        <f>+M54*'Données SOMIDA'!$G$73</f>
        <v>0</v>
      </c>
      <c r="N70" s="812">
        <f>+N54*'Données SOMIDA'!$G$73</f>
        <v>0</v>
      </c>
      <c r="O70" s="812">
        <f t="shared" si="57"/>
        <v>0</v>
      </c>
    </row>
    <row r="71" spans="2:16" ht="17.25" thickBot="1">
      <c r="B71" s="470" t="s">
        <v>362</v>
      </c>
      <c r="C71" s="471">
        <f>+C69+C64+C70</f>
        <v>207729375</v>
      </c>
      <c r="D71" s="471">
        <f t="shared" ref="D71:O71" si="60">+D69+D64+D70</f>
        <v>208335000</v>
      </c>
      <c r="E71" s="471">
        <f t="shared" si="60"/>
        <v>207729375</v>
      </c>
      <c r="F71" s="471">
        <f t="shared" si="60"/>
        <v>208335000</v>
      </c>
      <c r="G71" s="471">
        <f t="shared" si="60"/>
        <v>207729375</v>
      </c>
      <c r="H71" s="471">
        <f t="shared" si="60"/>
        <v>208335000</v>
      </c>
      <c r="I71" s="471">
        <f t="shared" si="60"/>
        <v>207729375</v>
      </c>
      <c r="J71" s="471">
        <f t="shared" si="60"/>
        <v>208335000</v>
      </c>
      <c r="K71" s="471">
        <f t="shared" si="60"/>
        <v>191727812.5</v>
      </c>
      <c r="L71" s="471">
        <f t="shared" si="60"/>
        <v>192600625</v>
      </c>
      <c r="M71" s="471">
        <f t="shared" si="60"/>
        <v>191727812.5</v>
      </c>
      <c r="N71" s="471">
        <f t="shared" si="60"/>
        <v>192600625</v>
      </c>
      <c r="O71" s="471">
        <f t="shared" si="60"/>
        <v>2432914375</v>
      </c>
    </row>
    <row r="72" spans="2:16" ht="5.25" customHeight="1" thickBot="1"/>
    <row r="73" spans="2:16" s="468" customFormat="1">
      <c r="B73" s="472" t="s">
        <v>971</v>
      </c>
      <c r="C73" s="408" t="str">
        <f t="shared" ref="C73:O73" si="61">+C59</f>
        <v>Janvier</v>
      </c>
      <c r="D73" s="408" t="str">
        <f t="shared" si="61"/>
        <v>Février</v>
      </c>
      <c r="E73" s="408" t="str">
        <f t="shared" si="61"/>
        <v>Mars</v>
      </c>
      <c r="F73" s="408" t="str">
        <f t="shared" si="61"/>
        <v>Avril</v>
      </c>
      <c r="G73" s="408" t="str">
        <f t="shared" si="61"/>
        <v>Mai</v>
      </c>
      <c r="H73" s="408" t="str">
        <f t="shared" si="61"/>
        <v>Juin</v>
      </c>
      <c r="I73" s="408" t="str">
        <f t="shared" si="61"/>
        <v>Juillet</v>
      </c>
      <c r="J73" s="408" t="str">
        <f t="shared" si="61"/>
        <v>Août</v>
      </c>
      <c r="K73" s="408" t="str">
        <f t="shared" si="61"/>
        <v>Septembre</v>
      </c>
      <c r="L73" s="408" t="str">
        <f t="shared" si="61"/>
        <v>Octobre</v>
      </c>
      <c r="M73" s="408" t="str">
        <f t="shared" si="61"/>
        <v>Novembre</v>
      </c>
      <c r="N73" s="408" t="str">
        <f t="shared" si="61"/>
        <v>Décembre</v>
      </c>
      <c r="O73" s="408" t="str">
        <f t="shared" si="61"/>
        <v>Total</v>
      </c>
      <c r="P73" s="469"/>
    </row>
    <row r="74" spans="2:16">
      <c r="B74" s="406" t="s">
        <v>37</v>
      </c>
      <c r="C74" s="462">
        <f>+SUMIF($B$44:$B$53,$B$74,C44:C53)*'Données SOMIDA'!$E$71</f>
        <v>43732500</v>
      </c>
      <c r="D74" s="462">
        <f>+SUMIF($B$44:$B$53,$B$74,D44:D53)*'Données SOMIDA'!$E$71</f>
        <v>43860000</v>
      </c>
      <c r="E74" s="462">
        <f>+SUMIF($B$44:$B$53,$B$74,E44:E53)*'Données SOMIDA'!$E$71</f>
        <v>43732500</v>
      </c>
      <c r="F74" s="462">
        <f>+SUMIF($B$44:$B$53,$B$74,F44:F53)*'Données SOMIDA'!$E$71</f>
        <v>43860000</v>
      </c>
      <c r="G74" s="462">
        <f>+SUMIF($B$44:$B$53,$B$74,G44:G53)*'Données SOMIDA'!$E$71</f>
        <v>43732500</v>
      </c>
      <c r="H74" s="462">
        <f>+SUMIF($B$44:$B$53,$B$74,H44:H53)*'Données SOMIDA'!$E$71</f>
        <v>43860000</v>
      </c>
      <c r="I74" s="462">
        <f>+SUMIF($B$44:$B$53,$B$74,I44:I53)*'Données SOMIDA'!$E$71</f>
        <v>43732500</v>
      </c>
      <c r="J74" s="462">
        <f>+SUMIF($B$44:$B$53,$B$74,J44:J53)*'Données SOMIDA'!$E$71</f>
        <v>43860000</v>
      </c>
      <c r="K74" s="462">
        <f>+SUMIF($B$44:$B$53,$B$74,K44:K53)*'Données SOMIDA'!$E$71</f>
        <v>40363750</v>
      </c>
      <c r="L74" s="462">
        <f>+SUMIF($B$44:$B$53,$B$74,L44:L53)*'Données SOMIDA'!$E$71</f>
        <v>40547500</v>
      </c>
      <c r="M74" s="462">
        <f>+SUMIF($B$44:$B$53,$B$74,M44:M53)*'Données SOMIDA'!$E$71</f>
        <v>40363750</v>
      </c>
      <c r="N74" s="462">
        <f>+SUMIF($B$44:$B$53,$B$74,N44:N53)*'Données SOMIDA'!$E$71</f>
        <v>40547500</v>
      </c>
      <c r="O74" s="462">
        <f t="shared" ref="O74:O77" si="62">SUM(C74:N74)</f>
        <v>512192500</v>
      </c>
    </row>
    <row r="75" spans="2:16">
      <c r="B75" s="406" t="s">
        <v>909</v>
      </c>
      <c r="C75" s="462">
        <f>+SUMIF($B$44:$B$54,$B$75,C44:C54)*'Données SOMIDA'!$E$72</f>
        <v>91838250</v>
      </c>
      <c r="D75" s="462">
        <f>+SUMIF($B$44:$B$54,$B$75,D44:D54)*'Données SOMIDA'!$E$72</f>
        <v>92106000</v>
      </c>
      <c r="E75" s="462">
        <f>+SUMIF($B$44:$B$54,$B$75,E44:E54)*'Données SOMIDA'!$E$72</f>
        <v>91838250</v>
      </c>
      <c r="F75" s="462">
        <f>+SUMIF($B$44:$B$54,$B$75,F44:F54)*'Données SOMIDA'!$E$72</f>
        <v>92106000</v>
      </c>
      <c r="G75" s="462">
        <f>+SUMIF($B$44:$B$54,$B$75,G44:G54)*'Données SOMIDA'!$E$72</f>
        <v>91838250</v>
      </c>
      <c r="H75" s="462">
        <f>+SUMIF($B$44:$B$54,$B$75,H44:H54)*'Données SOMIDA'!$E$72</f>
        <v>92106000</v>
      </c>
      <c r="I75" s="462">
        <f>+SUMIF($B$44:$B$54,$B$75,I44:I54)*'Données SOMIDA'!$E$72</f>
        <v>91838250</v>
      </c>
      <c r="J75" s="462">
        <f>+SUMIF($B$44:$B$54,$B$75,J44:J54)*'Données SOMIDA'!$E$72</f>
        <v>92106000</v>
      </c>
      <c r="K75" s="462">
        <f>+SUMIF($B$44:$B$54,$B$75,K44:K54)*'Données SOMIDA'!$E$72</f>
        <v>84763875</v>
      </c>
      <c r="L75" s="462">
        <f>+SUMIF($B$44:$B$54,$B$75,L44:L54)*'Données SOMIDA'!$E$72</f>
        <v>85149750</v>
      </c>
      <c r="M75" s="462">
        <f>+SUMIF($B$44:$B$54,$B$75,M44:M54)*'Données SOMIDA'!$E$72</f>
        <v>84763875</v>
      </c>
      <c r="N75" s="462">
        <f>+SUMIF($B$44:$B$54,$B$75,N44:N54)*'Données SOMIDA'!$E$72</f>
        <v>85149750</v>
      </c>
      <c r="O75" s="462">
        <f t="shared" si="62"/>
        <v>1075604250</v>
      </c>
    </row>
    <row r="76" spans="2:16">
      <c r="B76" s="406" t="s">
        <v>35</v>
      </c>
      <c r="C76" s="462">
        <f>+SUMIF($B$44:$B$53,$B$76,C44:C53)*'Données SOMIDA'!$E$74</f>
        <v>0</v>
      </c>
      <c r="D76" s="462">
        <f>+SUMIF($B$44:$B$53,$B$76,D44:D53)*'Données SOMIDA'!$E$74</f>
        <v>0</v>
      </c>
      <c r="E76" s="462">
        <f>+SUMIF($B$44:$B$53,$B$76,E44:E53)*'Données SOMIDA'!$E$74</f>
        <v>0</v>
      </c>
      <c r="F76" s="462">
        <f>+SUMIF($B$44:$B$53,$B$76,F44:F53)*'Données SOMIDA'!$E$74</f>
        <v>0</v>
      </c>
      <c r="G76" s="462">
        <f>+SUMIF($B$44:$B$53,$B$76,G44:G53)*'Données SOMIDA'!$E$74</f>
        <v>0</v>
      </c>
      <c r="H76" s="462">
        <f>+SUMIF($B$44:$B$53,$B$76,H44:H53)*'Données SOMIDA'!$E$74</f>
        <v>0</v>
      </c>
      <c r="I76" s="462">
        <f>+SUMIF($B$44:$B$53,$B$76,I44:I53)*'Données SOMIDA'!$E$74</f>
        <v>0</v>
      </c>
      <c r="J76" s="462">
        <f>+SUMIF($B$44:$B$53,$B$76,J44:J53)*'Données SOMIDA'!$E$74</f>
        <v>0</v>
      </c>
      <c r="K76" s="462">
        <f>+SUMIF($B$44:$B$53,$B$76,K44:K53)*'Données SOMIDA'!$E$74</f>
        <v>0</v>
      </c>
      <c r="L76" s="462">
        <f>+SUMIF($B$44:$B$53,$B$76,L44:L53)*'Données SOMIDA'!$E$74</f>
        <v>0</v>
      </c>
      <c r="M76" s="462">
        <f>+SUMIF($B$44:$B$53,$B$76,M44:M53)*'Données SOMIDA'!$E$74</f>
        <v>0</v>
      </c>
      <c r="N76" s="462">
        <f>+SUMIF($B$44:$B$53,$B$76,N44:N53)*'Données SOMIDA'!$E$74</f>
        <v>0</v>
      </c>
      <c r="O76" s="462">
        <f t="shared" si="62"/>
        <v>0</v>
      </c>
    </row>
    <row r="77" spans="2:16">
      <c r="B77" s="406" t="s">
        <v>875</v>
      </c>
      <c r="C77" s="462">
        <f>+SUMIF($B$44:$B$53,$B$77,C44:C53)*'Données SOMIDA'!$E$75</f>
        <v>34986000</v>
      </c>
      <c r="D77" s="462">
        <f>+SUMIF($B$44:$B$53,$B$77,D44:D53)*'Données SOMIDA'!$E$75</f>
        <v>35088000</v>
      </c>
      <c r="E77" s="462">
        <f>+SUMIF($B$44:$B$53,$B$77,E44:E53)*'Données SOMIDA'!$E$75</f>
        <v>34986000</v>
      </c>
      <c r="F77" s="462">
        <f>+SUMIF($B$44:$B$53,$B$77,F44:F53)*'Données SOMIDA'!$E$75</f>
        <v>35088000</v>
      </c>
      <c r="G77" s="462">
        <f>+SUMIF($B$44:$B$53,$B$77,G44:G53)*'Données SOMIDA'!$E$75</f>
        <v>34986000</v>
      </c>
      <c r="H77" s="462">
        <f>+SUMIF($B$44:$B$53,$B$77,H44:H53)*'Données SOMIDA'!$E$75</f>
        <v>35088000</v>
      </c>
      <c r="I77" s="462">
        <f>+SUMIF($B$44:$B$53,$B$77,I44:I53)*'Données SOMIDA'!$E$75</f>
        <v>34986000</v>
      </c>
      <c r="J77" s="462">
        <f>+SUMIF($B$44:$B$53,$B$77,J44:J53)*'Données SOMIDA'!$E$75</f>
        <v>35088000</v>
      </c>
      <c r="K77" s="462">
        <f>+SUMIF($B$44:$B$53,$B$77,K44:K53)*'Données SOMIDA'!$E$75</f>
        <v>32291000</v>
      </c>
      <c r="L77" s="462">
        <f>+SUMIF($B$44:$B$53,$B$77,L44:L53)*'Données SOMIDA'!$E$75</f>
        <v>32438000</v>
      </c>
      <c r="M77" s="462">
        <f>+SUMIF($B$44:$B$53,$B$77,M44:M53)*'Données SOMIDA'!$E$75</f>
        <v>32291000</v>
      </c>
      <c r="N77" s="462">
        <f>+SUMIF($B$44:$B$53,$B$77,N44:N53)*'Données SOMIDA'!$E$75</f>
        <v>32438000</v>
      </c>
      <c r="O77" s="462">
        <f t="shared" si="62"/>
        <v>409754000</v>
      </c>
    </row>
    <row r="78" spans="2:16" ht="17.25" thickBot="1">
      <c r="B78" s="470" t="s">
        <v>362</v>
      </c>
      <c r="C78" s="471">
        <f t="shared" ref="C78:N78" si="63">SUM(C74:C77)</f>
        <v>170556750</v>
      </c>
      <c r="D78" s="471">
        <f t="shared" si="63"/>
        <v>171054000</v>
      </c>
      <c r="E78" s="471">
        <f t="shared" si="63"/>
        <v>170556750</v>
      </c>
      <c r="F78" s="471">
        <f t="shared" si="63"/>
        <v>171054000</v>
      </c>
      <c r="G78" s="471">
        <f t="shared" si="63"/>
        <v>170556750</v>
      </c>
      <c r="H78" s="471">
        <f t="shared" si="63"/>
        <v>171054000</v>
      </c>
      <c r="I78" s="471">
        <f t="shared" si="63"/>
        <v>170556750</v>
      </c>
      <c r="J78" s="471">
        <f t="shared" si="63"/>
        <v>171054000</v>
      </c>
      <c r="K78" s="471">
        <f t="shared" si="63"/>
        <v>157418625</v>
      </c>
      <c r="L78" s="471">
        <f t="shared" si="63"/>
        <v>158135250</v>
      </c>
      <c r="M78" s="471">
        <f t="shared" ref="M78" si="64">SUM(M74:M77)</f>
        <v>157418625</v>
      </c>
      <c r="N78" s="471">
        <f t="shared" si="63"/>
        <v>158135250</v>
      </c>
      <c r="O78" s="471">
        <f>SUM(C78:N78)</f>
        <v>1997550750</v>
      </c>
    </row>
    <row r="79" spans="2:16" ht="6" customHeight="1" thickBot="1">
      <c r="B79" s="460"/>
      <c r="C79" s="463"/>
      <c r="D79" s="463"/>
      <c r="E79" s="463"/>
      <c r="F79" s="463"/>
      <c r="G79" s="463"/>
      <c r="H79" s="463"/>
      <c r="I79" s="463"/>
      <c r="J79" s="463"/>
      <c r="K79" s="463"/>
      <c r="L79" s="463"/>
      <c r="M79" s="462"/>
      <c r="N79" s="463"/>
      <c r="O79" s="463"/>
    </row>
    <row r="80" spans="2:16" s="468" customFormat="1">
      <c r="B80" s="472" t="s">
        <v>1268</v>
      </c>
      <c r="C80" s="408" t="str">
        <f t="shared" ref="C80:O80" si="65">+C73</f>
        <v>Janvier</v>
      </c>
      <c r="D80" s="408" t="str">
        <f t="shared" si="65"/>
        <v>Février</v>
      </c>
      <c r="E80" s="408" t="str">
        <f t="shared" si="65"/>
        <v>Mars</v>
      </c>
      <c r="F80" s="408" t="str">
        <f t="shared" si="65"/>
        <v>Avril</v>
      </c>
      <c r="G80" s="408" t="str">
        <f t="shared" si="65"/>
        <v>Mai</v>
      </c>
      <c r="H80" s="408" t="str">
        <f t="shared" si="65"/>
        <v>Juin</v>
      </c>
      <c r="I80" s="408" t="str">
        <f t="shared" si="65"/>
        <v>Juillet</v>
      </c>
      <c r="J80" s="408" t="str">
        <f t="shared" si="65"/>
        <v>Août</v>
      </c>
      <c r="K80" s="408" t="str">
        <f t="shared" si="65"/>
        <v>Septembre</v>
      </c>
      <c r="L80" s="408" t="str">
        <f t="shared" si="65"/>
        <v>Octobre</v>
      </c>
      <c r="M80" s="408" t="str">
        <f t="shared" ref="M80" si="66">+M73</f>
        <v>Novembre</v>
      </c>
      <c r="N80" s="408" t="str">
        <f t="shared" si="65"/>
        <v>Décembre</v>
      </c>
      <c r="O80" s="408" t="str">
        <f t="shared" si="65"/>
        <v>Total</v>
      </c>
      <c r="P80" s="469"/>
    </row>
    <row r="81" spans="2:17">
      <c r="B81" s="784" t="s">
        <v>1267</v>
      </c>
      <c r="C81" s="785">
        <f t="shared" ref="C81:O81" si="67">+C78+C71</f>
        <v>378286125</v>
      </c>
      <c r="D81" s="785">
        <f t="shared" si="67"/>
        <v>379389000</v>
      </c>
      <c r="E81" s="785">
        <f t="shared" si="67"/>
        <v>378286125</v>
      </c>
      <c r="F81" s="785">
        <f t="shared" si="67"/>
        <v>379389000</v>
      </c>
      <c r="G81" s="785">
        <f t="shared" si="67"/>
        <v>378286125</v>
      </c>
      <c r="H81" s="785">
        <f t="shared" si="67"/>
        <v>379389000</v>
      </c>
      <c r="I81" s="785">
        <f t="shared" si="67"/>
        <v>378286125</v>
      </c>
      <c r="J81" s="785">
        <f t="shared" si="67"/>
        <v>379389000</v>
      </c>
      <c r="K81" s="785">
        <f t="shared" si="67"/>
        <v>349146437.5</v>
      </c>
      <c r="L81" s="785">
        <f t="shared" si="67"/>
        <v>350735875</v>
      </c>
      <c r="M81" s="785">
        <f t="shared" ref="M81" si="68">+M78+M71</f>
        <v>349146437.5</v>
      </c>
      <c r="N81" s="785">
        <f t="shared" si="67"/>
        <v>350735875</v>
      </c>
      <c r="O81" s="785">
        <f t="shared" si="67"/>
        <v>4430465125</v>
      </c>
    </row>
    <row r="82" spans="2:17">
      <c r="B82" s="406" t="str">
        <f>+B65</f>
        <v>Tranomaro</v>
      </c>
      <c r="C82" s="462">
        <f t="shared" ref="C82:O82" si="69">+C60+C65+C74</f>
        <v>98398125</v>
      </c>
      <c r="D82" s="462">
        <f t="shared" si="69"/>
        <v>98685000</v>
      </c>
      <c r="E82" s="462">
        <f t="shared" si="69"/>
        <v>98398125</v>
      </c>
      <c r="F82" s="462">
        <f t="shared" si="69"/>
        <v>98685000</v>
      </c>
      <c r="G82" s="462">
        <f t="shared" si="69"/>
        <v>98398125</v>
      </c>
      <c r="H82" s="462">
        <f t="shared" si="69"/>
        <v>98685000</v>
      </c>
      <c r="I82" s="462">
        <f t="shared" si="69"/>
        <v>98398125</v>
      </c>
      <c r="J82" s="462">
        <f t="shared" si="69"/>
        <v>98685000</v>
      </c>
      <c r="K82" s="462">
        <f t="shared" si="69"/>
        <v>90818437.5</v>
      </c>
      <c r="L82" s="462">
        <f t="shared" si="69"/>
        <v>91231875</v>
      </c>
      <c r="M82" s="462">
        <f t="shared" ref="M82" si="70">+M60+M65+M74</f>
        <v>90818437.5</v>
      </c>
      <c r="N82" s="462">
        <f t="shared" si="69"/>
        <v>91231875</v>
      </c>
      <c r="O82" s="462">
        <f t="shared" si="69"/>
        <v>1152433125</v>
      </c>
    </row>
    <row r="83" spans="2:17">
      <c r="B83" s="406" t="str">
        <f>+B66</f>
        <v>Ampandrandava</v>
      </c>
      <c r="C83" s="462">
        <f>+C61+C66+C75+C70</f>
        <v>122451000</v>
      </c>
      <c r="D83" s="462">
        <f t="shared" ref="D83:O83" si="71">+D61+D66+D75+D70</f>
        <v>122808000</v>
      </c>
      <c r="E83" s="462">
        <f t="shared" si="71"/>
        <v>122451000</v>
      </c>
      <c r="F83" s="462">
        <f t="shared" si="71"/>
        <v>122808000</v>
      </c>
      <c r="G83" s="462">
        <f t="shared" si="71"/>
        <v>122451000</v>
      </c>
      <c r="H83" s="462">
        <f t="shared" si="71"/>
        <v>122808000</v>
      </c>
      <c r="I83" s="462">
        <f t="shared" si="71"/>
        <v>122451000</v>
      </c>
      <c r="J83" s="462">
        <f t="shared" si="71"/>
        <v>122808000</v>
      </c>
      <c r="K83" s="462">
        <f t="shared" si="71"/>
        <v>113018500</v>
      </c>
      <c r="L83" s="462">
        <f t="shared" si="71"/>
        <v>113533000</v>
      </c>
      <c r="M83" s="462">
        <f t="shared" ref="M83" si="72">+M61+M66+M75+M70</f>
        <v>113018500</v>
      </c>
      <c r="N83" s="462">
        <f t="shared" si="71"/>
        <v>113533000</v>
      </c>
      <c r="O83" s="462">
        <f t="shared" si="71"/>
        <v>1434139000</v>
      </c>
    </row>
    <row r="84" spans="2:17">
      <c r="B84" s="406" t="str">
        <f>+B67</f>
        <v>Fort dauphin</v>
      </c>
      <c r="C84" s="462">
        <f>+C62+C67+C76</f>
        <v>78718500</v>
      </c>
      <c r="D84" s="462">
        <f t="shared" ref="D84:O84" si="73">+D62+D67+D76</f>
        <v>78948000</v>
      </c>
      <c r="E84" s="462">
        <f t="shared" si="73"/>
        <v>78718500</v>
      </c>
      <c r="F84" s="462">
        <f t="shared" si="73"/>
        <v>78948000</v>
      </c>
      <c r="G84" s="462">
        <f t="shared" si="73"/>
        <v>78718500</v>
      </c>
      <c r="H84" s="462">
        <f t="shared" si="73"/>
        <v>78948000</v>
      </c>
      <c r="I84" s="462">
        <f t="shared" si="73"/>
        <v>78718500</v>
      </c>
      <c r="J84" s="462">
        <f t="shared" si="73"/>
        <v>78948000</v>
      </c>
      <c r="K84" s="462">
        <f t="shared" si="73"/>
        <v>72654750</v>
      </c>
      <c r="L84" s="462">
        <f t="shared" si="73"/>
        <v>72985500</v>
      </c>
      <c r="M84" s="462">
        <f t="shared" ref="M84" si="74">+M62+M67+M76</f>
        <v>72654750</v>
      </c>
      <c r="N84" s="462">
        <f t="shared" si="73"/>
        <v>72985500</v>
      </c>
      <c r="O84" s="462">
        <f t="shared" si="73"/>
        <v>921946500</v>
      </c>
    </row>
    <row r="85" spans="2:17">
      <c r="B85" s="406" t="str">
        <f>+B68</f>
        <v>Autres</v>
      </c>
      <c r="C85" s="462">
        <f>+C63+C68+C77</f>
        <v>78718500</v>
      </c>
      <c r="D85" s="462">
        <f t="shared" ref="D85:O85" si="75">+D63+D68+D77</f>
        <v>78948000</v>
      </c>
      <c r="E85" s="462">
        <f t="shared" si="75"/>
        <v>78718500</v>
      </c>
      <c r="F85" s="462">
        <f t="shared" si="75"/>
        <v>78948000</v>
      </c>
      <c r="G85" s="462">
        <f t="shared" si="75"/>
        <v>78718500</v>
      </c>
      <c r="H85" s="462">
        <f t="shared" si="75"/>
        <v>78948000</v>
      </c>
      <c r="I85" s="462">
        <f t="shared" si="75"/>
        <v>78718500</v>
      </c>
      <c r="J85" s="462">
        <f t="shared" si="75"/>
        <v>78948000</v>
      </c>
      <c r="K85" s="462">
        <f t="shared" si="75"/>
        <v>72654750</v>
      </c>
      <c r="L85" s="462">
        <f t="shared" si="75"/>
        <v>72985500</v>
      </c>
      <c r="M85" s="462">
        <f t="shared" ref="M85" si="76">+M63+M68+M77</f>
        <v>72654750</v>
      </c>
      <c r="N85" s="462">
        <f t="shared" si="75"/>
        <v>72985500</v>
      </c>
      <c r="O85" s="462">
        <f t="shared" si="75"/>
        <v>921946500</v>
      </c>
    </row>
    <row r="86" spans="2:17">
      <c r="B86" s="784" t="s">
        <v>1266</v>
      </c>
      <c r="C86" s="785">
        <f t="shared" ref="C86:O86" si="77">+SUM(C87:C90)</f>
        <v>874650</v>
      </c>
      <c r="D86" s="785">
        <f t="shared" si="77"/>
        <v>877200</v>
      </c>
      <c r="E86" s="785">
        <f t="shared" si="77"/>
        <v>874650</v>
      </c>
      <c r="F86" s="785">
        <f t="shared" si="77"/>
        <v>877200</v>
      </c>
      <c r="G86" s="785">
        <f t="shared" si="77"/>
        <v>874650</v>
      </c>
      <c r="H86" s="785">
        <f t="shared" si="77"/>
        <v>877200</v>
      </c>
      <c r="I86" s="785">
        <f t="shared" si="77"/>
        <v>874650</v>
      </c>
      <c r="J86" s="785">
        <f t="shared" si="77"/>
        <v>877200</v>
      </c>
      <c r="K86" s="785">
        <f t="shared" si="77"/>
        <v>807275</v>
      </c>
      <c r="L86" s="785">
        <f t="shared" si="77"/>
        <v>810950</v>
      </c>
      <c r="M86" s="785">
        <f t="shared" ref="M86" si="78">+SUM(M87:M90)</f>
        <v>807275</v>
      </c>
      <c r="N86" s="785">
        <f t="shared" si="77"/>
        <v>810950</v>
      </c>
      <c r="O86" s="785">
        <f t="shared" si="77"/>
        <v>10243850</v>
      </c>
      <c r="P86" s="462"/>
      <c r="Q86" s="462"/>
    </row>
    <row r="87" spans="2:17">
      <c r="B87" s="406" t="str">
        <f>+B82</f>
        <v>Tranomaro</v>
      </c>
      <c r="C87" s="462">
        <f t="shared" ref="C87:O87" si="79">+C44+C49</f>
        <v>218662.5</v>
      </c>
      <c r="D87" s="462">
        <f t="shared" si="79"/>
        <v>219300</v>
      </c>
      <c r="E87" s="462">
        <f t="shared" si="79"/>
        <v>218662.5</v>
      </c>
      <c r="F87" s="462">
        <f t="shared" si="79"/>
        <v>219300</v>
      </c>
      <c r="G87" s="462">
        <f t="shared" si="79"/>
        <v>218662.5</v>
      </c>
      <c r="H87" s="462">
        <f t="shared" si="79"/>
        <v>219300</v>
      </c>
      <c r="I87" s="462">
        <f t="shared" si="79"/>
        <v>218662.5</v>
      </c>
      <c r="J87" s="462">
        <f t="shared" si="79"/>
        <v>219300</v>
      </c>
      <c r="K87" s="462">
        <f t="shared" si="79"/>
        <v>201818.75</v>
      </c>
      <c r="L87" s="462">
        <f t="shared" si="79"/>
        <v>202737.5</v>
      </c>
      <c r="M87" s="462">
        <f t="shared" ref="M87" si="80">+M44+M49</f>
        <v>201818.75</v>
      </c>
      <c r="N87" s="462">
        <f t="shared" si="79"/>
        <v>202737.5</v>
      </c>
      <c r="O87" s="462">
        <f t="shared" si="79"/>
        <v>2560962.5</v>
      </c>
    </row>
    <row r="88" spans="2:17">
      <c r="B88" s="406" t="str">
        <f>+B83</f>
        <v>Ampandrandava</v>
      </c>
      <c r="C88" s="462">
        <f>+C45+C50+C54</f>
        <v>306127.5</v>
      </c>
      <c r="D88" s="462">
        <f t="shared" ref="D88:O88" si="81">+D45+D50+D54</f>
        <v>307020</v>
      </c>
      <c r="E88" s="462">
        <f t="shared" si="81"/>
        <v>306127.5</v>
      </c>
      <c r="F88" s="462">
        <f t="shared" si="81"/>
        <v>307020</v>
      </c>
      <c r="G88" s="462">
        <f t="shared" si="81"/>
        <v>306127.5</v>
      </c>
      <c r="H88" s="462">
        <f t="shared" si="81"/>
        <v>307020</v>
      </c>
      <c r="I88" s="462">
        <f t="shared" si="81"/>
        <v>306127.5</v>
      </c>
      <c r="J88" s="462">
        <f t="shared" si="81"/>
        <v>307020</v>
      </c>
      <c r="K88" s="462">
        <f t="shared" si="81"/>
        <v>282546.25</v>
      </c>
      <c r="L88" s="462">
        <f t="shared" si="81"/>
        <v>283832.5</v>
      </c>
      <c r="M88" s="462">
        <f t="shared" ref="M88" si="82">+M45+M50+M54</f>
        <v>282546.25</v>
      </c>
      <c r="N88" s="462">
        <f t="shared" si="81"/>
        <v>283832.5</v>
      </c>
      <c r="O88" s="462">
        <f t="shared" si="81"/>
        <v>3585347.5</v>
      </c>
    </row>
    <row r="89" spans="2:17">
      <c r="B89" s="406" t="str">
        <f>+B84</f>
        <v>Fort dauphin</v>
      </c>
      <c r="C89" s="462">
        <f t="shared" ref="C89:O89" si="83">+C46+C51</f>
        <v>174930</v>
      </c>
      <c r="D89" s="462">
        <f t="shared" si="83"/>
        <v>175440</v>
      </c>
      <c r="E89" s="462">
        <f t="shared" si="83"/>
        <v>174930</v>
      </c>
      <c r="F89" s="462">
        <f t="shared" si="83"/>
        <v>175440</v>
      </c>
      <c r="G89" s="462">
        <f t="shared" si="83"/>
        <v>174930</v>
      </c>
      <c r="H89" s="462">
        <f t="shared" si="83"/>
        <v>175440</v>
      </c>
      <c r="I89" s="462">
        <f t="shared" si="83"/>
        <v>174930</v>
      </c>
      <c r="J89" s="462">
        <f t="shared" si="83"/>
        <v>175440</v>
      </c>
      <c r="K89" s="462">
        <f t="shared" si="83"/>
        <v>161455</v>
      </c>
      <c r="L89" s="462">
        <f t="shared" si="83"/>
        <v>162190</v>
      </c>
      <c r="M89" s="462">
        <f t="shared" ref="M89" si="84">+M46+M51</f>
        <v>161455</v>
      </c>
      <c r="N89" s="462">
        <f t="shared" si="83"/>
        <v>162190</v>
      </c>
      <c r="O89" s="462">
        <f t="shared" si="83"/>
        <v>2048770</v>
      </c>
    </row>
    <row r="90" spans="2:17">
      <c r="B90" s="406" t="str">
        <f>+B85</f>
        <v>Autres</v>
      </c>
      <c r="C90" s="462">
        <f t="shared" ref="C90:O90" si="85">+C47+C52</f>
        <v>174930</v>
      </c>
      <c r="D90" s="462">
        <f t="shared" si="85"/>
        <v>175440</v>
      </c>
      <c r="E90" s="462">
        <f t="shared" si="85"/>
        <v>174930</v>
      </c>
      <c r="F90" s="462">
        <f t="shared" si="85"/>
        <v>175440</v>
      </c>
      <c r="G90" s="462">
        <f t="shared" si="85"/>
        <v>174930</v>
      </c>
      <c r="H90" s="462">
        <f t="shared" si="85"/>
        <v>175440</v>
      </c>
      <c r="I90" s="462">
        <f t="shared" si="85"/>
        <v>174930</v>
      </c>
      <c r="J90" s="462">
        <f t="shared" si="85"/>
        <v>175440</v>
      </c>
      <c r="K90" s="462">
        <f t="shared" si="85"/>
        <v>161455</v>
      </c>
      <c r="L90" s="462">
        <f t="shared" si="85"/>
        <v>162190</v>
      </c>
      <c r="M90" s="462">
        <f t="shared" ref="M90" si="86">+M47+M52</f>
        <v>161455</v>
      </c>
      <c r="N90" s="462">
        <f t="shared" si="85"/>
        <v>162190</v>
      </c>
      <c r="O90" s="462">
        <f t="shared" si="85"/>
        <v>2048770</v>
      </c>
    </row>
    <row r="91" spans="2:17">
      <c r="B91" s="784" t="s">
        <v>1265</v>
      </c>
      <c r="C91" s="785">
        <f>IFERROR(+C81/C86," ")</f>
        <v>432.5</v>
      </c>
      <c r="D91" s="785">
        <f t="shared" ref="D91:O91" si="87">IFERROR(+D81/D86," ")</f>
        <v>432.5</v>
      </c>
      <c r="E91" s="785">
        <f t="shared" si="87"/>
        <v>432.5</v>
      </c>
      <c r="F91" s="785">
        <f t="shared" si="87"/>
        <v>432.5</v>
      </c>
      <c r="G91" s="785">
        <f t="shared" si="87"/>
        <v>432.5</v>
      </c>
      <c r="H91" s="785">
        <f t="shared" si="87"/>
        <v>432.5</v>
      </c>
      <c r="I91" s="785">
        <f t="shared" si="87"/>
        <v>432.5</v>
      </c>
      <c r="J91" s="785">
        <f t="shared" si="87"/>
        <v>432.5</v>
      </c>
      <c r="K91" s="785">
        <f t="shared" si="87"/>
        <v>432.5</v>
      </c>
      <c r="L91" s="785">
        <f t="shared" si="87"/>
        <v>432.5</v>
      </c>
      <c r="M91" s="785">
        <f t="shared" ref="M91" si="88">IFERROR(+M81/M86," ")</f>
        <v>432.5</v>
      </c>
      <c r="N91" s="785">
        <f t="shared" si="87"/>
        <v>432.5</v>
      </c>
      <c r="O91" s="785">
        <f t="shared" si="87"/>
        <v>432.5</v>
      </c>
    </row>
    <row r="92" spans="2:17">
      <c r="B92" s="406" t="str">
        <f>+B82</f>
        <v>Tranomaro</v>
      </c>
      <c r="C92" s="462">
        <f t="shared" ref="C92:O92" si="89">IFERROR(+C82/C87," ")</f>
        <v>450</v>
      </c>
      <c r="D92" s="462">
        <f t="shared" si="89"/>
        <v>450</v>
      </c>
      <c r="E92" s="462">
        <f t="shared" si="89"/>
        <v>450</v>
      </c>
      <c r="F92" s="462">
        <f t="shared" si="89"/>
        <v>450</v>
      </c>
      <c r="G92" s="462">
        <f t="shared" si="89"/>
        <v>450</v>
      </c>
      <c r="H92" s="462">
        <f t="shared" si="89"/>
        <v>450</v>
      </c>
      <c r="I92" s="462">
        <f t="shared" si="89"/>
        <v>450</v>
      </c>
      <c r="J92" s="462">
        <f t="shared" si="89"/>
        <v>450</v>
      </c>
      <c r="K92" s="462">
        <f t="shared" si="89"/>
        <v>450</v>
      </c>
      <c r="L92" s="462">
        <f t="shared" si="89"/>
        <v>450</v>
      </c>
      <c r="M92" s="462">
        <f t="shared" ref="M92" si="90">IFERROR(+M82/M87," ")</f>
        <v>450</v>
      </c>
      <c r="N92" s="462">
        <f t="shared" si="89"/>
        <v>450</v>
      </c>
      <c r="O92" s="462">
        <f t="shared" si="89"/>
        <v>450</v>
      </c>
    </row>
    <row r="93" spans="2:17">
      <c r="B93" s="406" t="str">
        <f>+B83</f>
        <v>Ampandrandava</v>
      </c>
      <c r="C93" s="462">
        <f>IFERROR(+C83/C88," ")</f>
        <v>400</v>
      </c>
      <c r="D93" s="855">
        <f t="shared" ref="D93:O93" si="91">IFERROR(+D83/D88," ")</f>
        <v>400</v>
      </c>
      <c r="E93" s="855">
        <f t="shared" si="91"/>
        <v>400</v>
      </c>
      <c r="F93" s="855">
        <f t="shared" si="91"/>
        <v>400</v>
      </c>
      <c r="G93" s="855">
        <f t="shared" si="91"/>
        <v>400</v>
      </c>
      <c r="H93" s="855">
        <f t="shared" si="91"/>
        <v>400</v>
      </c>
      <c r="I93" s="855">
        <f t="shared" si="91"/>
        <v>400</v>
      </c>
      <c r="J93" s="855">
        <f t="shared" si="91"/>
        <v>400</v>
      </c>
      <c r="K93" s="855">
        <f t="shared" si="91"/>
        <v>400</v>
      </c>
      <c r="L93" s="855">
        <f t="shared" si="91"/>
        <v>400</v>
      </c>
      <c r="M93" s="855">
        <f t="shared" ref="M93" si="92">IFERROR(+M83/M88," ")</f>
        <v>400</v>
      </c>
      <c r="N93" s="855">
        <f t="shared" si="91"/>
        <v>400</v>
      </c>
      <c r="O93" s="855">
        <f t="shared" si="91"/>
        <v>400</v>
      </c>
    </row>
    <row r="94" spans="2:17">
      <c r="B94" s="406" t="str">
        <f>+B84</f>
        <v>Fort dauphin</v>
      </c>
      <c r="C94" s="462">
        <f>IFERROR(+C84/C89," ")</f>
        <v>450</v>
      </c>
      <c r="D94" s="855">
        <f t="shared" ref="D94:O94" si="93">IFERROR(+D84/D89," ")</f>
        <v>450</v>
      </c>
      <c r="E94" s="855">
        <f t="shared" si="93"/>
        <v>450</v>
      </c>
      <c r="F94" s="855">
        <f t="shared" si="93"/>
        <v>450</v>
      </c>
      <c r="G94" s="855">
        <f t="shared" si="93"/>
        <v>450</v>
      </c>
      <c r="H94" s="855">
        <f t="shared" si="93"/>
        <v>450</v>
      </c>
      <c r="I94" s="855">
        <f t="shared" si="93"/>
        <v>450</v>
      </c>
      <c r="J94" s="855">
        <f t="shared" si="93"/>
        <v>450</v>
      </c>
      <c r="K94" s="855">
        <f t="shared" si="93"/>
        <v>450</v>
      </c>
      <c r="L94" s="855">
        <f t="shared" si="93"/>
        <v>450</v>
      </c>
      <c r="M94" s="855">
        <f t="shared" ref="M94" si="94">IFERROR(+M84/M89," ")</f>
        <v>450</v>
      </c>
      <c r="N94" s="855">
        <f t="shared" si="93"/>
        <v>450</v>
      </c>
      <c r="O94" s="855">
        <f t="shared" si="93"/>
        <v>450</v>
      </c>
    </row>
    <row r="95" spans="2:17" ht="17.25" thickBot="1">
      <c r="B95" s="773" t="str">
        <f>+B85</f>
        <v>Autres</v>
      </c>
      <c r="C95" s="856">
        <f t="shared" ref="C95:O95" si="95">IFERROR(+C85/C90," ")</f>
        <v>450</v>
      </c>
      <c r="D95" s="857">
        <f t="shared" si="95"/>
        <v>450</v>
      </c>
      <c r="E95" s="857">
        <f t="shared" si="95"/>
        <v>450</v>
      </c>
      <c r="F95" s="857">
        <f t="shared" si="95"/>
        <v>450</v>
      </c>
      <c r="G95" s="857">
        <f t="shared" si="95"/>
        <v>450</v>
      </c>
      <c r="H95" s="857">
        <f t="shared" si="95"/>
        <v>450</v>
      </c>
      <c r="I95" s="857">
        <f t="shared" si="95"/>
        <v>450</v>
      </c>
      <c r="J95" s="857">
        <f t="shared" si="95"/>
        <v>450</v>
      </c>
      <c r="K95" s="857">
        <f t="shared" si="95"/>
        <v>450</v>
      </c>
      <c r="L95" s="857">
        <f t="shared" si="95"/>
        <v>450</v>
      </c>
      <c r="M95" s="857">
        <f t="shared" ref="M95" si="96">IFERROR(+M85/M90," ")</f>
        <v>450</v>
      </c>
      <c r="N95" s="857">
        <f t="shared" si="95"/>
        <v>450</v>
      </c>
      <c r="O95" s="857">
        <f t="shared" si="95"/>
        <v>450</v>
      </c>
    </row>
    <row r="96" spans="2:17" ht="17.25" thickBot="1">
      <c r="C96" s="198" t="str">
        <f>IFERROR(+#REF!/#REF!," ")</f>
        <v xml:space="preserve"> </v>
      </c>
      <c r="D96" s="198" t="str">
        <f>IFERROR(+#REF!/#REF!," ")</f>
        <v xml:space="preserve"> </v>
      </c>
      <c r="E96" s="198" t="str">
        <f>IFERROR(+#REF!/#REF!," ")</f>
        <v xml:space="preserve"> </v>
      </c>
      <c r="F96" s="198" t="str">
        <f>IFERROR(+#REF!/#REF!," ")</f>
        <v xml:space="preserve"> </v>
      </c>
      <c r="G96" s="198" t="str">
        <f>IFERROR(+#REF!/#REF!," ")</f>
        <v xml:space="preserve"> </v>
      </c>
      <c r="H96" s="198" t="str">
        <f>IFERROR(+#REF!/#REF!," ")</f>
        <v xml:space="preserve"> </v>
      </c>
      <c r="I96" s="198" t="str">
        <f>IFERROR(+#REF!/#REF!," ")</f>
        <v xml:space="preserve"> </v>
      </c>
      <c r="J96" s="198" t="str">
        <f>IFERROR(+#REF!/#REF!," ")</f>
        <v xml:space="preserve"> </v>
      </c>
      <c r="K96" s="198" t="str">
        <f>IFERROR(+#REF!/#REF!," ")</f>
        <v xml:space="preserve"> </v>
      </c>
      <c r="L96" s="198" t="str">
        <f>IFERROR(+#REF!/#REF!," ")</f>
        <v xml:space="preserve"> </v>
      </c>
      <c r="M96" s="462"/>
      <c r="N96" s="198" t="str">
        <f>IFERROR(+#REF!/#REF!," ")</f>
        <v xml:space="preserve"> </v>
      </c>
      <c r="O96" s="198" t="str">
        <f>IFERROR(+#REF!/#REF!," ")</f>
        <v xml:space="preserve"> </v>
      </c>
    </row>
    <row r="97" spans="2:16" s="468" customFormat="1">
      <c r="B97" s="472" t="s">
        <v>412</v>
      </c>
      <c r="C97" s="408" t="str">
        <f t="shared" ref="C97:O97" si="97">+C80</f>
        <v>Janvier</v>
      </c>
      <c r="D97" s="408" t="str">
        <f t="shared" si="97"/>
        <v>Février</v>
      </c>
      <c r="E97" s="408" t="str">
        <f t="shared" si="97"/>
        <v>Mars</v>
      </c>
      <c r="F97" s="408" t="str">
        <f t="shared" si="97"/>
        <v>Avril</v>
      </c>
      <c r="G97" s="408" t="str">
        <f t="shared" si="97"/>
        <v>Mai</v>
      </c>
      <c r="H97" s="408" t="str">
        <f t="shared" si="97"/>
        <v>Juin</v>
      </c>
      <c r="I97" s="408" t="str">
        <f t="shared" si="97"/>
        <v>Juillet</v>
      </c>
      <c r="J97" s="408" t="str">
        <f t="shared" si="97"/>
        <v>Août</v>
      </c>
      <c r="K97" s="408" t="str">
        <f t="shared" si="97"/>
        <v>Septembre</v>
      </c>
      <c r="L97" s="408" t="str">
        <f t="shared" si="97"/>
        <v>Octobre</v>
      </c>
      <c r="M97" s="408" t="str">
        <f t="shared" ref="M97" si="98">+M80</f>
        <v>Novembre</v>
      </c>
      <c r="N97" s="408" t="str">
        <f t="shared" si="97"/>
        <v>Décembre</v>
      </c>
      <c r="O97" s="408" t="str">
        <f t="shared" si="97"/>
        <v>Total</v>
      </c>
      <c r="P97" s="469"/>
    </row>
    <row r="98" spans="2:16">
      <c r="B98" s="406" t="str">
        <f t="shared" ref="B98:N98" si="99">+B74</f>
        <v>Tranomaro</v>
      </c>
      <c r="C98" s="462">
        <f t="shared" si="99"/>
        <v>43732500</v>
      </c>
      <c r="D98" s="462">
        <f t="shared" si="99"/>
        <v>43860000</v>
      </c>
      <c r="E98" s="462">
        <f t="shared" si="99"/>
        <v>43732500</v>
      </c>
      <c r="F98" s="462">
        <f t="shared" si="99"/>
        <v>43860000</v>
      </c>
      <c r="G98" s="462">
        <f t="shared" si="99"/>
        <v>43732500</v>
      </c>
      <c r="H98" s="462">
        <f t="shared" si="99"/>
        <v>43860000</v>
      </c>
      <c r="I98" s="462">
        <f t="shared" si="99"/>
        <v>43732500</v>
      </c>
      <c r="J98" s="462">
        <f t="shared" si="99"/>
        <v>43860000</v>
      </c>
      <c r="K98" s="462">
        <f t="shared" si="99"/>
        <v>40363750</v>
      </c>
      <c r="L98" s="462">
        <f t="shared" si="99"/>
        <v>40547500</v>
      </c>
      <c r="M98" s="462">
        <f t="shared" ref="M98" si="100">+M74</f>
        <v>40363750</v>
      </c>
      <c r="N98" s="462">
        <f t="shared" si="99"/>
        <v>40547500</v>
      </c>
      <c r="O98" s="462">
        <f>SUM(C98:N98)</f>
        <v>512192500</v>
      </c>
    </row>
    <row r="99" spans="2:16">
      <c r="B99" s="406" t="str">
        <f t="shared" ref="B99:N99" si="101">+B75</f>
        <v>Ampandrandava</v>
      </c>
      <c r="C99" s="462">
        <f t="shared" si="101"/>
        <v>91838250</v>
      </c>
      <c r="D99" s="462">
        <f t="shared" si="101"/>
        <v>92106000</v>
      </c>
      <c r="E99" s="462">
        <f t="shared" si="101"/>
        <v>91838250</v>
      </c>
      <c r="F99" s="462">
        <f t="shared" si="101"/>
        <v>92106000</v>
      </c>
      <c r="G99" s="462">
        <f t="shared" si="101"/>
        <v>91838250</v>
      </c>
      <c r="H99" s="462">
        <f t="shared" si="101"/>
        <v>92106000</v>
      </c>
      <c r="I99" s="462">
        <f t="shared" si="101"/>
        <v>91838250</v>
      </c>
      <c r="J99" s="462">
        <f t="shared" si="101"/>
        <v>92106000</v>
      </c>
      <c r="K99" s="462">
        <f t="shared" si="101"/>
        <v>84763875</v>
      </c>
      <c r="L99" s="462">
        <f t="shared" si="101"/>
        <v>85149750</v>
      </c>
      <c r="M99" s="462">
        <f t="shared" ref="M99" si="102">+M75</f>
        <v>84763875</v>
      </c>
      <c r="N99" s="462">
        <f t="shared" si="101"/>
        <v>85149750</v>
      </c>
      <c r="O99" s="462">
        <f t="shared" ref="O99:O101" si="103">SUM(C99:N99)</f>
        <v>1075604250</v>
      </c>
    </row>
    <row r="100" spans="2:16">
      <c r="B100" s="406" t="str">
        <f t="shared" ref="B100:N100" si="104">+B76</f>
        <v>Fort dauphin</v>
      </c>
      <c r="C100" s="462">
        <f t="shared" si="104"/>
        <v>0</v>
      </c>
      <c r="D100" s="462">
        <f t="shared" si="104"/>
        <v>0</v>
      </c>
      <c r="E100" s="462">
        <f t="shared" si="104"/>
        <v>0</v>
      </c>
      <c r="F100" s="462">
        <f t="shared" si="104"/>
        <v>0</v>
      </c>
      <c r="G100" s="462">
        <f t="shared" si="104"/>
        <v>0</v>
      </c>
      <c r="H100" s="462">
        <f t="shared" si="104"/>
        <v>0</v>
      </c>
      <c r="I100" s="462">
        <f t="shared" si="104"/>
        <v>0</v>
      </c>
      <c r="J100" s="462">
        <f t="shared" si="104"/>
        <v>0</v>
      </c>
      <c r="K100" s="462">
        <f t="shared" si="104"/>
        <v>0</v>
      </c>
      <c r="L100" s="462">
        <f t="shared" si="104"/>
        <v>0</v>
      </c>
      <c r="M100" s="462">
        <f t="shared" ref="M100" si="105">+M76</f>
        <v>0</v>
      </c>
      <c r="N100" s="462">
        <f t="shared" si="104"/>
        <v>0</v>
      </c>
      <c r="O100" s="462">
        <f t="shared" si="103"/>
        <v>0</v>
      </c>
    </row>
    <row r="101" spans="2:16">
      <c r="B101" s="406" t="str">
        <f t="shared" ref="B101:N101" si="106">+B77</f>
        <v>Autres</v>
      </c>
      <c r="C101" s="462">
        <f t="shared" si="106"/>
        <v>34986000</v>
      </c>
      <c r="D101" s="462">
        <f t="shared" si="106"/>
        <v>35088000</v>
      </c>
      <c r="E101" s="462">
        <f t="shared" si="106"/>
        <v>34986000</v>
      </c>
      <c r="F101" s="462">
        <f t="shared" si="106"/>
        <v>35088000</v>
      </c>
      <c r="G101" s="462">
        <f t="shared" si="106"/>
        <v>34986000</v>
      </c>
      <c r="H101" s="462">
        <f t="shared" si="106"/>
        <v>35088000</v>
      </c>
      <c r="I101" s="462">
        <f t="shared" si="106"/>
        <v>34986000</v>
      </c>
      <c r="J101" s="462">
        <f t="shared" si="106"/>
        <v>35088000</v>
      </c>
      <c r="K101" s="462">
        <f t="shared" si="106"/>
        <v>32291000</v>
      </c>
      <c r="L101" s="462">
        <f t="shared" si="106"/>
        <v>32438000</v>
      </c>
      <c r="M101" s="462">
        <f t="shared" ref="M101" si="107">+M77</f>
        <v>32291000</v>
      </c>
      <c r="N101" s="462">
        <f t="shared" si="106"/>
        <v>32438000</v>
      </c>
      <c r="O101" s="462">
        <f t="shared" si="103"/>
        <v>409754000</v>
      </c>
    </row>
    <row r="102" spans="2:16" ht="17.25" thickBot="1">
      <c r="B102" s="929" t="s">
        <v>362</v>
      </c>
      <c r="C102" s="1091">
        <f>SUM(C98:C101)</f>
        <v>170556750</v>
      </c>
      <c r="D102" s="1091">
        <f t="shared" ref="D102:O102" si="108">SUM(D98:D101)</f>
        <v>171054000</v>
      </c>
      <c r="E102" s="1091">
        <f t="shared" si="108"/>
        <v>170556750</v>
      </c>
      <c r="F102" s="1091">
        <f t="shared" si="108"/>
        <v>171054000</v>
      </c>
      <c r="G102" s="1091">
        <f t="shared" si="108"/>
        <v>170556750</v>
      </c>
      <c r="H102" s="1091">
        <f t="shared" si="108"/>
        <v>171054000</v>
      </c>
      <c r="I102" s="1091">
        <f t="shared" si="108"/>
        <v>170556750</v>
      </c>
      <c r="J102" s="1091">
        <f t="shared" si="108"/>
        <v>171054000</v>
      </c>
      <c r="K102" s="1091">
        <f t="shared" si="108"/>
        <v>157418625</v>
      </c>
      <c r="L102" s="1091">
        <f t="shared" si="108"/>
        <v>158135250</v>
      </c>
      <c r="M102" s="1091">
        <f t="shared" ref="M102" si="109">SUM(M98:M101)</f>
        <v>157418625</v>
      </c>
      <c r="N102" s="1091">
        <f t="shared" si="108"/>
        <v>158135250</v>
      </c>
      <c r="O102" s="1091">
        <f t="shared" si="108"/>
        <v>1997550750</v>
      </c>
    </row>
    <row r="103" spans="2:16" ht="3.75" customHeight="1" thickBot="1">
      <c r="M103" s="462"/>
    </row>
    <row r="104" spans="2:16" s="468" customFormat="1">
      <c r="B104" s="472" t="s">
        <v>670</v>
      </c>
      <c r="C104" s="408" t="str">
        <f>+C97</f>
        <v>Janvier</v>
      </c>
      <c r="D104" s="408" t="str">
        <f t="shared" ref="D104:O104" si="110">+D97</f>
        <v>Février</v>
      </c>
      <c r="E104" s="408" t="str">
        <f t="shared" si="110"/>
        <v>Mars</v>
      </c>
      <c r="F104" s="408" t="str">
        <f t="shared" si="110"/>
        <v>Avril</v>
      </c>
      <c r="G104" s="408" t="str">
        <f t="shared" si="110"/>
        <v>Mai</v>
      </c>
      <c r="H104" s="408" t="str">
        <f t="shared" si="110"/>
        <v>Juin</v>
      </c>
      <c r="I104" s="408" t="str">
        <f t="shared" si="110"/>
        <v>Juillet</v>
      </c>
      <c r="J104" s="408" t="str">
        <f t="shared" si="110"/>
        <v>Août</v>
      </c>
      <c r="K104" s="408" t="str">
        <f t="shared" si="110"/>
        <v>Septembre</v>
      </c>
      <c r="L104" s="408" t="str">
        <f t="shared" si="110"/>
        <v>Octobre</v>
      </c>
      <c r="M104" s="408" t="str">
        <f t="shared" ref="M104" si="111">+M97</f>
        <v>Novembre</v>
      </c>
      <c r="N104" s="408" t="str">
        <f t="shared" si="110"/>
        <v>Décembre</v>
      </c>
      <c r="O104" s="408" t="str">
        <f t="shared" si="110"/>
        <v>Total</v>
      </c>
      <c r="P104" s="469"/>
    </row>
    <row r="105" spans="2:16">
      <c r="B105" s="406" t="str">
        <f>+B98</f>
        <v>Tranomaro</v>
      </c>
      <c r="C105" s="462">
        <f t="shared" ref="C105:N105" si="112">+C60+C65</f>
        <v>54665625</v>
      </c>
      <c r="D105" s="462">
        <f t="shared" si="112"/>
        <v>54825000</v>
      </c>
      <c r="E105" s="462">
        <f t="shared" si="112"/>
        <v>54665625</v>
      </c>
      <c r="F105" s="462">
        <f t="shared" si="112"/>
        <v>54825000</v>
      </c>
      <c r="G105" s="462">
        <f t="shared" si="112"/>
        <v>54665625</v>
      </c>
      <c r="H105" s="462">
        <f t="shared" si="112"/>
        <v>54825000</v>
      </c>
      <c r="I105" s="462">
        <f t="shared" si="112"/>
        <v>54665625</v>
      </c>
      <c r="J105" s="462">
        <f t="shared" si="112"/>
        <v>54825000</v>
      </c>
      <c r="K105" s="462">
        <f t="shared" si="112"/>
        <v>50454687.5</v>
      </c>
      <c r="L105" s="462">
        <f t="shared" si="112"/>
        <v>50684375</v>
      </c>
      <c r="M105" s="462">
        <f t="shared" ref="M105" si="113">+M60+M65</f>
        <v>50454687.5</v>
      </c>
      <c r="N105" s="462">
        <f t="shared" si="112"/>
        <v>50684375</v>
      </c>
      <c r="O105" s="462">
        <f t="shared" ref="O105:O109" si="114">SUM(C105:N105)</f>
        <v>640240625</v>
      </c>
    </row>
    <row r="106" spans="2:16">
      <c r="B106" s="406" t="str">
        <f t="shared" ref="B106:B108" si="115">+B99</f>
        <v>Ampandrandava</v>
      </c>
      <c r="C106" s="462">
        <f t="shared" ref="C106:N106" si="116">+C61+C66+C70</f>
        <v>30612750</v>
      </c>
      <c r="D106" s="462">
        <f t="shared" si="116"/>
        <v>30702000</v>
      </c>
      <c r="E106" s="462">
        <f t="shared" si="116"/>
        <v>30612750</v>
      </c>
      <c r="F106" s="462">
        <f t="shared" si="116"/>
        <v>30702000</v>
      </c>
      <c r="G106" s="462">
        <f t="shared" si="116"/>
        <v>30612750</v>
      </c>
      <c r="H106" s="462">
        <f t="shared" si="116"/>
        <v>30702000</v>
      </c>
      <c r="I106" s="462">
        <f t="shared" si="116"/>
        <v>30612750</v>
      </c>
      <c r="J106" s="462">
        <f t="shared" si="116"/>
        <v>30702000</v>
      </c>
      <c r="K106" s="462">
        <f t="shared" si="116"/>
        <v>28254625</v>
      </c>
      <c r="L106" s="462">
        <f t="shared" si="116"/>
        <v>28383250</v>
      </c>
      <c r="M106" s="462">
        <f t="shared" ref="M106" si="117">+M61+M66+M70</f>
        <v>28254625</v>
      </c>
      <c r="N106" s="462">
        <f t="shared" si="116"/>
        <v>28383250</v>
      </c>
      <c r="O106" s="462">
        <f t="shared" si="114"/>
        <v>358534750</v>
      </c>
    </row>
    <row r="107" spans="2:16">
      <c r="B107" s="406" t="str">
        <f t="shared" si="115"/>
        <v>Fort dauphin</v>
      </c>
      <c r="C107" s="462">
        <f t="shared" ref="C107:N107" si="118">+C62+C67</f>
        <v>78718500</v>
      </c>
      <c r="D107" s="462">
        <f t="shared" si="118"/>
        <v>78948000</v>
      </c>
      <c r="E107" s="462">
        <f t="shared" si="118"/>
        <v>78718500</v>
      </c>
      <c r="F107" s="462">
        <f t="shared" si="118"/>
        <v>78948000</v>
      </c>
      <c r="G107" s="462">
        <f t="shared" si="118"/>
        <v>78718500</v>
      </c>
      <c r="H107" s="462">
        <f t="shared" si="118"/>
        <v>78948000</v>
      </c>
      <c r="I107" s="462">
        <f t="shared" si="118"/>
        <v>78718500</v>
      </c>
      <c r="J107" s="462">
        <f t="shared" si="118"/>
        <v>78948000</v>
      </c>
      <c r="K107" s="462">
        <f t="shared" si="118"/>
        <v>72654750</v>
      </c>
      <c r="L107" s="462">
        <f t="shared" si="118"/>
        <v>72985500</v>
      </c>
      <c r="M107" s="462">
        <f t="shared" ref="M107" si="119">+M62+M67</f>
        <v>72654750</v>
      </c>
      <c r="N107" s="462">
        <f t="shared" si="118"/>
        <v>72985500</v>
      </c>
      <c r="O107" s="462">
        <f t="shared" si="114"/>
        <v>921946500</v>
      </c>
    </row>
    <row r="108" spans="2:16">
      <c r="B108" s="406" t="str">
        <f t="shared" si="115"/>
        <v>Autres</v>
      </c>
      <c r="C108" s="462">
        <f t="shared" ref="C108:N108" si="120">+C63+C68</f>
        <v>43732500</v>
      </c>
      <c r="D108" s="462">
        <f t="shared" si="120"/>
        <v>43860000</v>
      </c>
      <c r="E108" s="462">
        <f t="shared" si="120"/>
        <v>43732500</v>
      </c>
      <c r="F108" s="462">
        <f t="shared" si="120"/>
        <v>43860000</v>
      </c>
      <c r="G108" s="462">
        <f t="shared" si="120"/>
        <v>43732500</v>
      </c>
      <c r="H108" s="462">
        <f t="shared" si="120"/>
        <v>43860000</v>
      </c>
      <c r="I108" s="462">
        <f t="shared" si="120"/>
        <v>43732500</v>
      </c>
      <c r="J108" s="462">
        <f t="shared" si="120"/>
        <v>43860000</v>
      </c>
      <c r="K108" s="462">
        <f t="shared" si="120"/>
        <v>40363750</v>
      </c>
      <c r="L108" s="462">
        <f t="shared" si="120"/>
        <v>40547500</v>
      </c>
      <c r="M108" s="462">
        <f t="shared" ref="M108" si="121">+M63+M68</f>
        <v>40363750</v>
      </c>
      <c r="N108" s="462">
        <f t="shared" si="120"/>
        <v>40547500</v>
      </c>
      <c r="O108" s="462">
        <f t="shared" si="114"/>
        <v>512192500</v>
      </c>
    </row>
    <row r="109" spans="2:16" ht="17.25" thickBot="1">
      <c r="B109" s="929" t="str">
        <f>+B102</f>
        <v>Total</v>
      </c>
      <c r="C109" s="1091">
        <f>SUM(C105:C108)</f>
        <v>207729375</v>
      </c>
      <c r="D109" s="1091">
        <f t="shared" ref="D109:N109" si="122">SUM(D105:D108)</f>
        <v>208335000</v>
      </c>
      <c r="E109" s="1091">
        <f t="shared" si="122"/>
        <v>207729375</v>
      </c>
      <c r="F109" s="1091">
        <f t="shared" si="122"/>
        <v>208335000</v>
      </c>
      <c r="G109" s="1091">
        <f t="shared" si="122"/>
        <v>207729375</v>
      </c>
      <c r="H109" s="1091">
        <f t="shared" si="122"/>
        <v>208335000</v>
      </c>
      <c r="I109" s="1091">
        <f t="shared" si="122"/>
        <v>207729375</v>
      </c>
      <c r="J109" s="1091">
        <f t="shared" si="122"/>
        <v>208335000</v>
      </c>
      <c r="K109" s="1091">
        <f t="shared" si="122"/>
        <v>191727812.5</v>
      </c>
      <c r="L109" s="1091">
        <f t="shared" si="122"/>
        <v>192600625</v>
      </c>
      <c r="M109" s="1091">
        <f t="shared" ref="M109" si="123">SUM(M105:M108)</f>
        <v>191727812.5</v>
      </c>
      <c r="N109" s="1091">
        <f t="shared" si="122"/>
        <v>192600625</v>
      </c>
      <c r="O109" s="1091">
        <f t="shared" si="114"/>
        <v>2432914375</v>
      </c>
    </row>
    <row r="110" spans="2:16" ht="17.25" thickBot="1">
      <c r="B110" s="199"/>
      <c r="C110" s="463"/>
      <c r="D110" s="463"/>
      <c r="E110" s="463"/>
      <c r="F110" s="463"/>
      <c r="G110" s="463"/>
      <c r="H110" s="463"/>
      <c r="I110" s="463"/>
      <c r="J110" s="463"/>
      <c r="K110" s="463"/>
      <c r="L110" s="463"/>
      <c r="M110" s="463"/>
      <c r="N110" s="463"/>
      <c r="O110" s="463"/>
    </row>
    <row r="111" spans="2:16">
      <c r="B111" s="1135" t="s">
        <v>1265</v>
      </c>
      <c r="C111" s="408" t="str">
        <f>+C43</f>
        <v>Janvier</v>
      </c>
      <c r="D111" s="408" t="str">
        <f t="shared" ref="D111:O111" si="124">+D43</f>
        <v>Février</v>
      </c>
      <c r="E111" s="408" t="str">
        <f t="shared" si="124"/>
        <v>Mars</v>
      </c>
      <c r="F111" s="408" t="str">
        <f t="shared" si="124"/>
        <v>Avril</v>
      </c>
      <c r="G111" s="408" t="str">
        <f t="shared" si="124"/>
        <v>Mai</v>
      </c>
      <c r="H111" s="408" t="str">
        <f t="shared" si="124"/>
        <v>Juin</v>
      </c>
      <c r="I111" s="408" t="str">
        <f t="shared" si="124"/>
        <v>Juillet</v>
      </c>
      <c r="J111" s="408" t="str">
        <f t="shared" si="124"/>
        <v>Août</v>
      </c>
      <c r="K111" s="408" t="str">
        <f t="shared" si="124"/>
        <v>Septembre</v>
      </c>
      <c r="L111" s="408" t="str">
        <f t="shared" si="124"/>
        <v>Octobre</v>
      </c>
      <c r="M111" s="408" t="str">
        <f t="shared" si="124"/>
        <v>Novembre</v>
      </c>
      <c r="N111" s="408" t="str">
        <f t="shared" si="124"/>
        <v>Décembre</v>
      </c>
      <c r="O111" s="408" t="str">
        <f t="shared" si="124"/>
        <v>Total</v>
      </c>
    </row>
    <row r="112" spans="2:16">
      <c r="B112" s="460" t="s">
        <v>1847</v>
      </c>
      <c r="C112" s="765"/>
      <c r="D112" s="765"/>
      <c r="E112" s="765"/>
      <c r="F112" s="765"/>
      <c r="G112" s="765"/>
      <c r="H112" s="765"/>
      <c r="I112" s="765"/>
      <c r="J112" s="765"/>
      <c r="K112" s="765"/>
      <c r="L112" s="765"/>
      <c r="M112" s="765"/>
      <c r="N112" s="765"/>
      <c r="O112" s="463"/>
    </row>
    <row r="113" spans="2:16">
      <c r="B113" s="461" t="str">
        <f>+B44</f>
        <v>Tranomaro</v>
      </c>
      <c r="C113" s="462">
        <f>SUMIF($B$44:$B$52,$B$113,C44:C52)*'Données SOMIDA'!$N$71</f>
        <v>98398125</v>
      </c>
      <c r="D113" s="462">
        <f>SUMIF($B$44:$B$52,$B$113,D44:D52)*'Données SOMIDA'!$N$71</f>
        <v>98685000</v>
      </c>
      <c r="E113" s="462">
        <f>SUMIF($B$44:$B$52,$B$113,E44:E52)*'Données SOMIDA'!$N$71</f>
        <v>98398125</v>
      </c>
      <c r="F113" s="462">
        <f>SUMIF($B$44:$B$52,$B$113,F44:F52)*'Données SOMIDA'!$N$71</f>
        <v>98685000</v>
      </c>
      <c r="G113" s="462">
        <f>SUMIF($B$44:$B$52,$B$113,G44:G52)*'Données SOMIDA'!$N$71</f>
        <v>98398125</v>
      </c>
      <c r="H113" s="462">
        <f>SUMIF($B$44:$B$52,$B$113,H44:H52)*'Données SOMIDA'!$N$71</f>
        <v>98685000</v>
      </c>
      <c r="I113" s="462">
        <f>SUMIF($B$44:$B$52,$B$113,I44:I52)*'Données SOMIDA'!$N$71</f>
        <v>98398125</v>
      </c>
      <c r="J113" s="462">
        <f>SUMIF($B$44:$B$52,$B$113,J44:J52)*'Données SOMIDA'!$N$71</f>
        <v>98685000</v>
      </c>
      <c r="K113" s="462">
        <f>SUMIF($B$44:$B$52,$B$113,K44:K52)*'Données SOMIDA'!$N$71</f>
        <v>90818437.5</v>
      </c>
      <c r="L113" s="462">
        <f>SUMIF($B$44:$B$52,$B$113,L44:L52)*'Données SOMIDA'!$N$71</f>
        <v>91231875</v>
      </c>
      <c r="M113" s="462">
        <f>SUMIF($B$44:$B$52,$B$113,M44:M52)*'Données SOMIDA'!$N$71</f>
        <v>90818437.5</v>
      </c>
      <c r="N113" s="462">
        <f>SUMIF($B$44:$B$52,$B$113,N44:N52)*'Données SOMIDA'!$N$71</f>
        <v>91231875</v>
      </c>
      <c r="O113" s="462">
        <f t="shared" ref="O113:O118" si="125">SUM(C113:N113)</f>
        <v>1152433125</v>
      </c>
      <c r="P113" s="1138">
        <f>+O113/$O$119</f>
        <v>0.26011560693641617</v>
      </c>
    </row>
    <row r="114" spans="2:16">
      <c r="B114" s="461" t="str">
        <f t="shared" ref="B114:B116" si="126">+B45</f>
        <v>Ampandrandava</v>
      </c>
      <c r="C114" s="462">
        <f>SUMIF($B$44:$B$52,$B$114,C44:C52)*'Données SOMIDA'!$N$72</f>
        <v>122451000</v>
      </c>
      <c r="D114" s="462">
        <f>SUMIF($B$44:$B$52,$B$114,D44:D52)*'Données SOMIDA'!$N$72</f>
        <v>122808000</v>
      </c>
      <c r="E114" s="462">
        <f>SUMIF($B$44:$B$52,$B$114,E44:E52)*'Données SOMIDA'!$N$72</f>
        <v>122451000</v>
      </c>
      <c r="F114" s="462">
        <f>SUMIF($B$44:$B$52,$B$114,F44:F52)*'Données SOMIDA'!$N$72</f>
        <v>122808000</v>
      </c>
      <c r="G114" s="462">
        <f>SUMIF($B$44:$B$52,$B$114,G44:G52)*'Données SOMIDA'!$N$72</f>
        <v>122451000</v>
      </c>
      <c r="H114" s="462">
        <f>SUMIF($B$44:$B$52,$B$114,H44:H52)*'Données SOMIDA'!$N$72</f>
        <v>122808000</v>
      </c>
      <c r="I114" s="462">
        <f>SUMIF($B$44:$B$52,$B$114,I44:I52)*'Données SOMIDA'!$N$72</f>
        <v>122451000</v>
      </c>
      <c r="J114" s="462">
        <f>SUMIF($B$44:$B$52,$B$114,J44:J52)*'Données SOMIDA'!$N$72</f>
        <v>122808000</v>
      </c>
      <c r="K114" s="462">
        <f>SUMIF($B$44:$B$52,$B$114,K44:K52)*'Données SOMIDA'!$N$72</f>
        <v>113018500</v>
      </c>
      <c r="L114" s="462">
        <f>SUMIF($B$44:$B$52,$B$114,L44:L52)*'Données SOMIDA'!$N$72</f>
        <v>113533000</v>
      </c>
      <c r="M114" s="462">
        <f>SUMIF($B$44:$B$52,$B$114,M44:M52)*'Données SOMIDA'!$N$72</f>
        <v>113018500</v>
      </c>
      <c r="N114" s="462">
        <f>SUMIF($B$44:$B$52,$B$114,N44:N52)*'Données SOMIDA'!$N$72</f>
        <v>113533000</v>
      </c>
      <c r="O114" s="462">
        <f t="shared" si="125"/>
        <v>1434139000</v>
      </c>
      <c r="P114" s="1138">
        <f t="shared" ref="P114:P115" si="127">+O114/$O$119</f>
        <v>0.32369942196531792</v>
      </c>
    </row>
    <row r="115" spans="2:16">
      <c r="B115" s="461" t="str">
        <f t="shared" si="126"/>
        <v>Fort dauphin</v>
      </c>
      <c r="C115" s="462">
        <f>SUMIF($B$44:$B$52,$B$115,C44:C52)*'Données SOMIDA'!$N$74</f>
        <v>78718500</v>
      </c>
      <c r="D115" s="462">
        <f>SUMIF($B$44:$B$52,$B$115,D44:D52)*'Données SOMIDA'!$N$74</f>
        <v>78948000</v>
      </c>
      <c r="E115" s="462">
        <f>SUMIF($B$44:$B$52,$B$115,E44:E52)*'Données SOMIDA'!$N$74</f>
        <v>78718500</v>
      </c>
      <c r="F115" s="462">
        <f>SUMIF($B$44:$B$52,$B$115,F44:F52)*'Données SOMIDA'!$N$74</f>
        <v>78948000</v>
      </c>
      <c r="G115" s="462">
        <f>SUMIF($B$44:$B$52,$B$115,G44:G52)*'Données SOMIDA'!$N$74</f>
        <v>78718500</v>
      </c>
      <c r="H115" s="462">
        <f>SUMIF($B$44:$B$52,$B$115,H44:H52)*'Données SOMIDA'!$N$74</f>
        <v>78948000</v>
      </c>
      <c r="I115" s="462">
        <f>SUMIF($B$44:$B$52,$B$115,I44:I52)*'Données SOMIDA'!$N$74</f>
        <v>78718500</v>
      </c>
      <c r="J115" s="462">
        <f>SUMIF($B$44:$B$52,$B$115,J44:J52)*'Données SOMIDA'!$N$74</f>
        <v>78948000</v>
      </c>
      <c r="K115" s="462">
        <f>SUMIF($B$44:$B$52,$B$115,K44:K52)*'Données SOMIDA'!$N$74</f>
        <v>72654750</v>
      </c>
      <c r="L115" s="462">
        <f>SUMIF($B$44:$B$52,$B$115,L44:L52)*'Données SOMIDA'!$N$74</f>
        <v>72985500</v>
      </c>
      <c r="M115" s="462">
        <f>SUMIF($B$44:$B$52,$B$115,M44:M52)*'Données SOMIDA'!$N$74</f>
        <v>72654750</v>
      </c>
      <c r="N115" s="462">
        <f>SUMIF($B$44:$B$52,$B$115,N44:N52)*'Données SOMIDA'!$N$74</f>
        <v>72985500</v>
      </c>
      <c r="O115" s="462">
        <f t="shared" si="125"/>
        <v>921946500</v>
      </c>
      <c r="P115" s="1138">
        <f t="shared" si="127"/>
        <v>0.20809248554913296</v>
      </c>
    </row>
    <row r="116" spans="2:16">
      <c r="B116" s="461" t="str">
        <f t="shared" si="126"/>
        <v>Autres</v>
      </c>
      <c r="C116" s="462">
        <f>SUMIF($B$44:$B$52,$B$116,C44:C52)*'Données SOMIDA'!$N$75</f>
        <v>78718500</v>
      </c>
      <c r="D116" s="462">
        <f>SUMIF($B$44:$B$52,$B$116,D44:D52)*'Données SOMIDA'!$N$75</f>
        <v>78948000</v>
      </c>
      <c r="E116" s="462">
        <f>SUMIF($B$44:$B$52,$B$116,E44:E52)*'Données SOMIDA'!$N$75</f>
        <v>78718500</v>
      </c>
      <c r="F116" s="462">
        <f>SUMIF($B$44:$B$52,$B$116,F44:F52)*'Données SOMIDA'!$N$75</f>
        <v>78948000</v>
      </c>
      <c r="G116" s="462">
        <f>SUMIF($B$44:$B$52,$B$116,G44:G52)*'Données SOMIDA'!$N$75</f>
        <v>78718500</v>
      </c>
      <c r="H116" s="462">
        <f>SUMIF($B$44:$B$52,$B$116,H44:H52)*'Données SOMIDA'!$N$75</f>
        <v>78948000</v>
      </c>
      <c r="I116" s="462">
        <f>SUMIF($B$44:$B$52,$B$116,I44:I52)*'Données SOMIDA'!$N$75</f>
        <v>78718500</v>
      </c>
      <c r="J116" s="462">
        <f>SUMIF($B$44:$B$52,$B$116,J44:J52)*'Données SOMIDA'!$N$75</f>
        <v>78948000</v>
      </c>
      <c r="K116" s="462">
        <f>SUMIF($B$44:$B$52,$B$116,K44:K52)*'Données SOMIDA'!$N$75</f>
        <v>72654750</v>
      </c>
      <c r="L116" s="462">
        <f>SUMIF($B$44:$B$52,$B$116,L44:L52)*'Données SOMIDA'!$N$75</f>
        <v>72985500</v>
      </c>
      <c r="M116" s="462">
        <f>SUMIF($B$44:$B$52,$B$116,M44:M52)*'Données SOMIDA'!$N$75</f>
        <v>72654750</v>
      </c>
      <c r="N116" s="462">
        <f>SUMIF($B$44:$B$52,$B$116,N44:N52)*'Données SOMIDA'!$N$75</f>
        <v>72985500</v>
      </c>
      <c r="O116" s="462">
        <f t="shared" si="125"/>
        <v>921946500</v>
      </c>
      <c r="P116" s="1138">
        <f>+O116/$O$119</f>
        <v>0.20809248554913296</v>
      </c>
    </row>
    <row r="117" spans="2:16">
      <c r="B117" s="460" t="s">
        <v>360</v>
      </c>
      <c r="C117" s="463"/>
      <c r="D117" s="463"/>
      <c r="E117" s="463"/>
      <c r="F117" s="463"/>
      <c r="G117" s="463"/>
      <c r="H117" s="463"/>
      <c r="I117" s="463"/>
      <c r="J117" s="463"/>
      <c r="K117" s="463"/>
      <c r="L117" s="463"/>
      <c r="M117" s="463"/>
      <c r="N117" s="463"/>
      <c r="O117" s="462"/>
      <c r="P117" s="1138"/>
    </row>
    <row r="118" spans="2:16" s="1121" customFormat="1">
      <c r="B118" s="1136" t="str">
        <f>+B114</f>
        <v>Ampandrandava</v>
      </c>
      <c r="C118" s="1134">
        <f>+C54*'Données SOMIDA'!$N$73</f>
        <v>0</v>
      </c>
      <c r="D118" s="1134">
        <f>+D54*'Données SOMIDA'!$N$73</f>
        <v>0</v>
      </c>
      <c r="E118" s="1134">
        <f>+E54*'Données SOMIDA'!$N$73</f>
        <v>0</v>
      </c>
      <c r="F118" s="1134">
        <f>+F54*'Données SOMIDA'!$N$73</f>
        <v>0</v>
      </c>
      <c r="G118" s="1134">
        <f>+G54*'Données SOMIDA'!$N$73</f>
        <v>0</v>
      </c>
      <c r="H118" s="1134">
        <f>+H54*'Données SOMIDA'!$N$73</f>
        <v>0</v>
      </c>
      <c r="I118" s="1134">
        <f>+I54*'Données SOMIDA'!$N$73</f>
        <v>0</v>
      </c>
      <c r="J118" s="1134">
        <f>+J54*'Données SOMIDA'!$N$73</f>
        <v>0</v>
      </c>
      <c r="K118" s="1134">
        <f>+K54*'Données SOMIDA'!$N$73</f>
        <v>0</v>
      </c>
      <c r="L118" s="1134">
        <f>+L54*'Données SOMIDA'!$N$73</f>
        <v>0</v>
      </c>
      <c r="M118" s="1134">
        <f>+M54*'Données SOMIDA'!$N$73</f>
        <v>0</v>
      </c>
      <c r="N118" s="1134">
        <f>+N54*'Données SOMIDA'!$N$73</f>
        <v>0</v>
      </c>
      <c r="O118" s="462">
        <f t="shared" si="125"/>
        <v>0</v>
      </c>
      <c r="P118" s="1138">
        <f>+O118/$O$119</f>
        <v>0</v>
      </c>
    </row>
    <row r="119" spans="2:16" ht="17.25" thickBot="1">
      <c r="B119" s="929" t="str">
        <f>+B109</f>
        <v>Total</v>
      </c>
      <c r="C119" s="1091">
        <f>SUM(C113:C118)</f>
        <v>378286125</v>
      </c>
      <c r="D119" s="1091">
        <f t="shared" ref="D119:O119" si="128">SUM(D113:D118)</f>
        <v>379389000</v>
      </c>
      <c r="E119" s="1091">
        <f t="shared" si="128"/>
        <v>378286125</v>
      </c>
      <c r="F119" s="1091">
        <f t="shared" si="128"/>
        <v>379389000</v>
      </c>
      <c r="G119" s="1091">
        <f t="shared" si="128"/>
        <v>378286125</v>
      </c>
      <c r="H119" s="1091">
        <f t="shared" si="128"/>
        <v>379389000</v>
      </c>
      <c r="I119" s="1091">
        <f t="shared" si="128"/>
        <v>378286125</v>
      </c>
      <c r="J119" s="1091">
        <f t="shared" si="128"/>
        <v>379389000</v>
      </c>
      <c r="K119" s="1091">
        <f t="shared" si="128"/>
        <v>349146437.5</v>
      </c>
      <c r="L119" s="1091">
        <f t="shared" si="128"/>
        <v>350735875</v>
      </c>
      <c r="M119" s="1091">
        <f t="shared" si="128"/>
        <v>349146437.5</v>
      </c>
      <c r="N119" s="1091">
        <f t="shared" si="128"/>
        <v>350735875</v>
      </c>
      <c r="O119" s="1091">
        <f t="shared" si="128"/>
        <v>4430465125</v>
      </c>
    </row>
    <row r="120" spans="2:16" ht="17.25" thickBot="1">
      <c r="B120" s="199"/>
      <c r="C120" s="463"/>
      <c r="D120" s="463"/>
      <c r="E120" s="463"/>
      <c r="F120" s="463"/>
      <c r="G120" s="463"/>
      <c r="H120" s="463"/>
      <c r="I120" s="463"/>
      <c r="J120" s="463"/>
      <c r="K120" s="463"/>
      <c r="L120" s="463"/>
      <c r="M120" s="463"/>
      <c r="N120" s="463"/>
      <c r="O120" s="463"/>
    </row>
    <row r="121" spans="2:16" s="468" customFormat="1">
      <c r="B121" s="472" t="s">
        <v>1848</v>
      </c>
      <c r="C121" s="408" t="str">
        <f>+C59</f>
        <v>Janvier</v>
      </c>
      <c r="D121" s="408" t="str">
        <f t="shared" ref="D121:O121" si="129">+D59</f>
        <v>Février</v>
      </c>
      <c r="E121" s="408" t="str">
        <f t="shared" si="129"/>
        <v>Mars</v>
      </c>
      <c r="F121" s="408" t="str">
        <f t="shared" si="129"/>
        <v>Avril</v>
      </c>
      <c r="G121" s="408" t="str">
        <f t="shared" si="129"/>
        <v>Mai</v>
      </c>
      <c r="H121" s="408" t="str">
        <f t="shared" si="129"/>
        <v>Juin</v>
      </c>
      <c r="I121" s="408" t="str">
        <f t="shared" si="129"/>
        <v>Juillet</v>
      </c>
      <c r="J121" s="408" t="str">
        <f t="shared" si="129"/>
        <v>Août</v>
      </c>
      <c r="K121" s="408" t="str">
        <f t="shared" si="129"/>
        <v>Septembre</v>
      </c>
      <c r="L121" s="408" t="str">
        <f t="shared" si="129"/>
        <v>Octobre</v>
      </c>
      <c r="M121" s="408" t="str">
        <f t="shared" si="129"/>
        <v>Novembre</v>
      </c>
      <c r="N121" s="408" t="str">
        <f t="shared" si="129"/>
        <v>Décembre</v>
      </c>
      <c r="O121" s="408" t="str">
        <f t="shared" si="129"/>
        <v>Total</v>
      </c>
      <c r="P121" s="469"/>
    </row>
    <row r="122" spans="2:16">
      <c r="B122" s="199" t="str">
        <f t="shared" ref="B122:B128" si="130">+B112</f>
        <v>TRA et ABR</v>
      </c>
      <c r="C122" s="463"/>
      <c r="D122" s="463"/>
      <c r="E122" s="463"/>
      <c r="F122" s="463"/>
      <c r="G122" s="463"/>
      <c r="H122" s="463"/>
      <c r="I122" s="463"/>
      <c r="J122" s="463"/>
      <c r="K122" s="463"/>
      <c r="L122" s="463"/>
      <c r="M122" s="463"/>
      <c r="N122" s="463"/>
      <c r="O122" s="463"/>
    </row>
    <row r="123" spans="2:16">
      <c r="B123" s="406" t="str">
        <f t="shared" si="130"/>
        <v>Tranomaro</v>
      </c>
      <c r="C123" s="462">
        <f>SUMIF($B$44:$B$52,$B$113,C44:C52)</f>
        <v>218662.5</v>
      </c>
      <c r="D123" s="462">
        <f t="shared" ref="D123:N123" si="131">SUMIF($B$44:$B$52,$B$113,D44:D52)</f>
        <v>219300</v>
      </c>
      <c r="E123" s="462">
        <f t="shared" si="131"/>
        <v>218662.5</v>
      </c>
      <c r="F123" s="462">
        <f t="shared" si="131"/>
        <v>219300</v>
      </c>
      <c r="G123" s="462">
        <f t="shared" si="131"/>
        <v>218662.5</v>
      </c>
      <c r="H123" s="462">
        <f t="shared" si="131"/>
        <v>219300</v>
      </c>
      <c r="I123" s="462">
        <f t="shared" si="131"/>
        <v>218662.5</v>
      </c>
      <c r="J123" s="462">
        <f t="shared" si="131"/>
        <v>219300</v>
      </c>
      <c r="K123" s="462">
        <f t="shared" si="131"/>
        <v>201818.75</v>
      </c>
      <c r="L123" s="462">
        <f t="shared" si="131"/>
        <v>202737.5</v>
      </c>
      <c r="M123" s="462">
        <f t="shared" si="131"/>
        <v>201818.75</v>
      </c>
      <c r="N123" s="462">
        <f t="shared" si="131"/>
        <v>202737.5</v>
      </c>
      <c r="O123" s="462">
        <f t="shared" ref="O123:O128" si="132">SUM(C123:N123)</f>
        <v>2560962.5</v>
      </c>
    </row>
    <row r="124" spans="2:16">
      <c r="B124" s="406" t="str">
        <f t="shared" si="130"/>
        <v>Ampandrandava</v>
      </c>
      <c r="C124" s="462">
        <f>SUMIF($B$44:$B$52,$B$114,C44:C52)</f>
        <v>306127.5</v>
      </c>
      <c r="D124" s="462">
        <f t="shared" ref="D124:N124" si="133">SUMIF($B$44:$B$52,$B$114,D44:D52)</f>
        <v>307020</v>
      </c>
      <c r="E124" s="462">
        <f t="shared" si="133"/>
        <v>306127.5</v>
      </c>
      <c r="F124" s="462">
        <f t="shared" si="133"/>
        <v>307020</v>
      </c>
      <c r="G124" s="462">
        <f t="shared" si="133"/>
        <v>306127.5</v>
      </c>
      <c r="H124" s="462">
        <f t="shared" si="133"/>
        <v>307020</v>
      </c>
      <c r="I124" s="462">
        <f t="shared" si="133"/>
        <v>306127.5</v>
      </c>
      <c r="J124" s="462">
        <f t="shared" si="133"/>
        <v>307020</v>
      </c>
      <c r="K124" s="462">
        <f t="shared" si="133"/>
        <v>282546.25</v>
      </c>
      <c r="L124" s="462">
        <f t="shared" si="133"/>
        <v>283832.5</v>
      </c>
      <c r="M124" s="462">
        <f t="shared" si="133"/>
        <v>282546.25</v>
      </c>
      <c r="N124" s="462">
        <f t="shared" si="133"/>
        <v>283832.5</v>
      </c>
      <c r="O124" s="462">
        <f t="shared" si="132"/>
        <v>3585347.5</v>
      </c>
    </row>
    <row r="125" spans="2:16">
      <c r="B125" s="406" t="str">
        <f t="shared" si="130"/>
        <v>Fort dauphin</v>
      </c>
      <c r="C125" s="462">
        <f>SUMIF($B$44:$B$52,$B$115,C44:C52)</f>
        <v>174930</v>
      </c>
      <c r="D125" s="462">
        <f t="shared" ref="D125:N125" si="134">SUMIF($B$44:$B$52,$B$115,D44:D52)</f>
        <v>175440</v>
      </c>
      <c r="E125" s="462">
        <f t="shared" si="134"/>
        <v>174930</v>
      </c>
      <c r="F125" s="462">
        <f t="shared" si="134"/>
        <v>175440</v>
      </c>
      <c r="G125" s="462">
        <f t="shared" si="134"/>
        <v>174930</v>
      </c>
      <c r="H125" s="462">
        <f t="shared" si="134"/>
        <v>175440</v>
      </c>
      <c r="I125" s="462">
        <f t="shared" si="134"/>
        <v>174930</v>
      </c>
      <c r="J125" s="462">
        <f t="shared" si="134"/>
        <v>175440</v>
      </c>
      <c r="K125" s="462">
        <f t="shared" si="134"/>
        <v>161455</v>
      </c>
      <c r="L125" s="462">
        <f t="shared" si="134"/>
        <v>162190</v>
      </c>
      <c r="M125" s="462">
        <f t="shared" si="134"/>
        <v>161455</v>
      </c>
      <c r="N125" s="462">
        <f t="shared" si="134"/>
        <v>162190</v>
      </c>
      <c r="O125" s="462">
        <f t="shared" si="132"/>
        <v>2048770</v>
      </c>
    </row>
    <row r="126" spans="2:16">
      <c r="B126" s="406" t="str">
        <f t="shared" si="130"/>
        <v>Autres</v>
      </c>
      <c r="C126" s="462">
        <f>SUMIF($B$44:$B$52,$B$116,C44:C52)</f>
        <v>174930</v>
      </c>
      <c r="D126" s="462">
        <f t="shared" ref="D126:N126" si="135">SUMIF($B$44:$B$52,$B$116,D44:D52)</f>
        <v>175440</v>
      </c>
      <c r="E126" s="462">
        <f t="shared" si="135"/>
        <v>174930</v>
      </c>
      <c r="F126" s="462">
        <f t="shared" si="135"/>
        <v>175440</v>
      </c>
      <c r="G126" s="462">
        <f t="shared" si="135"/>
        <v>174930</v>
      </c>
      <c r="H126" s="462">
        <f t="shared" si="135"/>
        <v>175440</v>
      </c>
      <c r="I126" s="462">
        <f t="shared" si="135"/>
        <v>174930</v>
      </c>
      <c r="J126" s="462">
        <f t="shared" si="135"/>
        <v>175440</v>
      </c>
      <c r="K126" s="462">
        <f t="shared" si="135"/>
        <v>161455</v>
      </c>
      <c r="L126" s="462">
        <f t="shared" si="135"/>
        <v>162190</v>
      </c>
      <c r="M126" s="462">
        <f t="shared" si="135"/>
        <v>161455</v>
      </c>
      <c r="N126" s="462">
        <f t="shared" si="135"/>
        <v>162190</v>
      </c>
      <c r="O126" s="462">
        <f t="shared" si="132"/>
        <v>2048770</v>
      </c>
    </row>
    <row r="127" spans="2:16">
      <c r="B127" s="199" t="str">
        <f t="shared" si="130"/>
        <v>FP1</v>
      </c>
      <c r="C127" s="462"/>
      <c r="D127" s="462"/>
      <c r="E127" s="462"/>
      <c r="F127" s="462"/>
      <c r="G127" s="462"/>
      <c r="H127" s="462"/>
      <c r="I127" s="462"/>
      <c r="J127" s="462"/>
      <c r="K127" s="462"/>
      <c r="L127" s="462"/>
      <c r="M127" s="462"/>
      <c r="N127" s="462"/>
      <c r="O127" s="462">
        <f t="shared" si="132"/>
        <v>0</v>
      </c>
    </row>
    <row r="128" spans="2:16" s="1121" customFormat="1">
      <c r="B128" s="406" t="str">
        <f t="shared" si="130"/>
        <v>Ampandrandava</v>
      </c>
      <c r="C128" s="462">
        <f>+C54</f>
        <v>0</v>
      </c>
      <c r="D128" s="462">
        <f t="shared" ref="D128:N128" si="136">+D54</f>
        <v>0</v>
      </c>
      <c r="E128" s="462">
        <f t="shared" si="136"/>
        <v>0</v>
      </c>
      <c r="F128" s="462">
        <f t="shared" si="136"/>
        <v>0</v>
      </c>
      <c r="G128" s="462">
        <f t="shared" si="136"/>
        <v>0</v>
      </c>
      <c r="H128" s="462">
        <f t="shared" si="136"/>
        <v>0</v>
      </c>
      <c r="I128" s="462">
        <f t="shared" si="136"/>
        <v>0</v>
      </c>
      <c r="J128" s="462">
        <f t="shared" si="136"/>
        <v>0</v>
      </c>
      <c r="K128" s="462">
        <f t="shared" si="136"/>
        <v>0</v>
      </c>
      <c r="L128" s="462">
        <f t="shared" si="136"/>
        <v>0</v>
      </c>
      <c r="M128" s="462">
        <f t="shared" si="136"/>
        <v>0</v>
      </c>
      <c r="N128" s="462">
        <f t="shared" si="136"/>
        <v>0</v>
      </c>
      <c r="O128" s="462">
        <f t="shared" si="132"/>
        <v>0</v>
      </c>
    </row>
    <row r="129" spans="2:15" ht="17.25" thickBot="1">
      <c r="B129" s="470" t="s">
        <v>362</v>
      </c>
      <c r="C129" s="471">
        <f>SUM(C123:C128)</f>
        <v>874650</v>
      </c>
      <c r="D129" s="471">
        <f t="shared" ref="D129:O129" si="137">SUM(D123:D128)</f>
        <v>877200</v>
      </c>
      <c r="E129" s="471">
        <f t="shared" si="137"/>
        <v>874650</v>
      </c>
      <c r="F129" s="471">
        <f t="shared" si="137"/>
        <v>877200</v>
      </c>
      <c r="G129" s="471">
        <f t="shared" si="137"/>
        <v>874650</v>
      </c>
      <c r="H129" s="471">
        <f t="shared" si="137"/>
        <v>877200</v>
      </c>
      <c r="I129" s="471">
        <f t="shared" si="137"/>
        <v>874650</v>
      </c>
      <c r="J129" s="471">
        <f t="shared" si="137"/>
        <v>877200</v>
      </c>
      <c r="K129" s="471">
        <f t="shared" si="137"/>
        <v>807275</v>
      </c>
      <c r="L129" s="471">
        <f t="shared" si="137"/>
        <v>810950</v>
      </c>
      <c r="M129" s="471">
        <f t="shared" si="137"/>
        <v>807275</v>
      </c>
      <c r="N129" s="471">
        <f t="shared" si="137"/>
        <v>810950</v>
      </c>
      <c r="O129" s="471">
        <f t="shared" si="137"/>
        <v>10243850</v>
      </c>
    </row>
    <row r="130" spans="2:15" s="1121" customFormat="1" ht="17.25" thickBot="1">
      <c r="B130" s="199"/>
      <c r="C130" s="462"/>
      <c r="D130" s="462"/>
      <c r="E130" s="462"/>
      <c r="F130" s="462"/>
      <c r="G130" s="462"/>
      <c r="H130" s="462"/>
      <c r="I130" s="462"/>
      <c r="J130" s="462"/>
      <c r="K130" s="462"/>
      <c r="L130" s="462"/>
      <c r="M130" s="462"/>
      <c r="N130" s="462"/>
    </row>
    <row r="131" spans="2:15" s="1121" customFormat="1">
      <c r="B131" s="1135" t="s">
        <v>1849</v>
      </c>
      <c r="C131" s="1135" t="str">
        <f>+C111</f>
        <v>Janvier</v>
      </c>
      <c r="D131" s="1135" t="str">
        <f t="shared" ref="D131:O131" si="138">+D111</f>
        <v>Février</v>
      </c>
      <c r="E131" s="1135" t="str">
        <f t="shared" si="138"/>
        <v>Mars</v>
      </c>
      <c r="F131" s="1135" t="str">
        <f t="shared" si="138"/>
        <v>Avril</v>
      </c>
      <c r="G131" s="1135" t="str">
        <f t="shared" si="138"/>
        <v>Mai</v>
      </c>
      <c r="H131" s="1135" t="str">
        <f t="shared" si="138"/>
        <v>Juin</v>
      </c>
      <c r="I131" s="1135" t="str">
        <f t="shared" si="138"/>
        <v>Juillet</v>
      </c>
      <c r="J131" s="1135" t="str">
        <f t="shared" si="138"/>
        <v>Août</v>
      </c>
      <c r="K131" s="1135" t="str">
        <f t="shared" si="138"/>
        <v>Septembre</v>
      </c>
      <c r="L131" s="1135" t="str">
        <f t="shared" si="138"/>
        <v>Octobre</v>
      </c>
      <c r="M131" s="1135" t="str">
        <f t="shared" si="138"/>
        <v>Novembre</v>
      </c>
      <c r="N131" s="1135" t="str">
        <f t="shared" si="138"/>
        <v>Décembre</v>
      </c>
      <c r="O131" s="1135" t="str">
        <f t="shared" si="138"/>
        <v>Total</v>
      </c>
    </row>
    <row r="132" spans="2:15" s="1121" customFormat="1">
      <c r="B132" s="199" t="str">
        <f>+B122</f>
        <v>TRA et ABR</v>
      </c>
      <c r="C132" s="462"/>
      <c r="D132" s="462"/>
      <c r="E132" s="462"/>
      <c r="F132" s="462"/>
      <c r="G132" s="462"/>
      <c r="H132" s="462"/>
      <c r="I132" s="462"/>
      <c r="J132" s="462"/>
      <c r="K132" s="462"/>
      <c r="L132" s="462"/>
      <c r="M132" s="462"/>
      <c r="N132" s="462"/>
    </row>
    <row r="133" spans="2:15" s="1121" customFormat="1">
      <c r="B133" s="406" t="str">
        <f t="shared" ref="B133:B138" si="139">+B123</f>
        <v>Tranomaro</v>
      </c>
      <c r="C133" s="1087">
        <f>IFERROR(+C113/C123,"")</f>
        <v>450</v>
      </c>
      <c r="D133" s="1087">
        <f t="shared" ref="D133:O133" si="140">IFERROR(+D113/D123,"")</f>
        <v>450</v>
      </c>
      <c r="E133" s="1087">
        <f t="shared" si="140"/>
        <v>450</v>
      </c>
      <c r="F133" s="1087">
        <f t="shared" si="140"/>
        <v>450</v>
      </c>
      <c r="G133" s="1087">
        <f t="shared" si="140"/>
        <v>450</v>
      </c>
      <c r="H133" s="1087">
        <f t="shared" si="140"/>
        <v>450</v>
      </c>
      <c r="I133" s="1087">
        <f t="shared" si="140"/>
        <v>450</v>
      </c>
      <c r="J133" s="1087">
        <f t="shared" si="140"/>
        <v>450</v>
      </c>
      <c r="K133" s="1087">
        <f t="shared" si="140"/>
        <v>450</v>
      </c>
      <c r="L133" s="1087">
        <f t="shared" si="140"/>
        <v>450</v>
      </c>
      <c r="M133" s="1087">
        <f t="shared" si="140"/>
        <v>450</v>
      </c>
      <c r="N133" s="1087">
        <f t="shared" si="140"/>
        <v>450</v>
      </c>
      <c r="O133" s="1087">
        <f t="shared" si="140"/>
        <v>450</v>
      </c>
    </row>
    <row r="134" spans="2:15" s="1121" customFormat="1">
      <c r="B134" s="406" t="str">
        <f t="shared" si="139"/>
        <v>Ampandrandava</v>
      </c>
      <c r="C134" s="1087">
        <f>+IFERROR(C114/C124,"")</f>
        <v>400</v>
      </c>
      <c r="D134" s="1087">
        <f t="shared" ref="D134:O134" si="141">+IFERROR(D114/D124,"")</f>
        <v>400</v>
      </c>
      <c r="E134" s="1087">
        <f t="shared" si="141"/>
        <v>400</v>
      </c>
      <c r="F134" s="1087">
        <f t="shared" si="141"/>
        <v>400</v>
      </c>
      <c r="G134" s="1087">
        <f t="shared" si="141"/>
        <v>400</v>
      </c>
      <c r="H134" s="1087">
        <f t="shared" si="141"/>
        <v>400</v>
      </c>
      <c r="I134" s="1087">
        <f t="shared" si="141"/>
        <v>400</v>
      </c>
      <c r="J134" s="1087">
        <f t="shared" si="141"/>
        <v>400</v>
      </c>
      <c r="K134" s="1087">
        <f t="shared" si="141"/>
        <v>400</v>
      </c>
      <c r="L134" s="1087">
        <f t="shared" si="141"/>
        <v>400</v>
      </c>
      <c r="M134" s="1087">
        <f t="shared" si="141"/>
        <v>400</v>
      </c>
      <c r="N134" s="1087">
        <f t="shared" si="141"/>
        <v>400</v>
      </c>
      <c r="O134" s="1087">
        <f t="shared" si="141"/>
        <v>400</v>
      </c>
    </row>
    <row r="135" spans="2:15" s="1121" customFormat="1">
      <c r="B135" s="406" t="str">
        <f t="shared" si="139"/>
        <v>Fort dauphin</v>
      </c>
      <c r="C135" s="1087">
        <f>IFERROR(+C115/C125,"")</f>
        <v>450</v>
      </c>
      <c r="D135" s="1087">
        <f t="shared" ref="D135:O135" si="142">IFERROR(+D115/D125,"")</f>
        <v>450</v>
      </c>
      <c r="E135" s="1087">
        <f t="shared" si="142"/>
        <v>450</v>
      </c>
      <c r="F135" s="1087">
        <f t="shared" si="142"/>
        <v>450</v>
      </c>
      <c r="G135" s="1087">
        <f t="shared" si="142"/>
        <v>450</v>
      </c>
      <c r="H135" s="1087">
        <f t="shared" si="142"/>
        <v>450</v>
      </c>
      <c r="I135" s="1087">
        <f t="shared" si="142"/>
        <v>450</v>
      </c>
      <c r="J135" s="1087">
        <f t="shared" si="142"/>
        <v>450</v>
      </c>
      <c r="K135" s="1087">
        <f t="shared" si="142"/>
        <v>450</v>
      </c>
      <c r="L135" s="1087">
        <f t="shared" si="142"/>
        <v>450</v>
      </c>
      <c r="M135" s="1087">
        <f t="shared" si="142"/>
        <v>450</v>
      </c>
      <c r="N135" s="1087">
        <f t="shared" si="142"/>
        <v>450</v>
      </c>
      <c r="O135" s="1087">
        <f t="shared" si="142"/>
        <v>450</v>
      </c>
    </row>
    <row r="136" spans="2:15" s="1121" customFormat="1">
      <c r="B136" s="406" t="str">
        <f t="shared" si="139"/>
        <v>Autres</v>
      </c>
      <c r="C136" s="1087">
        <f>IFERROR(+C116/C126,"")</f>
        <v>450</v>
      </c>
      <c r="D136" s="1087">
        <f t="shared" ref="D136:O136" si="143">IFERROR(+D116/D126,"")</f>
        <v>450</v>
      </c>
      <c r="E136" s="1087">
        <f t="shared" si="143"/>
        <v>450</v>
      </c>
      <c r="F136" s="1087">
        <f t="shared" si="143"/>
        <v>450</v>
      </c>
      <c r="G136" s="1087">
        <f t="shared" si="143"/>
        <v>450</v>
      </c>
      <c r="H136" s="1087">
        <f t="shared" si="143"/>
        <v>450</v>
      </c>
      <c r="I136" s="1087">
        <f t="shared" si="143"/>
        <v>450</v>
      </c>
      <c r="J136" s="1087">
        <f t="shared" si="143"/>
        <v>450</v>
      </c>
      <c r="K136" s="1087">
        <f t="shared" si="143"/>
        <v>450</v>
      </c>
      <c r="L136" s="1087">
        <f t="shared" si="143"/>
        <v>450</v>
      </c>
      <c r="M136" s="1087">
        <f t="shared" si="143"/>
        <v>450</v>
      </c>
      <c r="N136" s="1087">
        <f t="shared" si="143"/>
        <v>450</v>
      </c>
      <c r="O136" s="1087">
        <f t="shared" si="143"/>
        <v>450</v>
      </c>
    </row>
    <row r="137" spans="2:15" s="1121" customFormat="1">
      <c r="B137" s="199" t="str">
        <f t="shared" si="139"/>
        <v>FP1</v>
      </c>
      <c r="C137" s="1087"/>
      <c r="D137" s="1087"/>
      <c r="E137" s="1087"/>
      <c r="F137" s="1087"/>
      <c r="G137" s="1087"/>
      <c r="H137" s="1087"/>
      <c r="I137" s="1087"/>
      <c r="J137" s="1087"/>
      <c r="K137" s="1087"/>
      <c r="L137" s="1087"/>
      <c r="M137" s="1087"/>
      <c r="N137" s="1087"/>
      <c r="O137" s="1087"/>
    </row>
    <row r="138" spans="2:15" s="1121" customFormat="1" ht="17.25" thickBot="1">
      <c r="B138" s="773" t="str">
        <f t="shared" si="139"/>
        <v>Ampandrandava</v>
      </c>
      <c r="C138" s="1137" t="str">
        <f>+IFERROR(C118/C128,"")</f>
        <v/>
      </c>
      <c r="D138" s="1137" t="str">
        <f t="shared" ref="D138:O138" si="144">+IFERROR(D118/D128,"")</f>
        <v/>
      </c>
      <c r="E138" s="1137" t="str">
        <f t="shared" si="144"/>
        <v/>
      </c>
      <c r="F138" s="1137" t="str">
        <f t="shared" si="144"/>
        <v/>
      </c>
      <c r="G138" s="1137" t="str">
        <f t="shared" si="144"/>
        <v/>
      </c>
      <c r="H138" s="1137" t="str">
        <f t="shared" si="144"/>
        <v/>
      </c>
      <c r="I138" s="1137" t="str">
        <f t="shared" si="144"/>
        <v/>
      </c>
      <c r="J138" s="1137" t="str">
        <f t="shared" si="144"/>
        <v/>
      </c>
      <c r="K138" s="1137" t="str">
        <f t="shared" si="144"/>
        <v/>
      </c>
      <c r="L138" s="1137" t="str">
        <f t="shared" si="144"/>
        <v/>
      </c>
      <c r="M138" s="1137" t="str">
        <f t="shared" si="144"/>
        <v/>
      </c>
      <c r="N138" s="1137" t="str">
        <f t="shared" si="144"/>
        <v/>
      </c>
      <c r="O138" s="1137" t="str">
        <f t="shared" si="144"/>
        <v/>
      </c>
    </row>
    <row r="139" spans="2:15" s="1121" customFormat="1">
      <c r="B139" s="406"/>
      <c r="C139" s="462"/>
      <c r="D139" s="462"/>
      <c r="E139" s="462"/>
      <c r="F139" s="462"/>
      <c r="G139" s="462"/>
      <c r="H139" s="462"/>
      <c r="I139" s="462"/>
      <c r="J139" s="462"/>
      <c r="K139" s="462"/>
      <c r="L139" s="462"/>
      <c r="M139" s="462"/>
      <c r="N139" s="462"/>
    </row>
    <row r="140" spans="2:15" s="1121" customFormat="1" ht="17.25" thickBot="1">
      <c r="B140" s="198"/>
      <c r="C140" s="1119"/>
      <c r="D140" s="1119"/>
      <c r="E140" s="1119"/>
      <c r="F140" s="1120">
        <f>+SUBTOTAL(9,F142:F249)</f>
        <v>10243850</v>
      </c>
      <c r="G140" s="1119"/>
      <c r="H140" s="1120">
        <f>+SUBTOTAL(9,H142:H249)</f>
        <v>2432914375</v>
      </c>
      <c r="I140" s="1119"/>
      <c r="J140" s="1120">
        <f>+SUBTOTAL(9,J142:J249)</f>
        <v>1997550750</v>
      </c>
      <c r="K140" s="1120">
        <f>+SUBTOTAL(9,K142:K249)</f>
        <v>4430465125</v>
      </c>
      <c r="L140" s="1120">
        <f>IFERROR(+K140/F140,"")</f>
        <v>432.5</v>
      </c>
      <c r="M140" s="462"/>
    </row>
    <row r="141" spans="2:15">
      <c r="B141" s="848" t="s">
        <v>1732</v>
      </c>
      <c r="C141" s="848" t="s">
        <v>1743</v>
      </c>
      <c r="D141" s="848" t="s">
        <v>807</v>
      </c>
      <c r="E141" s="848" t="s">
        <v>1733</v>
      </c>
      <c r="F141" s="848" t="s">
        <v>843</v>
      </c>
      <c r="G141" s="848" t="s">
        <v>382</v>
      </c>
      <c r="H141" s="848" t="s">
        <v>1734</v>
      </c>
      <c r="I141" s="848" t="s">
        <v>1740</v>
      </c>
      <c r="J141" s="848" t="s">
        <v>412</v>
      </c>
      <c r="K141" s="848" t="s">
        <v>1265</v>
      </c>
      <c r="L141" s="848" t="s">
        <v>1741</v>
      </c>
      <c r="M141" s="462"/>
    </row>
    <row r="142" spans="2:15">
      <c r="B142" s="198" t="str">
        <f t="array" ref="B142:B153">TRANSPOSE(C43:N43)</f>
        <v>Janvier</v>
      </c>
      <c r="C142" s="198" t="str">
        <f>_xlfn.XLOOKUP(D142,'Données SOMIDA'!$C$31:$C$42,'Données SOMIDA'!$B$31:$B$42)</f>
        <v>1 MC</v>
      </c>
      <c r="D142" s="198" t="str">
        <f>+B48</f>
        <v>TRA GAZ</v>
      </c>
      <c r="E142" s="198" t="str">
        <f>+B44</f>
        <v>Tranomaro</v>
      </c>
      <c r="F142" s="1087">
        <f t="array" ref="F142:F153">TRANSPOSE(C44:N44)</f>
        <v>112200</v>
      </c>
      <c r="G142" s="1086">
        <f>IF(D142="FP1 GAZ",'Données SOMIDA'!$G$73,VLOOKUP('Besoins en micas'!E142,'Données SOMIDA'!$C$71:$G$77,5,FALSE))</f>
        <v>250</v>
      </c>
      <c r="H142" s="1086">
        <f t="shared" ref="H142:H205" si="145">+F142*G142</f>
        <v>28050000</v>
      </c>
      <c r="I142" s="462">
        <f>IF(D142="FP1 GAZ",'Données SOMIDA'!$E$73,VLOOKUP(E142,'Données SOMIDA'!$C$71:$E$75,3,FALSE))</f>
        <v>200</v>
      </c>
      <c r="J142" s="462">
        <f>+I142*F142</f>
        <v>22440000</v>
      </c>
      <c r="K142" s="462">
        <f>+H142+J142</f>
        <v>50490000</v>
      </c>
      <c r="L142" s="198">
        <f>IFERROR(+K142/F142,"")</f>
        <v>450</v>
      </c>
      <c r="M142" s="462"/>
    </row>
    <row r="143" spans="2:15">
      <c r="B143" s="198" t="str">
        <v>Février</v>
      </c>
      <c r="C143" s="198" t="str">
        <f>_xlfn.XLOOKUP(D143,'Données SOMIDA'!$C$31:$C$42,'Données SOMIDA'!$B$31:$B$42)</f>
        <v>1 MC</v>
      </c>
      <c r="D143" s="198" t="str">
        <f>+D142</f>
        <v>TRA GAZ</v>
      </c>
      <c r="E143" s="198" t="str">
        <f>+E142</f>
        <v>Tranomaro</v>
      </c>
      <c r="F143" s="1087">
        <v>112837.5</v>
      </c>
      <c r="G143" s="1086">
        <f>IF(D143="FP1 GAZ",'Données SOMIDA'!$G$73,VLOOKUP('Besoins en micas'!E143,'Données SOMIDA'!$C$71:$G$77,5,FALSE))</f>
        <v>250</v>
      </c>
      <c r="H143" s="1086">
        <f t="shared" si="145"/>
        <v>28209375</v>
      </c>
      <c r="I143" s="462">
        <f>IF(D143="FP1 GAZ",'Données SOMIDA'!$E$73,VLOOKUP(E143,'Données SOMIDA'!$C$71:$E$75,3,FALSE))</f>
        <v>200</v>
      </c>
      <c r="J143" s="462">
        <f t="shared" ref="J143:J206" si="146">+I143*F143</f>
        <v>22567500</v>
      </c>
      <c r="K143" s="462">
        <f t="shared" ref="K143:K206" si="147">+H143+J143</f>
        <v>50776875</v>
      </c>
      <c r="L143" s="198">
        <f t="shared" ref="L143:L206" si="148">IFERROR(+K143/F143,"")</f>
        <v>450</v>
      </c>
    </row>
    <row r="144" spans="2:15">
      <c r="B144" s="198" t="str">
        <v>Mars</v>
      </c>
      <c r="C144" s="198" t="str">
        <f>_xlfn.XLOOKUP(D144,'Données SOMIDA'!$C$31:$C$42,'Données SOMIDA'!$B$31:$B$42)</f>
        <v>1 MC</v>
      </c>
      <c r="D144" s="198" t="str">
        <f t="shared" ref="D144:E189" si="149">+D143</f>
        <v>TRA GAZ</v>
      </c>
      <c r="E144" s="198" t="str">
        <f t="shared" ref="E144:E153" si="150">+E143</f>
        <v>Tranomaro</v>
      </c>
      <c r="F144" s="1087">
        <v>112200</v>
      </c>
      <c r="G144" s="1086">
        <f>IF(D144="FP1 GAZ",'Données SOMIDA'!$G$73,VLOOKUP('Besoins en micas'!E144,'Données SOMIDA'!$C$71:$G$77,5,FALSE))</f>
        <v>250</v>
      </c>
      <c r="H144" s="1086">
        <f t="shared" si="145"/>
        <v>28050000</v>
      </c>
      <c r="I144" s="462">
        <f>IF(D144="FP1 GAZ",'Données SOMIDA'!$E$73,VLOOKUP(E144,'Données SOMIDA'!$C$71:$E$75,3,FALSE))</f>
        <v>200</v>
      </c>
      <c r="J144" s="462">
        <f t="shared" si="146"/>
        <v>22440000</v>
      </c>
      <c r="K144" s="462">
        <f t="shared" si="147"/>
        <v>50490000</v>
      </c>
      <c r="L144" s="198">
        <f t="shared" si="148"/>
        <v>450</v>
      </c>
    </row>
    <row r="145" spans="2:12">
      <c r="B145" s="198" t="str">
        <v>Avril</v>
      </c>
      <c r="C145" s="198" t="str">
        <f>_xlfn.XLOOKUP(D145,'Données SOMIDA'!$C$31:$C$42,'Données SOMIDA'!$B$31:$B$42)</f>
        <v>1 MC</v>
      </c>
      <c r="D145" s="198" t="str">
        <f t="shared" si="149"/>
        <v>TRA GAZ</v>
      </c>
      <c r="E145" s="198" t="str">
        <f t="shared" si="150"/>
        <v>Tranomaro</v>
      </c>
      <c r="F145" s="1087">
        <v>112837.5</v>
      </c>
      <c r="G145" s="1086">
        <f>IF(D145="FP1 GAZ",'Données SOMIDA'!$G$73,VLOOKUP('Besoins en micas'!E145,'Données SOMIDA'!$C$71:$G$77,5,FALSE))</f>
        <v>250</v>
      </c>
      <c r="H145" s="1086">
        <f t="shared" si="145"/>
        <v>28209375</v>
      </c>
      <c r="I145" s="462">
        <f>IF(D145="FP1 GAZ",'Données SOMIDA'!$E$73,VLOOKUP(E145,'Données SOMIDA'!$C$71:$E$75,3,FALSE))</f>
        <v>200</v>
      </c>
      <c r="J145" s="462">
        <f t="shared" si="146"/>
        <v>22567500</v>
      </c>
      <c r="K145" s="462">
        <f t="shared" si="147"/>
        <v>50776875</v>
      </c>
      <c r="L145" s="198">
        <f t="shared" si="148"/>
        <v>450</v>
      </c>
    </row>
    <row r="146" spans="2:12">
      <c r="B146" s="198" t="str">
        <v>Mai</v>
      </c>
      <c r="C146" s="198" t="str">
        <f>_xlfn.XLOOKUP(D146,'Données SOMIDA'!$C$31:$C$42,'Données SOMIDA'!$B$31:$B$42)</f>
        <v>1 MC</v>
      </c>
      <c r="D146" s="198" t="str">
        <f t="shared" si="149"/>
        <v>TRA GAZ</v>
      </c>
      <c r="E146" s="198" t="str">
        <f t="shared" si="150"/>
        <v>Tranomaro</v>
      </c>
      <c r="F146" s="1087">
        <v>112200</v>
      </c>
      <c r="G146" s="1086">
        <f>IF(D146="FP1 GAZ",'Données SOMIDA'!$G$73,VLOOKUP('Besoins en micas'!E146,'Données SOMIDA'!$C$71:$G$77,5,FALSE))</f>
        <v>250</v>
      </c>
      <c r="H146" s="1086">
        <f t="shared" si="145"/>
        <v>28050000</v>
      </c>
      <c r="I146" s="462">
        <f>IF(D146="FP1 GAZ",'Données SOMIDA'!$E$73,VLOOKUP(E146,'Données SOMIDA'!$C$71:$E$75,3,FALSE))</f>
        <v>200</v>
      </c>
      <c r="J146" s="462">
        <f t="shared" si="146"/>
        <v>22440000</v>
      </c>
      <c r="K146" s="462">
        <f t="shared" si="147"/>
        <v>50490000</v>
      </c>
      <c r="L146" s="198">
        <f t="shared" si="148"/>
        <v>450</v>
      </c>
    </row>
    <row r="147" spans="2:12">
      <c r="B147" s="198" t="str">
        <v>Juin</v>
      </c>
      <c r="C147" s="198" t="str">
        <f>_xlfn.XLOOKUP(D147,'Données SOMIDA'!$C$31:$C$42,'Données SOMIDA'!$B$31:$B$42)</f>
        <v>1 MC</v>
      </c>
      <c r="D147" s="198" t="str">
        <f t="shared" si="149"/>
        <v>TRA GAZ</v>
      </c>
      <c r="E147" s="198" t="str">
        <f t="shared" si="150"/>
        <v>Tranomaro</v>
      </c>
      <c r="F147" s="1087">
        <v>112837.5</v>
      </c>
      <c r="G147" s="1086">
        <f>IF(D147="FP1 GAZ",'Données SOMIDA'!$G$73,VLOOKUP('Besoins en micas'!E147,'Données SOMIDA'!$C$71:$G$77,5,FALSE))</f>
        <v>250</v>
      </c>
      <c r="H147" s="1086">
        <f t="shared" si="145"/>
        <v>28209375</v>
      </c>
      <c r="I147" s="462">
        <f>IF(D147="FP1 GAZ",'Données SOMIDA'!$E$73,VLOOKUP(E147,'Données SOMIDA'!$C$71:$E$75,3,FALSE))</f>
        <v>200</v>
      </c>
      <c r="J147" s="462">
        <f t="shared" si="146"/>
        <v>22567500</v>
      </c>
      <c r="K147" s="462">
        <f t="shared" si="147"/>
        <v>50776875</v>
      </c>
      <c r="L147" s="198">
        <f t="shared" si="148"/>
        <v>450</v>
      </c>
    </row>
    <row r="148" spans="2:12">
      <c r="B148" s="198" t="str">
        <v>Juillet</v>
      </c>
      <c r="C148" s="198" t="str">
        <f>_xlfn.XLOOKUP(D148,'Données SOMIDA'!$C$31:$C$42,'Données SOMIDA'!$B$31:$B$42)</f>
        <v>1 MC</v>
      </c>
      <c r="D148" s="198" t="str">
        <f t="shared" si="149"/>
        <v>TRA GAZ</v>
      </c>
      <c r="E148" s="198" t="str">
        <f t="shared" si="150"/>
        <v>Tranomaro</v>
      </c>
      <c r="F148" s="1087">
        <v>112200</v>
      </c>
      <c r="G148" s="1086">
        <f>IF(D148="FP1 GAZ",'Données SOMIDA'!$G$73,VLOOKUP('Besoins en micas'!E148,'Données SOMIDA'!$C$71:$G$77,5,FALSE))</f>
        <v>250</v>
      </c>
      <c r="H148" s="1086">
        <f t="shared" si="145"/>
        <v>28050000</v>
      </c>
      <c r="I148" s="462">
        <f>IF(D148="FP1 GAZ",'Données SOMIDA'!$E$73,VLOOKUP(E148,'Données SOMIDA'!$C$71:$E$75,3,FALSE))</f>
        <v>200</v>
      </c>
      <c r="J148" s="462">
        <f t="shared" si="146"/>
        <v>22440000</v>
      </c>
      <c r="K148" s="462">
        <f t="shared" si="147"/>
        <v>50490000</v>
      </c>
      <c r="L148" s="198">
        <f t="shared" si="148"/>
        <v>450</v>
      </c>
    </row>
    <row r="149" spans="2:12">
      <c r="B149" s="198" t="str">
        <v>Août</v>
      </c>
      <c r="C149" s="198" t="str">
        <f>_xlfn.XLOOKUP(D149,'Données SOMIDA'!$C$31:$C$42,'Données SOMIDA'!$B$31:$B$42)</f>
        <v>1 MC</v>
      </c>
      <c r="D149" s="198" t="str">
        <f t="shared" si="149"/>
        <v>TRA GAZ</v>
      </c>
      <c r="E149" s="198" t="str">
        <f t="shared" si="150"/>
        <v>Tranomaro</v>
      </c>
      <c r="F149" s="1087">
        <v>112837.5</v>
      </c>
      <c r="G149" s="1086">
        <f>IF(D149="FP1 GAZ",'Données SOMIDA'!$G$73,VLOOKUP('Besoins en micas'!E149,'Données SOMIDA'!$C$71:$G$77,5,FALSE))</f>
        <v>250</v>
      </c>
      <c r="H149" s="1086">
        <f t="shared" si="145"/>
        <v>28209375</v>
      </c>
      <c r="I149" s="462">
        <f>IF(D149="FP1 GAZ",'Données SOMIDA'!$E$73,VLOOKUP(E149,'Données SOMIDA'!$C$71:$E$75,3,FALSE))</f>
        <v>200</v>
      </c>
      <c r="J149" s="462">
        <f t="shared" si="146"/>
        <v>22567500</v>
      </c>
      <c r="K149" s="462">
        <f t="shared" si="147"/>
        <v>50776875</v>
      </c>
      <c r="L149" s="198">
        <f t="shared" si="148"/>
        <v>450</v>
      </c>
    </row>
    <row r="150" spans="2:12">
      <c r="B150" s="198" t="str">
        <v>Septembre</v>
      </c>
      <c r="C150" s="198" t="str">
        <f>_xlfn.XLOOKUP(D150,'Données SOMIDA'!$C$31:$C$42,'Données SOMIDA'!$B$31:$B$42)</f>
        <v>1 MC</v>
      </c>
      <c r="D150" s="198" t="str">
        <f t="shared" si="149"/>
        <v>TRA GAZ</v>
      </c>
      <c r="E150" s="198" t="str">
        <f t="shared" si="150"/>
        <v>Tranomaro</v>
      </c>
      <c r="F150" s="1087">
        <v>103512.5</v>
      </c>
      <c r="G150" s="1086">
        <f>IF(D150="FP1 GAZ",'Données SOMIDA'!$G$73,VLOOKUP('Besoins en micas'!E150,'Données SOMIDA'!$C$71:$G$77,5,FALSE))</f>
        <v>250</v>
      </c>
      <c r="H150" s="1086">
        <f t="shared" si="145"/>
        <v>25878125</v>
      </c>
      <c r="I150" s="462">
        <f>IF(D150="FP1 GAZ",'Données SOMIDA'!$E$73,VLOOKUP(E150,'Données SOMIDA'!$C$71:$E$75,3,FALSE))</f>
        <v>200</v>
      </c>
      <c r="J150" s="462">
        <f t="shared" si="146"/>
        <v>20702500</v>
      </c>
      <c r="K150" s="462">
        <f t="shared" si="147"/>
        <v>46580625</v>
      </c>
      <c r="L150" s="198">
        <f t="shared" si="148"/>
        <v>450</v>
      </c>
    </row>
    <row r="151" spans="2:12">
      <c r="B151" s="198" t="str">
        <v>Octobre</v>
      </c>
      <c r="C151" s="198" t="str">
        <f>_xlfn.XLOOKUP(D151,'Données SOMIDA'!$C$31:$C$42,'Données SOMIDA'!$B$31:$B$42)</f>
        <v>1 MC</v>
      </c>
      <c r="D151" s="198" t="str">
        <f t="shared" si="149"/>
        <v>TRA GAZ</v>
      </c>
      <c r="E151" s="198" t="str">
        <f t="shared" si="150"/>
        <v>Tranomaro</v>
      </c>
      <c r="F151" s="1087">
        <v>104431.25</v>
      </c>
      <c r="G151" s="1086">
        <f>IF(D151="FP1 GAZ",'Données SOMIDA'!$G$73,VLOOKUP('Besoins en micas'!E151,'Données SOMIDA'!$C$71:$G$77,5,FALSE))</f>
        <v>250</v>
      </c>
      <c r="H151" s="1086">
        <f t="shared" si="145"/>
        <v>26107812.5</v>
      </c>
      <c r="I151" s="462">
        <f>IF(D151="FP1 GAZ",'Données SOMIDA'!$E$73,VLOOKUP(E151,'Données SOMIDA'!$C$71:$E$75,3,FALSE))</f>
        <v>200</v>
      </c>
      <c r="J151" s="462">
        <f t="shared" si="146"/>
        <v>20886250</v>
      </c>
      <c r="K151" s="462">
        <f t="shared" si="147"/>
        <v>46994062.5</v>
      </c>
      <c r="L151" s="198">
        <f t="shared" si="148"/>
        <v>450</v>
      </c>
    </row>
    <row r="152" spans="2:12">
      <c r="B152" s="198" t="str">
        <v>Novembre</v>
      </c>
      <c r="C152" s="198" t="str">
        <f>_xlfn.XLOOKUP(D152,'Données SOMIDA'!$C$31:$C$42,'Données SOMIDA'!$B$31:$B$42)</f>
        <v>1 MC</v>
      </c>
      <c r="D152" s="198" t="str">
        <f t="shared" si="149"/>
        <v>TRA GAZ</v>
      </c>
      <c r="E152" s="198" t="str">
        <f t="shared" si="150"/>
        <v>Tranomaro</v>
      </c>
      <c r="F152" s="1087">
        <v>103512.5</v>
      </c>
      <c r="G152" s="1086">
        <f>IF(D152="FP1 GAZ",'Données SOMIDA'!$G$73,VLOOKUP('Besoins en micas'!E152,'Données SOMIDA'!$C$71:$G$77,5,FALSE))</f>
        <v>250</v>
      </c>
      <c r="H152" s="1086">
        <f t="shared" si="145"/>
        <v>25878125</v>
      </c>
      <c r="I152" s="462">
        <f>IF(D152="FP1 GAZ",'Données SOMIDA'!$E$73,VLOOKUP(E152,'Données SOMIDA'!$C$71:$E$75,3,FALSE))</f>
        <v>200</v>
      </c>
      <c r="J152" s="462">
        <f t="shared" si="146"/>
        <v>20702500</v>
      </c>
      <c r="K152" s="462">
        <f t="shared" si="147"/>
        <v>46580625</v>
      </c>
      <c r="L152" s="198">
        <f t="shared" si="148"/>
        <v>450</v>
      </c>
    </row>
    <row r="153" spans="2:12">
      <c r="B153" s="198" t="str">
        <v>Décembre</v>
      </c>
      <c r="C153" s="198" t="str">
        <f>_xlfn.XLOOKUP(D153,'Données SOMIDA'!$C$31:$C$42,'Données SOMIDA'!$B$31:$B$42)</f>
        <v>1 MC</v>
      </c>
      <c r="D153" s="198" t="str">
        <f t="shared" si="149"/>
        <v>TRA GAZ</v>
      </c>
      <c r="E153" s="198" t="str">
        <f t="shared" si="150"/>
        <v>Tranomaro</v>
      </c>
      <c r="F153" s="1087">
        <v>104431.25</v>
      </c>
      <c r="G153" s="1086">
        <f>IF(D153="FP1 GAZ",'Données SOMIDA'!$G$73,VLOOKUP('Besoins en micas'!E153,'Données SOMIDA'!$C$71:$G$77,5,FALSE))</f>
        <v>250</v>
      </c>
      <c r="H153" s="1086">
        <f t="shared" si="145"/>
        <v>26107812.5</v>
      </c>
      <c r="I153" s="462">
        <f>IF(D153="FP1 GAZ",'Données SOMIDA'!$E$73,VLOOKUP(E153,'Données SOMIDA'!$C$71:$E$75,3,FALSE))</f>
        <v>200</v>
      </c>
      <c r="J153" s="462">
        <f t="shared" si="146"/>
        <v>20886250</v>
      </c>
      <c r="K153" s="462">
        <f t="shared" si="147"/>
        <v>46994062.5</v>
      </c>
      <c r="L153" s="198">
        <f t="shared" si="148"/>
        <v>450</v>
      </c>
    </row>
    <row r="154" spans="2:12">
      <c r="B154" s="198" t="str">
        <f>+B142</f>
        <v>Janvier</v>
      </c>
      <c r="C154" s="198" t="str">
        <f>_xlfn.XLOOKUP(D154,'Données SOMIDA'!$C$31:$C$42,'Données SOMIDA'!$B$31:$B$42)</f>
        <v>1 MC</v>
      </c>
      <c r="D154" s="198" t="str">
        <f t="shared" si="149"/>
        <v>TRA GAZ</v>
      </c>
      <c r="E154" s="198" t="str">
        <f>+B45</f>
        <v>Ampandrandava</v>
      </c>
      <c r="F154" s="1087">
        <f t="array" ref="F154:F165">TRANSPOSE(C45:N45)</f>
        <v>157080</v>
      </c>
      <c r="G154" s="1086">
        <f>IF(D154="FP1 GAZ",'Données SOMIDA'!$G$73,VLOOKUP('Besoins en micas'!E154,'Données SOMIDA'!$C$71:$G$77,5,FALSE))</f>
        <v>100</v>
      </c>
      <c r="H154" s="1086">
        <f t="shared" si="145"/>
        <v>15708000</v>
      </c>
      <c r="I154" s="462">
        <f>IF(D154="FP1 GAZ",'Données SOMIDA'!$E$73,VLOOKUP(E154,'Données SOMIDA'!$C$71:$E$75,3,FALSE))</f>
        <v>300</v>
      </c>
      <c r="J154" s="462">
        <f t="shared" si="146"/>
        <v>47124000</v>
      </c>
      <c r="K154" s="462">
        <f t="shared" si="147"/>
        <v>62832000</v>
      </c>
      <c r="L154" s="198">
        <f t="shared" si="148"/>
        <v>400</v>
      </c>
    </row>
    <row r="155" spans="2:12">
      <c r="B155" s="198" t="str">
        <f t="shared" ref="B155:B218" si="151">+B143</f>
        <v>Février</v>
      </c>
      <c r="C155" s="198" t="str">
        <f>_xlfn.XLOOKUP(D155,'Données SOMIDA'!$C$31:$C$42,'Données SOMIDA'!$B$31:$B$42)</f>
        <v>1 MC</v>
      </c>
      <c r="D155" s="198" t="str">
        <f t="shared" si="149"/>
        <v>TRA GAZ</v>
      </c>
      <c r="E155" s="198" t="str">
        <f>+E154</f>
        <v>Ampandrandava</v>
      </c>
      <c r="F155" s="1087">
        <v>157972.5</v>
      </c>
      <c r="G155" s="1086">
        <f>IF(D155="FP1 GAZ",'Données SOMIDA'!$G$73,VLOOKUP('Besoins en micas'!E155,'Données SOMIDA'!$C$71:$G$77,5,FALSE))</f>
        <v>100</v>
      </c>
      <c r="H155" s="1086">
        <f t="shared" si="145"/>
        <v>15797250</v>
      </c>
      <c r="I155" s="462">
        <f>IF(D155="FP1 GAZ",'Données SOMIDA'!$E$73,VLOOKUP(E155,'Données SOMIDA'!$C$71:$E$75,3,FALSE))</f>
        <v>300</v>
      </c>
      <c r="J155" s="462">
        <f t="shared" si="146"/>
        <v>47391750</v>
      </c>
      <c r="K155" s="462">
        <f t="shared" si="147"/>
        <v>63189000</v>
      </c>
      <c r="L155" s="198">
        <f t="shared" si="148"/>
        <v>400</v>
      </c>
    </row>
    <row r="156" spans="2:12">
      <c r="B156" s="198" t="str">
        <f t="shared" si="151"/>
        <v>Mars</v>
      </c>
      <c r="C156" s="198" t="str">
        <f>_xlfn.XLOOKUP(D156,'Données SOMIDA'!$C$31:$C$42,'Données SOMIDA'!$B$31:$B$42)</f>
        <v>1 MC</v>
      </c>
      <c r="D156" s="198" t="str">
        <f t="shared" si="149"/>
        <v>TRA GAZ</v>
      </c>
      <c r="E156" s="198" t="str">
        <f t="shared" si="149"/>
        <v>Ampandrandava</v>
      </c>
      <c r="F156" s="1087">
        <v>157080</v>
      </c>
      <c r="G156" s="1086">
        <f>IF(D156="FP1 GAZ",'Données SOMIDA'!$G$73,VLOOKUP('Besoins en micas'!E156,'Données SOMIDA'!$C$71:$G$77,5,FALSE))</f>
        <v>100</v>
      </c>
      <c r="H156" s="1086">
        <f t="shared" si="145"/>
        <v>15708000</v>
      </c>
      <c r="I156" s="462">
        <f>IF(D156="FP1 GAZ",'Données SOMIDA'!$E$73,VLOOKUP(E156,'Données SOMIDA'!$C$71:$E$75,3,FALSE))</f>
        <v>300</v>
      </c>
      <c r="J156" s="462">
        <f t="shared" si="146"/>
        <v>47124000</v>
      </c>
      <c r="K156" s="462">
        <f t="shared" si="147"/>
        <v>62832000</v>
      </c>
      <c r="L156" s="198">
        <f t="shared" si="148"/>
        <v>400</v>
      </c>
    </row>
    <row r="157" spans="2:12">
      <c r="B157" s="198" t="str">
        <f t="shared" si="151"/>
        <v>Avril</v>
      </c>
      <c r="C157" s="198" t="str">
        <f>_xlfn.XLOOKUP(D157,'Données SOMIDA'!$C$31:$C$42,'Données SOMIDA'!$B$31:$B$42)</f>
        <v>1 MC</v>
      </c>
      <c r="D157" s="198" t="str">
        <f t="shared" si="149"/>
        <v>TRA GAZ</v>
      </c>
      <c r="E157" s="198" t="str">
        <f t="shared" si="149"/>
        <v>Ampandrandava</v>
      </c>
      <c r="F157" s="1087">
        <v>157972.5</v>
      </c>
      <c r="G157" s="1086">
        <f>IF(D157="FP1 GAZ",'Données SOMIDA'!$G$73,VLOOKUP('Besoins en micas'!E157,'Données SOMIDA'!$C$71:$G$77,5,FALSE))</f>
        <v>100</v>
      </c>
      <c r="H157" s="1086">
        <f t="shared" si="145"/>
        <v>15797250</v>
      </c>
      <c r="I157" s="462">
        <f>IF(D157="FP1 GAZ",'Données SOMIDA'!$E$73,VLOOKUP(E157,'Données SOMIDA'!$C$71:$E$75,3,FALSE))</f>
        <v>300</v>
      </c>
      <c r="J157" s="462">
        <f t="shared" si="146"/>
        <v>47391750</v>
      </c>
      <c r="K157" s="462">
        <f t="shared" si="147"/>
        <v>63189000</v>
      </c>
      <c r="L157" s="198">
        <f t="shared" si="148"/>
        <v>400</v>
      </c>
    </row>
    <row r="158" spans="2:12">
      <c r="B158" s="198" t="str">
        <f t="shared" si="151"/>
        <v>Mai</v>
      </c>
      <c r="C158" s="198" t="str">
        <f>_xlfn.XLOOKUP(D158,'Données SOMIDA'!$C$31:$C$42,'Données SOMIDA'!$B$31:$B$42)</f>
        <v>1 MC</v>
      </c>
      <c r="D158" s="198" t="str">
        <f t="shared" si="149"/>
        <v>TRA GAZ</v>
      </c>
      <c r="E158" s="198" t="str">
        <f t="shared" si="149"/>
        <v>Ampandrandava</v>
      </c>
      <c r="F158" s="1087">
        <v>157080</v>
      </c>
      <c r="G158" s="1086">
        <f>IF(D158="FP1 GAZ",'Données SOMIDA'!$G$73,VLOOKUP('Besoins en micas'!E158,'Données SOMIDA'!$C$71:$G$77,5,FALSE))</f>
        <v>100</v>
      </c>
      <c r="H158" s="1086">
        <f t="shared" si="145"/>
        <v>15708000</v>
      </c>
      <c r="I158" s="462">
        <f>IF(D158="FP1 GAZ",'Données SOMIDA'!$E$73,VLOOKUP(E158,'Données SOMIDA'!$C$71:$E$75,3,FALSE))</f>
        <v>300</v>
      </c>
      <c r="J158" s="462">
        <f t="shared" si="146"/>
        <v>47124000</v>
      </c>
      <c r="K158" s="462">
        <f t="shared" si="147"/>
        <v>62832000</v>
      </c>
      <c r="L158" s="198">
        <f t="shared" si="148"/>
        <v>400</v>
      </c>
    </row>
    <row r="159" spans="2:12">
      <c r="B159" s="198" t="str">
        <f t="shared" si="151"/>
        <v>Juin</v>
      </c>
      <c r="C159" s="198" t="str">
        <f>_xlfn.XLOOKUP(D159,'Données SOMIDA'!$C$31:$C$42,'Données SOMIDA'!$B$31:$B$42)</f>
        <v>1 MC</v>
      </c>
      <c r="D159" s="198" t="str">
        <f t="shared" si="149"/>
        <v>TRA GAZ</v>
      </c>
      <c r="E159" s="198" t="str">
        <f t="shared" si="149"/>
        <v>Ampandrandava</v>
      </c>
      <c r="F159" s="1087">
        <v>157972.5</v>
      </c>
      <c r="G159" s="1086">
        <f>IF(D159="FP1 GAZ",'Données SOMIDA'!$G$73,VLOOKUP('Besoins en micas'!E159,'Données SOMIDA'!$C$71:$G$77,5,FALSE))</f>
        <v>100</v>
      </c>
      <c r="H159" s="1086">
        <f t="shared" si="145"/>
        <v>15797250</v>
      </c>
      <c r="I159" s="462">
        <f>IF(D159="FP1 GAZ",'Données SOMIDA'!$E$73,VLOOKUP(E159,'Données SOMIDA'!$C$71:$E$75,3,FALSE))</f>
        <v>300</v>
      </c>
      <c r="J159" s="462">
        <f t="shared" si="146"/>
        <v>47391750</v>
      </c>
      <c r="K159" s="462">
        <f t="shared" si="147"/>
        <v>63189000</v>
      </c>
      <c r="L159" s="198">
        <f t="shared" si="148"/>
        <v>400</v>
      </c>
    </row>
    <row r="160" spans="2:12">
      <c r="B160" s="198" t="str">
        <f t="shared" si="151"/>
        <v>Juillet</v>
      </c>
      <c r="C160" s="198" t="str">
        <f>_xlfn.XLOOKUP(D160,'Données SOMIDA'!$C$31:$C$42,'Données SOMIDA'!$B$31:$B$42)</f>
        <v>1 MC</v>
      </c>
      <c r="D160" s="198" t="str">
        <f t="shared" si="149"/>
        <v>TRA GAZ</v>
      </c>
      <c r="E160" s="198" t="str">
        <f t="shared" si="149"/>
        <v>Ampandrandava</v>
      </c>
      <c r="F160" s="1087">
        <v>157080</v>
      </c>
      <c r="G160" s="1086">
        <f>IF(D160="FP1 GAZ",'Données SOMIDA'!$G$73,VLOOKUP('Besoins en micas'!E160,'Données SOMIDA'!$C$71:$G$77,5,FALSE))</f>
        <v>100</v>
      </c>
      <c r="H160" s="1086">
        <f t="shared" si="145"/>
        <v>15708000</v>
      </c>
      <c r="I160" s="462">
        <f>IF(D160="FP1 GAZ",'Données SOMIDA'!$E$73,VLOOKUP(E160,'Données SOMIDA'!$C$71:$E$75,3,FALSE))</f>
        <v>300</v>
      </c>
      <c r="J160" s="462">
        <f t="shared" si="146"/>
        <v>47124000</v>
      </c>
      <c r="K160" s="462">
        <f t="shared" si="147"/>
        <v>62832000</v>
      </c>
      <c r="L160" s="198">
        <f t="shared" si="148"/>
        <v>400</v>
      </c>
    </row>
    <row r="161" spans="2:12">
      <c r="B161" s="198" t="str">
        <f t="shared" si="151"/>
        <v>Août</v>
      </c>
      <c r="C161" s="198" t="str">
        <f>_xlfn.XLOOKUP(D161,'Données SOMIDA'!$C$31:$C$42,'Données SOMIDA'!$B$31:$B$42)</f>
        <v>1 MC</v>
      </c>
      <c r="D161" s="198" t="str">
        <f t="shared" si="149"/>
        <v>TRA GAZ</v>
      </c>
      <c r="E161" s="198" t="str">
        <f t="shared" si="149"/>
        <v>Ampandrandava</v>
      </c>
      <c r="F161" s="1087">
        <v>157972.5</v>
      </c>
      <c r="G161" s="1086">
        <f>IF(D161="FP1 GAZ",'Données SOMIDA'!$G$73,VLOOKUP('Besoins en micas'!E161,'Données SOMIDA'!$C$71:$G$77,5,FALSE))</f>
        <v>100</v>
      </c>
      <c r="H161" s="1086">
        <f t="shared" si="145"/>
        <v>15797250</v>
      </c>
      <c r="I161" s="462">
        <f>IF(D161="FP1 GAZ",'Données SOMIDA'!$E$73,VLOOKUP(E161,'Données SOMIDA'!$C$71:$E$75,3,FALSE))</f>
        <v>300</v>
      </c>
      <c r="J161" s="462">
        <f t="shared" si="146"/>
        <v>47391750</v>
      </c>
      <c r="K161" s="462">
        <f t="shared" si="147"/>
        <v>63189000</v>
      </c>
      <c r="L161" s="198">
        <f t="shared" si="148"/>
        <v>400</v>
      </c>
    </row>
    <row r="162" spans="2:12">
      <c r="B162" s="198" t="str">
        <f t="shared" si="151"/>
        <v>Septembre</v>
      </c>
      <c r="C162" s="198" t="str">
        <f>_xlfn.XLOOKUP(D162,'Données SOMIDA'!$C$31:$C$42,'Données SOMIDA'!$B$31:$B$42)</f>
        <v>1 MC</v>
      </c>
      <c r="D162" s="198" t="str">
        <f t="shared" si="149"/>
        <v>TRA GAZ</v>
      </c>
      <c r="E162" s="198" t="str">
        <f t="shared" si="149"/>
        <v>Ampandrandava</v>
      </c>
      <c r="F162" s="1087">
        <v>144917.5</v>
      </c>
      <c r="G162" s="1086">
        <f>IF(D162="FP1 GAZ",'Données SOMIDA'!$G$73,VLOOKUP('Besoins en micas'!E162,'Données SOMIDA'!$C$71:$G$77,5,FALSE))</f>
        <v>100</v>
      </c>
      <c r="H162" s="1086">
        <f t="shared" si="145"/>
        <v>14491750</v>
      </c>
      <c r="I162" s="462">
        <f>IF(D162="FP1 GAZ",'Données SOMIDA'!$E$73,VLOOKUP(E162,'Données SOMIDA'!$C$71:$E$75,3,FALSE))</f>
        <v>300</v>
      </c>
      <c r="J162" s="462">
        <f t="shared" si="146"/>
        <v>43475250</v>
      </c>
      <c r="K162" s="462">
        <f t="shared" si="147"/>
        <v>57967000</v>
      </c>
      <c r="L162" s="198">
        <f t="shared" si="148"/>
        <v>400</v>
      </c>
    </row>
    <row r="163" spans="2:12">
      <c r="B163" s="198" t="str">
        <f t="shared" si="151"/>
        <v>Octobre</v>
      </c>
      <c r="C163" s="198" t="str">
        <f>_xlfn.XLOOKUP(D163,'Données SOMIDA'!$C$31:$C$42,'Données SOMIDA'!$B$31:$B$42)</f>
        <v>1 MC</v>
      </c>
      <c r="D163" s="198" t="str">
        <f t="shared" si="149"/>
        <v>TRA GAZ</v>
      </c>
      <c r="E163" s="198" t="str">
        <f t="shared" si="149"/>
        <v>Ampandrandava</v>
      </c>
      <c r="F163" s="1087">
        <v>146203.75</v>
      </c>
      <c r="G163" s="1086">
        <f>IF(D163="FP1 GAZ",'Données SOMIDA'!$G$73,VLOOKUP('Besoins en micas'!E163,'Données SOMIDA'!$C$71:$G$77,5,FALSE))</f>
        <v>100</v>
      </c>
      <c r="H163" s="1086">
        <f t="shared" si="145"/>
        <v>14620375</v>
      </c>
      <c r="I163" s="462">
        <f>IF(D163="FP1 GAZ",'Données SOMIDA'!$E$73,VLOOKUP(E163,'Données SOMIDA'!$C$71:$E$75,3,FALSE))</f>
        <v>300</v>
      </c>
      <c r="J163" s="462">
        <f t="shared" si="146"/>
        <v>43861125</v>
      </c>
      <c r="K163" s="462">
        <f t="shared" si="147"/>
        <v>58481500</v>
      </c>
      <c r="L163" s="198">
        <f t="shared" si="148"/>
        <v>400</v>
      </c>
    </row>
    <row r="164" spans="2:12">
      <c r="B164" s="198" t="str">
        <f t="shared" si="151"/>
        <v>Novembre</v>
      </c>
      <c r="C164" s="198" t="str">
        <f>_xlfn.XLOOKUP(D164,'Données SOMIDA'!$C$31:$C$42,'Données SOMIDA'!$B$31:$B$42)</f>
        <v>1 MC</v>
      </c>
      <c r="D164" s="198" t="str">
        <f t="shared" si="149"/>
        <v>TRA GAZ</v>
      </c>
      <c r="E164" s="198" t="str">
        <f t="shared" si="149"/>
        <v>Ampandrandava</v>
      </c>
      <c r="F164" s="1087">
        <v>144917.5</v>
      </c>
      <c r="G164" s="1086">
        <f>IF(D164="FP1 GAZ",'Données SOMIDA'!$G$73,VLOOKUP('Besoins en micas'!E164,'Données SOMIDA'!$C$71:$G$77,5,FALSE))</f>
        <v>100</v>
      </c>
      <c r="H164" s="1086">
        <f t="shared" si="145"/>
        <v>14491750</v>
      </c>
      <c r="I164" s="462">
        <f>IF(D164="FP1 GAZ",'Données SOMIDA'!$E$73,VLOOKUP(E164,'Données SOMIDA'!$C$71:$E$75,3,FALSE))</f>
        <v>300</v>
      </c>
      <c r="J164" s="462">
        <f t="shared" si="146"/>
        <v>43475250</v>
      </c>
      <c r="K164" s="462">
        <f t="shared" si="147"/>
        <v>57967000</v>
      </c>
      <c r="L164" s="198">
        <f t="shared" si="148"/>
        <v>400</v>
      </c>
    </row>
    <row r="165" spans="2:12">
      <c r="B165" s="198" t="str">
        <f t="shared" si="151"/>
        <v>Décembre</v>
      </c>
      <c r="C165" s="198" t="str">
        <f>_xlfn.XLOOKUP(D165,'Données SOMIDA'!$C$31:$C$42,'Données SOMIDA'!$B$31:$B$42)</f>
        <v>1 MC</v>
      </c>
      <c r="D165" s="198" t="str">
        <f t="shared" si="149"/>
        <v>TRA GAZ</v>
      </c>
      <c r="E165" s="198" t="str">
        <f t="shared" si="149"/>
        <v>Ampandrandava</v>
      </c>
      <c r="F165" s="1087">
        <v>146203.75</v>
      </c>
      <c r="G165" s="1086">
        <f>IF(D165="FP1 GAZ",'Données SOMIDA'!$G$73,VLOOKUP('Besoins en micas'!E165,'Données SOMIDA'!$C$71:$G$77,5,FALSE))</f>
        <v>100</v>
      </c>
      <c r="H165" s="1086">
        <f t="shared" si="145"/>
        <v>14620375</v>
      </c>
      <c r="I165" s="462">
        <f>IF(D165="FP1 GAZ",'Données SOMIDA'!$E$73,VLOOKUP(E165,'Données SOMIDA'!$C$71:$E$75,3,FALSE))</f>
        <v>300</v>
      </c>
      <c r="J165" s="462">
        <f t="shared" si="146"/>
        <v>43861125</v>
      </c>
      <c r="K165" s="462">
        <f t="shared" si="147"/>
        <v>58481500</v>
      </c>
      <c r="L165" s="198">
        <f t="shared" si="148"/>
        <v>400</v>
      </c>
    </row>
    <row r="166" spans="2:12">
      <c r="B166" s="198" t="str">
        <f t="shared" si="151"/>
        <v>Janvier</v>
      </c>
      <c r="C166" s="198" t="str">
        <f>_xlfn.XLOOKUP(D166,'Données SOMIDA'!$C$31:$C$42,'Données SOMIDA'!$B$31:$B$42)</f>
        <v>1 MC</v>
      </c>
      <c r="D166" s="198" t="str">
        <f t="shared" si="149"/>
        <v>TRA GAZ</v>
      </c>
      <c r="E166" s="198" t="str">
        <f>+B46</f>
        <v>Fort dauphin</v>
      </c>
      <c r="F166" s="1087">
        <f t="array" ref="F166:F177">TRANSPOSE(C46:N46)</f>
        <v>89760</v>
      </c>
      <c r="G166" s="1086">
        <f>IF(D166="FP1 GAZ",'Données SOMIDA'!$G$73,VLOOKUP('Besoins en micas'!E166,'Données SOMIDA'!$C$71:$G$77,5,FALSE))</f>
        <v>450</v>
      </c>
      <c r="H166" s="1086">
        <f t="shared" si="145"/>
        <v>40392000</v>
      </c>
      <c r="I166" s="462">
        <f>IF(D166="FP1 GAZ",'Données SOMIDA'!$E$73,VLOOKUP(E166,'Données SOMIDA'!$C$71:$E$75,3,FALSE))</f>
        <v>0</v>
      </c>
      <c r="J166" s="462">
        <f t="shared" si="146"/>
        <v>0</v>
      </c>
      <c r="K166" s="462">
        <f t="shared" si="147"/>
        <v>40392000</v>
      </c>
      <c r="L166" s="198">
        <f t="shared" si="148"/>
        <v>450</v>
      </c>
    </row>
    <row r="167" spans="2:12">
      <c r="B167" s="198" t="str">
        <f t="shared" si="151"/>
        <v>Février</v>
      </c>
      <c r="C167" s="198" t="str">
        <f>_xlfn.XLOOKUP(D167,'Données SOMIDA'!$C$31:$C$42,'Données SOMIDA'!$B$31:$B$42)</f>
        <v>1 MC</v>
      </c>
      <c r="D167" s="198" t="str">
        <f t="shared" si="149"/>
        <v>TRA GAZ</v>
      </c>
      <c r="E167" s="198" t="str">
        <f>+E166</f>
        <v>Fort dauphin</v>
      </c>
      <c r="F167" s="1087">
        <v>90270</v>
      </c>
      <c r="G167" s="1086">
        <f>IF(D167="FP1 GAZ",'Données SOMIDA'!$G$73,VLOOKUP('Besoins en micas'!E167,'Données SOMIDA'!$C$71:$G$77,5,FALSE))</f>
        <v>450</v>
      </c>
      <c r="H167" s="1086">
        <f t="shared" si="145"/>
        <v>40621500</v>
      </c>
      <c r="I167" s="462">
        <f>IF(D167="FP1 GAZ",'Données SOMIDA'!$E$73,VLOOKUP(E167,'Données SOMIDA'!$C$71:$E$75,3,FALSE))</f>
        <v>0</v>
      </c>
      <c r="J167" s="462">
        <f t="shared" si="146"/>
        <v>0</v>
      </c>
      <c r="K167" s="462">
        <f t="shared" si="147"/>
        <v>40621500</v>
      </c>
      <c r="L167" s="198">
        <f t="shared" si="148"/>
        <v>450</v>
      </c>
    </row>
    <row r="168" spans="2:12">
      <c r="B168" s="198" t="str">
        <f t="shared" si="151"/>
        <v>Mars</v>
      </c>
      <c r="C168" s="198" t="str">
        <f>_xlfn.XLOOKUP(D168,'Données SOMIDA'!$C$31:$C$42,'Données SOMIDA'!$B$31:$B$42)</f>
        <v>1 MC</v>
      </c>
      <c r="D168" s="198" t="str">
        <f t="shared" si="149"/>
        <v>TRA GAZ</v>
      </c>
      <c r="E168" s="198" t="str">
        <f t="shared" si="149"/>
        <v>Fort dauphin</v>
      </c>
      <c r="F168" s="1087">
        <v>89760</v>
      </c>
      <c r="G168" s="1086">
        <f>IF(D168="FP1 GAZ",'Données SOMIDA'!$G$73,VLOOKUP('Besoins en micas'!E168,'Données SOMIDA'!$C$71:$G$77,5,FALSE))</f>
        <v>450</v>
      </c>
      <c r="H168" s="1086">
        <f t="shared" si="145"/>
        <v>40392000</v>
      </c>
      <c r="I168" s="462">
        <f>IF(D168="FP1 GAZ",'Données SOMIDA'!$E$73,VLOOKUP(E168,'Données SOMIDA'!$C$71:$E$75,3,FALSE))</f>
        <v>0</v>
      </c>
      <c r="J168" s="462">
        <f t="shared" si="146"/>
        <v>0</v>
      </c>
      <c r="K168" s="462">
        <f t="shared" si="147"/>
        <v>40392000</v>
      </c>
      <c r="L168" s="198">
        <f t="shared" si="148"/>
        <v>450</v>
      </c>
    </row>
    <row r="169" spans="2:12">
      <c r="B169" s="198" t="str">
        <f t="shared" si="151"/>
        <v>Avril</v>
      </c>
      <c r="C169" s="198" t="str">
        <f>_xlfn.XLOOKUP(D169,'Données SOMIDA'!$C$31:$C$42,'Données SOMIDA'!$B$31:$B$42)</f>
        <v>1 MC</v>
      </c>
      <c r="D169" s="198" t="str">
        <f t="shared" si="149"/>
        <v>TRA GAZ</v>
      </c>
      <c r="E169" s="198" t="str">
        <f t="shared" si="149"/>
        <v>Fort dauphin</v>
      </c>
      <c r="F169" s="1087">
        <v>90270</v>
      </c>
      <c r="G169" s="1086">
        <f>IF(D169="FP1 GAZ",'Données SOMIDA'!$G$73,VLOOKUP('Besoins en micas'!E169,'Données SOMIDA'!$C$71:$G$77,5,FALSE))</f>
        <v>450</v>
      </c>
      <c r="H169" s="1086">
        <f t="shared" si="145"/>
        <v>40621500</v>
      </c>
      <c r="I169" s="462">
        <f>IF(D169="FP1 GAZ",'Données SOMIDA'!$E$73,VLOOKUP(E169,'Données SOMIDA'!$C$71:$E$75,3,FALSE))</f>
        <v>0</v>
      </c>
      <c r="J169" s="462">
        <f t="shared" si="146"/>
        <v>0</v>
      </c>
      <c r="K169" s="462">
        <f t="shared" si="147"/>
        <v>40621500</v>
      </c>
      <c r="L169" s="198">
        <f t="shared" si="148"/>
        <v>450</v>
      </c>
    </row>
    <row r="170" spans="2:12">
      <c r="B170" s="198" t="str">
        <f t="shared" si="151"/>
        <v>Mai</v>
      </c>
      <c r="C170" s="198" t="str">
        <f>_xlfn.XLOOKUP(D170,'Données SOMIDA'!$C$31:$C$42,'Données SOMIDA'!$B$31:$B$42)</f>
        <v>1 MC</v>
      </c>
      <c r="D170" s="198" t="str">
        <f t="shared" si="149"/>
        <v>TRA GAZ</v>
      </c>
      <c r="E170" s="198" t="str">
        <f t="shared" si="149"/>
        <v>Fort dauphin</v>
      </c>
      <c r="F170" s="1087">
        <v>89760</v>
      </c>
      <c r="G170" s="1086">
        <f>IF(D170="FP1 GAZ",'Données SOMIDA'!$G$73,VLOOKUP('Besoins en micas'!E170,'Données SOMIDA'!$C$71:$G$77,5,FALSE))</f>
        <v>450</v>
      </c>
      <c r="H170" s="1086">
        <f t="shared" si="145"/>
        <v>40392000</v>
      </c>
      <c r="I170" s="462">
        <f>IF(D170="FP1 GAZ",'Données SOMIDA'!$E$73,VLOOKUP(E170,'Données SOMIDA'!$C$71:$E$75,3,FALSE))</f>
        <v>0</v>
      </c>
      <c r="J170" s="462">
        <f t="shared" si="146"/>
        <v>0</v>
      </c>
      <c r="K170" s="462">
        <f t="shared" si="147"/>
        <v>40392000</v>
      </c>
      <c r="L170" s="198">
        <f t="shared" si="148"/>
        <v>450</v>
      </c>
    </row>
    <row r="171" spans="2:12">
      <c r="B171" s="198" t="str">
        <f t="shared" si="151"/>
        <v>Juin</v>
      </c>
      <c r="C171" s="198" t="str">
        <f>_xlfn.XLOOKUP(D171,'Données SOMIDA'!$C$31:$C$42,'Données SOMIDA'!$B$31:$B$42)</f>
        <v>1 MC</v>
      </c>
      <c r="D171" s="198" t="str">
        <f t="shared" si="149"/>
        <v>TRA GAZ</v>
      </c>
      <c r="E171" s="198" t="str">
        <f t="shared" si="149"/>
        <v>Fort dauphin</v>
      </c>
      <c r="F171" s="1087">
        <v>90270</v>
      </c>
      <c r="G171" s="1086">
        <f>IF(D171="FP1 GAZ",'Données SOMIDA'!$G$73,VLOOKUP('Besoins en micas'!E171,'Données SOMIDA'!$C$71:$G$77,5,FALSE))</f>
        <v>450</v>
      </c>
      <c r="H171" s="1086">
        <f t="shared" si="145"/>
        <v>40621500</v>
      </c>
      <c r="I171" s="462">
        <f>IF(D171="FP1 GAZ",'Données SOMIDA'!$E$73,VLOOKUP(E171,'Données SOMIDA'!$C$71:$E$75,3,FALSE))</f>
        <v>0</v>
      </c>
      <c r="J171" s="462">
        <f t="shared" si="146"/>
        <v>0</v>
      </c>
      <c r="K171" s="462">
        <f t="shared" si="147"/>
        <v>40621500</v>
      </c>
      <c r="L171" s="198">
        <f t="shared" si="148"/>
        <v>450</v>
      </c>
    </row>
    <row r="172" spans="2:12">
      <c r="B172" s="198" t="str">
        <f t="shared" si="151"/>
        <v>Juillet</v>
      </c>
      <c r="C172" s="198" t="str">
        <f>_xlfn.XLOOKUP(D172,'Données SOMIDA'!$C$31:$C$42,'Données SOMIDA'!$B$31:$B$42)</f>
        <v>1 MC</v>
      </c>
      <c r="D172" s="198" t="str">
        <f t="shared" si="149"/>
        <v>TRA GAZ</v>
      </c>
      <c r="E172" s="198" t="str">
        <f t="shared" si="149"/>
        <v>Fort dauphin</v>
      </c>
      <c r="F172" s="1087">
        <v>89760</v>
      </c>
      <c r="G172" s="1086">
        <f>IF(D172="FP1 GAZ",'Données SOMIDA'!$G$73,VLOOKUP('Besoins en micas'!E172,'Données SOMIDA'!$C$71:$G$77,5,FALSE))</f>
        <v>450</v>
      </c>
      <c r="H172" s="1086">
        <f t="shared" si="145"/>
        <v>40392000</v>
      </c>
      <c r="I172" s="462">
        <f>IF(D172="FP1 GAZ",'Données SOMIDA'!$E$73,VLOOKUP(E172,'Données SOMIDA'!$C$71:$E$75,3,FALSE))</f>
        <v>0</v>
      </c>
      <c r="J172" s="462">
        <f t="shared" si="146"/>
        <v>0</v>
      </c>
      <c r="K172" s="462">
        <f t="shared" si="147"/>
        <v>40392000</v>
      </c>
      <c r="L172" s="198">
        <f t="shared" si="148"/>
        <v>450</v>
      </c>
    </row>
    <row r="173" spans="2:12">
      <c r="B173" s="198" t="str">
        <f t="shared" si="151"/>
        <v>Août</v>
      </c>
      <c r="C173" s="198" t="str">
        <f>_xlfn.XLOOKUP(D173,'Données SOMIDA'!$C$31:$C$42,'Données SOMIDA'!$B$31:$B$42)</f>
        <v>1 MC</v>
      </c>
      <c r="D173" s="198" t="str">
        <f t="shared" si="149"/>
        <v>TRA GAZ</v>
      </c>
      <c r="E173" s="198" t="str">
        <f t="shared" si="149"/>
        <v>Fort dauphin</v>
      </c>
      <c r="F173" s="1087">
        <v>90270</v>
      </c>
      <c r="G173" s="1086">
        <f>IF(D173="FP1 GAZ",'Données SOMIDA'!$G$73,VLOOKUP('Besoins en micas'!E173,'Données SOMIDA'!$C$71:$G$77,5,FALSE))</f>
        <v>450</v>
      </c>
      <c r="H173" s="1086">
        <f t="shared" si="145"/>
        <v>40621500</v>
      </c>
      <c r="I173" s="462">
        <f>IF(D173="FP1 GAZ",'Données SOMIDA'!$E$73,VLOOKUP(E173,'Données SOMIDA'!$C$71:$E$75,3,FALSE))</f>
        <v>0</v>
      </c>
      <c r="J173" s="462">
        <f t="shared" si="146"/>
        <v>0</v>
      </c>
      <c r="K173" s="462">
        <f t="shared" si="147"/>
        <v>40621500</v>
      </c>
      <c r="L173" s="198">
        <f t="shared" si="148"/>
        <v>450</v>
      </c>
    </row>
    <row r="174" spans="2:12">
      <c r="B174" s="198" t="str">
        <f t="shared" si="151"/>
        <v>Septembre</v>
      </c>
      <c r="C174" s="198" t="str">
        <f>_xlfn.XLOOKUP(D174,'Données SOMIDA'!$C$31:$C$42,'Données SOMIDA'!$B$31:$B$42)</f>
        <v>1 MC</v>
      </c>
      <c r="D174" s="198" t="str">
        <f t="shared" si="149"/>
        <v>TRA GAZ</v>
      </c>
      <c r="E174" s="198" t="str">
        <f t="shared" si="149"/>
        <v>Fort dauphin</v>
      </c>
      <c r="F174" s="1087">
        <v>82810</v>
      </c>
      <c r="G174" s="1086">
        <f>IF(D174="FP1 GAZ",'Données SOMIDA'!$G$73,VLOOKUP('Besoins en micas'!E174,'Données SOMIDA'!$C$71:$G$77,5,FALSE))</f>
        <v>450</v>
      </c>
      <c r="H174" s="1086">
        <f t="shared" si="145"/>
        <v>37264500</v>
      </c>
      <c r="I174" s="462">
        <f>IF(D174="FP1 GAZ",'Données SOMIDA'!$E$73,VLOOKUP(E174,'Données SOMIDA'!$C$71:$E$75,3,FALSE))</f>
        <v>0</v>
      </c>
      <c r="J174" s="462">
        <f t="shared" si="146"/>
        <v>0</v>
      </c>
      <c r="K174" s="462">
        <f t="shared" si="147"/>
        <v>37264500</v>
      </c>
      <c r="L174" s="198">
        <f t="shared" si="148"/>
        <v>450</v>
      </c>
    </row>
    <row r="175" spans="2:12">
      <c r="B175" s="198" t="str">
        <f t="shared" si="151"/>
        <v>Octobre</v>
      </c>
      <c r="C175" s="198" t="str">
        <f>_xlfn.XLOOKUP(D175,'Données SOMIDA'!$C$31:$C$42,'Données SOMIDA'!$B$31:$B$42)</f>
        <v>1 MC</v>
      </c>
      <c r="D175" s="198" t="str">
        <f t="shared" si="149"/>
        <v>TRA GAZ</v>
      </c>
      <c r="E175" s="198" t="str">
        <f t="shared" si="149"/>
        <v>Fort dauphin</v>
      </c>
      <c r="F175" s="1087">
        <v>83545</v>
      </c>
      <c r="G175" s="1086">
        <f>IF(D175="FP1 GAZ",'Données SOMIDA'!$G$73,VLOOKUP('Besoins en micas'!E175,'Données SOMIDA'!$C$71:$G$77,5,FALSE))</f>
        <v>450</v>
      </c>
      <c r="H175" s="1086">
        <f t="shared" si="145"/>
        <v>37595250</v>
      </c>
      <c r="I175" s="462">
        <f>IF(D175="FP1 GAZ",'Données SOMIDA'!$E$73,VLOOKUP(E175,'Données SOMIDA'!$C$71:$E$75,3,FALSE))</f>
        <v>0</v>
      </c>
      <c r="J175" s="462">
        <f t="shared" si="146"/>
        <v>0</v>
      </c>
      <c r="K175" s="462">
        <f t="shared" si="147"/>
        <v>37595250</v>
      </c>
      <c r="L175" s="198">
        <f t="shared" si="148"/>
        <v>450</v>
      </c>
    </row>
    <row r="176" spans="2:12">
      <c r="B176" s="198" t="str">
        <f t="shared" si="151"/>
        <v>Novembre</v>
      </c>
      <c r="C176" s="198" t="str">
        <f>_xlfn.XLOOKUP(D176,'Données SOMIDA'!$C$31:$C$42,'Données SOMIDA'!$B$31:$B$42)</f>
        <v>1 MC</v>
      </c>
      <c r="D176" s="198" t="str">
        <f t="shared" si="149"/>
        <v>TRA GAZ</v>
      </c>
      <c r="E176" s="198" t="str">
        <f t="shared" si="149"/>
        <v>Fort dauphin</v>
      </c>
      <c r="F176" s="1087">
        <v>82810</v>
      </c>
      <c r="G176" s="1086">
        <f>IF(D176="FP1 GAZ",'Données SOMIDA'!$G$73,VLOOKUP('Besoins en micas'!E176,'Données SOMIDA'!$C$71:$G$77,5,FALSE))</f>
        <v>450</v>
      </c>
      <c r="H176" s="1086">
        <f t="shared" si="145"/>
        <v>37264500</v>
      </c>
      <c r="I176" s="462">
        <f>IF(D176="FP1 GAZ",'Données SOMIDA'!$E$73,VLOOKUP(E176,'Données SOMIDA'!$C$71:$E$75,3,FALSE))</f>
        <v>0</v>
      </c>
      <c r="J176" s="462">
        <f t="shared" si="146"/>
        <v>0</v>
      </c>
      <c r="K176" s="462">
        <f t="shared" si="147"/>
        <v>37264500</v>
      </c>
      <c r="L176" s="198">
        <f t="shared" si="148"/>
        <v>450</v>
      </c>
    </row>
    <row r="177" spans="2:12">
      <c r="B177" s="198" t="str">
        <f t="shared" si="151"/>
        <v>Décembre</v>
      </c>
      <c r="C177" s="198" t="str">
        <f>_xlfn.XLOOKUP(D177,'Données SOMIDA'!$C$31:$C$42,'Données SOMIDA'!$B$31:$B$42)</f>
        <v>1 MC</v>
      </c>
      <c r="D177" s="198" t="str">
        <f t="shared" si="149"/>
        <v>TRA GAZ</v>
      </c>
      <c r="E177" s="198" t="str">
        <f t="shared" si="149"/>
        <v>Fort dauphin</v>
      </c>
      <c r="F177" s="1087">
        <v>83545</v>
      </c>
      <c r="G177" s="1086">
        <f>IF(D177="FP1 GAZ",'Données SOMIDA'!$G$73,VLOOKUP('Besoins en micas'!E177,'Données SOMIDA'!$C$71:$G$77,5,FALSE))</f>
        <v>450</v>
      </c>
      <c r="H177" s="1086">
        <f t="shared" si="145"/>
        <v>37595250</v>
      </c>
      <c r="I177" s="462">
        <f>IF(D177="FP1 GAZ",'Données SOMIDA'!$E$73,VLOOKUP(E177,'Données SOMIDA'!$C$71:$E$75,3,FALSE))</f>
        <v>0</v>
      </c>
      <c r="J177" s="462">
        <f t="shared" si="146"/>
        <v>0</v>
      </c>
      <c r="K177" s="462">
        <f t="shared" si="147"/>
        <v>37595250</v>
      </c>
      <c r="L177" s="198">
        <f t="shared" si="148"/>
        <v>450</v>
      </c>
    </row>
    <row r="178" spans="2:12">
      <c r="B178" s="198" t="str">
        <f t="shared" si="151"/>
        <v>Janvier</v>
      </c>
      <c r="C178" s="198" t="str">
        <f>_xlfn.XLOOKUP(D178,'Données SOMIDA'!$C$31:$C$42,'Données SOMIDA'!$B$31:$B$42)</f>
        <v>1 MC</v>
      </c>
      <c r="D178" s="198" t="str">
        <f t="shared" si="149"/>
        <v>TRA GAZ</v>
      </c>
      <c r="E178" s="198" t="str">
        <f>+B47</f>
        <v>Autres</v>
      </c>
      <c r="F178" s="1087" cm="1">
        <f t="array" ref="F178:F189">TRANSPOSE(C47:N47)</f>
        <v>89760</v>
      </c>
      <c r="G178" s="1086">
        <f>IF(D178="FP1 GAZ",'Données SOMIDA'!$G$73,VLOOKUP('Besoins en micas'!E178,'Données SOMIDA'!$C$71:$G$77,5,FALSE))</f>
        <v>250</v>
      </c>
      <c r="H178" s="1086">
        <f t="shared" si="145"/>
        <v>22440000</v>
      </c>
      <c r="I178" s="462">
        <f>IF(D178="FP1 GAZ",'Données SOMIDA'!$E$73,VLOOKUP(E178,'Données SOMIDA'!$C$71:$E$75,3,FALSE))</f>
        <v>200</v>
      </c>
      <c r="J178" s="462">
        <f t="shared" si="146"/>
        <v>17952000</v>
      </c>
      <c r="K178" s="462">
        <f t="shared" si="147"/>
        <v>40392000</v>
      </c>
      <c r="L178" s="198">
        <f t="shared" si="148"/>
        <v>450</v>
      </c>
    </row>
    <row r="179" spans="2:12">
      <c r="B179" s="198" t="str">
        <f t="shared" si="151"/>
        <v>Février</v>
      </c>
      <c r="C179" s="198" t="str">
        <f>_xlfn.XLOOKUP(D179,'Données SOMIDA'!$C$31:$C$42,'Données SOMIDA'!$B$31:$B$42)</f>
        <v>1 MC</v>
      </c>
      <c r="D179" s="198" t="str">
        <f t="shared" si="149"/>
        <v>TRA GAZ</v>
      </c>
      <c r="E179" s="198" t="str">
        <f>+E178</f>
        <v>Autres</v>
      </c>
      <c r="F179" s="1087">
        <v>90270</v>
      </c>
      <c r="G179" s="1086">
        <f>IF(D179="FP1 GAZ",'Données SOMIDA'!$G$73,VLOOKUP('Besoins en micas'!E179,'Données SOMIDA'!$C$71:$G$77,5,FALSE))</f>
        <v>250</v>
      </c>
      <c r="H179" s="1086">
        <f t="shared" si="145"/>
        <v>22567500</v>
      </c>
      <c r="I179" s="462">
        <f>IF(D179="FP1 GAZ",'Données SOMIDA'!$E$73,VLOOKUP(E179,'Données SOMIDA'!$C$71:$E$75,3,FALSE))</f>
        <v>200</v>
      </c>
      <c r="J179" s="462">
        <f t="shared" si="146"/>
        <v>18054000</v>
      </c>
      <c r="K179" s="462">
        <f t="shared" si="147"/>
        <v>40621500</v>
      </c>
      <c r="L179" s="198">
        <f t="shared" si="148"/>
        <v>450</v>
      </c>
    </row>
    <row r="180" spans="2:12">
      <c r="B180" s="198" t="str">
        <f t="shared" si="151"/>
        <v>Mars</v>
      </c>
      <c r="C180" s="198" t="str">
        <f>_xlfn.XLOOKUP(D180,'Données SOMIDA'!$C$31:$C$42,'Données SOMIDA'!$B$31:$B$42)</f>
        <v>1 MC</v>
      </c>
      <c r="D180" s="198" t="str">
        <f t="shared" si="149"/>
        <v>TRA GAZ</v>
      </c>
      <c r="E180" s="198" t="str">
        <f t="shared" si="149"/>
        <v>Autres</v>
      </c>
      <c r="F180" s="1087">
        <v>89760</v>
      </c>
      <c r="G180" s="1086">
        <f>IF(D180="FP1 GAZ",'Données SOMIDA'!$G$73,VLOOKUP('Besoins en micas'!E180,'Données SOMIDA'!$C$71:$G$77,5,FALSE))</f>
        <v>250</v>
      </c>
      <c r="H180" s="1086">
        <f t="shared" si="145"/>
        <v>22440000</v>
      </c>
      <c r="I180" s="462">
        <f>IF(D180="FP1 GAZ",'Données SOMIDA'!$E$73,VLOOKUP(E180,'Données SOMIDA'!$C$71:$E$75,3,FALSE))</f>
        <v>200</v>
      </c>
      <c r="J180" s="462">
        <f t="shared" si="146"/>
        <v>17952000</v>
      </c>
      <c r="K180" s="462">
        <f t="shared" si="147"/>
        <v>40392000</v>
      </c>
      <c r="L180" s="198">
        <f t="shared" si="148"/>
        <v>450</v>
      </c>
    </row>
    <row r="181" spans="2:12">
      <c r="B181" s="198" t="str">
        <f t="shared" si="151"/>
        <v>Avril</v>
      </c>
      <c r="C181" s="198" t="str">
        <f>_xlfn.XLOOKUP(D181,'Données SOMIDA'!$C$31:$C$42,'Données SOMIDA'!$B$31:$B$42)</f>
        <v>1 MC</v>
      </c>
      <c r="D181" s="198" t="str">
        <f t="shared" si="149"/>
        <v>TRA GAZ</v>
      </c>
      <c r="E181" s="198" t="str">
        <f t="shared" si="149"/>
        <v>Autres</v>
      </c>
      <c r="F181" s="1087">
        <v>90270</v>
      </c>
      <c r="G181" s="1086">
        <f>IF(D181="FP1 GAZ",'Données SOMIDA'!$G$73,VLOOKUP('Besoins en micas'!E181,'Données SOMIDA'!$C$71:$G$77,5,FALSE))</f>
        <v>250</v>
      </c>
      <c r="H181" s="1086">
        <f t="shared" si="145"/>
        <v>22567500</v>
      </c>
      <c r="I181" s="462">
        <f>IF(D181="FP1 GAZ",'Données SOMIDA'!$E$73,VLOOKUP(E181,'Données SOMIDA'!$C$71:$E$75,3,FALSE))</f>
        <v>200</v>
      </c>
      <c r="J181" s="462">
        <f t="shared" si="146"/>
        <v>18054000</v>
      </c>
      <c r="K181" s="462">
        <f t="shared" si="147"/>
        <v>40621500</v>
      </c>
      <c r="L181" s="198">
        <f t="shared" si="148"/>
        <v>450</v>
      </c>
    </row>
    <row r="182" spans="2:12">
      <c r="B182" s="198" t="str">
        <f t="shared" si="151"/>
        <v>Mai</v>
      </c>
      <c r="C182" s="198" t="str">
        <f>_xlfn.XLOOKUP(D182,'Données SOMIDA'!$C$31:$C$42,'Données SOMIDA'!$B$31:$B$42)</f>
        <v>1 MC</v>
      </c>
      <c r="D182" s="198" t="str">
        <f t="shared" si="149"/>
        <v>TRA GAZ</v>
      </c>
      <c r="E182" s="198" t="str">
        <f t="shared" si="149"/>
        <v>Autres</v>
      </c>
      <c r="F182" s="1087">
        <v>89760</v>
      </c>
      <c r="G182" s="1086">
        <f>IF(D182="FP1 GAZ",'Données SOMIDA'!$G$73,VLOOKUP('Besoins en micas'!E182,'Données SOMIDA'!$C$71:$G$77,5,FALSE))</f>
        <v>250</v>
      </c>
      <c r="H182" s="1086">
        <f t="shared" si="145"/>
        <v>22440000</v>
      </c>
      <c r="I182" s="462">
        <f>IF(D182="FP1 GAZ",'Données SOMIDA'!$E$73,VLOOKUP(E182,'Données SOMIDA'!$C$71:$E$75,3,FALSE))</f>
        <v>200</v>
      </c>
      <c r="J182" s="462">
        <f t="shared" si="146"/>
        <v>17952000</v>
      </c>
      <c r="K182" s="462">
        <f t="shared" si="147"/>
        <v>40392000</v>
      </c>
      <c r="L182" s="198">
        <f t="shared" si="148"/>
        <v>450</v>
      </c>
    </row>
    <row r="183" spans="2:12">
      <c r="B183" s="198" t="str">
        <f t="shared" si="151"/>
        <v>Juin</v>
      </c>
      <c r="C183" s="198" t="str">
        <f>_xlfn.XLOOKUP(D183,'Données SOMIDA'!$C$31:$C$42,'Données SOMIDA'!$B$31:$B$42)</f>
        <v>1 MC</v>
      </c>
      <c r="D183" s="198" t="str">
        <f t="shared" si="149"/>
        <v>TRA GAZ</v>
      </c>
      <c r="E183" s="198" t="str">
        <f t="shared" si="149"/>
        <v>Autres</v>
      </c>
      <c r="F183" s="1087">
        <v>90270</v>
      </c>
      <c r="G183" s="1086">
        <f>IF(D183="FP1 GAZ",'Données SOMIDA'!$G$73,VLOOKUP('Besoins en micas'!E183,'Données SOMIDA'!$C$71:$G$77,5,FALSE))</f>
        <v>250</v>
      </c>
      <c r="H183" s="1086">
        <f t="shared" si="145"/>
        <v>22567500</v>
      </c>
      <c r="I183" s="462">
        <f>IF(D183="FP1 GAZ",'Données SOMIDA'!$E$73,VLOOKUP(E183,'Données SOMIDA'!$C$71:$E$75,3,FALSE))</f>
        <v>200</v>
      </c>
      <c r="J183" s="462">
        <f t="shared" si="146"/>
        <v>18054000</v>
      </c>
      <c r="K183" s="462">
        <f t="shared" si="147"/>
        <v>40621500</v>
      </c>
      <c r="L183" s="198">
        <f t="shared" si="148"/>
        <v>450</v>
      </c>
    </row>
    <row r="184" spans="2:12">
      <c r="B184" s="198" t="str">
        <f t="shared" si="151"/>
        <v>Juillet</v>
      </c>
      <c r="C184" s="198" t="str">
        <f>_xlfn.XLOOKUP(D184,'Données SOMIDA'!$C$31:$C$42,'Données SOMIDA'!$B$31:$B$42)</f>
        <v>1 MC</v>
      </c>
      <c r="D184" s="198" t="str">
        <f t="shared" si="149"/>
        <v>TRA GAZ</v>
      </c>
      <c r="E184" s="198" t="str">
        <f t="shared" si="149"/>
        <v>Autres</v>
      </c>
      <c r="F184" s="1087">
        <v>89760</v>
      </c>
      <c r="G184" s="1086">
        <f>IF(D184="FP1 GAZ",'Données SOMIDA'!$G$73,VLOOKUP('Besoins en micas'!E184,'Données SOMIDA'!$C$71:$G$77,5,FALSE))</f>
        <v>250</v>
      </c>
      <c r="H184" s="1086">
        <f t="shared" si="145"/>
        <v>22440000</v>
      </c>
      <c r="I184" s="462">
        <f>IF(D184="FP1 GAZ",'Données SOMIDA'!$E$73,VLOOKUP(E184,'Données SOMIDA'!$C$71:$E$75,3,FALSE))</f>
        <v>200</v>
      </c>
      <c r="J184" s="462">
        <f t="shared" si="146"/>
        <v>17952000</v>
      </c>
      <c r="K184" s="462">
        <f t="shared" si="147"/>
        <v>40392000</v>
      </c>
      <c r="L184" s="198">
        <f t="shared" si="148"/>
        <v>450</v>
      </c>
    </row>
    <row r="185" spans="2:12">
      <c r="B185" s="198" t="str">
        <f t="shared" si="151"/>
        <v>Août</v>
      </c>
      <c r="C185" s="198" t="str">
        <f>_xlfn.XLOOKUP(D185,'Données SOMIDA'!$C$31:$C$42,'Données SOMIDA'!$B$31:$B$42)</f>
        <v>1 MC</v>
      </c>
      <c r="D185" s="198" t="str">
        <f t="shared" si="149"/>
        <v>TRA GAZ</v>
      </c>
      <c r="E185" s="198" t="str">
        <f t="shared" si="149"/>
        <v>Autres</v>
      </c>
      <c r="F185" s="1087">
        <v>90270</v>
      </c>
      <c r="G185" s="1086">
        <f>IF(D185="FP1 GAZ",'Données SOMIDA'!$G$73,VLOOKUP('Besoins en micas'!E185,'Données SOMIDA'!$C$71:$G$77,5,FALSE))</f>
        <v>250</v>
      </c>
      <c r="H185" s="1086">
        <f t="shared" si="145"/>
        <v>22567500</v>
      </c>
      <c r="I185" s="462">
        <f>IF(D185="FP1 GAZ",'Données SOMIDA'!$E$73,VLOOKUP(E185,'Données SOMIDA'!$C$71:$E$75,3,FALSE))</f>
        <v>200</v>
      </c>
      <c r="J185" s="462">
        <f t="shared" si="146"/>
        <v>18054000</v>
      </c>
      <c r="K185" s="462">
        <f t="shared" si="147"/>
        <v>40621500</v>
      </c>
      <c r="L185" s="198">
        <f t="shared" si="148"/>
        <v>450</v>
      </c>
    </row>
    <row r="186" spans="2:12">
      <c r="B186" s="198" t="str">
        <f t="shared" si="151"/>
        <v>Septembre</v>
      </c>
      <c r="C186" s="198" t="str">
        <f>_xlfn.XLOOKUP(D186,'Données SOMIDA'!$C$31:$C$42,'Données SOMIDA'!$B$31:$B$42)</f>
        <v>1 MC</v>
      </c>
      <c r="D186" s="198" t="str">
        <f t="shared" si="149"/>
        <v>TRA GAZ</v>
      </c>
      <c r="E186" s="198" t="str">
        <f t="shared" si="149"/>
        <v>Autres</v>
      </c>
      <c r="F186" s="1087">
        <v>82810</v>
      </c>
      <c r="G186" s="1086">
        <f>IF(D186="FP1 GAZ",'Données SOMIDA'!$G$73,VLOOKUP('Besoins en micas'!E186,'Données SOMIDA'!$C$71:$G$77,5,FALSE))</f>
        <v>250</v>
      </c>
      <c r="H186" s="1086">
        <f t="shared" si="145"/>
        <v>20702500</v>
      </c>
      <c r="I186" s="462">
        <f>IF(D186="FP1 GAZ",'Données SOMIDA'!$E$73,VLOOKUP(E186,'Données SOMIDA'!$C$71:$E$75,3,FALSE))</f>
        <v>200</v>
      </c>
      <c r="J186" s="462">
        <f t="shared" si="146"/>
        <v>16562000</v>
      </c>
      <c r="K186" s="462">
        <f t="shared" si="147"/>
        <v>37264500</v>
      </c>
      <c r="L186" s="198">
        <f t="shared" si="148"/>
        <v>450</v>
      </c>
    </row>
    <row r="187" spans="2:12">
      <c r="B187" s="198" t="str">
        <f t="shared" si="151"/>
        <v>Octobre</v>
      </c>
      <c r="C187" s="198" t="str">
        <f>_xlfn.XLOOKUP(D187,'Données SOMIDA'!$C$31:$C$42,'Données SOMIDA'!$B$31:$B$42)</f>
        <v>1 MC</v>
      </c>
      <c r="D187" s="198" t="str">
        <f t="shared" si="149"/>
        <v>TRA GAZ</v>
      </c>
      <c r="E187" s="198" t="str">
        <f t="shared" si="149"/>
        <v>Autres</v>
      </c>
      <c r="F187" s="1087">
        <v>83545</v>
      </c>
      <c r="G187" s="1086">
        <f>IF(D187="FP1 GAZ",'Données SOMIDA'!$G$73,VLOOKUP('Besoins en micas'!E187,'Données SOMIDA'!$C$71:$G$77,5,FALSE))</f>
        <v>250</v>
      </c>
      <c r="H187" s="1086">
        <f t="shared" si="145"/>
        <v>20886250</v>
      </c>
      <c r="I187" s="462">
        <f>IF(D187="FP1 GAZ",'Données SOMIDA'!$E$73,VLOOKUP(E187,'Données SOMIDA'!$C$71:$E$75,3,FALSE))</f>
        <v>200</v>
      </c>
      <c r="J187" s="462">
        <f t="shared" si="146"/>
        <v>16709000</v>
      </c>
      <c r="K187" s="462">
        <f t="shared" si="147"/>
        <v>37595250</v>
      </c>
      <c r="L187" s="198">
        <f t="shared" si="148"/>
        <v>450</v>
      </c>
    </row>
    <row r="188" spans="2:12">
      <c r="B188" s="198" t="str">
        <f t="shared" si="151"/>
        <v>Novembre</v>
      </c>
      <c r="C188" s="198" t="str">
        <f>_xlfn.XLOOKUP(D188,'Données SOMIDA'!$C$31:$C$42,'Données SOMIDA'!$B$31:$B$42)</f>
        <v>1 MC</v>
      </c>
      <c r="D188" s="198" t="str">
        <f t="shared" si="149"/>
        <v>TRA GAZ</v>
      </c>
      <c r="E188" s="198" t="str">
        <f t="shared" si="149"/>
        <v>Autres</v>
      </c>
      <c r="F188" s="1087">
        <v>82810</v>
      </c>
      <c r="G188" s="1086">
        <f>IF(D188="FP1 GAZ",'Données SOMIDA'!$G$73,VLOOKUP('Besoins en micas'!E188,'Données SOMIDA'!$C$71:$G$77,5,FALSE))</f>
        <v>250</v>
      </c>
      <c r="H188" s="1086">
        <f t="shared" si="145"/>
        <v>20702500</v>
      </c>
      <c r="I188" s="462">
        <f>IF(D188="FP1 GAZ",'Données SOMIDA'!$E$73,VLOOKUP(E188,'Données SOMIDA'!$C$71:$E$75,3,FALSE))</f>
        <v>200</v>
      </c>
      <c r="J188" s="462">
        <f t="shared" si="146"/>
        <v>16562000</v>
      </c>
      <c r="K188" s="462">
        <f t="shared" si="147"/>
        <v>37264500</v>
      </c>
      <c r="L188" s="198">
        <f t="shared" si="148"/>
        <v>450</v>
      </c>
    </row>
    <row r="189" spans="2:12">
      <c r="B189" s="198" t="str">
        <f t="shared" si="151"/>
        <v>Décembre</v>
      </c>
      <c r="C189" s="198" t="str">
        <f>_xlfn.XLOOKUP(D189,'Données SOMIDA'!$C$31:$C$42,'Données SOMIDA'!$B$31:$B$42)</f>
        <v>1 MC</v>
      </c>
      <c r="D189" s="198" t="str">
        <f t="shared" si="149"/>
        <v>TRA GAZ</v>
      </c>
      <c r="E189" s="198" t="str">
        <f t="shared" si="149"/>
        <v>Autres</v>
      </c>
      <c r="F189" s="1087">
        <v>83545</v>
      </c>
      <c r="G189" s="1086">
        <f>IF(D189="FP1 GAZ",'Données SOMIDA'!$G$73,VLOOKUP('Besoins en micas'!E189,'Données SOMIDA'!$C$71:$G$77,5,FALSE))</f>
        <v>250</v>
      </c>
      <c r="H189" s="1086">
        <f t="shared" si="145"/>
        <v>20886250</v>
      </c>
      <c r="I189" s="462">
        <f>IF(D189="FP1 GAZ",'Données SOMIDA'!$E$73,VLOOKUP(E189,'Données SOMIDA'!$C$71:$E$75,3,FALSE))</f>
        <v>200</v>
      </c>
      <c r="J189" s="462">
        <f t="shared" si="146"/>
        <v>16709000</v>
      </c>
      <c r="K189" s="462">
        <f t="shared" si="147"/>
        <v>37595250</v>
      </c>
      <c r="L189" s="198">
        <f t="shared" si="148"/>
        <v>450</v>
      </c>
    </row>
    <row r="190" spans="2:12">
      <c r="B190" s="198" t="str">
        <f t="shared" si="151"/>
        <v>Janvier</v>
      </c>
      <c r="C190" s="198" t="str">
        <f>_xlfn.XLOOKUP(D190,'Données SOMIDA'!$C$31:$C$42,'Données SOMIDA'!$B$31:$B$42)</f>
        <v>2 MC</v>
      </c>
      <c r="D190" s="198" t="str">
        <f>+B53</f>
        <v>ABR GAZ</v>
      </c>
      <c r="E190" s="198" t="str">
        <f>+B49</f>
        <v>Tranomaro</v>
      </c>
      <c r="F190" s="1087">
        <f t="array" ref="F190:F201">+TRANSPOSE(C49:N49)</f>
        <v>106462.5</v>
      </c>
      <c r="G190" s="1086">
        <f>IF(D190="FP1 GAZ",'Données SOMIDA'!$G$73,VLOOKUP('Besoins en micas'!E190,'Données SOMIDA'!$C$71:$G$77,5,FALSE))</f>
        <v>250</v>
      </c>
      <c r="H190" s="1086">
        <f t="shared" si="145"/>
        <v>26615625</v>
      </c>
      <c r="I190" s="462">
        <f>IF(D190="FP1 GAZ",'Données SOMIDA'!$E$73,VLOOKUP(E190,'Données SOMIDA'!$C$71:$E$75,3,FALSE))</f>
        <v>200</v>
      </c>
      <c r="J190" s="462">
        <f t="shared" si="146"/>
        <v>21292500</v>
      </c>
      <c r="K190" s="462">
        <f t="shared" si="147"/>
        <v>47908125</v>
      </c>
      <c r="L190" s="198">
        <f t="shared" si="148"/>
        <v>450</v>
      </c>
    </row>
    <row r="191" spans="2:12">
      <c r="B191" s="198" t="str">
        <f t="shared" si="151"/>
        <v>Février</v>
      </c>
      <c r="C191" s="198" t="str">
        <f>_xlfn.XLOOKUP(D191,'Données SOMIDA'!$C$31:$C$42,'Données SOMIDA'!$B$31:$B$42)</f>
        <v>2 MC</v>
      </c>
      <c r="D191" s="198" t="str">
        <f>+D190</f>
        <v>ABR GAZ</v>
      </c>
      <c r="E191" s="198" t="str">
        <f>+E190</f>
        <v>Tranomaro</v>
      </c>
      <c r="F191" s="1087">
        <v>106462.5</v>
      </c>
      <c r="G191" s="1086">
        <f>IF(D191="FP1 GAZ",'Données SOMIDA'!$G$73,VLOOKUP('Besoins en micas'!E191,'Données SOMIDA'!$C$71:$G$77,5,FALSE))</f>
        <v>250</v>
      </c>
      <c r="H191" s="1086">
        <f t="shared" si="145"/>
        <v>26615625</v>
      </c>
      <c r="I191" s="462">
        <f>IF(D191="FP1 GAZ",'Données SOMIDA'!$E$73,VLOOKUP(E191,'Données SOMIDA'!$C$71:$E$75,3,FALSE))</f>
        <v>200</v>
      </c>
      <c r="J191" s="462">
        <f t="shared" si="146"/>
        <v>21292500</v>
      </c>
      <c r="K191" s="462">
        <f t="shared" si="147"/>
        <v>47908125</v>
      </c>
      <c r="L191" s="198">
        <f t="shared" si="148"/>
        <v>450</v>
      </c>
    </row>
    <row r="192" spans="2:12">
      <c r="B192" s="198" t="str">
        <f t="shared" si="151"/>
        <v>Mars</v>
      </c>
      <c r="C192" s="198" t="str">
        <f>_xlfn.XLOOKUP(D192,'Données SOMIDA'!$C$31:$C$42,'Données SOMIDA'!$B$31:$B$42)</f>
        <v>2 MC</v>
      </c>
      <c r="D192" s="198" t="str">
        <f t="shared" ref="D192:D234" si="152">+D191</f>
        <v>ABR GAZ</v>
      </c>
      <c r="E192" s="198" t="str">
        <f t="shared" ref="E192:E200" si="153">+E191</f>
        <v>Tranomaro</v>
      </c>
      <c r="F192" s="1087">
        <v>106462.5</v>
      </c>
      <c r="G192" s="1086">
        <f>IF(D192="FP1 GAZ",'Données SOMIDA'!$G$73,VLOOKUP('Besoins en micas'!E192,'Données SOMIDA'!$C$71:$G$77,5,FALSE))</f>
        <v>250</v>
      </c>
      <c r="H192" s="1086">
        <f t="shared" si="145"/>
        <v>26615625</v>
      </c>
      <c r="I192" s="462">
        <f>IF(D192="FP1 GAZ",'Données SOMIDA'!$E$73,VLOOKUP(E192,'Données SOMIDA'!$C$71:$E$75,3,FALSE))</f>
        <v>200</v>
      </c>
      <c r="J192" s="462">
        <f t="shared" si="146"/>
        <v>21292500</v>
      </c>
      <c r="K192" s="462">
        <f t="shared" si="147"/>
        <v>47908125</v>
      </c>
      <c r="L192" s="198">
        <f t="shared" si="148"/>
        <v>450</v>
      </c>
    </row>
    <row r="193" spans="2:12">
      <c r="B193" s="198" t="str">
        <f t="shared" si="151"/>
        <v>Avril</v>
      </c>
      <c r="C193" s="198" t="str">
        <f>_xlfn.XLOOKUP(D193,'Données SOMIDA'!$C$31:$C$42,'Données SOMIDA'!$B$31:$B$42)</f>
        <v>2 MC</v>
      </c>
      <c r="D193" s="198" t="str">
        <f t="shared" si="152"/>
        <v>ABR GAZ</v>
      </c>
      <c r="E193" s="198" t="str">
        <f t="shared" si="153"/>
        <v>Tranomaro</v>
      </c>
      <c r="F193" s="1087">
        <v>106462.5</v>
      </c>
      <c r="G193" s="1086">
        <f>IF(D193="FP1 GAZ",'Données SOMIDA'!$G$73,VLOOKUP('Besoins en micas'!E193,'Données SOMIDA'!$C$71:$G$77,5,FALSE))</f>
        <v>250</v>
      </c>
      <c r="H193" s="1086">
        <f t="shared" si="145"/>
        <v>26615625</v>
      </c>
      <c r="I193" s="462">
        <f>IF(D193="FP1 GAZ",'Données SOMIDA'!$E$73,VLOOKUP(E193,'Données SOMIDA'!$C$71:$E$75,3,FALSE))</f>
        <v>200</v>
      </c>
      <c r="J193" s="462">
        <f t="shared" si="146"/>
        <v>21292500</v>
      </c>
      <c r="K193" s="462">
        <f t="shared" si="147"/>
        <v>47908125</v>
      </c>
      <c r="L193" s="198">
        <f t="shared" si="148"/>
        <v>450</v>
      </c>
    </row>
    <row r="194" spans="2:12">
      <c r="B194" s="198" t="str">
        <f t="shared" si="151"/>
        <v>Mai</v>
      </c>
      <c r="C194" s="198" t="str">
        <f>_xlfn.XLOOKUP(D194,'Données SOMIDA'!$C$31:$C$42,'Données SOMIDA'!$B$31:$B$42)</f>
        <v>2 MC</v>
      </c>
      <c r="D194" s="198" t="str">
        <f t="shared" si="152"/>
        <v>ABR GAZ</v>
      </c>
      <c r="E194" s="198" t="str">
        <f t="shared" si="153"/>
        <v>Tranomaro</v>
      </c>
      <c r="F194" s="1087">
        <v>106462.5</v>
      </c>
      <c r="G194" s="1086">
        <f>IF(D194="FP1 GAZ",'Données SOMIDA'!$G$73,VLOOKUP('Besoins en micas'!E194,'Données SOMIDA'!$C$71:$G$77,5,FALSE))</f>
        <v>250</v>
      </c>
      <c r="H194" s="1086">
        <f t="shared" si="145"/>
        <v>26615625</v>
      </c>
      <c r="I194" s="462">
        <f>IF(D194="FP1 GAZ",'Données SOMIDA'!$E$73,VLOOKUP(E194,'Données SOMIDA'!$C$71:$E$75,3,FALSE))</f>
        <v>200</v>
      </c>
      <c r="J194" s="462">
        <f t="shared" si="146"/>
        <v>21292500</v>
      </c>
      <c r="K194" s="462">
        <f t="shared" si="147"/>
        <v>47908125</v>
      </c>
      <c r="L194" s="198">
        <f t="shared" si="148"/>
        <v>450</v>
      </c>
    </row>
    <row r="195" spans="2:12">
      <c r="B195" s="198" t="str">
        <f t="shared" si="151"/>
        <v>Juin</v>
      </c>
      <c r="C195" s="198" t="str">
        <f>_xlfn.XLOOKUP(D195,'Données SOMIDA'!$C$31:$C$42,'Données SOMIDA'!$B$31:$B$42)</f>
        <v>2 MC</v>
      </c>
      <c r="D195" s="198" t="str">
        <f t="shared" si="152"/>
        <v>ABR GAZ</v>
      </c>
      <c r="E195" s="198" t="str">
        <f t="shared" si="153"/>
        <v>Tranomaro</v>
      </c>
      <c r="F195" s="1087">
        <v>106462.5</v>
      </c>
      <c r="G195" s="1086">
        <f>IF(D195="FP1 GAZ",'Données SOMIDA'!$G$73,VLOOKUP('Besoins en micas'!E195,'Données SOMIDA'!$C$71:$G$77,5,FALSE))</f>
        <v>250</v>
      </c>
      <c r="H195" s="1086">
        <f t="shared" si="145"/>
        <v>26615625</v>
      </c>
      <c r="I195" s="462">
        <f>IF(D195="FP1 GAZ",'Données SOMIDA'!$E$73,VLOOKUP(E195,'Données SOMIDA'!$C$71:$E$75,3,FALSE))</f>
        <v>200</v>
      </c>
      <c r="J195" s="462">
        <f t="shared" si="146"/>
        <v>21292500</v>
      </c>
      <c r="K195" s="462">
        <f t="shared" si="147"/>
        <v>47908125</v>
      </c>
      <c r="L195" s="198">
        <f t="shared" si="148"/>
        <v>450</v>
      </c>
    </row>
    <row r="196" spans="2:12">
      <c r="B196" s="198" t="str">
        <f t="shared" si="151"/>
        <v>Juillet</v>
      </c>
      <c r="C196" s="198" t="str">
        <f>_xlfn.XLOOKUP(D196,'Données SOMIDA'!$C$31:$C$42,'Données SOMIDA'!$B$31:$B$42)</f>
        <v>2 MC</v>
      </c>
      <c r="D196" s="198" t="str">
        <f t="shared" si="152"/>
        <v>ABR GAZ</v>
      </c>
      <c r="E196" s="198" t="str">
        <f t="shared" si="153"/>
        <v>Tranomaro</v>
      </c>
      <c r="F196" s="1087">
        <v>106462.5</v>
      </c>
      <c r="G196" s="1086">
        <f>IF(D196="FP1 GAZ",'Données SOMIDA'!$G$73,VLOOKUP('Besoins en micas'!E196,'Données SOMIDA'!$C$71:$G$77,5,FALSE))</f>
        <v>250</v>
      </c>
      <c r="H196" s="1086">
        <f t="shared" si="145"/>
        <v>26615625</v>
      </c>
      <c r="I196" s="462">
        <f>IF(D196="FP1 GAZ",'Données SOMIDA'!$E$73,VLOOKUP(E196,'Données SOMIDA'!$C$71:$E$75,3,FALSE))</f>
        <v>200</v>
      </c>
      <c r="J196" s="462">
        <f t="shared" si="146"/>
        <v>21292500</v>
      </c>
      <c r="K196" s="462">
        <f t="shared" si="147"/>
        <v>47908125</v>
      </c>
      <c r="L196" s="198">
        <f t="shared" si="148"/>
        <v>450</v>
      </c>
    </row>
    <row r="197" spans="2:12">
      <c r="B197" s="198" t="str">
        <f t="shared" si="151"/>
        <v>Août</v>
      </c>
      <c r="C197" s="198" t="str">
        <f>_xlfn.XLOOKUP(D197,'Données SOMIDA'!$C$31:$C$42,'Données SOMIDA'!$B$31:$B$42)</f>
        <v>2 MC</v>
      </c>
      <c r="D197" s="198" t="str">
        <f t="shared" si="152"/>
        <v>ABR GAZ</v>
      </c>
      <c r="E197" s="198" t="str">
        <f t="shared" si="153"/>
        <v>Tranomaro</v>
      </c>
      <c r="F197" s="1087">
        <v>106462.5</v>
      </c>
      <c r="G197" s="1086">
        <f>IF(D197="FP1 GAZ",'Données SOMIDA'!$G$73,VLOOKUP('Besoins en micas'!E197,'Données SOMIDA'!$C$71:$G$77,5,FALSE))</f>
        <v>250</v>
      </c>
      <c r="H197" s="1086">
        <f t="shared" si="145"/>
        <v>26615625</v>
      </c>
      <c r="I197" s="462">
        <f>IF(D197="FP1 GAZ",'Données SOMIDA'!$E$73,VLOOKUP(E197,'Données SOMIDA'!$C$71:$E$75,3,FALSE))</f>
        <v>200</v>
      </c>
      <c r="J197" s="462">
        <f t="shared" si="146"/>
        <v>21292500</v>
      </c>
      <c r="K197" s="462">
        <f t="shared" si="147"/>
        <v>47908125</v>
      </c>
      <c r="L197" s="198">
        <f t="shared" si="148"/>
        <v>450</v>
      </c>
    </row>
    <row r="198" spans="2:12">
      <c r="B198" s="198" t="str">
        <f t="shared" si="151"/>
        <v>Septembre</v>
      </c>
      <c r="C198" s="198" t="str">
        <f>_xlfn.XLOOKUP(D198,'Données SOMIDA'!$C$31:$C$42,'Données SOMIDA'!$B$31:$B$42)</f>
        <v>2 MC</v>
      </c>
      <c r="D198" s="198" t="str">
        <f t="shared" si="152"/>
        <v>ABR GAZ</v>
      </c>
      <c r="E198" s="198" t="str">
        <f t="shared" si="153"/>
        <v>Tranomaro</v>
      </c>
      <c r="F198" s="1087">
        <v>98306.25</v>
      </c>
      <c r="G198" s="1086">
        <f>IF(D198="FP1 GAZ",'Données SOMIDA'!$G$73,VLOOKUP('Besoins en micas'!E198,'Données SOMIDA'!$C$71:$G$77,5,FALSE))</f>
        <v>250</v>
      </c>
      <c r="H198" s="1086">
        <f t="shared" si="145"/>
        <v>24576562.5</v>
      </c>
      <c r="I198" s="462">
        <f>IF(D198="FP1 GAZ",'Données SOMIDA'!$E$73,VLOOKUP(E198,'Données SOMIDA'!$C$71:$E$75,3,FALSE))</f>
        <v>200</v>
      </c>
      <c r="J198" s="462">
        <f t="shared" si="146"/>
        <v>19661250</v>
      </c>
      <c r="K198" s="462">
        <f t="shared" si="147"/>
        <v>44237812.5</v>
      </c>
      <c r="L198" s="198">
        <f t="shared" si="148"/>
        <v>450</v>
      </c>
    </row>
    <row r="199" spans="2:12">
      <c r="B199" s="198" t="str">
        <f t="shared" si="151"/>
        <v>Octobre</v>
      </c>
      <c r="C199" s="198" t="str">
        <f>_xlfn.XLOOKUP(D199,'Données SOMIDA'!$C$31:$C$42,'Données SOMIDA'!$B$31:$B$42)</f>
        <v>2 MC</v>
      </c>
      <c r="D199" s="198" t="str">
        <f t="shared" si="152"/>
        <v>ABR GAZ</v>
      </c>
      <c r="E199" s="198" t="str">
        <f t="shared" si="153"/>
        <v>Tranomaro</v>
      </c>
      <c r="F199" s="1087">
        <v>98306.25</v>
      </c>
      <c r="G199" s="1086">
        <f>IF(D199="FP1 GAZ",'Données SOMIDA'!$G$73,VLOOKUP('Besoins en micas'!E199,'Données SOMIDA'!$C$71:$G$77,5,FALSE))</f>
        <v>250</v>
      </c>
      <c r="H199" s="1086">
        <f t="shared" si="145"/>
        <v>24576562.5</v>
      </c>
      <c r="I199" s="462">
        <f>IF(D199="FP1 GAZ",'Données SOMIDA'!$E$73,VLOOKUP(E199,'Données SOMIDA'!$C$71:$E$75,3,FALSE))</f>
        <v>200</v>
      </c>
      <c r="J199" s="462">
        <f t="shared" si="146"/>
        <v>19661250</v>
      </c>
      <c r="K199" s="462">
        <f t="shared" si="147"/>
        <v>44237812.5</v>
      </c>
      <c r="L199" s="198">
        <f t="shared" si="148"/>
        <v>450</v>
      </c>
    </row>
    <row r="200" spans="2:12">
      <c r="B200" s="198" t="str">
        <f t="shared" si="151"/>
        <v>Novembre</v>
      </c>
      <c r="C200" s="198" t="str">
        <f>_xlfn.XLOOKUP(D200,'Données SOMIDA'!$C$31:$C$42,'Données SOMIDA'!$B$31:$B$42)</f>
        <v>2 MC</v>
      </c>
      <c r="D200" s="198" t="str">
        <f t="shared" si="152"/>
        <v>ABR GAZ</v>
      </c>
      <c r="E200" s="198" t="str">
        <f t="shared" si="153"/>
        <v>Tranomaro</v>
      </c>
      <c r="F200" s="1087">
        <v>98306.25</v>
      </c>
      <c r="G200" s="1086">
        <f>IF(D200="FP1 GAZ",'Données SOMIDA'!$G$73,VLOOKUP('Besoins en micas'!E200,'Données SOMIDA'!$C$71:$G$77,5,FALSE))</f>
        <v>250</v>
      </c>
      <c r="H200" s="1086">
        <f t="shared" si="145"/>
        <v>24576562.5</v>
      </c>
      <c r="I200" s="462">
        <f>IF(D200="FP1 GAZ",'Données SOMIDA'!$E$73,VLOOKUP(E200,'Données SOMIDA'!$C$71:$E$75,3,FALSE))</f>
        <v>200</v>
      </c>
      <c r="J200" s="462">
        <f t="shared" si="146"/>
        <v>19661250</v>
      </c>
      <c r="K200" s="462">
        <f t="shared" si="147"/>
        <v>44237812.5</v>
      </c>
      <c r="L200" s="198">
        <f t="shared" si="148"/>
        <v>450</v>
      </c>
    </row>
    <row r="201" spans="2:12">
      <c r="B201" s="198" t="str">
        <f t="shared" si="151"/>
        <v>Décembre</v>
      </c>
      <c r="C201" s="198" t="str">
        <f>_xlfn.XLOOKUP(D201,'Données SOMIDA'!$C$31:$C$42,'Données SOMIDA'!$B$31:$B$42)</f>
        <v>2 MC</v>
      </c>
      <c r="D201" s="198" t="str">
        <f t="shared" si="152"/>
        <v>ABR GAZ</v>
      </c>
      <c r="E201" s="198" t="str">
        <f>+E200</f>
        <v>Tranomaro</v>
      </c>
      <c r="F201" s="1087">
        <v>98306.25</v>
      </c>
      <c r="G201" s="1086">
        <f>IF(D201="FP1 GAZ",'Données SOMIDA'!$G$73,VLOOKUP('Besoins en micas'!E201,'Données SOMIDA'!$C$71:$G$77,5,FALSE))</f>
        <v>250</v>
      </c>
      <c r="H201" s="1086">
        <f t="shared" si="145"/>
        <v>24576562.5</v>
      </c>
      <c r="I201" s="462">
        <f>IF(D201="FP1 GAZ",'Données SOMIDA'!$E$73,VLOOKUP(E201,'Données SOMIDA'!$C$71:$E$75,3,FALSE))</f>
        <v>200</v>
      </c>
      <c r="J201" s="462">
        <f t="shared" si="146"/>
        <v>19661250</v>
      </c>
      <c r="K201" s="462">
        <f t="shared" si="147"/>
        <v>44237812.5</v>
      </c>
      <c r="L201" s="198">
        <f t="shared" si="148"/>
        <v>450</v>
      </c>
    </row>
    <row r="202" spans="2:12">
      <c r="B202" s="198" t="str">
        <f t="shared" si="151"/>
        <v>Janvier</v>
      </c>
      <c r="C202" s="198" t="str">
        <f>_xlfn.XLOOKUP(D202,'Données SOMIDA'!$C$31:$C$42,'Données SOMIDA'!$B$31:$B$42)</f>
        <v>2 MC</v>
      </c>
      <c r="D202" s="198" t="str">
        <f t="shared" si="152"/>
        <v>ABR GAZ</v>
      </c>
      <c r="E202" s="198" t="str">
        <f>+B50</f>
        <v>Ampandrandava</v>
      </c>
      <c r="F202" s="1087">
        <f t="array" ref="F202:F213">TRANSPOSE(C50:N50)</f>
        <v>149047.5</v>
      </c>
      <c r="G202" s="1086">
        <f>IF(D202="FP1 GAZ",'Données SOMIDA'!$G$73,VLOOKUP('Besoins en micas'!E202,'Données SOMIDA'!$C$71:$G$77,5,FALSE))</f>
        <v>100</v>
      </c>
      <c r="H202" s="1086">
        <f t="shared" si="145"/>
        <v>14904750</v>
      </c>
      <c r="I202" s="462">
        <f>IF(D202="FP1 GAZ",'Données SOMIDA'!$E$73,VLOOKUP(E202,'Données SOMIDA'!$C$71:$E$75,3,FALSE))</f>
        <v>300</v>
      </c>
      <c r="J202" s="462">
        <f t="shared" si="146"/>
        <v>44714250</v>
      </c>
      <c r="K202" s="462">
        <f t="shared" si="147"/>
        <v>59619000</v>
      </c>
      <c r="L202" s="198">
        <f t="shared" si="148"/>
        <v>400</v>
      </c>
    </row>
    <row r="203" spans="2:12">
      <c r="B203" s="198" t="str">
        <f t="shared" si="151"/>
        <v>Février</v>
      </c>
      <c r="C203" s="198" t="str">
        <f>_xlfn.XLOOKUP(D203,'Données SOMIDA'!$C$31:$C$42,'Données SOMIDA'!$B$31:$B$42)</f>
        <v>2 MC</v>
      </c>
      <c r="D203" s="198" t="str">
        <f t="shared" si="152"/>
        <v>ABR GAZ</v>
      </c>
      <c r="E203" s="198" t="str">
        <f t="shared" ref="E203:E211" si="154">+E202</f>
        <v>Ampandrandava</v>
      </c>
      <c r="F203" s="1087">
        <v>149047.5</v>
      </c>
      <c r="G203" s="1086">
        <f>IF(D203="FP1 GAZ",'Données SOMIDA'!$G$73,VLOOKUP('Besoins en micas'!E203,'Données SOMIDA'!$C$71:$G$77,5,FALSE))</f>
        <v>100</v>
      </c>
      <c r="H203" s="1086">
        <f t="shared" si="145"/>
        <v>14904750</v>
      </c>
      <c r="I203" s="462">
        <f>IF(D203="FP1 GAZ",'Données SOMIDA'!$E$73,VLOOKUP(E203,'Données SOMIDA'!$C$71:$E$75,3,FALSE))</f>
        <v>300</v>
      </c>
      <c r="J203" s="462">
        <f t="shared" si="146"/>
        <v>44714250</v>
      </c>
      <c r="K203" s="462">
        <f t="shared" si="147"/>
        <v>59619000</v>
      </c>
      <c r="L203" s="198">
        <f t="shared" si="148"/>
        <v>400</v>
      </c>
    </row>
    <row r="204" spans="2:12">
      <c r="B204" s="198" t="str">
        <f t="shared" si="151"/>
        <v>Mars</v>
      </c>
      <c r="C204" s="198" t="str">
        <f>_xlfn.XLOOKUP(D204,'Données SOMIDA'!$C$31:$C$42,'Données SOMIDA'!$B$31:$B$42)</f>
        <v>2 MC</v>
      </c>
      <c r="D204" s="198" t="str">
        <f t="shared" si="152"/>
        <v>ABR GAZ</v>
      </c>
      <c r="E204" s="198" t="str">
        <f t="shared" si="154"/>
        <v>Ampandrandava</v>
      </c>
      <c r="F204" s="1087">
        <v>149047.5</v>
      </c>
      <c r="G204" s="1086">
        <f>IF(D204="FP1 GAZ",'Données SOMIDA'!$G$73,VLOOKUP('Besoins en micas'!E204,'Données SOMIDA'!$C$71:$G$77,5,FALSE))</f>
        <v>100</v>
      </c>
      <c r="H204" s="1086">
        <f t="shared" si="145"/>
        <v>14904750</v>
      </c>
      <c r="I204" s="462">
        <f>IF(D204="FP1 GAZ",'Données SOMIDA'!$E$73,VLOOKUP(E204,'Données SOMIDA'!$C$71:$E$75,3,FALSE))</f>
        <v>300</v>
      </c>
      <c r="J204" s="462">
        <f t="shared" si="146"/>
        <v>44714250</v>
      </c>
      <c r="K204" s="462">
        <f t="shared" si="147"/>
        <v>59619000</v>
      </c>
      <c r="L204" s="198">
        <f t="shared" si="148"/>
        <v>400</v>
      </c>
    </row>
    <row r="205" spans="2:12">
      <c r="B205" s="198" t="str">
        <f t="shared" si="151"/>
        <v>Avril</v>
      </c>
      <c r="C205" s="198" t="str">
        <f>_xlfn.XLOOKUP(D205,'Données SOMIDA'!$C$31:$C$42,'Données SOMIDA'!$B$31:$B$42)</f>
        <v>2 MC</v>
      </c>
      <c r="D205" s="198" t="str">
        <f t="shared" si="152"/>
        <v>ABR GAZ</v>
      </c>
      <c r="E205" s="198" t="str">
        <f t="shared" si="154"/>
        <v>Ampandrandava</v>
      </c>
      <c r="F205" s="1087">
        <v>149047.5</v>
      </c>
      <c r="G205" s="1086">
        <f>IF(D205="FP1 GAZ",'Données SOMIDA'!$G$73,VLOOKUP('Besoins en micas'!E205,'Données SOMIDA'!$C$71:$G$77,5,FALSE))</f>
        <v>100</v>
      </c>
      <c r="H205" s="1086">
        <f t="shared" si="145"/>
        <v>14904750</v>
      </c>
      <c r="I205" s="462">
        <f>IF(D205="FP1 GAZ",'Données SOMIDA'!$E$73,VLOOKUP(E205,'Données SOMIDA'!$C$71:$E$75,3,FALSE))</f>
        <v>300</v>
      </c>
      <c r="J205" s="462">
        <f t="shared" si="146"/>
        <v>44714250</v>
      </c>
      <c r="K205" s="462">
        <f t="shared" si="147"/>
        <v>59619000</v>
      </c>
      <c r="L205" s="198">
        <f t="shared" si="148"/>
        <v>400</v>
      </c>
    </row>
    <row r="206" spans="2:12">
      <c r="B206" s="198" t="str">
        <f t="shared" si="151"/>
        <v>Mai</v>
      </c>
      <c r="C206" s="198" t="str">
        <f>_xlfn.XLOOKUP(D206,'Données SOMIDA'!$C$31:$C$42,'Données SOMIDA'!$B$31:$B$42)</f>
        <v>2 MC</v>
      </c>
      <c r="D206" s="198" t="str">
        <f t="shared" si="152"/>
        <v>ABR GAZ</v>
      </c>
      <c r="E206" s="198" t="str">
        <f t="shared" si="154"/>
        <v>Ampandrandava</v>
      </c>
      <c r="F206" s="1087">
        <v>149047.5</v>
      </c>
      <c r="G206" s="1086">
        <f>IF(D206="FP1 GAZ",'Données SOMIDA'!$G$73,VLOOKUP('Besoins en micas'!E206,'Données SOMIDA'!$C$71:$G$77,5,FALSE))</f>
        <v>100</v>
      </c>
      <c r="H206" s="1086">
        <f t="shared" ref="H206:H249" si="155">+F206*G206</f>
        <v>14904750</v>
      </c>
      <c r="I206" s="462">
        <f>IF(D206="FP1 GAZ",'Données SOMIDA'!$E$73,VLOOKUP(E206,'Données SOMIDA'!$C$71:$E$75,3,FALSE))</f>
        <v>300</v>
      </c>
      <c r="J206" s="462">
        <f t="shared" si="146"/>
        <v>44714250</v>
      </c>
      <c r="K206" s="462">
        <f t="shared" si="147"/>
        <v>59619000</v>
      </c>
      <c r="L206" s="198">
        <f t="shared" si="148"/>
        <v>400</v>
      </c>
    </row>
    <row r="207" spans="2:12">
      <c r="B207" s="198" t="str">
        <f t="shared" si="151"/>
        <v>Juin</v>
      </c>
      <c r="C207" s="198" t="str">
        <f>_xlfn.XLOOKUP(D207,'Données SOMIDA'!$C$31:$C$42,'Données SOMIDA'!$B$31:$B$42)</f>
        <v>2 MC</v>
      </c>
      <c r="D207" s="198" t="str">
        <f t="shared" si="152"/>
        <v>ABR GAZ</v>
      </c>
      <c r="E207" s="198" t="str">
        <f t="shared" si="154"/>
        <v>Ampandrandava</v>
      </c>
      <c r="F207" s="1087">
        <v>149047.5</v>
      </c>
      <c r="G207" s="1086">
        <f>IF(D207="FP1 GAZ",'Données SOMIDA'!$G$73,VLOOKUP('Besoins en micas'!E207,'Données SOMIDA'!$C$71:$G$77,5,FALSE))</f>
        <v>100</v>
      </c>
      <c r="H207" s="1086">
        <f t="shared" si="155"/>
        <v>14904750</v>
      </c>
      <c r="I207" s="462">
        <f>IF(D207="FP1 GAZ",'Données SOMIDA'!$E$73,VLOOKUP(E207,'Données SOMIDA'!$C$71:$E$75,3,FALSE))</f>
        <v>300</v>
      </c>
      <c r="J207" s="462">
        <f t="shared" ref="J207:J249" si="156">+I207*F207</f>
        <v>44714250</v>
      </c>
      <c r="K207" s="462">
        <f t="shared" ref="K207:K249" si="157">+H207+J207</f>
        <v>59619000</v>
      </c>
      <c r="L207" s="198">
        <f t="shared" ref="L207:L250" si="158">IFERROR(+K207/F207,"")</f>
        <v>400</v>
      </c>
    </row>
    <row r="208" spans="2:12">
      <c r="B208" s="198" t="str">
        <f t="shared" si="151"/>
        <v>Juillet</v>
      </c>
      <c r="C208" s="198" t="str">
        <f>_xlfn.XLOOKUP(D208,'Données SOMIDA'!$C$31:$C$42,'Données SOMIDA'!$B$31:$B$42)</f>
        <v>2 MC</v>
      </c>
      <c r="D208" s="198" t="str">
        <f t="shared" si="152"/>
        <v>ABR GAZ</v>
      </c>
      <c r="E208" s="198" t="str">
        <f t="shared" si="154"/>
        <v>Ampandrandava</v>
      </c>
      <c r="F208" s="1087">
        <v>149047.5</v>
      </c>
      <c r="G208" s="1086">
        <f>IF(D208="FP1 GAZ",'Données SOMIDA'!$G$73,VLOOKUP('Besoins en micas'!E208,'Données SOMIDA'!$C$71:$G$77,5,FALSE))</f>
        <v>100</v>
      </c>
      <c r="H208" s="1086">
        <f t="shared" si="155"/>
        <v>14904750</v>
      </c>
      <c r="I208" s="462">
        <f>IF(D208="FP1 GAZ",'Données SOMIDA'!$E$73,VLOOKUP(E208,'Données SOMIDA'!$C$71:$E$75,3,FALSE))</f>
        <v>300</v>
      </c>
      <c r="J208" s="462">
        <f t="shared" si="156"/>
        <v>44714250</v>
      </c>
      <c r="K208" s="462">
        <f t="shared" si="157"/>
        <v>59619000</v>
      </c>
      <c r="L208" s="198">
        <f t="shared" si="158"/>
        <v>400</v>
      </c>
    </row>
    <row r="209" spans="2:12">
      <c r="B209" s="198" t="str">
        <f t="shared" si="151"/>
        <v>Août</v>
      </c>
      <c r="C209" s="198" t="str">
        <f>_xlfn.XLOOKUP(D209,'Données SOMIDA'!$C$31:$C$42,'Données SOMIDA'!$B$31:$B$42)</f>
        <v>2 MC</v>
      </c>
      <c r="D209" s="198" t="str">
        <f t="shared" si="152"/>
        <v>ABR GAZ</v>
      </c>
      <c r="E209" s="198" t="str">
        <f t="shared" si="154"/>
        <v>Ampandrandava</v>
      </c>
      <c r="F209" s="1087">
        <v>149047.5</v>
      </c>
      <c r="G209" s="1086">
        <f>IF(D209="FP1 GAZ",'Données SOMIDA'!$G$73,VLOOKUP('Besoins en micas'!E209,'Données SOMIDA'!$C$71:$G$77,5,FALSE))</f>
        <v>100</v>
      </c>
      <c r="H209" s="1086">
        <f t="shared" si="155"/>
        <v>14904750</v>
      </c>
      <c r="I209" s="462">
        <f>IF(D209="FP1 GAZ",'Données SOMIDA'!$E$73,VLOOKUP(E209,'Données SOMIDA'!$C$71:$E$75,3,FALSE))</f>
        <v>300</v>
      </c>
      <c r="J209" s="462">
        <f t="shared" si="156"/>
        <v>44714250</v>
      </c>
      <c r="K209" s="462">
        <f t="shared" si="157"/>
        <v>59619000</v>
      </c>
      <c r="L209" s="198">
        <f t="shared" si="158"/>
        <v>400</v>
      </c>
    </row>
    <row r="210" spans="2:12">
      <c r="B210" s="198" t="str">
        <f t="shared" si="151"/>
        <v>Septembre</v>
      </c>
      <c r="C210" s="198" t="str">
        <f>_xlfn.XLOOKUP(D210,'Données SOMIDA'!$C$31:$C$42,'Données SOMIDA'!$B$31:$B$42)</f>
        <v>2 MC</v>
      </c>
      <c r="D210" s="198" t="str">
        <f t="shared" si="152"/>
        <v>ABR GAZ</v>
      </c>
      <c r="E210" s="198" t="str">
        <f t="shared" si="154"/>
        <v>Ampandrandava</v>
      </c>
      <c r="F210" s="1087">
        <v>137628.75</v>
      </c>
      <c r="G210" s="1086">
        <f>IF(D210="FP1 GAZ",'Données SOMIDA'!$G$73,VLOOKUP('Besoins en micas'!E210,'Données SOMIDA'!$C$71:$G$77,5,FALSE))</f>
        <v>100</v>
      </c>
      <c r="H210" s="1086">
        <f t="shared" si="155"/>
        <v>13762875</v>
      </c>
      <c r="I210" s="462">
        <f>IF(D210="FP1 GAZ",'Données SOMIDA'!$E$73,VLOOKUP(E210,'Données SOMIDA'!$C$71:$E$75,3,FALSE))</f>
        <v>300</v>
      </c>
      <c r="J210" s="462">
        <f t="shared" si="156"/>
        <v>41288625</v>
      </c>
      <c r="K210" s="462">
        <f t="shared" si="157"/>
        <v>55051500</v>
      </c>
      <c r="L210" s="198">
        <f t="shared" si="158"/>
        <v>400</v>
      </c>
    </row>
    <row r="211" spans="2:12">
      <c r="B211" s="198" t="str">
        <f t="shared" si="151"/>
        <v>Octobre</v>
      </c>
      <c r="C211" s="198" t="str">
        <f>_xlfn.XLOOKUP(D211,'Données SOMIDA'!$C$31:$C$42,'Données SOMIDA'!$B$31:$B$42)</f>
        <v>2 MC</v>
      </c>
      <c r="D211" s="198" t="str">
        <f t="shared" si="152"/>
        <v>ABR GAZ</v>
      </c>
      <c r="E211" s="198" t="str">
        <f t="shared" si="154"/>
        <v>Ampandrandava</v>
      </c>
      <c r="F211" s="1087">
        <v>137628.75</v>
      </c>
      <c r="G211" s="1086">
        <f>IF(D211="FP1 GAZ",'Données SOMIDA'!$G$73,VLOOKUP('Besoins en micas'!E211,'Données SOMIDA'!$C$71:$G$77,5,FALSE))</f>
        <v>100</v>
      </c>
      <c r="H211" s="1086">
        <f t="shared" si="155"/>
        <v>13762875</v>
      </c>
      <c r="I211" s="462">
        <f>IF(D211="FP1 GAZ",'Données SOMIDA'!$E$73,VLOOKUP(E211,'Données SOMIDA'!$C$71:$E$75,3,FALSE))</f>
        <v>300</v>
      </c>
      <c r="J211" s="462">
        <f t="shared" si="156"/>
        <v>41288625</v>
      </c>
      <c r="K211" s="462">
        <f t="shared" si="157"/>
        <v>55051500</v>
      </c>
      <c r="L211" s="198">
        <f t="shared" si="158"/>
        <v>400</v>
      </c>
    </row>
    <row r="212" spans="2:12">
      <c r="B212" s="198" t="str">
        <f t="shared" si="151"/>
        <v>Novembre</v>
      </c>
      <c r="C212" s="198" t="str">
        <f>_xlfn.XLOOKUP(D212,'Données SOMIDA'!$C$31:$C$42,'Données SOMIDA'!$B$31:$B$42)</f>
        <v>2 MC</v>
      </c>
      <c r="D212" s="198" t="str">
        <f t="shared" si="152"/>
        <v>ABR GAZ</v>
      </c>
      <c r="E212" s="198" t="str">
        <f>+E211</f>
        <v>Ampandrandava</v>
      </c>
      <c r="F212" s="1087">
        <v>137628.75</v>
      </c>
      <c r="G212" s="1086">
        <f>IF(D212="FP1 GAZ",'Données SOMIDA'!$G$73,VLOOKUP('Besoins en micas'!E212,'Données SOMIDA'!$C$71:$G$77,5,FALSE))</f>
        <v>100</v>
      </c>
      <c r="H212" s="1086">
        <f t="shared" si="155"/>
        <v>13762875</v>
      </c>
      <c r="I212" s="462">
        <f>IF(D212="FP1 GAZ",'Données SOMIDA'!$E$73,VLOOKUP(E212,'Données SOMIDA'!$C$71:$E$75,3,FALSE))</f>
        <v>300</v>
      </c>
      <c r="J212" s="462">
        <f t="shared" si="156"/>
        <v>41288625</v>
      </c>
      <c r="K212" s="462">
        <f t="shared" si="157"/>
        <v>55051500</v>
      </c>
      <c r="L212" s="198">
        <f t="shared" si="158"/>
        <v>400</v>
      </c>
    </row>
    <row r="213" spans="2:12">
      <c r="B213" s="198" t="str">
        <f t="shared" si="151"/>
        <v>Décembre</v>
      </c>
      <c r="C213" s="198" t="str">
        <f>_xlfn.XLOOKUP(D213,'Données SOMIDA'!$C$31:$C$42,'Données SOMIDA'!$B$31:$B$42)</f>
        <v>2 MC</v>
      </c>
      <c r="D213" s="198" t="str">
        <f t="shared" si="152"/>
        <v>ABR GAZ</v>
      </c>
      <c r="E213" s="198" t="str">
        <f>+E212</f>
        <v>Ampandrandava</v>
      </c>
      <c r="F213" s="1087">
        <v>137628.75</v>
      </c>
      <c r="G213" s="1086">
        <f>IF(D213="FP1 GAZ",'Données SOMIDA'!$G$73,VLOOKUP('Besoins en micas'!E213,'Données SOMIDA'!$C$71:$G$77,5,FALSE))</f>
        <v>100</v>
      </c>
      <c r="H213" s="1086">
        <f t="shared" si="155"/>
        <v>13762875</v>
      </c>
      <c r="I213" s="462">
        <f>IF(D213="FP1 GAZ",'Données SOMIDA'!$E$73,VLOOKUP(E213,'Données SOMIDA'!$C$71:$E$75,3,FALSE))</f>
        <v>300</v>
      </c>
      <c r="J213" s="462">
        <f t="shared" si="156"/>
        <v>41288625</v>
      </c>
      <c r="K213" s="462">
        <f t="shared" si="157"/>
        <v>55051500</v>
      </c>
      <c r="L213" s="198">
        <f t="shared" si="158"/>
        <v>400</v>
      </c>
    </row>
    <row r="214" spans="2:12">
      <c r="B214" s="198" t="str">
        <f t="shared" si="151"/>
        <v>Janvier</v>
      </c>
      <c r="C214" s="198" t="str">
        <f>_xlfn.XLOOKUP(D214,'Données SOMIDA'!$C$31:$C$42,'Données SOMIDA'!$B$31:$B$42)</f>
        <v>2 MC</v>
      </c>
      <c r="D214" s="198" t="str">
        <f t="shared" si="152"/>
        <v>ABR GAZ</v>
      </c>
      <c r="E214" s="198" t="str">
        <f>+B51</f>
        <v>Fort dauphin</v>
      </c>
      <c r="F214" s="1087">
        <f t="array" ref="F214:F225">TRANSPOSE(C51:N51)</f>
        <v>85170</v>
      </c>
      <c r="G214" s="1086">
        <f>IF(D214="FP1 GAZ",'Données SOMIDA'!$G$73,VLOOKUP('Besoins en micas'!E214,'Données SOMIDA'!$C$71:$G$77,5,FALSE))</f>
        <v>450</v>
      </c>
      <c r="H214" s="1086">
        <f t="shared" si="155"/>
        <v>38326500</v>
      </c>
      <c r="I214" s="462">
        <f>IF(D214="FP1 GAZ",'Données SOMIDA'!$E$73,VLOOKUP(E214,'Données SOMIDA'!$C$71:$E$75,3,FALSE))</f>
        <v>0</v>
      </c>
      <c r="J214" s="462">
        <f t="shared" si="156"/>
        <v>0</v>
      </c>
      <c r="K214" s="462">
        <f t="shared" si="157"/>
        <v>38326500</v>
      </c>
      <c r="L214" s="198">
        <f t="shared" si="158"/>
        <v>450</v>
      </c>
    </row>
    <row r="215" spans="2:12">
      <c r="B215" s="198" t="str">
        <f t="shared" si="151"/>
        <v>Février</v>
      </c>
      <c r="C215" s="198" t="str">
        <f>_xlfn.XLOOKUP(D215,'Données SOMIDA'!$C$31:$C$42,'Données SOMIDA'!$B$31:$B$42)</f>
        <v>2 MC</v>
      </c>
      <c r="D215" s="198" t="str">
        <f t="shared" si="152"/>
        <v>ABR GAZ</v>
      </c>
      <c r="E215" s="198" t="str">
        <f t="shared" ref="E215:E222" si="159">+E214</f>
        <v>Fort dauphin</v>
      </c>
      <c r="F215" s="1087">
        <v>85170</v>
      </c>
      <c r="G215" s="1086">
        <f>IF(D215="FP1 GAZ",'Données SOMIDA'!$G$73,VLOOKUP('Besoins en micas'!E215,'Données SOMIDA'!$C$71:$G$77,5,FALSE))</f>
        <v>450</v>
      </c>
      <c r="H215" s="1086">
        <f t="shared" si="155"/>
        <v>38326500</v>
      </c>
      <c r="I215" s="462">
        <f>IF(D215="FP1 GAZ",'Données SOMIDA'!$E$73,VLOOKUP(E215,'Données SOMIDA'!$C$71:$E$75,3,FALSE))</f>
        <v>0</v>
      </c>
      <c r="J215" s="462">
        <f t="shared" si="156"/>
        <v>0</v>
      </c>
      <c r="K215" s="462">
        <f t="shared" si="157"/>
        <v>38326500</v>
      </c>
      <c r="L215" s="198">
        <f t="shared" si="158"/>
        <v>450</v>
      </c>
    </row>
    <row r="216" spans="2:12">
      <c r="B216" s="198" t="str">
        <f t="shared" si="151"/>
        <v>Mars</v>
      </c>
      <c r="C216" s="198" t="str">
        <f>_xlfn.XLOOKUP(D216,'Données SOMIDA'!$C$31:$C$42,'Données SOMIDA'!$B$31:$B$42)</f>
        <v>2 MC</v>
      </c>
      <c r="D216" s="198" t="str">
        <f t="shared" si="152"/>
        <v>ABR GAZ</v>
      </c>
      <c r="E216" s="198" t="str">
        <f t="shared" si="159"/>
        <v>Fort dauphin</v>
      </c>
      <c r="F216" s="1087">
        <v>85170</v>
      </c>
      <c r="G216" s="1086">
        <f>IF(D216="FP1 GAZ",'Données SOMIDA'!$G$73,VLOOKUP('Besoins en micas'!E216,'Données SOMIDA'!$C$71:$G$77,5,FALSE))</f>
        <v>450</v>
      </c>
      <c r="H216" s="1086">
        <f t="shared" si="155"/>
        <v>38326500</v>
      </c>
      <c r="I216" s="462">
        <f>IF(D216="FP1 GAZ",'Données SOMIDA'!$E$73,VLOOKUP(E216,'Données SOMIDA'!$C$71:$E$75,3,FALSE))</f>
        <v>0</v>
      </c>
      <c r="J216" s="462">
        <f t="shared" si="156"/>
        <v>0</v>
      </c>
      <c r="K216" s="462">
        <f t="shared" si="157"/>
        <v>38326500</v>
      </c>
      <c r="L216" s="198">
        <f t="shared" si="158"/>
        <v>450</v>
      </c>
    </row>
    <row r="217" spans="2:12">
      <c r="B217" s="198" t="str">
        <f t="shared" si="151"/>
        <v>Avril</v>
      </c>
      <c r="C217" s="198" t="str">
        <f>_xlfn.XLOOKUP(D217,'Données SOMIDA'!$C$31:$C$42,'Données SOMIDA'!$B$31:$B$42)</f>
        <v>2 MC</v>
      </c>
      <c r="D217" s="198" t="str">
        <f t="shared" si="152"/>
        <v>ABR GAZ</v>
      </c>
      <c r="E217" s="198" t="str">
        <f t="shared" si="159"/>
        <v>Fort dauphin</v>
      </c>
      <c r="F217" s="1087">
        <v>85170</v>
      </c>
      <c r="G217" s="1086">
        <f>IF(D217="FP1 GAZ",'Données SOMIDA'!$G$73,VLOOKUP('Besoins en micas'!E217,'Données SOMIDA'!$C$71:$G$77,5,FALSE))</f>
        <v>450</v>
      </c>
      <c r="H217" s="1086">
        <f t="shared" si="155"/>
        <v>38326500</v>
      </c>
      <c r="I217" s="462">
        <f>IF(D217="FP1 GAZ",'Données SOMIDA'!$E$73,VLOOKUP(E217,'Données SOMIDA'!$C$71:$E$75,3,FALSE))</f>
        <v>0</v>
      </c>
      <c r="J217" s="462">
        <f t="shared" si="156"/>
        <v>0</v>
      </c>
      <c r="K217" s="462">
        <f t="shared" si="157"/>
        <v>38326500</v>
      </c>
      <c r="L217" s="198">
        <f t="shared" si="158"/>
        <v>450</v>
      </c>
    </row>
    <row r="218" spans="2:12">
      <c r="B218" s="198" t="str">
        <f t="shared" si="151"/>
        <v>Mai</v>
      </c>
      <c r="C218" s="198" t="str">
        <f>_xlfn.XLOOKUP(D218,'Données SOMIDA'!$C$31:$C$42,'Données SOMIDA'!$B$31:$B$42)</f>
        <v>2 MC</v>
      </c>
      <c r="D218" s="198" t="str">
        <f t="shared" si="152"/>
        <v>ABR GAZ</v>
      </c>
      <c r="E218" s="198" t="str">
        <f t="shared" si="159"/>
        <v>Fort dauphin</v>
      </c>
      <c r="F218" s="1087">
        <v>85170</v>
      </c>
      <c r="G218" s="1086">
        <f>IF(D218="FP1 GAZ",'Données SOMIDA'!$G$73,VLOOKUP('Besoins en micas'!E218,'Données SOMIDA'!$C$71:$G$77,5,FALSE))</f>
        <v>450</v>
      </c>
      <c r="H218" s="1086">
        <f t="shared" si="155"/>
        <v>38326500</v>
      </c>
      <c r="I218" s="462">
        <f>IF(D218="FP1 GAZ",'Données SOMIDA'!$E$73,VLOOKUP(E218,'Données SOMIDA'!$C$71:$E$75,3,FALSE))</f>
        <v>0</v>
      </c>
      <c r="J218" s="462">
        <f t="shared" si="156"/>
        <v>0</v>
      </c>
      <c r="K218" s="462">
        <f t="shared" si="157"/>
        <v>38326500</v>
      </c>
      <c r="L218" s="198">
        <f t="shared" si="158"/>
        <v>450</v>
      </c>
    </row>
    <row r="219" spans="2:12">
      <c r="B219" s="198" t="str">
        <f t="shared" ref="B219:B249" si="160">+B207</f>
        <v>Juin</v>
      </c>
      <c r="C219" s="198" t="str">
        <f>_xlfn.XLOOKUP(D219,'Données SOMIDA'!$C$31:$C$42,'Données SOMIDA'!$B$31:$B$42)</f>
        <v>2 MC</v>
      </c>
      <c r="D219" s="198" t="str">
        <f t="shared" si="152"/>
        <v>ABR GAZ</v>
      </c>
      <c r="E219" s="198" t="str">
        <f t="shared" si="159"/>
        <v>Fort dauphin</v>
      </c>
      <c r="F219" s="1087">
        <v>85170</v>
      </c>
      <c r="G219" s="1086">
        <f>IF(D219="FP1 GAZ",'Données SOMIDA'!$G$73,VLOOKUP('Besoins en micas'!E219,'Données SOMIDA'!$C$71:$G$77,5,FALSE))</f>
        <v>450</v>
      </c>
      <c r="H219" s="1086">
        <f t="shared" si="155"/>
        <v>38326500</v>
      </c>
      <c r="I219" s="462">
        <f>IF(D219="FP1 GAZ",'Données SOMIDA'!$E$73,VLOOKUP(E219,'Données SOMIDA'!$C$71:$E$75,3,FALSE))</f>
        <v>0</v>
      </c>
      <c r="J219" s="462">
        <f t="shared" si="156"/>
        <v>0</v>
      </c>
      <c r="K219" s="462">
        <f t="shared" si="157"/>
        <v>38326500</v>
      </c>
      <c r="L219" s="198">
        <f t="shared" si="158"/>
        <v>450</v>
      </c>
    </row>
    <row r="220" spans="2:12">
      <c r="B220" s="198" t="str">
        <f t="shared" si="160"/>
        <v>Juillet</v>
      </c>
      <c r="C220" s="198" t="str">
        <f>_xlfn.XLOOKUP(D220,'Données SOMIDA'!$C$31:$C$42,'Données SOMIDA'!$B$31:$B$42)</f>
        <v>2 MC</v>
      </c>
      <c r="D220" s="198" t="str">
        <f t="shared" si="152"/>
        <v>ABR GAZ</v>
      </c>
      <c r="E220" s="198" t="str">
        <f t="shared" si="159"/>
        <v>Fort dauphin</v>
      </c>
      <c r="F220" s="1087">
        <v>85170</v>
      </c>
      <c r="G220" s="1086">
        <f>IF(D220="FP1 GAZ",'Données SOMIDA'!$G$73,VLOOKUP('Besoins en micas'!E220,'Données SOMIDA'!$C$71:$G$77,5,FALSE))</f>
        <v>450</v>
      </c>
      <c r="H220" s="1086">
        <f t="shared" si="155"/>
        <v>38326500</v>
      </c>
      <c r="I220" s="462">
        <f>IF(D220="FP1 GAZ",'Données SOMIDA'!$E$73,VLOOKUP(E220,'Données SOMIDA'!$C$71:$E$75,3,FALSE))</f>
        <v>0</v>
      </c>
      <c r="J220" s="462">
        <f t="shared" si="156"/>
        <v>0</v>
      </c>
      <c r="K220" s="462">
        <f t="shared" si="157"/>
        <v>38326500</v>
      </c>
      <c r="L220" s="198">
        <f t="shared" si="158"/>
        <v>450</v>
      </c>
    </row>
    <row r="221" spans="2:12">
      <c r="B221" s="198" t="str">
        <f t="shared" si="160"/>
        <v>Août</v>
      </c>
      <c r="C221" s="198" t="str">
        <f>_xlfn.XLOOKUP(D221,'Données SOMIDA'!$C$31:$C$42,'Données SOMIDA'!$B$31:$B$42)</f>
        <v>2 MC</v>
      </c>
      <c r="D221" s="198" t="str">
        <f t="shared" si="152"/>
        <v>ABR GAZ</v>
      </c>
      <c r="E221" s="198" t="str">
        <f t="shared" si="159"/>
        <v>Fort dauphin</v>
      </c>
      <c r="F221" s="1087">
        <v>85170</v>
      </c>
      <c r="G221" s="1086">
        <f>IF(D221="FP1 GAZ",'Données SOMIDA'!$G$73,VLOOKUP('Besoins en micas'!E221,'Données SOMIDA'!$C$71:$G$77,5,FALSE))</f>
        <v>450</v>
      </c>
      <c r="H221" s="1086">
        <f t="shared" si="155"/>
        <v>38326500</v>
      </c>
      <c r="I221" s="462">
        <f>IF(D221="FP1 GAZ",'Données SOMIDA'!$E$73,VLOOKUP(E221,'Données SOMIDA'!$C$71:$E$75,3,FALSE))</f>
        <v>0</v>
      </c>
      <c r="J221" s="462">
        <f t="shared" si="156"/>
        <v>0</v>
      </c>
      <c r="K221" s="462">
        <f t="shared" si="157"/>
        <v>38326500</v>
      </c>
      <c r="L221" s="198">
        <f t="shared" si="158"/>
        <v>450</v>
      </c>
    </row>
    <row r="222" spans="2:12">
      <c r="B222" s="198" t="str">
        <f t="shared" si="160"/>
        <v>Septembre</v>
      </c>
      <c r="C222" s="198" t="str">
        <f>_xlfn.XLOOKUP(D222,'Données SOMIDA'!$C$31:$C$42,'Données SOMIDA'!$B$31:$B$42)</f>
        <v>2 MC</v>
      </c>
      <c r="D222" s="198" t="str">
        <f t="shared" si="152"/>
        <v>ABR GAZ</v>
      </c>
      <c r="E222" s="198" t="str">
        <f t="shared" si="159"/>
        <v>Fort dauphin</v>
      </c>
      <c r="F222" s="1087">
        <v>78645</v>
      </c>
      <c r="G222" s="1086">
        <f>IF(D222="FP1 GAZ",'Données SOMIDA'!$G$73,VLOOKUP('Besoins en micas'!E222,'Données SOMIDA'!$C$71:$G$77,5,FALSE))</f>
        <v>450</v>
      </c>
      <c r="H222" s="1086">
        <f t="shared" si="155"/>
        <v>35390250</v>
      </c>
      <c r="I222" s="462">
        <f>IF(D222="FP1 GAZ",'Données SOMIDA'!$E$73,VLOOKUP(E222,'Données SOMIDA'!$C$71:$E$75,3,FALSE))</f>
        <v>0</v>
      </c>
      <c r="J222" s="462">
        <f t="shared" si="156"/>
        <v>0</v>
      </c>
      <c r="K222" s="462">
        <f t="shared" si="157"/>
        <v>35390250</v>
      </c>
      <c r="L222" s="198">
        <f t="shared" si="158"/>
        <v>450</v>
      </c>
    </row>
    <row r="223" spans="2:12">
      <c r="B223" s="198" t="str">
        <f t="shared" si="160"/>
        <v>Octobre</v>
      </c>
      <c r="C223" s="198" t="str">
        <f>_xlfn.XLOOKUP(D223,'Données SOMIDA'!$C$31:$C$42,'Données SOMIDA'!$B$31:$B$42)</f>
        <v>2 MC</v>
      </c>
      <c r="D223" s="198" t="str">
        <f t="shared" si="152"/>
        <v>ABR GAZ</v>
      </c>
      <c r="E223" s="198" t="str">
        <f>+E222</f>
        <v>Fort dauphin</v>
      </c>
      <c r="F223" s="1087">
        <v>78645</v>
      </c>
      <c r="G223" s="1086">
        <f>IF(D223="FP1 GAZ",'Données SOMIDA'!$G$73,VLOOKUP('Besoins en micas'!E223,'Données SOMIDA'!$C$71:$G$77,5,FALSE))</f>
        <v>450</v>
      </c>
      <c r="H223" s="1086">
        <f t="shared" si="155"/>
        <v>35390250</v>
      </c>
      <c r="I223" s="462">
        <f>IF(D223="FP1 GAZ",'Données SOMIDA'!$E$73,VLOOKUP(E223,'Données SOMIDA'!$C$71:$E$75,3,FALSE))</f>
        <v>0</v>
      </c>
      <c r="J223" s="462">
        <f t="shared" si="156"/>
        <v>0</v>
      </c>
      <c r="K223" s="462">
        <f t="shared" si="157"/>
        <v>35390250</v>
      </c>
      <c r="L223" s="198">
        <f t="shared" si="158"/>
        <v>450</v>
      </c>
    </row>
    <row r="224" spans="2:12">
      <c r="B224" s="198" t="str">
        <f t="shared" si="160"/>
        <v>Novembre</v>
      </c>
      <c r="C224" s="198" t="str">
        <f>_xlfn.XLOOKUP(D224,'Données SOMIDA'!$C$31:$C$42,'Données SOMIDA'!$B$31:$B$42)</f>
        <v>2 MC</v>
      </c>
      <c r="D224" s="198" t="str">
        <f t="shared" si="152"/>
        <v>ABR GAZ</v>
      </c>
      <c r="E224" s="198" t="str">
        <f>+E223</f>
        <v>Fort dauphin</v>
      </c>
      <c r="F224" s="1087">
        <v>78645</v>
      </c>
      <c r="G224" s="1086">
        <f>IF(D224="FP1 GAZ",'Données SOMIDA'!$G$73,VLOOKUP('Besoins en micas'!E224,'Données SOMIDA'!$C$71:$G$77,5,FALSE))</f>
        <v>450</v>
      </c>
      <c r="H224" s="1086">
        <f t="shared" si="155"/>
        <v>35390250</v>
      </c>
      <c r="I224" s="462">
        <f>IF(D224="FP1 GAZ",'Données SOMIDA'!$E$73,VLOOKUP(E224,'Données SOMIDA'!$C$71:$E$75,3,FALSE))</f>
        <v>0</v>
      </c>
      <c r="J224" s="462">
        <f t="shared" si="156"/>
        <v>0</v>
      </c>
      <c r="K224" s="462">
        <f t="shared" si="157"/>
        <v>35390250</v>
      </c>
      <c r="L224" s="198">
        <f t="shared" si="158"/>
        <v>450</v>
      </c>
    </row>
    <row r="225" spans="2:12">
      <c r="B225" s="198" t="str">
        <f t="shared" si="160"/>
        <v>Décembre</v>
      </c>
      <c r="C225" s="198" t="str">
        <f>_xlfn.XLOOKUP(D225,'Données SOMIDA'!$C$31:$C$42,'Données SOMIDA'!$B$31:$B$42)</f>
        <v>2 MC</v>
      </c>
      <c r="D225" s="198" t="str">
        <f t="shared" si="152"/>
        <v>ABR GAZ</v>
      </c>
      <c r="E225" s="198" t="str">
        <f t="shared" ref="E225:E234" si="161">+E224</f>
        <v>Fort dauphin</v>
      </c>
      <c r="F225" s="1087">
        <v>78645</v>
      </c>
      <c r="G225" s="1086">
        <f>IF(D225="FP1 GAZ",'Données SOMIDA'!$G$73,VLOOKUP('Besoins en micas'!E225,'Données SOMIDA'!$C$71:$G$77,5,FALSE))</f>
        <v>450</v>
      </c>
      <c r="H225" s="1086">
        <f t="shared" si="155"/>
        <v>35390250</v>
      </c>
      <c r="I225" s="462">
        <f>IF(D225="FP1 GAZ",'Données SOMIDA'!$E$73,VLOOKUP(E225,'Données SOMIDA'!$C$71:$E$75,3,FALSE))</f>
        <v>0</v>
      </c>
      <c r="J225" s="462">
        <f t="shared" si="156"/>
        <v>0</v>
      </c>
      <c r="K225" s="462">
        <f t="shared" si="157"/>
        <v>35390250</v>
      </c>
      <c r="L225" s="198">
        <f t="shared" si="158"/>
        <v>450</v>
      </c>
    </row>
    <row r="226" spans="2:12">
      <c r="B226" s="198" t="str">
        <f t="shared" si="160"/>
        <v>Janvier</v>
      </c>
      <c r="C226" s="198" t="str">
        <f>_xlfn.XLOOKUP(D226,'Données SOMIDA'!$C$31:$C$42,'Données SOMIDA'!$B$31:$B$42)</f>
        <v>2 MC</v>
      </c>
      <c r="D226" s="198" t="str">
        <f t="shared" si="152"/>
        <v>ABR GAZ</v>
      </c>
      <c r="E226" s="198" t="str">
        <f>+B52</f>
        <v>Autres</v>
      </c>
      <c r="F226" s="1087">
        <f t="array" ref="F226:F237">TRANSPOSE(C52:N52)</f>
        <v>85170</v>
      </c>
      <c r="G226" s="1086">
        <f>IF(D226="FP1 GAZ",'Données SOMIDA'!$G$73,VLOOKUP('Besoins en micas'!E226,'Données SOMIDA'!$C$71:$G$77,5,FALSE))</f>
        <v>250</v>
      </c>
      <c r="H226" s="1086">
        <f t="shared" si="155"/>
        <v>21292500</v>
      </c>
      <c r="I226" s="462">
        <f>IF(D226="FP1 GAZ",'Données SOMIDA'!$E$73,VLOOKUP(E226,'Données SOMIDA'!$C$71:$E$75,3,FALSE))</f>
        <v>200</v>
      </c>
      <c r="J226" s="462">
        <f t="shared" si="156"/>
        <v>17034000</v>
      </c>
      <c r="K226" s="462">
        <f t="shared" si="157"/>
        <v>38326500</v>
      </c>
      <c r="L226" s="198">
        <f t="shared" si="158"/>
        <v>450</v>
      </c>
    </row>
    <row r="227" spans="2:12">
      <c r="B227" s="198" t="str">
        <f t="shared" si="160"/>
        <v>Février</v>
      </c>
      <c r="C227" s="198" t="str">
        <f>_xlfn.XLOOKUP(D227,'Données SOMIDA'!$C$31:$C$42,'Données SOMIDA'!$B$31:$B$42)</f>
        <v>2 MC</v>
      </c>
      <c r="D227" s="198" t="str">
        <f t="shared" si="152"/>
        <v>ABR GAZ</v>
      </c>
      <c r="E227" s="198" t="str">
        <f t="shared" si="161"/>
        <v>Autres</v>
      </c>
      <c r="F227" s="1087">
        <v>85170</v>
      </c>
      <c r="G227" s="1086">
        <f>IF(D227="FP1 GAZ",'Données SOMIDA'!$G$73,VLOOKUP('Besoins en micas'!E227,'Données SOMIDA'!$C$71:$G$77,5,FALSE))</f>
        <v>250</v>
      </c>
      <c r="H227" s="1086">
        <f t="shared" si="155"/>
        <v>21292500</v>
      </c>
      <c r="I227" s="462">
        <f>IF(D227="FP1 GAZ",'Données SOMIDA'!$E$73,VLOOKUP(E227,'Données SOMIDA'!$C$71:$E$75,3,FALSE))</f>
        <v>200</v>
      </c>
      <c r="J227" s="462">
        <f t="shared" si="156"/>
        <v>17034000</v>
      </c>
      <c r="K227" s="462">
        <f t="shared" si="157"/>
        <v>38326500</v>
      </c>
      <c r="L227" s="198">
        <f t="shared" si="158"/>
        <v>450</v>
      </c>
    </row>
    <row r="228" spans="2:12">
      <c r="B228" s="198" t="str">
        <f t="shared" si="160"/>
        <v>Mars</v>
      </c>
      <c r="C228" s="198" t="str">
        <f>_xlfn.XLOOKUP(D228,'Données SOMIDA'!$C$31:$C$42,'Données SOMIDA'!$B$31:$B$42)</f>
        <v>2 MC</v>
      </c>
      <c r="D228" s="198" t="str">
        <f t="shared" si="152"/>
        <v>ABR GAZ</v>
      </c>
      <c r="E228" s="198" t="str">
        <f t="shared" si="161"/>
        <v>Autres</v>
      </c>
      <c r="F228" s="1087">
        <v>85170</v>
      </c>
      <c r="G228" s="1086">
        <f>IF(D228="FP1 GAZ",'Données SOMIDA'!$G$73,VLOOKUP('Besoins en micas'!E228,'Données SOMIDA'!$C$71:$G$77,5,FALSE))</f>
        <v>250</v>
      </c>
      <c r="H228" s="1086">
        <f t="shared" si="155"/>
        <v>21292500</v>
      </c>
      <c r="I228" s="462">
        <f>IF(D228="FP1 GAZ",'Données SOMIDA'!$E$73,VLOOKUP(E228,'Données SOMIDA'!$C$71:$E$75,3,FALSE))</f>
        <v>200</v>
      </c>
      <c r="J228" s="462">
        <f t="shared" si="156"/>
        <v>17034000</v>
      </c>
      <c r="K228" s="462">
        <f t="shared" si="157"/>
        <v>38326500</v>
      </c>
      <c r="L228" s="198">
        <f t="shared" si="158"/>
        <v>450</v>
      </c>
    </row>
    <row r="229" spans="2:12">
      <c r="B229" s="198" t="str">
        <f t="shared" si="160"/>
        <v>Avril</v>
      </c>
      <c r="C229" s="198" t="str">
        <f>_xlfn.XLOOKUP(D229,'Données SOMIDA'!$C$31:$C$42,'Données SOMIDA'!$B$31:$B$42)</f>
        <v>2 MC</v>
      </c>
      <c r="D229" s="198" t="str">
        <f t="shared" si="152"/>
        <v>ABR GAZ</v>
      </c>
      <c r="E229" s="198" t="str">
        <f t="shared" si="161"/>
        <v>Autres</v>
      </c>
      <c r="F229" s="1087">
        <v>85170</v>
      </c>
      <c r="G229" s="1086">
        <f>IF(D229="FP1 GAZ",'Données SOMIDA'!$G$73,VLOOKUP('Besoins en micas'!E229,'Données SOMIDA'!$C$71:$G$77,5,FALSE))</f>
        <v>250</v>
      </c>
      <c r="H229" s="1086">
        <f t="shared" si="155"/>
        <v>21292500</v>
      </c>
      <c r="I229" s="462">
        <f>IF(D229="FP1 GAZ",'Données SOMIDA'!$E$73,VLOOKUP(E229,'Données SOMIDA'!$C$71:$E$75,3,FALSE))</f>
        <v>200</v>
      </c>
      <c r="J229" s="462">
        <f t="shared" si="156"/>
        <v>17034000</v>
      </c>
      <c r="K229" s="462">
        <f t="shared" si="157"/>
        <v>38326500</v>
      </c>
      <c r="L229" s="198">
        <f t="shared" si="158"/>
        <v>450</v>
      </c>
    </row>
    <row r="230" spans="2:12">
      <c r="B230" s="198" t="str">
        <f t="shared" si="160"/>
        <v>Mai</v>
      </c>
      <c r="C230" s="198" t="str">
        <f>_xlfn.XLOOKUP(D230,'Données SOMIDA'!$C$31:$C$42,'Données SOMIDA'!$B$31:$B$42)</f>
        <v>2 MC</v>
      </c>
      <c r="D230" s="198" t="str">
        <f t="shared" si="152"/>
        <v>ABR GAZ</v>
      </c>
      <c r="E230" s="198" t="str">
        <f t="shared" si="161"/>
        <v>Autres</v>
      </c>
      <c r="F230" s="1087">
        <v>85170</v>
      </c>
      <c r="G230" s="1086">
        <f>IF(D230="FP1 GAZ",'Données SOMIDA'!$G$73,VLOOKUP('Besoins en micas'!E230,'Données SOMIDA'!$C$71:$G$77,5,FALSE))</f>
        <v>250</v>
      </c>
      <c r="H230" s="1086">
        <f t="shared" si="155"/>
        <v>21292500</v>
      </c>
      <c r="I230" s="462">
        <f>IF(D230="FP1 GAZ",'Données SOMIDA'!$E$73,VLOOKUP(E230,'Données SOMIDA'!$C$71:$E$75,3,FALSE))</f>
        <v>200</v>
      </c>
      <c r="J230" s="462">
        <f t="shared" si="156"/>
        <v>17034000</v>
      </c>
      <c r="K230" s="462">
        <f t="shared" si="157"/>
        <v>38326500</v>
      </c>
      <c r="L230" s="198">
        <f t="shared" si="158"/>
        <v>450</v>
      </c>
    </row>
    <row r="231" spans="2:12">
      <c r="B231" s="198" t="str">
        <f t="shared" si="160"/>
        <v>Juin</v>
      </c>
      <c r="C231" s="198" t="str">
        <f>_xlfn.XLOOKUP(D231,'Données SOMIDA'!$C$31:$C$42,'Données SOMIDA'!$B$31:$B$42)</f>
        <v>2 MC</v>
      </c>
      <c r="D231" s="198" t="str">
        <f t="shared" si="152"/>
        <v>ABR GAZ</v>
      </c>
      <c r="E231" s="198" t="str">
        <f t="shared" si="161"/>
        <v>Autres</v>
      </c>
      <c r="F231" s="1087">
        <v>85170</v>
      </c>
      <c r="G231" s="1086">
        <f>IF(D231="FP1 GAZ",'Données SOMIDA'!$G$73,VLOOKUP('Besoins en micas'!E231,'Données SOMIDA'!$C$71:$G$77,5,FALSE))</f>
        <v>250</v>
      </c>
      <c r="H231" s="1086">
        <f t="shared" si="155"/>
        <v>21292500</v>
      </c>
      <c r="I231" s="462">
        <f>IF(D231="FP1 GAZ",'Données SOMIDA'!$E$73,VLOOKUP(E231,'Données SOMIDA'!$C$71:$E$75,3,FALSE))</f>
        <v>200</v>
      </c>
      <c r="J231" s="462">
        <f t="shared" si="156"/>
        <v>17034000</v>
      </c>
      <c r="K231" s="462">
        <f t="shared" si="157"/>
        <v>38326500</v>
      </c>
      <c r="L231" s="198">
        <f t="shared" si="158"/>
        <v>450</v>
      </c>
    </row>
    <row r="232" spans="2:12">
      <c r="B232" s="198" t="str">
        <f t="shared" si="160"/>
        <v>Juillet</v>
      </c>
      <c r="C232" s="198" t="str">
        <f>_xlfn.XLOOKUP(D232,'Données SOMIDA'!$C$31:$C$42,'Données SOMIDA'!$B$31:$B$42)</f>
        <v>2 MC</v>
      </c>
      <c r="D232" s="198" t="str">
        <f t="shared" si="152"/>
        <v>ABR GAZ</v>
      </c>
      <c r="E232" s="198" t="str">
        <f t="shared" si="161"/>
        <v>Autres</v>
      </c>
      <c r="F232" s="1087">
        <v>85170</v>
      </c>
      <c r="G232" s="1086">
        <f>IF(D232="FP1 GAZ",'Données SOMIDA'!$G$73,VLOOKUP('Besoins en micas'!E232,'Données SOMIDA'!$C$71:$G$77,5,FALSE))</f>
        <v>250</v>
      </c>
      <c r="H232" s="1086">
        <f t="shared" si="155"/>
        <v>21292500</v>
      </c>
      <c r="I232" s="462">
        <f>IF(D232="FP1 GAZ",'Données SOMIDA'!$E$73,VLOOKUP(E232,'Données SOMIDA'!$C$71:$E$75,3,FALSE))</f>
        <v>200</v>
      </c>
      <c r="J232" s="462">
        <f t="shared" si="156"/>
        <v>17034000</v>
      </c>
      <c r="K232" s="462">
        <f t="shared" si="157"/>
        <v>38326500</v>
      </c>
      <c r="L232" s="198">
        <f t="shared" si="158"/>
        <v>450</v>
      </c>
    </row>
    <row r="233" spans="2:12">
      <c r="B233" s="198" t="str">
        <f t="shared" si="160"/>
        <v>Août</v>
      </c>
      <c r="C233" s="198" t="str">
        <f>_xlfn.XLOOKUP(D233,'Données SOMIDA'!$C$31:$C$42,'Données SOMIDA'!$B$31:$B$42)</f>
        <v>2 MC</v>
      </c>
      <c r="D233" s="198" t="str">
        <f t="shared" si="152"/>
        <v>ABR GAZ</v>
      </c>
      <c r="E233" s="198" t="str">
        <f t="shared" si="161"/>
        <v>Autres</v>
      </c>
      <c r="F233" s="1087">
        <v>85170</v>
      </c>
      <c r="G233" s="1086">
        <f>IF(D233="FP1 GAZ",'Données SOMIDA'!$G$73,VLOOKUP('Besoins en micas'!E233,'Données SOMIDA'!$C$71:$G$77,5,FALSE))</f>
        <v>250</v>
      </c>
      <c r="H233" s="1086">
        <f t="shared" si="155"/>
        <v>21292500</v>
      </c>
      <c r="I233" s="462">
        <f>IF(D233="FP1 GAZ",'Données SOMIDA'!$E$73,VLOOKUP(E233,'Données SOMIDA'!$C$71:$E$75,3,FALSE))</f>
        <v>200</v>
      </c>
      <c r="J233" s="462">
        <f t="shared" si="156"/>
        <v>17034000</v>
      </c>
      <c r="K233" s="462">
        <f t="shared" si="157"/>
        <v>38326500</v>
      </c>
      <c r="L233" s="198">
        <f t="shared" si="158"/>
        <v>450</v>
      </c>
    </row>
    <row r="234" spans="2:12">
      <c r="B234" s="198" t="str">
        <f t="shared" si="160"/>
        <v>Septembre</v>
      </c>
      <c r="C234" s="198" t="str">
        <f>_xlfn.XLOOKUP(D234,'Données SOMIDA'!$C$31:$C$42,'Données SOMIDA'!$B$31:$B$42)</f>
        <v>2 MC</v>
      </c>
      <c r="D234" s="198" t="str">
        <f t="shared" si="152"/>
        <v>ABR GAZ</v>
      </c>
      <c r="E234" s="198" t="str">
        <f t="shared" si="161"/>
        <v>Autres</v>
      </c>
      <c r="F234" s="1087">
        <v>78645</v>
      </c>
      <c r="G234" s="1086">
        <f>IF(D234="FP1 GAZ",'Données SOMIDA'!$G$73,VLOOKUP('Besoins en micas'!E234,'Données SOMIDA'!$C$71:$G$77,5,FALSE))</f>
        <v>250</v>
      </c>
      <c r="H234" s="1086">
        <f t="shared" si="155"/>
        <v>19661250</v>
      </c>
      <c r="I234" s="462">
        <f>IF(D234="FP1 GAZ",'Données SOMIDA'!$E$73,VLOOKUP(E234,'Données SOMIDA'!$C$71:$E$75,3,FALSE))</f>
        <v>200</v>
      </c>
      <c r="J234" s="462">
        <f t="shared" si="156"/>
        <v>15729000</v>
      </c>
      <c r="K234" s="462">
        <f t="shared" si="157"/>
        <v>35390250</v>
      </c>
      <c r="L234" s="198">
        <f t="shared" si="158"/>
        <v>450</v>
      </c>
    </row>
    <row r="235" spans="2:12">
      <c r="B235" s="198" t="str">
        <f t="shared" si="160"/>
        <v>Octobre</v>
      </c>
      <c r="C235" s="198" t="str">
        <f>_xlfn.XLOOKUP(D235,'Données SOMIDA'!$C$31:$C$42,'Données SOMIDA'!$B$31:$B$42)</f>
        <v>2 MC</v>
      </c>
      <c r="D235" s="198" t="str">
        <f t="shared" ref="D235:D237" si="162">+D234</f>
        <v>ABR GAZ</v>
      </c>
      <c r="E235" s="198" t="str">
        <f t="shared" ref="E235:E237" si="163">+E234</f>
        <v>Autres</v>
      </c>
      <c r="F235" s="1087">
        <v>78645</v>
      </c>
      <c r="G235" s="1086">
        <f>IF(D235="FP1 GAZ",'Données SOMIDA'!$G$73,VLOOKUP('Besoins en micas'!E235,'Données SOMIDA'!$C$71:$G$77,5,FALSE))</f>
        <v>250</v>
      </c>
      <c r="H235" s="1086">
        <f t="shared" si="155"/>
        <v>19661250</v>
      </c>
      <c r="I235" s="462">
        <f>IF(D235="FP1 GAZ",'Données SOMIDA'!$E$73,VLOOKUP(E235,'Données SOMIDA'!$C$71:$E$75,3,FALSE))</f>
        <v>200</v>
      </c>
      <c r="J235" s="462">
        <f t="shared" si="156"/>
        <v>15729000</v>
      </c>
      <c r="K235" s="462">
        <f t="shared" si="157"/>
        <v>35390250</v>
      </c>
      <c r="L235" s="198">
        <f t="shared" si="158"/>
        <v>450</v>
      </c>
    </row>
    <row r="236" spans="2:12">
      <c r="B236" s="198" t="str">
        <f t="shared" si="160"/>
        <v>Novembre</v>
      </c>
      <c r="C236" s="198" t="str">
        <f>_xlfn.XLOOKUP(D236,'Données SOMIDA'!$C$31:$C$42,'Données SOMIDA'!$B$31:$B$42)</f>
        <v>2 MC</v>
      </c>
      <c r="D236" s="198" t="str">
        <f t="shared" si="162"/>
        <v>ABR GAZ</v>
      </c>
      <c r="E236" s="198" t="str">
        <f t="shared" si="163"/>
        <v>Autres</v>
      </c>
      <c r="F236" s="1087">
        <v>78645</v>
      </c>
      <c r="G236" s="1086">
        <f>IF(D236="FP1 GAZ",'Données SOMIDA'!$G$73,VLOOKUP('Besoins en micas'!E236,'Données SOMIDA'!$C$71:$G$77,5,FALSE))</f>
        <v>250</v>
      </c>
      <c r="H236" s="1086">
        <f t="shared" si="155"/>
        <v>19661250</v>
      </c>
      <c r="I236" s="462">
        <f>IF(D236="FP1 GAZ",'Données SOMIDA'!$E$73,VLOOKUP(E236,'Données SOMIDA'!$C$71:$E$75,3,FALSE))</f>
        <v>200</v>
      </c>
      <c r="J236" s="462">
        <f t="shared" si="156"/>
        <v>15729000</v>
      </c>
      <c r="K236" s="462">
        <f t="shared" si="157"/>
        <v>35390250</v>
      </c>
      <c r="L236" s="198">
        <f t="shared" si="158"/>
        <v>450</v>
      </c>
    </row>
    <row r="237" spans="2:12">
      <c r="B237" s="198" t="str">
        <f t="shared" si="160"/>
        <v>Décembre</v>
      </c>
      <c r="C237" s="198" t="str">
        <f>_xlfn.XLOOKUP(D237,'Données SOMIDA'!$C$31:$C$42,'Données SOMIDA'!$B$31:$B$42)</f>
        <v>2 MC</v>
      </c>
      <c r="D237" s="198" t="str">
        <f t="shared" si="162"/>
        <v>ABR GAZ</v>
      </c>
      <c r="E237" s="198" t="str">
        <f t="shared" si="163"/>
        <v>Autres</v>
      </c>
      <c r="F237" s="1087">
        <v>78645</v>
      </c>
      <c r="G237" s="1086">
        <f>IF(D237="FP1 GAZ",'Données SOMIDA'!$G$73,VLOOKUP('Besoins en micas'!E237,'Données SOMIDA'!$C$71:$G$77,5,FALSE))</f>
        <v>250</v>
      </c>
      <c r="H237" s="1086">
        <f t="shared" si="155"/>
        <v>19661250</v>
      </c>
      <c r="I237" s="462">
        <f>IF(D237="FP1 GAZ",'Données SOMIDA'!$E$73,VLOOKUP(E237,'Données SOMIDA'!$C$71:$E$75,3,FALSE))</f>
        <v>200</v>
      </c>
      <c r="J237" s="462">
        <f t="shared" si="156"/>
        <v>15729000</v>
      </c>
      <c r="K237" s="462">
        <f t="shared" si="157"/>
        <v>35390250</v>
      </c>
      <c r="L237" s="198">
        <f t="shared" si="158"/>
        <v>450</v>
      </c>
    </row>
    <row r="238" spans="2:12">
      <c r="B238" s="198" t="str">
        <f t="shared" si="160"/>
        <v>Janvier</v>
      </c>
      <c r="C238" s="198" t="str">
        <f>_xlfn.XLOOKUP(D238,'Données SOMIDA'!$C$31:$C$42,'Données SOMIDA'!$B$31:$B$42)</f>
        <v>3 MC</v>
      </c>
      <c r="D238" s="198" t="str">
        <f>+B55</f>
        <v>FP1 GAZ</v>
      </c>
      <c r="E238" s="198" t="str">
        <f>+B50</f>
        <v>Ampandrandava</v>
      </c>
      <c r="F238" s="1087">
        <f t="array" ref="F238:F249">TRANSPOSE(C54:N54)</f>
        <v>0</v>
      </c>
      <c r="G238" s="1086">
        <f>IF(D238="FP1 GAZ",'Données SOMIDA'!$G$73,VLOOKUP('Besoins en micas'!E238,'Données SOMIDA'!$C$71:$G$77,5,FALSE))</f>
        <v>250</v>
      </c>
      <c r="H238" s="1086">
        <f t="shared" si="155"/>
        <v>0</v>
      </c>
      <c r="I238" s="462">
        <f>IF(D238="FP1 GAZ",'Données SOMIDA'!$E$73,VLOOKUP(E238,'Données SOMIDA'!$C$71:$E$75,3,FALSE))</f>
        <v>300</v>
      </c>
      <c r="J238" s="462">
        <f t="shared" si="156"/>
        <v>0</v>
      </c>
      <c r="K238" s="462">
        <f t="shared" si="157"/>
        <v>0</v>
      </c>
      <c r="L238" s="198" t="str">
        <f t="shared" si="158"/>
        <v/>
      </c>
    </row>
    <row r="239" spans="2:12">
      <c r="B239" s="198" t="str">
        <f t="shared" si="160"/>
        <v>Février</v>
      </c>
      <c r="C239" s="198" t="str">
        <f>_xlfn.XLOOKUP(D239,'Données SOMIDA'!$C$31:$C$42,'Données SOMIDA'!$B$31:$B$42)</f>
        <v>3 MC</v>
      </c>
      <c r="D239" s="198" t="str">
        <f>+D238</f>
        <v>FP1 GAZ</v>
      </c>
      <c r="E239" s="198" t="str">
        <f>+E238</f>
        <v>Ampandrandava</v>
      </c>
      <c r="F239" s="1087">
        <v>0</v>
      </c>
      <c r="G239" s="1086">
        <f>IF(D239="FP1 GAZ",'Données SOMIDA'!$G$73,VLOOKUP('Besoins en micas'!E239,'Données SOMIDA'!$C$71:$G$77,5,FALSE))</f>
        <v>250</v>
      </c>
      <c r="H239" s="1086">
        <f t="shared" si="155"/>
        <v>0</v>
      </c>
      <c r="I239" s="462">
        <f>IF(D239="FP1 GAZ",'Données SOMIDA'!$E$73,VLOOKUP(E239,'Données SOMIDA'!$C$71:$E$75,3,FALSE))</f>
        <v>300</v>
      </c>
      <c r="J239" s="462">
        <f t="shared" si="156"/>
        <v>0</v>
      </c>
      <c r="K239" s="462">
        <f t="shared" si="157"/>
        <v>0</v>
      </c>
      <c r="L239" s="198" t="str">
        <f t="shared" si="158"/>
        <v/>
      </c>
    </row>
    <row r="240" spans="2:12">
      <c r="B240" s="198" t="str">
        <f t="shared" si="160"/>
        <v>Mars</v>
      </c>
      <c r="C240" s="198" t="str">
        <f>_xlfn.XLOOKUP(D240,'Données SOMIDA'!$C$31:$C$42,'Données SOMIDA'!$B$31:$B$42)</f>
        <v>3 MC</v>
      </c>
      <c r="D240" s="198" t="str">
        <f t="shared" ref="D240:D249" si="164">+D239</f>
        <v>FP1 GAZ</v>
      </c>
      <c r="E240" s="198" t="str">
        <f t="shared" ref="E240:E249" si="165">+E239</f>
        <v>Ampandrandava</v>
      </c>
      <c r="F240" s="1087">
        <v>0</v>
      </c>
      <c r="G240" s="1086">
        <f>IF(D240="FP1 GAZ",'Données SOMIDA'!$G$73,VLOOKUP('Besoins en micas'!E240,'Données SOMIDA'!$C$71:$G$77,5,FALSE))</f>
        <v>250</v>
      </c>
      <c r="H240" s="1086">
        <f t="shared" si="155"/>
        <v>0</v>
      </c>
      <c r="I240" s="462">
        <f>IF(D240="FP1 GAZ",'Données SOMIDA'!$E$73,VLOOKUP(E240,'Données SOMIDA'!$C$71:$E$75,3,FALSE))</f>
        <v>300</v>
      </c>
      <c r="J240" s="462">
        <f t="shared" si="156"/>
        <v>0</v>
      </c>
      <c r="K240" s="462">
        <f t="shared" si="157"/>
        <v>0</v>
      </c>
      <c r="L240" s="198" t="str">
        <f t="shared" si="158"/>
        <v/>
      </c>
    </row>
    <row r="241" spans="2:14">
      <c r="B241" s="198" t="str">
        <f t="shared" si="160"/>
        <v>Avril</v>
      </c>
      <c r="C241" s="198" t="str">
        <f>_xlfn.XLOOKUP(D241,'Données SOMIDA'!$C$31:$C$42,'Données SOMIDA'!$B$31:$B$42)</f>
        <v>3 MC</v>
      </c>
      <c r="D241" s="198" t="str">
        <f t="shared" si="164"/>
        <v>FP1 GAZ</v>
      </c>
      <c r="E241" s="198" t="str">
        <f t="shared" si="165"/>
        <v>Ampandrandava</v>
      </c>
      <c r="F241" s="1087">
        <v>0</v>
      </c>
      <c r="G241" s="1086">
        <f>IF(D241="FP1 GAZ",'Données SOMIDA'!$G$73,VLOOKUP('Besoins en micas'!E241,'Données SOMIDA'!$C$71:$G$77,5,FALSE))</f>
        <v>250</v>
      </c>
      <c r="H241" s="1086">
        <f t="shared" si="155"/>
        <v>0</v>
      </c>
      <c r="I241" s="462">
        <f>IF(D241="FP1 GAZ",'Données SOMIDA'!$E$73,VLOOKUP(E241,'Données SOMIDA'!$C$71:$E$75,3,FALSE))</f>
        <v>300</v>
      </c>
      <c r="J241" s="462">
        <f t="shared" si="156"/>
        <v>0</v>
      </c>
      <c r="K241" s="462">
        <f t="shared" si="157"/>
        <v>0</v>
      </c>
      <c r="L241" s="198" t="str">
        <f t="shared" si="158"/>
        <v/>
      </c>
    </row>
    <row r="242" spans="2:14">
      <c r="B242" s="198" t="str">
        <f t="shared" si="160"/>
        <v>Mai</v>
      </c>
      <c r="C242" s="198" t="str">
        <f>_xlfn.XLOOKUP(D242,'Données SOMIDA'!$C$31:$C$42,'Données SOMIDA'!$B$31:$B$42)</f>
        <v>3 MC</v>
      </c>
      <c r="D242" s="198" t="str">
        <f t="shared" si="164"/>
        <v>FP1 GAZ</v>
      </c>
      <c r="E242" s="198" t="str">
        <f t="shared" si="165"/>
        <v>Ampandrandava</v>
      </c>
      <c r="F242" s="1087">
        <v>0</v>
      </c>
      <c r="G242" s="1086">
        <f>IF(D242="FP1 GAZ",'Données SOMIDA'!$G$73,VLOOKUP('Besoins en micas'!E242,'Données SOMIDA'!$C$71:$G$77,5,FALSE))</f>
        <v>250</v>
      </c>
      <c r="H242" s="1086">
        <f t="shared" si="155"/>
        <v>0</v>
      </c>
      <c r="I242" s="462">
        <f>IF(D242="FP1 GAZ",'Données SOMIDA'!$E$73,VLOOKUP(E242,'Données SOMIDA'!$C$71:$E$75,3,FALSE))</f>
        <v>300</v>
      </c>
      <c r="J242" s="462">
        <f t="shared" si="156"/>
        <v>0</v>
      </c>
      <c r="K242" s="462">
        <f t="shared" si="157"/>
        <v>0</v>
      </c>
      <c r="L242" s="198" t="str">
        <f t="shared" si="158"/>
        <v/>
      </c>
    </row>
    <row r="243" spans="2:14">
      <c r="B243" s="198" t="str">
        <f t="shared" si="160"/>
        <v>Juin</v>
      </c>
      <c r="C243" s="198" t="str">
        <f>_xlfn.XLOOKUP(D243,'Données SOMIDA'!$C$31:$C$42,'Données SOMIDA'!$B$31:$B$42)</f>
        <v>3 MC</v>
      </c>
      <c r="D243" s="198" t="str">
        <f t="shared" si="164"/>
        <v>FP1 GAZ</v>
      </c>
      <c r="E243" s="198" t="str">
        <f t="shared" si="165"/>
        <v>Ampandrandava</v>
      </c>
      <c r="F243" s="1087">
        <v>0</v>
      </c>
      <c r="G243" s="1086">
        <f>IF(D243="FP1 GAZ",'Données SOMIDA'!$G$73,VLOOKUP('Besoins en micas'!E243,'Données SOMIDA'!$C$71:$G$77,5,FALSE))</f>
        <v>250</v>
      </c>
      <c r="H243" s="1086">
        <f t="shared" si="155"/>
        <v>0</v>
      </c>
      <c r="I243" s="462">
        <f>IF(D243="FP1 GAZ",'Données SOMIDA'!$E$73,VLOOKUP(E243,'Données SOMIDA'!$C$71:$E$75,3,FALSE))</f>
        <v>300</v>
      </c>
      <c r="J243" s="462">
        <f t="shared" si="156"/>
        <v>0</v>
      </c>
      <c r="K243" s="462">
        <f t="shared" si="157"/>
        <v>0</v>
      </c>
      <c r="L243" s="198" t="str">
        <f t="shared" si="158"/>
        <v/>
      </c>
    </row>
    <row r="244" spans="2:14">
      <c r="B244" s="198" t="str">
        <f t="shared" si="160"/>
        <v>Juillet</v>
      </c>
      <c r="C244" s="198" t="str">
        <f>_xlfn.XLOOKUP(D244,'Données SOMIDA'!$C$31:$C$42,'Données SOMIDA'!$B$31:$B$42)</f>
        <v>3 MC</v>
      </c>
      <c r="D244" s="198" t="str">
        <f t="shared" si="164"/>
        <v>FP1 GAZ</v>
      </c>
      <c r="E244" s="198" t="str">
        <f t="shared" si="165"/>
        <v>Ampandrandava</v>
      </c>
      <c r="F244" s="1087">
        <v>0</v>
      </c>
      <c r="G244" s="1086">
        <f>IF(D244="FP1 GAZ",'Données SOMIDA'!$G$73,VLOOKUP('Besoins en micas'!E244,'Données SOMIDA'!$C$71:$G$77,5,FALSE))</f>
        <v>250</v>
      </c>
      <c r="H244" s="1086">
        <f t="shared" si="155"/>
        <v>0</v>
      </c>
      <c r="I244" s="462">
        <f>IF(D244="FP1 GAZ",'Données SOMIDA'!$E$73,VLOOKUP(E244,'Données SOMIDA'!$C$71:$E$75,3,FALSE))</f>
        <v>300</v>
      </c>
      <c r="J244" s="462">
        <f t="shared" si="156"/>
        <v>0</v>
      </c>
      <c r="K244" s="462">
        <f t="shared" si="157"/>
        <v>0</v>
      </c>
      <c r="L244" s="198" t="str">
        <f t="shared" si="158"/>
        <v/>
      </c>
    </row>
    <row r="245" spans="2:14">
      <c r="B245" s="198" t="str">
        <f t="shared" si="160"/>
        <v>Août</v>
      </c>
      <c r="C245" s="198" t="str">
        <f>_xlfn.XLOOKUP(D245,'Données SOMIDA'!$C$31:$C$42,'Données SOMIDA'!$B$31:$B$42)</f>
        <v>3 MC</v>
      </c>
      <c r="D245" s="198" t="str">
        <f t="shared" si="164"/>
        <v>FP1 GAZ</v>
      </c>
      <c r="E245" s="198" t="str">
        <f t="shared" si="165"/>
        <v>Ampandrandava</v>
      </c>
      <c r="F245" s="1087">
        <v>0</v>
      </c>
      <c r="G245" s="1086">
        <f>IF(D245="FP1 GAZ",'Données SOMIDA'!$G$73,VLOOKUP('Besoins en micas'!E245,'Données SOMIDA'!$C$71:$G$77,5,FALSE))</f>
        <v>250</v>
      </c>
      <c r="H245" s="1086">
        <f t="shared" si="155"/>
        <v>0</v>
      </c>
      <c r="I245" s="462">
        <f>IF(D245="FP1 GAZ",'Données SOMIDA'!$E$73,VLOOKUP(E245,'Données SOMIDA'!$C$71:$E$75,3,FALSE))</f>
        <v>300</v>
      </c>
      <c r="J245" s="462">
        <f t="shared" si="156"/>
        <v>0</v>
      </c>
      <c r="K245" s="462">
        <f t="shared" si="157"/>
        <v>0</v>
      </c>
      <c r="L245" s="198" t="str">
        <f t="shared" si="158"/>
        <v/>
      </c>
    </row>
    <row r="246" spans="2:14">
      <c r="B246" s="198" t="str">
        <f t="shared" si="160"/>
        <v>Septembre</v>
      </c>
      <c r="C246" s="198" t="str">
        <f>_xlfn.XLOOKUP(D246,'Données SOMIDA'!$C$31:$C$42,'Données SOMIDA'!$B$31:$B$42)</f>
        <v>3 MC</v>
      </c>
      <c r="D246" s="198" t="str">
        <f t="shared" si="164"/>
        <v>FP1 GAZ</v>
      </c>
      <c r="E246" s="198" t="str">
        <f t="shared" si="165"/>
        <v>Ampandrandava</v>
      </c>
      <c r="F246" s="1087">
        <v>0</v>
      </c>
      <c r="G246" s="1086">
        <f>IF(D246="FP1 GAZ",'Données SOMIDA'!$G$73,VLOOKUP('Besoins en micas'!E246,'Données SOMIDA'!$C$71:$G$77,5,FALSE))</f>
        <v>250</v>
      </c>
      <c r="H246" s="1086">
        <f t="shared" si="155"/>
        <v>0</v>
      </c>
      <c r="I246" s="462">
        <f>IF(D246="FP1 GAZ",'Données SOMIDA'!$E$73,VLOOKUP(E246,'Données SOMIDA'!$C$71:$E$75,3,FALSE))</f>
        <v>300</v>
      </c>
      <c r="J246" s="462">
        <f t="shared" si="156"/>
        <v>0</v>
      </c>
      <c r="K246" s="462">
        <f t="shared" si="157"/>
        <v>0</v>
      </c>
      <c r="L246" s="198" t="str">
        <f t="shared" si="158"/>
        <v/>
      </c>
    </row>
    <row r="247" spans="2:14">
      <c r="B247" s="198" t="str">
        <f t="shared" si="160"/>
        <v>Octobre</v>
      </c>
      <c r="C247" s="198" t="str">
        <f>_xlfn.XLOOKUP(D247,'Données SOMIDA'!$C$31:$C$42,'Données SOMIDA'!$B$31:$B$42)</f>
        <v>3 MC</v>
      </c>
      <c r="D247" s="198" t="str">
        <f t="shared" si="164"/>
        <v>FP1 GAZ</v>
      </c>
      <c r="E247" s="198" t="str">
        <f t="shared" si="165"/>
        <v>Ampandrandava</v>
      </c>
      <c r="F247" s="1087">
        <v>0</v>
      </c>
      <c r="G247" s="1086">
        <f>IF(D247="FP1 GAZ",'Données SOMIDA'!$G$73,VLOOKUP('Besoins en micas'!E247,'Données SOMIDA'!$C$71:$G$77,5,FALSE))</f>
        <v>250</v>
      </c>
      <c r="H247" s="1086">
        <f t="shared" si="155"/>
        <v>0</v>
      </c>
      <c r="I247" s="462">
        <f>IF(D247="FP1 GAZ",'Données SOMIDA'!$E$73,VLOOKUP(E247,'Données SOMIDA'!$C$71:$E$75,3,FALSE))</f>
        <v>300</v>
      </c>
      <c r="J247" s="462">
        <f t="shared" si="156"/>
        <v>0</v>
      </c>
      <c r="K247" s="462">
        <f t="shared" si="157"/>
        <v>0</v>
      </c>
      <c r="L247" s="198" t="str">
        <f t="shared" si="158"/>
        <v/>
      </c>
      <c r="N247" s="599"/>
    </row>
    <row r="248" spans="2:14">
      <c r="B248" s="198" t="str">
        <f t="shared" si="160"/>
        <v>Novembre</v>
      </c>
      <c r="C248" s="198" t="str">
        <f>_xlfn.XLOOKUP(D248,'Données SOMIDA'!$C$31:$C$42,'Données SOMIDA'!$B$31:$B$42)</f>
        <v>3 MC</v>
      </c>
      <c r="D248" s="198" t="str">
        <f t="shared" si="164"/>
        <v>FP1 GAZ</v>
      </c>
      <c r="E248" s="198" t="str">
        <f t="shared" si="165"/>
        <v>Ampandrandava</v>
      </c>
      <c r="F248" s="1087">
        <v>0</v>
      </c>
      <c r="G248" s="1086">
        <f>IF(D248="FP1 GAZ",'Données SOMIDA'!$G$73,VLOOKUP('Besoins en micas'!E248,'Données SOMIDA'!$C$71:$G$77,5,FALSE))</f>
        <v>250</v>
      </c>
      <c r="H248" s="1086">
        <f t="shared" si="155"/>
        <v>0</v>
      </c>
      <c r="I248" s="462">
        <f>IF(D248="FP1 GAZ",'Données SOMIDA'!$E$73,VLOOKUP(E248,'Données SOMIDA'!$C$71:$E$75,3,FALSE))</f>
        <v>300</v>
      </c>
      <c r="J248" s="462">
        <f t="shared" si="156"/>
        <v>0</v>
      </c>
      <c r="K248" s="462">
        <f t="shared" si="157"/>
        <v>0</v>
      </c>
      <c r="L248" s="198" t="str">
        <f t="shared" si="158"/>
        <v/>
      </c>
      <c r="N248" s="599"/>
    </row>
    <row r="249" spans="2:14">
      <c r="B249" s="198" t="str">
        <f t="shared" si="160"/>
        <v>Décembre</v>
      </c>
      <c r="C249" s="198" t="str">
        <f>_xlfn.XLOOKUP(D249,'Données SOMIDA'!$C$31:$C$42,'Données SOMIDA'!$B$31:$B$42)</f>
        <v>3 MC</v>
      </c>
      <c r="D249" s="198" t="str">
        <f t="shared" si="164"/>
        <v>FP1 GAZ</v>
      </c>
      <c r="E249" s="198" t="str">
        <f t="shared" si="165"/>
        <v>Ampandrandava</v>
      </c>
      <c r="F249" s="1087">
        <v>0</v>
      </c>
      <c r="G249" s="1086">
        <f>IF(D249="FP1 GAZ",'Données SOMIDA'!$G$73,VLOOKUP('Besoins en micas'!E249,'Données SOMIDA'!$C$71:$G$77,5,FALSE))</f>
        <v>250</v>
      </c>
      <c r="H249" s="1086">
        <f t="shared" si="155"/>
        <v>0</v>
      </c>
      <c r="I249" s="462">
        <f>IF(D249="FP1 GAZ",'Données SOMIDA'!$E$73,VLOOKUP(E249,'Données SOMIDA'!$C$71:$E$75,3,FALSE))</f>
        <v>300</v>
      </c>
      <c r="J249" s="462">
        <f t="shared" si="156"/>
        <v>0</v>
      </c>
      <c r="K249" s="462">
        <f t="shared" si="157"/>
        <v>0</v>
      </c>
      <c r="L249" s="198" t="str">
        <f t="shared" si="158"/>
        <v/>
      </c>
      <c r="N249" s="599"/>
    </row>
    <row r="250" spans="2:14" ht="17.25" thickBot="1">
      <c r="B250" s="929"/>
      <c r="C250" s="929"/>
      <c r="D250" s="929"/>
      <c r="E250" s="929"/>
      <c r="F250" s="1088">
        <f>SUM(F142:F249)</f>
        <v>10243850</v>
      </c>
      <c r="G250" s="929"/>
      <c r="H250" s="1089">
        <f>SUM(H142:H249)</f>
        <v>2432914375</v>
      </c>
      <c r="I250" s="929"/>
      <c r="J250" s="1089">
        <f>SUM(J142:J249)</f>
        <v>1997550750</v>
      </c>
      <c r="K250" s="1089">
        <f>SUM(K142:K249)</f>
        <v>4430465125</v>
      </c>
      <c r="L250" s="1090">
        <f t="shared" si="158"/>
        <v>432.5</v>
      </c>
      <c r="N250" s="1094"/>
    </row>
    <row r="251" spans="2:14" s="1111" customFormat="1" ht="12.75">
      <c r="B251" s="1111" t="s">
        <v>595</v>
      </c>
      <c r="F251" s="1113">
        <f>+F250-O17</f>
        <v>0</v>
      </c>
      <c r="H251" s="1112">
        <f>+H250-'Détails Achats direct'!P15</f>
        <v>0</v>
      </c>
      <c r="J251" s="1112">
        <f>+J250-O102</f>
        <v>0</v>
      </c>
    </row>
    <row r="292" spans="5:5">
      <c r="E292" s="462" t="e">
        <f>+Production!P68-#REF!</f>
        <v>#REF!</v>
      </c>
    </row>
  </sheetData>
  <autoFilter ref="B141:L251" xr:uid="{79BE7400-71A7-40A1-B2E7-A4DB17AFE1BF}"/>
  <phoneticPr fontId="21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24370-0AB5-452D-B575-FE44D7810E11}">
  <sheetPr codeName="Feuil35"/>
  <dimension ref="A3:Q77"/>
  <sheetViews>
    <sheetView showGridLines="0" zoomScale="76" workbookViewId="0">
      <selection activeCell="D6" sqref="D6"/>
    </sheetView>
  </sheetViews>
  <sheetFormatPr baseColWidth="10" defaultRowHeight="16.5"/>
  <cols>
    <col min="1" max="1" width="4" style="769" customWidth="1"/>
    <col min="2" max="2" width="19.28515625" style="600" bestFit="1" customWidth="1"/>
    <col min="3" max="3" width="11.42578125" style="600"/>
    <col min="4" max="4" width="14.42578125" style="600" bestFit="1" customWidth="1"/>
    <col min="5" max="5" width="16.42578125" style="600" bestFit="1" customWidth="1"/>
    <col min="6" max="15" width="13.28515625" style="600" bestFit="1" customWidth="1"/>
    <col min="16" max="16" width="14.28515625" style="600" bestFit="1" customWidth="1"/>
    <col min="17" max="17" width="12.7109375" style="600" bestFit="1" customWidth="1"/>
    <col min="18" max="16384" width="11.42578125" style="600"/>
  </cols>
  <sheetData>
    <row r="3" spans="1:16">
      <c r="A3" s="486" t="s">
        <v>988</v>
      </c>
      <c r="I3" s="1300"/>
      <c r="J3" s="1300"/>
    </row>
    <row r="4" spans="1:16">
      <c r="B4" s="602" t="s">
        <v>1000</v>
      </c>
      <c r="C4" s="603" t="s">
        <v>1109</v>
      </c>
      <c r="D4" s="604" t="s">
        <v>1116</v>
      </c>
      <c r="E4" s="603" t="s">
        <v>1111</v>
      </c>
      <c r="F4" s="604" t="s">
        <v>1110</v>
      </c>
      <c r="G4" s="604" t="s">
        <v>1071</v>
      </c>
      <c r="H4" s="604" t="s">
        <v>1112</v>
      </c>
      <c r="I4" s="604" t="s">
        <v>1032</v>
      </c>
      <c r="J4" s="604" t="s">
        <v>737</v>
      </c>
      <c r="K4" s="604" t="s">
        <v>1113</v>
      </c>
      <c r="L4" s="603" t="s">
        <v>16</v>
      </c>
      <c r="M4" s="603" t="str">
        <f>+I4</f>
        <v>Amit</v>
      </c>
      <c r="N4" s="603" t="str">
        <f>+J4</f>
        <v>CNaPs</v>
      </c>
      <c r="O4" s="603" t="s">
        <v>1114</v>
      </c>
    </row>
    <row r="5" spans="1:16">
      <c r="A5" s="769" t="s">
        <v>1274</v>
      </c>
      <c r="B5" s="601" t="str">
        <f>+Org!AC14</f>
        <v>Resp Site</v>
      </c>
      <c r="C5" s="487">
        <f>+Org!AL14</f>
        <v>1</v>
      </c>
      <c r="D5" s="605">
        <f>+Org!AG14</f>
        <v>350000</v>
      </c>
      <c r="E5" s="605">
        <f>+C5*D5</f>
        <v>350000</v>
      </c>
      <c r="F5" s="605">
        <f>+Org!J113</f>
        <v>281250</v>
      </c>
      <c r="G5" s="605"/>
      <c r="H5" s="605">
        <f t="shared" ref="H5:H11" si="0">+G5+E5</f>
        <v>350000</v>
      </c>
      <c r="I5" s="606">
        <f>+H5*0.05</f>
        <v>17500</v>
      </c>
      <c r="J5" s="606">
        <f>+H5*0.13</f>
        <v>45500</v>
      </c>
      <c r="K5" s="606">
        <f>+H5+I5+J5</f>
        <v>413000</v>
      </c>
      <c r="L5" s="606">
        <f t="shared" ref="L5:L11" si="1">+IF((D5+F5)&lt;350000,2000,(D5+F5)*0.2)*C5</f>
        <v>126250</v>
      </c>
      <c r="M5" s="606"/>
      <c r="N5" s="606">
        <f t="shared" ref="N5" si="2">+H5*1%</f>
        <v>3500</v>
      </c>
      <c r="O5" s="606">
        <f t="shared" ref="O5" si="3">+H5-L5-M5-N5</f>
        <v>220250</v>
      </c>
      <c r="P5" s="606"/>
    </row>
    <row r="6" spans="1:16">
      <c r="A6" s="769" t="s">
        <v>1274</v>
      </c>
      <c r="B6" s="601" t="str">
        <f>+Org!AC15</f>
        <v>Collecteurs</v>
      </c>
      <c r="C6" s="487">
        <f>+Org!AL15</f>
        <v>6</v>
      </c>
      <c r="D6" s="605">
        <f>+Org!AG15</f>
        <v>250000</v>
      </c>
      <c r="E6" s="605">
        <f t="shared" ref="E6:E11" si="4">+C6*D6</f>
        <v>1500000</v>
      </c>
      <c r="F6" s="605">
        <f>+Org!J125</f>
        <v>234375</v>
      </c>
      <c r="G6" s="605"/>
      <c r="H6" s="605">
        <f t="shared" si="0"/>
        <v>1500000</v>
      </c>
      <c r="I6" s="606">
        <f t="shared" ref="I6:I11" si="5">+H6*0.05</f>
        <v>75000</v>
      </c>
      <c r="J6" s="606">
        <f t="shared" ref="J6:J11" si="6">+H6*0.13</f>
        <v>195000</v>
      </c>
      <c r="K6" s="606">
        <f t="shared" ref="K6:K11" si="7">+H6+I6+J6</f>
        <v>1770000</v>
      </c>
      <c r="L6" s="606">
        <f t="shared" si="1"/>
        <v>581250</v>
      </c>
      <c r="M6" s="606"/>
      <c r="N6" s="606">
        <f t="shared" ref="N6:N11" si="8">+H6*1%</f>
        <v>15000</v>
      </c>
      <c r="O6" s="606">
        <f t="shared" ref="O6:O11" si="9">+H6-L6-M6-N6</f>
        <v>903750</v>
      </c>
      <c r="P6" s="606"/>
    </row>
    <row r="7" spans="1:16">
      <c r="A7" s="769" t="s">
        <v>1274</v>
      </c>
      <c r="B7" s="601" t="str">
        <f>+Org!AC16</f>
        <v>Aides Collecteurs</v>
      </c>
      <c r="C7" s="487">
        <f>+Org!AL16</f>
        <v>6</v>
      </c>
      <c r="D7" s="605">
        <f>+Org!AG16</f>
        <v>150000</v>
      </c>
      <c r="E7" s="605">
        <f t="shared" si="4"/>
        <v>900000</v>
      </c>
      <c r="F7" s="605">
        <f>+Org!J129</f>
        <v>234375</v>
      </c>
      <c r="G7" s="605"/>
      <c r="H7" s="605">
        <f t="shared" si="0"/>
        <v>900000</v>
      </c>
      <c r="I7" s="606">
        <f t="shared" si="5"/>
        <v>45000</v>
      </c>
      <c r="J7" s="606">
        <f t="shared" si="6"/>
        <v>117000</v>
      </c>
      <c r="K7" s="606">
        <f t="shared" si="7"/>
        <v>1062000</v>
      </c>
      <c r="L7" s="606">
        <f t="shared" si="1"/>
        <v>461250</v>
      </c>
      <c r="M7" s="606"/>
      <c r="N7" s="606">
        <f t="shared" si="8"/>
        <v>9000</v>
      </c>
      <c r="O7" s="606">
        <f t="shared" si="9"/>
        <v>429750</v>
      </c>
      <c r="P7" s="606"/>
    </row>
    <row r="8" spans="1:16">
      <c r="A8" s="769" t="s">
        <v>1274</v>
      </c>
      <c r="B8" s="601" t="str">
        <f>+Org!AC17</f>
        <v>Controleurs</v>
      </c>
      <c r="C8" s="487">
        <f>+Org!AL17</f>
        <v>3</v>
      </c>
      <c r="D8" s="605">
        <f>+Org!AG17</f>
        <v>300000</v>
      </c>
      <c r="E8" s="605">
        <f t="shared" si="4"/>
        <v>900000</v>
      </c>
      <c r="F8" s="605">
        <f>+F7</f>
        <v>234375</v>
      </c>
      <c r="G8" s="605"/>
      <c r="H8" s="605">
        <f t="shared" si="0"/>
        <v>900000</v>
      </c>
      <c r="I8" s="606">
        <f t="shared" si="5"/>
        <v>45000</v>
      </c>
      <c r="J8" s="606">
        <f t="shared" si="6"/>
        <v>117000</v>
      </c>
      <c r="K8" s="606">
        <f t="shared" si="7"/>
        <v>1062000</v>
      </c>
      <c r="L8" s="606">
        <f t="shared" si="1"/>
        <v>320625</v>
      </c>
      <c r="M8" s="606"/>
      <c r="N8" s="606">
        <f t="shared" si="8"/>
        <v>9000</v>
      </c>
      <c r="O8" s="606">
        <f t="shared" si="9"/>
        <v>570375</v>
      </c>
      <c r="P8" s="606"/>
    </row>
    <row r="9" spans="1:16">
      <c r="A9" s="769" t="s">
        <v>1275</v>
      </c>
      <c r="B9" s="601" t="str">
        <f>+Org!AC18</f>
        <v>Agents entretiens</v>
      </c>
      <c r="C9" s="487">
        <f>+Org!AL18</f>
        <v>2</v>
      </c>
      <c r="D9" s="605">
        <f>+Org!AG18</f>
        <v>275000</v>
      </c>
      <c r="E9" s="605">
        <f t="shared" si="4"/>
        <v>550000</v>
      </c>
      <c r="F9" s="605">
        <f>+D9/12*C9</f>
        <v>45833.333333333336</v>
      </c>
      <c r="G9" s="605"/>
      <c r="H9" s="605">
        <f t="shared" si="0"/>
        <v>550000</v>
      </c>
      <c r="I9" s="606">
        <f t="shared" si="5"/>
        <v>27500</v>
      </c>
      <c r="J9" s="606">
        <f t="shared" si="6"/>
        <v>71500</v>
      </c>
      <c r="K9" s="606">
        <f t="shared" si="7"/>
        <v>649000</v>
      </c>
      <c r="L9" s="606">
        <f t="shared" si="1"/>
        <v>4000</v>
      </c>
      <c r="M9" s="606"/>
      <c r="N9" s="606">
        <f t="shared" si="8"/>
        <v>5500</v>
      </c>
      <c r="O9" s="606">
        <f t="shared" si="9"/>
        <v>540500</v>
      </c>
      <c r="P9" s="606"/>
    </row>
    <row r="10" spans="1:16">
      <c r="A10" s="769" t="s">
        <v>1275</v>
      </c>
      <c r="B10" s="601" t="str">
        <f>+Org!AC19</f>
        <v>Agents securités</v>
      </c>
      <c r="C10" s="487">
        <f>+Org!AL19</f>
        <v>3</v>
      </c>
      <c r="D10" s="605">
        <f>+Org!AG19</f>
        <v>275000</v>
      </c>
      <c r="E10" s="605">
        <f t="shared" si="4"/>
        <v>825000</v>
      </c>
      <c r="F10" s="605">
        <f t="shared" ref="F10" si="10">+D10/12</f>
        <v>22916.666666666668</v>
      </c>
      <c r="G10" s="605"/>
      <c r="H10" s="605">
        <f t="shared" si="0"/>
        <v>825000</v>
      </c>
      <c r="I10" s="606">
        <f t="shared" si="5"/>
        <v>41250</v>
      </c>
      <c r="J10" s="606">
        <f t="shared" si="6"/>
        <v>107250</v>
      </c>
      <c r="K10" s="606">
        <f t="shared" si="7"/>
        <v>973500</v>
      </c>
      <c r="L10" s="606">
        <f t="shared" si="1"/>
        <v>6000</v>
      </c>
      <c r="M10" s="606"/>
      <c r="N10" s="606">
        <f t="shared" si="8"/>
        <v>8250</v>
      </c>
      <c r="O10" s="606">
        <f t="shared" si="9"/>
        <v>810750</v>
      </c>
      <c r="P10" s="606"/>
    </row>
    <row r="11" spans="1:16">
      <c r="A11" s="769" t="s">
        <v>1275</v>
      </c>
      <c r="B11" s="601" t="str">
        <f>+Org!AC20</f>
        <v>Gestionnaire</v>
      </c>
      <c r="C11" s="487">
        <f>+Org!AL20</f>
        <v>1</v>
      </c>
      <c r="D11" s="605">
        <f>+Org!AG20</f>
        <v>275000</v>
      </c>
      <c r="E11" s="605">
        <f t="shared" si="4"/>
        <v>275000</v>
      </c>
      <c r="F11" s="605">
        <f>+F8</f>
        <v>234375</v>
      </c>
      <c r="G11" s="605"/>
      <c r="H11" s="605">
        <f t="shared" si="0"/>
        <v>275000</v>
      </c>
      <c r="I11" s="606">
        <f t="shared" si="5"/>
        <v>13750</v>
      </c>
      <c r="J11" s="606">
        <f t="shared" si="6"/>
        <v>35750</v>
      </c>
      <c r="K11" s="606">
        <f t="shared" si="7"/>
        <v>324500</v>
      </c>
      <c r="L11" s="606">
        <f t="shared" si="1"/>
        <v>101875</v>
      </c>
      <c r="M11" s="606"/>
      <c r="N11" s="606">
        <f t="shared" si="8"/>
        <v>2750</v>
      </c>
      <c r="O11" s="606">
        <f t="shared" si="9"/>
        <v>170375</v>
      </c>
      <c r="P11" s="606"/>
    </row>
    <row r="12" spans="1:16">
      <c r="B12" s="602" t="s">
        <v>362</v>
      </c>
      <c r="C12" s="602">
        <f>SUM(C5:C11)</f>
        <v>22</v>
      </c>
      <c r="D12" s="607">
        <f>SUM(D5:D11)</f>
        <v>1875000</v>
      </c>
      <c r="E12" s="607">
        <f>SUM(E5:E11)</f>
        <v>5300000</v>
      </c>
      <c r="F12" s="606"/>
      <c r="G12" s="607">
        <f>SUM(G5:G11)</f>
        <v>0</v>
      </c>
      <c r="H12" s="607">
        <f>SUM(H5:H11)</f>
        <v>5300000</v>
      </c>
      <c r="I12" s="607">
        <f t="shared" ref="I12:K12" si="11">SUM(I5:I11)</f>
        <v>265000</v>
      </c>
      <c r="J12" s="607">
        <f t="shared" si="11"/>
        <v>689000</v>
      </c>
      <c r="K12" s="607">
        <f t="shared" si="11"/>
        <v>6254000</v>
      </c>
      <c r="L12" s="607">
        <f t="shared" ref="L12" si="12">SUM(L5:L11)</f>
        <v>1601250</v>
      </c>
      <c r="M12" s="607">
        <f t="shared" ref="M12" si="13">SUM(M5:M11)</f>
        <v>0</v>
      </c>
      <c r="N12" s="607">
        <f t="shared" ref="N12" si="14">SUM(N5:N11)</f>
        <v>53000</v>
      </c>
      <c r="O12" s="607">
        <f t="shared" ref="O12" si="15">SUM(O5:O11)</f>
        <v>3645750</v>
      </c>
      <c r="P12" s="606"/>
    </row>
    <row r="13" spans="1:16">
      <c r="B13" s="486"/>
      <c r="D13" s="606"/>
      <c r="E13" s="606"/>
      <c r="F13" s="606"/>
      <c r="G13" s="606"/>
      <c r="H13" s="606"/>
      <c r="I13" s="606"/>
      <c r="J13" s="606"/>
      <c r="K13" s="606"/>
      <c r="L13" s="606"/>
      <c r="M13" s="606"/>
      <c r="N13" s="606"/>
      <c r="O13" s="606"/>
      <c r="P13" s="606"/>
    </row>
    <row r="14" spans="1:16">
      <c r="A14" s="486" t="s">
        <v>987</v>
      </c>
      <c r="D14" s="606"/>
      <c r="E14" s="606"/>
      <c r="F14" s="606"/>
      <c r="G14" s="606"/>
      <c r="H14" s="606"/>
      <c r="I14" s="606"/>
      <c r="J14" s="606"/>
      <c r="K14" s="606"/>
      <c r="L14" s="606"/>
      <c r="M14" s="606"/>
      <c r="N14" s="606"/>
      <c r="O14" s="606"/>
      <c r="P14" s="606"/>
    </row>
    <row r="15" spans="1:16">
      <c r="B15" s="602" t="str">
        <f>+B4</f>
        <v>Postes</v>
      </c>
      <c r="C15" s="603" t="str">
        <f t="shared" ref="C15:O15" si="16">+C4</f>
        <v>Nb</v>
      </c>
      <c r="D15" s="603" t="str">
        <f t="shared" si="16"/>
        <v>Sal Fixe unit</v>
      </c>
      <c r="E15" s="603" t="str">
        <f t="shared" si="16"/>
        <v>Fixes</v>
      </c>
      <c r="F15" s="603" t="str">
        <f t="shared" si="16"/>
        <v>Primes Unit</v>
      </c>
      <c r="G15" s="603" t="str">
        <f t="shared" si="16"/>
        <v>Primes</v>
      </c>
      <c r="H15" s="603" t="str">
        <f t="shared" si="16"/>
        <v>Sal de base</v>
      </c>
      <c r="I15" s="603" t="str">
        <f t="shared" si="16"/>
        <v>Amit</v>
      </c>
      <c r="J15" s="603" t="str">
        <f t="shared" si="16"/>
        <v>CNaPs</v>
      </c>
      <c r="K15" s="603" t="str">
        <f t="shared" si="16"/>
        <v>Ch Personnel</v>
      </c>
      <c r="L15" s="603" t="str">
        <f t="shared" si="16"/>
        <v>IRSA</v>
      </c>
      <c r="M15" s="603" t="str">
        <f t="shared" si="16"/>
        <v>Amit</v>
      </c>
      <c r="N15" s="603" t="str">
        <f t="shared" si="16"/>
        <v>CNaPs</v>
      </c>
      <c r="O15" s="603" t="str">
        <f t="shared" si="16"/>
        <v>Net à payer</v>
      </c>
      <c r="P15" s="606"/>
    </row>
    <row r="16" spans="1:16">
      <c r="B16" s="601" t="s">
        <v>990</v>
      </c>
      <c r="C16" s="487">
        <f>+Org!M15</f>
        <v>1</v>
      </c>
      <c r="D16" s="605">
        <v>250000</v>
      </c>
      <c r="E16" s="605">
        <f t="shared" ref="E16:E19" si="17">+C16*D16</f>
        <v>250000</v>
      </c>
      <c r="F16" s="605">
        <f t="shared" ref="F16:F19" si="18">+D16/12</f>
        <v>20833.333333333332</v>
      </c>
      <c r="G16" s="605"/>
      <c r="H16" s="605">
        <f t="shared" ref="H16:H19" si="19">+G16+E16</f>
        <v>250000</v>
      </c>
      <c r="I16" s="606">
        <f t="shared" ref="I16:I19" si="20">+H16*0.05</f>
        <v>12500</v>
      </c>
      <c r="J16" s="606">
        <f t="shared" ref="J16:J19" si="21">+H16*0.13</f>
        <v>32500</v>
      </c>
      <c r="K16" s="606">
        <f t="shared" ref="K16:K19" si="22">+H16+I16+J16</f>
        <v>295000</v>
      </c>
      <c r="L16" s="606">
        <f>+IF((D16+F16)&lt;350000,2000,(D16+F16)*0.2)*C16</f>
        <v>2000</v>
      </c>
      <c r="M16" s="606"/>
      <c r="N16" s="606">
        <f t="shared" ref="N16:N19" si="23">+H16*1%</f>
        <v>2500</v>
      </c>
      <c r="O16" s="606">
        <f t="shared" ref="O16:O19" si="24">+H16-L16-M16-N16</f>
        <v>245500</v>
      </c>
      <c r="P16" s="606"/>
    </row>
    <row r="17" spans="1:16">
      <c r="B17" s="601" t="s">
        <v>1010</v>
      </c>
      <c r="C17" s="487">
        <f>+Org!M16</f>
        <v>1</v>
      </c>
      <c r="D17" s="605">
        <v>210000</v>
      </c>
      <c r="E17" s="605">
        <f t="shared" si="17"/>
        <v>210000</v>
      </c>
      <c r="F17" s="605">
        <f t="shared" si="18"/>
        <v>17500</v>
      </c>
      <c r="G17" s="605"/>
      <c r="H17" s="605">
        <f t="shared" si="19"/>
        <v>210000</v>
      </c>
      <c r="I17" s="606">
        <f t="shared" si="20"/>
        <v>10500</v>
      </c>
      <c r="J17" s="606">
        <f t="shared" si="21"/>
        <v>27300</v>
      </c>
      <c r="K17" s="606">
        <f t="shared" si="22"/>
        <v>247800</v>
      </c>
      <c r="L17" s="606">
        <f t="shared" ref="L17:L19" si="25">+IF((D17+F17)&lt;350000,2000,(D17+F17)*0.2)*C17</f>
        <v>2000</v>
      </c>
      <c r="M17" s="606"/>
      <c r="N17" s="606">
        <f t="shared" si="23"/>
        <v>2100</v>
      </c>
      <c r="O17" s="606">
        <f t="shared" si="24"/>
        <v>205900</v>
      </c>
      <c r="P17" s="606"/>
    </row>
    <row r="18" spans="1:16">
      <c r="B18" s="601" t="s">
        <v>1013</v>
      </c>
      <c r="C18" s="487">
        <f>+Org!M17</f>
        <v>2</v>
      </c>
      <c r="D18" s="605">
        <v>400000</v>
      </c>
      <c r="E18" s="605">
        <f t="shared" si="17"/>
        <v>800000</v>
      </c>
      <c r="F18" s="605">
        <f t="shared" si="18"/>
        <v>33333.333333333336</v>
      </c>
      <c r="G18" s="605"/>
      <c r="H18" s="605">
        <f t="shared" si="19"/>
        <v>800000</v>
      </c>
      <c r="I18" s="606">
        <f t="shared" si="20"/>
        <v>40000</v>
      </c>
      <c r="J18" s="606">
        <f t="shared" si="21"/>
        <v>104000</v>
      </c>
      <c r="K18" s="606">
        <f t="shared" si="22"/>
        <v>944000</v>
      </c>
      <c r="L18" s="606">
        <f t="shared" si="25"/>
        <v>173333.33333333334</v>
      </c>
      <c r="M18" s="606"/>
      <c r="N18" s="606">
        <f t="shared" si="23"/>
        <v>8000</v>
      </c>
      <c r="O18" s="606">
        <f t="shared" si="24"/>
        <v>618666.66666666663</v>
      </c>
      <c r="P18" s="606"/>
    </row>
    <row r="19" spans="1:16">
      <c r="B19" s="601" t="s">
        <v>1016</v>
      </c>
      <c r="C19" s="487">
        <f>+Org!M18</f>
        <v>1</v>
      </c>
      <c r="D19" s="608">
        <v>200000</v>
      </c>
      <c r="E19" s="605">
        <f t="shared" si="17"/>
        <v>200000</v>
      </c>
      <c r="F19" s="605">
        <f t="shared" si="18"/>
        <v>16666.666666666668</v>
      </c>
      <c r="G19" s="605"/>
      <c r="H19" s="605">
        <f t="shared" si="19"/>
        <v>200000</v>
      </c>
      <c r="I19" s="606">
        <f t="shared" si="20"/>
        <v>10000</v>
      </c>
      <c r="J19" s="606">
        <f t="shared" si="21"/>
        <v>26000</v>
      </c>
      <c r="K19" s="606">
        <f t="shared" si="22"/>
        <v>236000</v>
      </c>
      <c r="L19" s="606">
        <f t="shared" si="25"/>
        <v>2000</v>
      </c>
      <c r="M19" s="606"/>
      <c r="N19" s="606">
        <f t="shared" si="23"/>
        <v>2000</v>
      </c>
      <c r="O19" s="606">
        <f t="shared" si="24"/>
        <v>196000</v>
      </c>
      <c r="P19" s="606"/>
    </row>
    <row r="20" spans="1:16">
      <c r="C20" s="602">
        <f>SUM(C16:C19)</f>
        <v>5</v>
      </c>
      <c r="D20" s="606"/>
      <c r="E20" s="607">
        <f>SUM(E16:E19)</f>
        <v>1460000</v>
      </c>
      <c r="F20" s="606"/>
      <c r="G20" s="607">
        <f>SUM(G16:G19)</f>
        <v>0</v>
      </c>
      <c r="H20" s="607">
        <f>SUM(H16:H19)</f>
        <v>1460000</v>
      </c>
      <c r="I20" s="607">
        <f t="shared" ref="I20:K20" si="26">SUM(I16:I19)</f>
        <v>73000</v>
      </c>
      <c r="J20" s="607">
        <f t="shared" si="26"/>
        <v>189800</v>
      </c>
      <c r="K20" s="607">
        <f t="shared" si="26"/>
        <v>1722800</v>
      </c>
      <c r="L20" s="607">
        <f t="shared" ref="L20" si="27">SUM(L16:L19)</f>
        <v>179333.33333333334</v>
      </c>
      <c r="M20" s="607">
        <f t="shared" ref="M20" si="28">SUM(M16:M19)</f>
        <v>0</v>
      </c>
      <c r="N20" s="607">
        <f t="shared" ref="N20" si="29">SUM(N16:N19)</f>
        <v>14600</v>
      </c>
      <c r="O20" s="607">
        <f t="shared" ref="O20" si="30">SUM(O16:O19)</f>
        <v>1266066.6666666665</v>
      </c>
      <c r="P20" s="606"/>
    </row>
    <row r="21" spans="1:16">
      <c r="A21" s="486" t="s">
        <v>84</v>
      </c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06"/>
      <c r="O21" s="606"/>
      <c r="P21" s="606"/>
    </row>
    <row r="22" spans="1:16">
      <c r="B22" s="602" t="str">
        <f>+B15</f>
        <v>Postes</v>
      </c>
      <c r="C22" s="603" t="str">
        <f t="shared" ref="C22:O22" si="31">+C15</f>
        <v>Nb</v>
      </c>
      <c r="D22" s="603" t="str">
        <f t="shared" si="31"/>
        <v>Sal Fixe unit</v>
      </c>
      <c r="E22" s="603" t="str">
        <f t="shared" si="31"/>
        <v>Fixes</v>
      </c>
      <c r="F22" s="603" t="str">
        <f t="shared" si="31"/>
        <v>Primes Unit</v>
      </c>
      <c r="G22" s="603" t="str">
        <f t="shared" si="31"/>
        <v>Primes</v>
      </c>
      <c r="H22" s="603" t="str">
        <f t="shared" si="31"/>
        <v>Sal de base</v>
      </c>
      <c r="I22" s="603" t="str">
        <f t="shared" si="31"/>
        <v>Amit</v>
      </c>
      <c r="J22" s="603" t="str">
        <f t="shared" si="31"/>
        <v>CNaPs</v>
      </c>
      <c r="K22" s="603" t="str">
        <f t="shared" si="31"/>
        <v>Ch Personnel</v>
      </c>
      <c r="L22" s="603" t="str">
        <f t="shared" si="31"/>
        <v>IRSA</v>
      </c>
      <c r="M22" s="603" t="str">
        <f t="shared" si="31"/>
        <v>Amit</v>
      </c>
      <c r="N22" s="603" t="str">
        <f t="shared" si="31"/>
        <v>CNaPs</v>
      </c>
      <c r="O22" s="603" t="str">
        <f t="shared" si="31"/>
        <v>Net à payer</v>
      </c>
      <c r="P22" s="606"/>
    </row>
    <row r="23" spans="1:16">
      <c r="B23" s="512" t="s">
        <v>1005</v>
      </c>
      <c r="C23" s="600">
        <f>+Org!M33</f>
        <v>1</v>
      </c>
      <c r="D23" s="605">
        <f>+Org!F33</f>
        <v>350000</v>
      </c>
      <c r="E23" s="605">
        <f t="shared" ref="E23:E26" si="32">+C23*D23</f>
        <v>350000</v>
      </c>
      <c r="F23" s="605">
        <f>+F5</f>
        <v>281250</v>
      </c>
      <c r="G23" s="605"/>
      <c r="H23" s="605">
        <f t="shared" ref="H23:H26" si="33">+G23+E23</f>
        <v>350000</v>
      </c>
      <c r="I23" s="606">
        <f>+H23*0.05*0</f>
        <v>0</v>
      </c>
      <c r="J23" s="606">
        <f t="shared" ref="J23:J26" si="34">+H23*0.13</f>
        <v>45500</v>
      </c>
      <c r="K23" s="606">
        <f t="shared" ref="K23:K26" si="35">+H23+I23+J23</f>
        <v>395500</v>
      </c>
      <c r="L23" s="606">
        <f>+IF((D23+F23)&lt;350000,2000,(D23+F23)*0.2)*C23</f>
        <v>126250</v>
      </c>
      <c r="M23" s="606">
        <v>0</v>
      </c>
      <c r="N23" s="606">
        <f>+H23*1%</f>
        <v>3500</v>
      </c>
      <c r="O23" s="606">
        <f>+H23-L23-M23-N23</f>
        <v>220250</v>
      </c>
      <c r="P23" s="606"/>
    </row>
    <row r="24" spans="1:16">
      <c r="B24" s="512" t="s">
        <v>1009</v>
      </c>
      <c r="C24" s="600">
        <f>+Org!M34</f>
        <v>6</v>
      </c>
      <c r="D24" s="605">
        <f>+Org!F34</f>
        <v>250000</v>
      </c>
      <c r="E24" s="605">
        <f t="shared" si="32"/>
        <v>1500000</v>
      </c>
      <c r="F24" s="605">
        <f>+F6</f>
        <v>234375</v>
      </c>
      <c r="G24" s="605"/>
      <c r="H24" s="605">
        <f t="shared" si="33"/>
        <v>1500000</v>
      </c>
      <c r="I24" s="606">
        <f t="shared" ref="I24:I26" si="36">+H24*0.05*0</f>
        <v>0</v>
      </c>
      <c r="J24" s="606">
        <f t="shared" si="34"/>
        <v>195000</v>
      </c>
      <c r="K24" s="606">
        <f t="shared" si="35"/>
        <v>1695000</v>
      </c>
      <c r="L24" s="606">
        <f t="shared" ref="L24:L26" si="37">+IF((D24+F24)&lt;350000,2000,(D24+F24)*0.2)*C24</f>
        <v>581250</v>
      </c>
      <c r="M24" s="606">
        <v>0</v>
      </c>
      <c r="N24" s="606">
        <f t="shared" ref="N24:N26" si="38">+H24*1%</f>
        <v>15000</v>
      </c>
      <c r="O24" s="606">
        <f t="shared" ref="O24:O26" si="39">+H24-L24-M24-N24</f>
        <v>903750</v>
      </c>
      <c r="P24" s="606"/>
    </row>
    <row r="25" spans="1:16">
      <c r="B25" s="512" t="s">
        <v>1036</v>
      </c>
      <c r="C25" s="600">
        <f>+Org!M35</f>
        <v>6</v>
      </c>
      <c r="D25" s="605">
        <f>Org!F35</f>
        <v>150000</v>
      </c>
      <c r="E25" s="605">
        <f t="shared" si="32"/>
        <v>900000</v>
      </c>
      <c r="F25" s="605">
        <f>+F24</f>
        <v>234375</v>
      </c>
      <c r="G25" s="605"/>
      <c r="H25" s="605">
        <f t="shared" si="33"/>
        <v>900000</v>
      </c>
      <c r="I25" s="606">
        <f t="shared" si="36"/>
        <v>0</v>
      </c>
      <c r="J25" s="606">
        <f t="shared" si="34"/>
        <v>117000</v>
      </c>
      <c r="K25" s="606">
        <f t="shared" si="35"/>
        <v>1017000</v>
      </c>
      <c r="L25" s="606">
        <f t="shared" si="37"/>
        <v>461250</v>
      </c>
      <c r="M25" s="606">
        <v>0</v>
      </c>
      <c r="N25" s="606">
        <f t="shared" si="38"/>
        <v>9000</v>
      </c>
      <c r="O25" s="606">
        <f t="shared" si="39"/>
        <v>429750</v>
      </c>
      <c r="P25" s="606"/>
    </row>
    <row r="26" spans="1:16">
      <c r="B26" s="512" t="s">
        <v>1014</v>
      </c>
      <c r="C26" s="600">
        <f>+Org!M36</f>
        <v>3</v>
      </c>
      <c r="D26" s="605">
        <f>+Org!F36</f>
        <v>300000</v>
      </c>
      <c r="E26" s="605">
        <f t="shared" si="32"/>
        <v>900000</v>
      </c>
      <c r="F26" s="605">
        <f>+F25</f>
        <v>234375</v>
      </c>
      <c r="G26" s="605"/>
      <c r="H26" s="605">
        <f t="shared" si="33"/>
        <v>900000</v>
      </c>
      <c r="I26" s="606">
        <f t="shared" si="36"/>
        <v>0</v>
      </c>
      <c r="J26" s="606">
        <f t="shared" si="34"/>
        <v>117000</v>
      </c>
      <c r="K26" s="606">
        <f t="shared" si="35"/>
        <v>1017000</v>
      </c>
      <c r="L26" s="606">
        <f t="shared" si="37"/>
        <v>320625</v>
      </c>
      <c r="M26" s="606">
        <v>0</v>
      </c>
      <c r="N26" s="606">
        <f t="shared" si="38"/>
        <v>9000</v>
      </c>
      <c r="O26" s="606">
        <f t="shared" si="39"/>
        <v>570375</v>
      </c>
      <c r="P26" s="606"/>
    </row>
    <row r="27" spans="1:16">
      <c r="C27" s="602">
        <f>SUM(C23:C26)</f>
        <v>16</v>
      </c>
      <c r="D27" s="606"/>
      <c r="E27" s="607">
        <f>SUM(E23:E26)</f>
        <v>3650000</v>
      </c>
      <c r="F27" s="606"/>
      <c r="G27" s="607">
        <f>SUM(G23:G26)</f>
        <v>0</v>
      </c>
      <c r="H27" s="607">
        <f>SUM(H23:H26)</f>
        <v>3650000</v>
      </c>
      <c r="I27" s="607">
        <f t="shared" ref="I27:O27" si="40">SUM(I23:I26)</f>
        <v>0</v>
      </c>
      <c r="J27" s="607">
        <f t="shared" si="40"/>
        <v>474500</v>
      </c>
      <c r="K27" s="607">
        <f t="shared" si="40"/>
        <v>4124500</v>
      </c>
      <c r="L27" s="607">
        <f t="shared" si="40"/>
        <v>1489375</v>
      </c>
      <c r="M27" s="607">
        <f t="shared" si="40"/>
        <v>0</v>
      </c>
      <c r="N27" s="607">
        <f t="shared" si="40"/>
        <v>36500</v>
      </c>
      <c r="O27" s="607">
        <f t="shared" si="40"/>
        <v>2124125</v>
      </c>
      <c r="P27" s="606"/>
    </row>
    <row r="28" spans="1:16">
      <c r="C28" s="602"/>
      <c r="D28" s="606"/>
      <c r="E28" s="607"/>
      <c r="F28" s="606"/>
      <c r="G28" s="607"/>
      <c r="H28" s="607"/>
      <c r="I28" s="607"/>
      <c r="J28" s="607"/>
      <c r="K28" s="607"/>
      <c r="L28" s="607"/>
      <c r="M28" s="607"/>
      <c r="N28" s="607"/>
      <c r="O28" s="607"/>
      <c r="P28" s="606"/>
    </row>
    <row r="29" spans="1:16">
      <c r="A29" s="486" t="s">
        <v>1115</v>
      </c>
      <c r="C29" s="602"/>
      <c r="D29" s="606"/>
      <c r="E29" s="607"/>
      <c r="F29" s="606"/>
      <c r="G29" s="607"/>
      <c r="H29" s="607"/>
      <c r="I29" s="607"/>
      <c r="J29" s="607"/>
      <c r="K29" s="607"/>
      <c r="L29" s="607"/>
      <c r="M29" s="607"/>
      <c r="N29" s="607"/>
      <c r="O29" s="607"/>
      <c r="P29" s="606"/>
    </row>
    <row r="30" spans="1:16">
      <c r="B30" s="602" t="str">
        <f>+B22</f>
        <v>Postes</v>
      </c>
      <c r="C30" s="603" t="str">
        <f t="shared" ref="C30:O30" si="41">+C22</f>
        <v>Nb</v>
      </c>
      <c r="D30" s="603" t="str">
        <f t="shared" si="41"/>
        <v>Sal Fixe unit</v>
      </c>
      <c r="E30" s="603" t="str">
        <f t="shared" si="41"/>
        <v>Fixes</v>
      </c>
      <c r="F30" s="603" t="str">
        <f t="shared" si="41"/>
        <v>Primes Unit</v>
      </c>
      <c r="G30" s="603" t="str">
        <f t="shared" si="41"/>
        <v>Primes</v>
      </c>
      <c r="H30" s="603" t="str">
        <f t="shared" si="41"/>
        <v>Sal de base</v>
      </c>
      <c r="I30" s="603" t="str">
        <f t="shared" si="41"/>
        <v>Amit</v>
      </c>
      <c r="J30" s="603" t="str">
        <f t="shared" si="41"/>
        <v>CNaPs</v>
      </c>
      <c r="K30" s="603" t="str">
        <f t="shared" si="41"/>
        <v>Ch Personnel</v>
      </c>
      <c r="L30" s="603" t="str">
        <f t="shared" si="41"/>
        <v>IRSA</v>
      </c>
      <c r="M30" s="603" t="str">
        <f t="shared" si="41"/>
        <v>Amit</v>
      </c>
      <c r="N30" s="603" t="str">
        <f t="shared" si="41"/>
        <v>CNaPs</v>
      </c>
      <c r="O30" s="603" t="str">
        <f t="shared" si="41"/>
        <v>Net à payer</v>
      </c>
      <c r="P30" s="606"/>
    </row>
    <row r="31" spans="1:16">
      <c r="B31" s="600" t="str">
        <f>+Org!AN31</f>
        <v>Resp Site</v>
      </c>
      <c r="C31" s="600">
        <f>+Org!AV31</f>
        <v>1</v>
      </c>
      <c r="D31" s="606">
        <f>+Org!AW31</f>
        <v>400000</v>
      </c>
      <c r="E31" s="606">
        <f>+C31*D31</f>
        <v>400000</v>
      </c>
      <c r="F31" s="605">
        <f t="shared" ref="F31:F32" si="42">+D31/12</f>
        <v>33333.333333333336</v>
      </c>
      <c r="G31" s="606"/>
      <c r="H31" s="606">
        <f>+G31+E31</f>
        <v>400000</v>
      </c>
      <c r="I31" s="606">
        <f>+H31*0.05*0</f>
        <v>0</v>
      </c>
      <c r="J31" s="606">
        <f t="shared" ref="J31:J32" si="43">+H31*0.13</f>
        <v>52000</v>
      </c>
      <c r="K31" s="606">
        <f t="shared" ref="K31:K32" si="44">+H31+I31+J31</f>
        <v>452000</v>
      </c>
      <c r="L31" s="606">
        <f t="shared" ref="L31:L32" si="45">+IF((D31+F31)&lt;350000,2000,(D31+F31)*0.2)*C31</f>
        <v>86666.666666666672</v>
      </c>
      <c r="M31" s="606">
        <f>+H31*1%</f>
        <v>4000</v>
      </c>
      <c r="N31" s="606">
        <f>+H31*1%</f>
        <v>4000</v>
      </c>
      <c r="O31" s="606">
        <f t="shared" ref="O31:O32" si="46">+H31-L31-M31-N31</f>
        <v>305333.33333333331</v>
      </c>
      <c r="P31" s="606"/>
    </row>
    <row r="32" spans="1:16">
      <c r="B32" s="600" t="str">
        <f>+Org!AN32</f>
        <v>Assistants</v>
      </c>
      <c r="C32" s="600">
        <f>+Org!AV32</f>
        <v>2</v>
      </c>
      <c r="D32" s="606">
        <v>250000</v>
      </c>
      <c r="E32" s="606">
        <f>+C32*D32</f>
        <v>500000</v>
      </c>
      <c r="F32" s="605">
        <f t="shared" si="42"/>
        <v>20833.333333333332</v>
      </c>
      <c r="G32" s="606"/>
      <c r="H32" s="606">
        <f>+G32+E32</f>
        <v>500000</v>
      </c>
      <c r="I32" s="606">
        <f>+H32*0.05*0</f>
        <v>0</v>
      </c>
      <c r="J32" s="606">
        <f t="shared" si="43"/>
        <v>65000</v>
      </c>
      <c r="K32" s="606">
        <f t="shared" si="44"/>
        <v>565000</v>
      </c>
      <c r="L32" s="606">
        <f t="shared" si="45"/>
        <v>4000</v>
      </c>
      <c r="M32" s="606">
        <f>+H32*1%</f>
        <v>5000</v>
      </c>
      <c r="N32" s="606">
        <f>+H32*1%</f>
        <v>5000</v>
      </c>
      <c r="O32" s="606">
        <f t="shared" si="46"/>
        <v>486000</v>
      </c>
      <c r="P32" s="606"/>
    </row>
    <row r="33" spans="1:17">
      <c r="C33" s="602">
        <f>SUM(C31:C32)</f>
        <v>3</v>
      </c>
      <c r="D33" s="606"/>
      <c r="E33" s="607">
        <f>SUM(E31:E32)</f>
        <v>900000</v>
      </c>
      <c r="F33" s="606"/>
      <c r="G33" s="607">
        <f>SUM(G31:G32)</f>
        <v>0</v>
      </c>
      <c r="H33" s="607">
        <f>SUM(H31:H32)</f>
        <v>900000</v>
      </c>
      <c r="I33" s="607"/>
      <c r="J33" s="607">
        <f t="shared" ref="J33:L33" si="47">SUM(J31:J32)</f>
        <v>117000</v>
      </c>
      <c r="K33" s="607">
        <f t="shared" si="47"/>
        <v>1017000</v>
      </c>
      <c r="L33" s="607">
        <f t="shared" si="47"/>
        <v>90666.666666666672</v>
      </c>
      <c r="M33" s="607">
        <f t="shared" ref="M33" si="48">SUM(M31:M32)</f>
        <v>9000</v>
      </c>
      <c r="N33" s="607">
        <f t="shared" ref="N33" si="49">SUM(N31:N32)</f>
        <v>9000</v>
      </c>
      <c r="O33" s="607">
        <f t="shared" ref="O33" si="50">SUM(O31:O32)</f>
        <v>791333.33333333326</v>
      </c>
      <c r="P33" s="606"/>
    </row>
    <row r="34" spans="1:17">
      <c r="C34" s="602"/>
      <c r="D34" s="606"/>
      <c r="E34" s="607"/>
      <c r="F34" s="606"/>
      <c r="G34" s="607"/>
      <c r="H34" s="607"/>
      <c r="I34" s="607"/>
      <c r="J34" s="607"/>
      <c r="K34" s="607"/>
      <c r="L34" s="607"/>
      <c r="M34" s="607"/>
      <c r="N34" s="607"/>
      <c r="O34" s="607"/>
      <c r="P34" s="606"/>
    </row>
    <row r="35" spans="1:17">
      <c r="D35" s="606"/>
      <c r="E35" s="606"/>
      <c r="F35" s="606"/>
      <c r="G35" s="606"/>
      <c r="H35" s="606"/>
      <c r="I35" s="606"/>
      <c r="J35" s="606"/>
      <c r="K35" s="606"/>
      <c r="L35" s="606"/>
      <c r="M35" s="606"/>
      <c r="N35" s="606"/>
      <c r="O35" s="606"/>
      <c r="P35" s="606"/>
    </row>
    <row r="36" spans="1:17">
      <c r="A36" s="486" t="s">
        <v>353</v>
      </c>
      <c r="D36" s="606"/>
      <c r="E36" s="606"/>
      <c r="F36" s="606"/>
      <c r="G36" s="606"/>
      <c r="H36" s="606"/>
      <c r="I36" s="606"/>
      <c r="J36" s="606"/>
      <c r="K36" s="606"/>
      <c r="L36" s="606"/>
      <c r="M36" s="606"/>
      <c r="N36" s="606"/>
      <c r="O36" s="606"/>
      <c r="P36" s="606"/>
    </row>
    <row r="37" spans="1:17">
      <c r="B37" s="602" t="str">
        <f>+B22</f>
        <v>Postes</v>
      </c>
      <c r="C37" s="603" t="str">
        <f t="shared" ref="C37:O37" si="51">+C22</f>
        <v>Nb</v>
      </c>
      <c r="D37" s="603" t="str">
        <f t="shared" si="51"/>
        <v>Sal Fixe unit</v>
      </c>
      <c r="E37" s="603" t="str">
        <f t="shared" si="51"/>
        <v>Fixes</v>
      </c>
      <c r="F37" s="603" t="str">
        <f t="shared" si="51"/>
        <v>Primes Unit</v>
      </c>
      <c r="G37" s="603" t="str">
        <f t="shared" si="51"/>
        <v>Primes</v>
      </c>
      <c r="H37" s="603" t="str">
        <f t="shared" si="51"/>
        <v>Sal de base</v>
      </c>
      <c r="I37" s="603" t="str">
        <f t="shared" si="51"/>
        <v>Amit</v>
      </c>
      <c r="J37" s="603" t="str">
        <f t="shared" si="51"/>
        <v>CNaPs</v>
      </c>
      <c r="K37" s="603" t="str">
        <f t="shared" si="51"/>
        <v>Ch Personnel</v>
      </c>
      <c r="L37" s="603" t="str">
        <f t="shared" si="51"/>
        <v>IRSA</v>
      </c>
      <c r="M37" s="603" t="str">
        <f t="shared" si="51"/>
        <v>Amit</v>
      </c>
      <c r="N37" s="603" t="str">
        <f t="shared" si="51"/>
        <v>CNaPs</v>
      </c>
      <c r="O37" s="603" t="str">
        <f t="shared" si="51"/>
        <v>Net à payer</v>
      </c>
      <c r="P37" s="606"/>
    </row>
    <row r="38" spans="1:17">
      <c r="B38" s="601" t="s">
        <v>1056</v>
      </c>
      <c r="C38" s="487">
        <f>+Org!M63</f>
        <v>1</v>
      </c>
      <c r="D38" s="605">
        <f>+Org!F63</f>
        <v>2000000</v>
      </c>
      <c r="E38" s="605">
        <f t="shared" ref="E38:E53" si="52">+C38*D38</f>
        <v>2000000</v>
      </c>
      <c r="F38" s="605">
        <f>+Org!J112</f>
        <v>1875000</v>
      </c>
      <c r="G38" s="606"/>
      <c r="H38" s="605">
        <f>+G38+E38</f>
        <v>2000000</v>
      </c>
      <c r="I38" s="606">
        <f t="shared" ref="I38:I53" si="53">+H38*0.05</f>
        <v>100000</v>
      </c>
      <c r="J38" s="606">
        <f t="shared" ref="J38" si="54">+H38*0.13</f>
        <v>260000</v>
      </c>
      <c r="K38" s="606">
        <f t="shared" ref="K38" si="55">+H38+I38+J38</f>
        <v>2360000</v>
      </c>
      <c r="L38" s="606">
        <f t="shared" ref="L38:L53" si="56">+IF((D38+F38)&lt;350000,2000,(D38+F38)*0.2)</f>
        <v>775000</v>
      </c>
      <c r="M38" s="606">
        <f>+H38*1%</f>
        <v>20000</v>
      </c>
      <c r="N38" s="606">
        <f>+H38*1%</f>
        <v>20000</v>
      </c>
      <c r="O38" s="606">
        <f>+H38-L38-M38-N38</f>
        <v>1185000</v>
      </c>
      <c r="P38" s="606"/>
    </row>
    <row r="39" spans="1:17">
      <c r="B39" s="601" t="s">
        <v>1009</v>
      </c>
      <c r="C39" s="487">
        <f>+Org!M64</f>
        <v>6</v>
      </c>
      <c r="D39" s="605">
        <f>+Org!F64</f>
        <v>250000</v>
      </c>
      <c r="E39" s="605">
        <f t="shared" si="52"/>
        <v>1500000</v>
      </c>
      <c r="F39" s="605">
        <f>+Org!J125</f>
        <v>234375</v>
      </c>
      <c r="G39" s="606"/>
      <c r="H39" s="605">
        <f t="shared" ref="H39:H53" si="57">+G39+E39</f>
        <v>1500000</v>
      </c>
      <c r="I39" s="606">
        <f t="shared" si="53"/>
        <v>75000</v>
      </c>
      <c r="J39" s="606">
        <f t="shared" ref="J39:J52" si="58">+H39*0.13</f>
        <v>195000</v>
      </c>
      <c r="K39" s="606">
        <f t="shared" ref="K39:K52" si="59">+H39+I39+J39</f>
        <v>1770000</v>
      </c>
      <c r="L39" s="606">
        <f t="shared" si="56"/>
        <v>96875</v>
      </c>
      <c r="M39" s="606">
        <f t="shared" ref="M39:M53" si="60">+H39*1%</f>
        <v>15000</v>
      </c>
      <c r="N39" s="606">
        <f t="shared" ref="N39:N53" si="61">+H39*1%</f>
        <v>15000</v>
      </c>
      <c r="O39" s="606">
        <f t="shared" ref="O39:O53" si="62">+H39-L39-M39-N39</f>
        <v>1373125</v>
      </c>
      <c r="P39" s="606"/>
      <c r="Q39" s="600">
        <f>+O39/C39</f>
        <v>228854.16666666666</v>
      </c>
    </row>
    <row r="40" spans="1:17">
      <c r="B40" s="601" t="s">
        <v>1036</v>
      </c>
      <c r="C40" s="487">
        <f>+Org!M65</f>
        <v>6</v>
      </c>
      <c r="D40" s="605">
        <f>+Org!F65</f>
        <v>150000</v>
      </c>
      <c r="E40" s="605">
        <f t="shared" si="52"/>
        <v>900000</v>
      </c>
      <c r="F40" s="605">
        <f>+Org!J125</f>
        <v>234375</v>
      </c>
      <c r="G40" s="606"/>
      <c r="H40" s="605">
        <f t="shared" si="57"/>
        <v>900000</v>
      </c>
      <c r="I40" s="606">
        <f t="shared" si="53"/>
        <v>45000</v>
      </c>
      <c r="J40" s="606">
        <f t="shared" si="58"/>
        <v>117000</v>
      </c>
      <c r="K40" s="606">
        <f t="shared" si="59"/>
        <v>1062000</v>
      </c>
      <c r="L40" s="606">
        <f t="shared" si="56"/>
        <v>76875</v>
      </c>
      <c r="M40" s="606">
        <f t="shared" si="60"/>
        <v>9000</v>
      </c>
      <c r="N40" s="606">
        <f t="shared" si="61"/>
        <v>9000</v>
      </c>
      <c r="O40" s="606">
        <f t="shared" si="62"/>
        <v>805125</v>
      </c>
      <c r="P40" s="606"/>
    </row>
    <row r="41" spans="1:17">
      <c r="B41" s="601" t="s">
        <v>1057</v>
      </c>
      <c r="C41" s="487">
        <f>+Org!M66</f>
        <v>1</v>
      </c>
      <c r="D41" s="605">
        <f>+Org!F66</f>
        <v>500000</v>
      </c>
      <c r="E41" s="605">
        <f t="shared" si="52"/>
        <v>500000</v>
      </c>
      <c r="F41" s="605">
        <f>+Org!J113</f>
        <v>281250</v>
      </c>
      <c r="G41" s="606"/>
      <c r="H41" s="605">
        <f t="shared" si="57"/>
        <v>500000</v>
      </c>
      <c r="I41" s="606">
        <f t="shared" si="53"/>
        <v>25000</v>
      </c>
      <c r="J41" s="606">
        <f t="shared" si="58"/>
        <v>65000</v>
      </c>
      <c r="K41" s="606">
        <f t="shared" si="59"/>
        <v>590000</v>
      </c>
      <c r="L41" s="606">
        <f t="shared" si="56"/>
        <v>156250</v>
      </c>
      <c r="M41" s="606">
        <f t="shared" si="60"/>
        <v>5000</v>
      </c>
      <c r="N41" s="606">
        <f t="shared" si="61"/>
        <v>5000</v>
      </c>
      <c r="O41" s="606">
        <f t="shared" si="62"/>
        <v>333750</v>
      </c>
      <c r="P41" s="606"/>
    </row>
    <row r="42" spans="1:17">
      <c r="B42" s="601" t="s">
        <v>1058</v>
      </c>
      <c r="C42" s="487">
        <f>+Org!M67</f>
        <v>1</v>
      </c>
      <c r="D42" s="605">
        <f>+Org!F67</f>
        <v>500000</v>
      </c>
      <c r="E42" s="605">
        <f t="shared" si="52"/>
        <v>500000</v>
      </c>
      <c r="F42" s="605">
        <f>+Org!J113</f>
        <v>281250</v>
      </c>
      <c r="G42" s="606"/>
      <c r="H42" s="605">
        <f t="shared" si="57"/>
        <v>500000</v>
      </c>
      <c r="I42" s="606">
        <f t="shared" si="53"/>
        <v>25000</v>
      </c>
      <c r="J42" s="606">
        <f t="shared" si="58"/>
        <v>65000</v>
      </c>
      <c r="K42" s="606">
        <f t="shared" si="59"/>
        <v>590000</v>
      </c>
      <c r="L42" s="606">
        <f t="shared" si="56"/>
        <v>156250</v>
      </c>
      <c r="M42" s="606">
        <f t="shared" si="60"/>
        <v>5000</v>
      </c>
      <c r="N42" s="606">
        <f t="shared" si="61"/>
        <v>5000</v>
      </c>
      <c r="O42" s="606">
        <f t="shared" si="62"/>
        <v>333750</v>
      </c>
      <c r="P42" s="606"/>
    </row>
    <row r="43" spans="1:17">
      <c r="B43" s="601" t="s">
        <v>1059</v>
      </c>
      <c r="C43" s="487">
        <f>+Org!M68</f>
        <v>3</v>
      </c>
      <c r="D43" s="605">
        <f>+Org!F68</f>
        <v>500000</v>
      </c>
      <c r="E43" s="605">
        <f t="shared" si="52"/>
        <v>1500000</v>
      </c>
      <c r="F43" s="605">
        <f>+Org!J125</f>
        <v>234375</v>
      </c>
      <c r="G43" s="606"/>
      <c r="H43" s="605">
        <f t="shared" si="57"/>
        <v>1500000</v>
      </c>
      <c r="I43" s="606">
        <f t="shared" si="53"/>
        <v>75000</v>
      </c>
      <c r="J43" s="606">
        <f t="shared" si="58"/>
        <v>195000</v>
      </c>
      <c r="K43" s="606">
        <f t="shared" si="59"/>
        <v>1770000</v>
      </c>
      <c r="L43" s="606">
        <f t="shared" si="56"/>
        <v>146875</v>
      </c>
      <c r="M43" s="606">
        <f t="shared" si="60"/>
        <v>15000</v>
      </c>
      <c r="N43" s="606">
        <f t="shared" si="61"/>
        <v>15000</v>
      </c>
      <c r="O43" s="606">
        <f t="shared" si="62"/>
        <v>1323125</v>
      </c>
      <c r="P43" s="606"/>
    </row>
    <row r="44" spans="1:17">
      <c r="B44" s="601" t="s">
        <v>1060</v>
      </c>
      <c r="C44" s="487">
        <f>+Org!M69</f>
        <v>0</v>
      </c>
      <c r="D44" s="605">
        <f>+Org!F69</f>
        <v>350000</v>
      </c>
      <c r="E44" s="605">
        <f t="shared" si="52"/>
        <v>0</v>
      </c>
      <c r="F44" s="605">
        <f>+Org!J125</f>
        <v>234375</v>
      </c>
      <c r="G44" s="606"/>
      <c r="H44" s="605">
        <f t="shared" si="57"/>
        <v>0</v>
      </c>
      <c r="I44" s="606">
        <f t="shared" si="53"/>
        <v>0</v>
      </c>
      <c r="J44" s="606">
        <f t="shared" si="58"/>
        <v>0</v>
      </c>
      <c r="K44" s="606">
        <f t="shared" si="59"/>
        <v>0</v>
      </c>
      <c r="L44" s="606">
        <f t="shared" si="56"/>
        <v>116875</v>
      </c>
      <c r="M44" s="606">
        <f t="shared" si="60"/>
        <v>0</v>
      </c>
      <c r="N44" s="606">
        <f t="shared" si="61"/>
        <v>0</v>
      </c>
      <c r="O44" s="606">
        <f t="shared" si="62"/>
        <v>-116875</v>
      </c>
      <c r="P44" s="606"/>
    </row>
    <row r="45" spans="1:17">
      <c r="B45" s="601" t="s">
        <v>1061</v>
      </c>
      <c r="C45" s="487">
        <f>+Org!M70</f>
        <v>2</v>
      </c>
      <c r="D45" s="605">
        <f>+Org!F70</f>
        <v>500000</v>
      </c>
      <c r="E45" s="605">
        <f t="shared" si="52"/>
        <v>1000000</v>
      </c>
      <c r="F45" s="605">
        <f>+Org!J125</f>
        <v>234375</v>
      </c>
      <c r="G45" s="606"/>
      <c r="H45" s="605">
        <f t="shared" si="57"/>
        <v>1000000</v>
      </c>
      <c r="I45" s="606">
        <f t="shared" si="53"/>
        <v>50000</v>
      </c>
      <c r="J45" s="606">
        <f t="shared" si="58"/>
        <v>130000</v>
      </c>
      <c r="K45" s="606">
        <f t="shared" si="59"/>
        <v>1180000</v>
      </c>
      <c r="L45" s="606">
        <f t="shared" si="56"/>
        <v>146875</v>
      </c>
      <c r="M45" s="606">
        <f t="shared" si="60"/>
        <v>10000</v>
      </c>
      <c r="N45" s="606">
        <f t="shared" si="61"/>
        <v>10000</v>
      </c>
      <c r="O45" s="606">
        <f t="shared" si="62"/>
        <v>833125</v>
      </c>
      <c r="P45" s="606"/>
    </row>
    <row r="46" spans="1:17">
      <c r="B46" s="601" t="s">
        <v>1062</v>
      </c>
      <c r="C46" s="487">
        <f>+Org!M71</f>
        <v>3</v>
      </c>
      <c r="D46" s="605">
        <f>+Org!F71</f>
        <v>250000</v>
      </c>
      <c r="E46" s="605">
        <f t="shared" si="52"/>
        <v>750000</v>
      </c>
      <c r="F46" s="605">
        <f t="shared" ref="F46:F50" si="63">+D46/12</f>
        <v>20833.333333333332</v>
      </c>
      <c r="G46" s="606"/>
      <c r="H46" s="605">
        <f t="shared" si="57"/>
        <v>750000</v>
      </c>
      <c r="I46" s="606">
        <f t="shared" si="53"/>
        <v>37500</v>
      </c>
      <c r="J46" s="606">
        <f t="shared" si="58"/>
        <v>97500</v>
      </c>
      <c r="K46" s="606">
        <f t="shared" si="59"/>
        <v>885000</v>
      </c>
      <c r="L46" s="606">
        <f t="shared" si="56"/>
        <v>2000</v>
      </c>
      <c r="M46" s="606">
        <f t="shared" si="60"/>
        <v>7500</v>
      </c>
      <c r="N46" s="606">
        <f t="shared" si="61"/>
        <v>7500</v>
      </c>
      <c r="O46" s="606">
        <f t="shared" si="62"/>
        <v>733000</v>
      </c>
      <c r="P46" s="606"/>
    </row>
    <row r="47" spans="1:17">
      <c r="B47" s="601" t="s">
        <v>1063</v>
      </c>
      <c r="C47" s="487">
        <f>+Org!M72</f>
        <v>0</v>
      </c>
      <c r="D47" s="605">
        <f>+Org!F72</f>
        <v>230000</v>
      </c>
      <c r="E47" s="605">
        <f t="shared" si="52"/>
        <v>0</v>
      </c>
      <c r="F47" s="605">
        <f t="shared" si="63"/>
        <v>19166.666666666668</v>
      </c>
      <c r="G47" s="606"/>
      <c r="H47" s="605">
        <f t="shared" si="57"/>
        <v>0</v>
      </c>
      <c r="I47" s="606">
        <f t="shared" si="53"/>
        <v>0</v>
      </c>
      <c r="J47" s="606">
        <f t="shared" si="58"/>
        <v>0</v>
      </c>
      <c r="K47" s="606">
        <f t="shared" si="59"/>
        <v>0</v>
      </c>
      <c r="L47" s="606">
        <f t="shared" si="56"/>
        <v>2000</v>
      </c>
      <c r="M47" s="606">
        <f t="shared" si="60"/>
        <v>0</v>
      </c>
      <c r="N47" s="606">
        <f t="shared" si="61"/>
        <v>0</v>
      </c>
      <c r="O47" s="606">
        <f t="shared" si="62"/>
        <v>-2000</v>
      </c>
      <c r="P47" s="606"/>
    </row>
    <row r="48" spans="1:17">
      <c r="B48" s="601" t="s">
        <v>73</v>
      </c>
      <c r="C48" s="487">
        <f>+Org!M73</f>
        <v>1</v>
      </c>
      <c r="D48" s="605">
        <f>+Org!F73</f>
        <v>275000</v>
      </c>
      <c r="E48" s="605">
        <f t="shared" si="52"/>
        <v>275000</v>
      </c>
      <c r="F48" s="605">
        <f t="shared" si="63"/>
        <v>22916.666666666668</v>
      </c>
      <c r="G48" s="606"/>
      <c r="H48" s="605">
        <f t="shared" si="57"/>
        <v>275000</v>
      </c>
      <c r="I48" s="606">
        <f t="shared" si="53"/>
        <v>13750</v>
      </c>
      <c r="J48" s="606">
        <f t="shared" si="58"/>
        <v>35750</v>
      </c>
      <c r="K48" s="606">
        <f t="shared" si="59"/>
        <v>324500</v>
      </c>
      <c r="L48" s="606">
        <f t="shared" si="56"/>
        <v>2000</v>
      </c>
      <c r="M48" s="606">
        <f t="shared" si="60"/>
        <v>2750</v>
      </c>
      <c r="N48" s="606">
        <f t="shared" si="61"/>
        <v>2750</v>
      </c>
      <c r="O48" s="606">
        <f t="shared" si="62"/>
        <v>267500</v>
      </c>
      <c r="P48" s="606"/>
    </row>
    <row r="49" spans="1:16">
      <c r="B49" s="601" t="s">
        <v>77</v>
      </c>
      <c r="C49" s="487">
        <f>+Org!M74</f>
        <v>1</v>
      </c>
      <c r="D49" s="605">
        <f>+Org!F74</f>
        <v>250000</v>
      </c>
      <c r="E49" s="605">
        <f t="shared" si="52"/>
        <v>250000</v>
      </c>
      <c r="F49" s="605">
        <f t="shared" si="63"/>
        <v>20833.333333333332</v>
      </c>
      <c r="G49" s="606"/>
      <c r="H49" s="605">
        <f t="shared" si="57"/>
        <v>250000</v>
      </c>
      <c r="I49" s="606">
        <f t="shared" si="53"/>
        <v>12500</v>
      </c>
      <c r="J49" s="606">
        <f t="shared" si="58"/>
        <v>32500</v>
      </c>
      <c r="K49" s="606">
        <f t="shared" si="59"/>
        <v>295000</v>
      </c>
      <c r="L49" s="606">
        <f t="shared" si="56"/>
        <v>2000</v>
      </c>
      <c r="M49" s="606">
        <f t="shared" si="60"/>
        <v>2500</v>
      </c>
      <c r="N49" s="606">
        <f t="shared" si="61"/>
        <v>2500</v>
      </c>
      <c r="O49" s="606">
        <f t="shared" si="62"/>
        <v>243000</v>
      </c>
      <c r="P49" s="606"/>
    </row>
    <row r="50" spans="1:16">
      <c r="B50" s="601" t="s">
        <v>1064</v>
      </c>
      <c r="C50" s="487">
        <f>+Org!M75</f>
        <v>1</v>
      </c>
      <c r="D50" s="605">
        <f>+Org!F75</f>
        <v>250000</v>
      </c>
      <c r="E50" s="605">
        <f t="shared" si="52"/>
        <v>250000</v>
      </c>
      <c r="F50" s="605">
        <f t="shared" si="63"/>
        <v>20833.333333333332</v>
      </c>
      <c r="G50" s="606"/>
      <c r="H50" s="605">
        <f t="shared" si="57"/>
        <v>250000</v>
      </c>
      <c r="I50" s="606">
        <f t="shared" si="53"/>
        <v>12500</v>
      </c>
      <c r="J50" s="606">
        <f t="shared" si="58"/>
        <v>32500</v>
      </c>
      <c r="K50" s="606">
        <f t="shared" si="59"/>
        <v>295000</v>
      </c>
      <c r="L50" s="606">
        <f t="shared" si="56"/>
        <v>2000</v>
      </c>
      <c r="M50" s="606">
        <f t="shared" si="60"/>
        <v>2500</v>
      </c>
      <c r="N50" s="606">
        <f t="shared" si="61"/>
        <v>2500</v>
      </c>
      <c r="O50" s="606">
        <f t="shared" si="62"/>
        <v>243000</v>
      </c>
      <c r="P50" s="606"/>
    </row>
    <row r="51" spans="1:16">
      <c r="B51" s="601" t="s">
        <v>58</v>
      </c>
      <c r="C51" s="487">
        <f>+Org!M76</f>
        <v>1</v>
      </c>
      <c r="D51" s="605">
        <f>+Org!F76</f>
        <v>1500000</v>
      </c>
      <c r="E51" s="605">
        <f t="shared" si="52"/>
        <v>1500000</v>
      </c>
      <c r="F51" s="605">
        <f>+Org!J113</f>
        <v>281250</v>
      </c>
      <c r="G51" s="606"/>
      <c r="H51" s="605">
        <f t="shared" si="57"/>
        <v>1500000</v>
      </c>
      <c r="I51" s="606">
        <f t="shared" si="53"/>
        <v>75000</v>
      </c>
      <c r="J51" s="606">
        <f t="shared" si="58"/>
        <v>195000</v>
      </c>
      <c r="K51" s="606">
        <f t="shared" si="59"/>
        <v>1770000</v>
      </c>
      <c r="L51" s="606">
        <f t="shared" si="56"/>
        <v>356250</v>
      </c>
      <c r="M51" s="606">
        <f t="shared" si="60"/>
        <v>15000</v>
      </c>
      <c r="N51" s="606">
        <f t="shared" si="61"/>
        <v>15000</v>
      </c>
      <c r="O51" s="606">
        <f t="shared" si="62"/>
        <v>1113750</v>
      </c>
      <c r="P51" s="606"/>
    </row>
    <row r="52" spans="1:16">
      <c r="B52" s="601" t="s">
        <v>1065</v>
      </c>
      <c r="C52" s="487">
        <f>+Org!M77</f>
        <v>1</v>
      </c>
      <c r="D52" s="605">
        <f>+Org!F77</f>
        <v>500000</v>
      </c>
      <c r="E52" s="605">
        <f t="shared" si="52"/>
        <v>500000</v>
      </c>
      <c r="F52" s="605">
        <f>+Org!J113</f>
        <v>281250</v>
      </c>
      <c r="G52" s="606"/>
      <c r="H52" s="605">
        <f t="shared" si="57"/>
        <v>500000</v>
      </c>
      <c r="I52" s="606">
        <f t="shared" si="53"/>
        <v>25000</v>
      </c>
      <c r="J52" s="606">
        <f t="shared" si="58"/>
        <v>65000</v>
      </c>
      <c r="K52" s="606">
        <f t="shared" si="59"/>
        <v>590000</v>
      </c>
      <c r="L52" s="606">
        <f t="shared" si="56"/>
        <v>156250</v>
      </c>
      <c r="M52" s="606">
        <f t="shared" si="60"/>
        <v>5000</v>
      </c>
      <c r="N52" s="606">
        <f t="shared" si="61"/>
        <v>5000</v>
      </c>
      <c r="O52" s="606">
        <f t="shared" si="62"/>
        <v>333750</v>
      </c>
      <c r="P52" s="606"/>
    </row>
    <row r="53" spans="1:16">
      <c r="B53" s="601" t="s">
        <v>1066</v>
      </c>
      <c r="C53" s="487">
        <f>+Org!M78</f>
        <v>2</v>
      </c>
      <c r="D53" s="605">
        <f>+Org!F78</f>
        <v>300000</v>
      </c>
      <c r="E53" s="605">
        <f t="shared" si="52"/>
        <v>600000</v>
      </c>
      <c r="F53" s="605">
        <f>+Org!J113</f>
        <v>281250</v>
      </c>
      <c r="G53" s="606"/>
      <c r="H53" s="605">
        <f t="shared" si="57"/>
        <v>600000</v>
      </c>
      <c r="I53" s="606">
        <f t="shared" si="53"/>
        <v>30000</v>
      </c>
      <c r="J53" s="606">
        <f t="shared" ref="J53" si="64">+H53*0.13</f>
        <v>78000</v>
      </c>
      <c r="K53" s="606">
        <f t="shared" ref="K53" si="65">+H53+I53+J53</f>
        <v>708000</v>
      </c>
      <c r="L53" s="606">
        <f t="shared" si="56"/>
        <v>116250</v>
      </c>
      <c r="M53" s="606">
        <f t="shared" si="60"/>
        <v>6000</v>
      </c>
      <c r="N53" s="606">
        <f t="shared" si="61"/>
        <v>6000</v>
      </c>
      <c r="O53" s="606">
        <f t="shared" si="62"/>
        <v>471750</v>
      </c>
      <c r="P53" s="606"/>
    </row>
    <row r="54" spans="1:16">
      <c r="B54" s="602" t="s">
        <v>362</v>
      </c>
      <c r="C54" s="602">
        <f>SUM(C38:C53)</f>
        <v>30</v>
      </c>
      <c r="D54" s="606"/>
      <c r="E54" s="607">
        <f>SUM(E38:E53)</f>
        <v>12025000</v>
      </c>
      <c r="F54" s="606"/>
      <c r="G54" s="607">
        <f t="shared" ref="G54:O54" si="66">SUM(G38:G53)</f>
        <v>0</v>
      </c>
      <c r="H54" s="607">
        <f t="shared" si="66"/>
        <v>12025000</v>
      </c>
      <c r="I54" s="607">
        <f t="shared" si="66"/>
        <v>601250</v>
      </c>
      <c r="J54" s="607">
        <f t="shared" si="66"/>
        <v>1563250</v>
      </c>
      <c r="K54" s="607">
        <f t="shared" si="66"/>
        <v>14189500</v>
      </c>
      <c r="L54" s="607">
        <f t="shared" si="66"/>
        <v>2310625</v>
      </c>
      <c r="M54" s="607">
        <f t="shared" si="66"/>
        <v>120250</v>
      </c>
      <c r="N54" s="607">
        <f t="shared" si="66"/>
        <v>120250</v>
      </c>
      <c r="O54" s="607">
        <f t="shared" si="66"/>
        <v>9473875</v>
      </c>
      <c r="P54" s="606"/>
    </row>
    <row r="55" spans="1:16">
      <c r="B55" s="602"/>
      <c r="C55" s="602"/>
      <c r="D55" s="606"/>
      <c r="E55" s="607"/>
      <c r="F55" s="606"/>
      <c r="G55" s="607"/>
      <c r="H55" s="607"/>
      <c r="I55" s="607"/>
      <c r="J55" s="607"/>
      <c r="K55" s="607"/>
      <c r="L55" s="607"/>
      <c r="M55" s="607"/>
      <c r="N55" s="607"/>
      <c r="O55" s="607"/>
      <c r="P55" s="606"/>
    </row>
    <row r="56" spans="1:16">
      <c r="B56" s="600" t="str">
        <f t="shared" ref="B56:O56" si="67">+B37</f>
        <v>Postes</v>
      </c>
      <c r="C56" s="600" t="str">
        <f t="shared" si="67"/>
        <v>Nb</v>
      </c>
      <c r="D56" s="600" t="str">
        <f t="shared" si="67"/>
        <v>Sal Fixe unit</v>
      </c>
      <c r="E56" s="600" t="str">
        <f t="shared" si="67"/>
        <v>Fixes</v>
      </c>
      <c r="F56" s="600" t="str">
        <f t="shared" si="67"/>
        <v>Primes Unit</v>
      </c>
      <c r="G56" s="600" t="str">
        <f t="shared" si="67"/>
        <v>Primes</v>
      </c>
      <c r="H56" s="600" t="str">
        <f t="shared" si="67"/>
        <v>Sal de base</v>
      </c>
      <c r="I56" s="600" t="str">
        <f t="shared" si="67"/>
        <v>Amit</v>
      </c>
      <c r="J56" s="600" t="str">
        <f t="shared" si="67"/>
        <v>CNaPs</v>
      </c>
      <c r="K56" s="600" t="str">
        <f t="shared" si="67"/>
        <v>Ch Personnel</v>
      </c>
      <c r="L56" s="600" t="str">
        <f t="shared" si="67"/>
        <v>IRSA</v>
      </c>
      <c r="M56" s="600" t="str">
        <f t="shared" si="67"/>
        <v>Amit</v>
      </c>
      <c r="N56" s="600" t="str">
        <f t="shared" si="67"/>
        <v>CNaPs</v>
      </c>
      <c r="O56" s="600" t="str">
        <f t="shared" si="67"/>
        <v>Net à payer</v>
      </c>
      <c r="P56" s="606"/>
    </row>
    <row r="57" spans="1:16">
      <c r="A57" s="603"/>
      <c r="B57" s="602" t="s">
        <v>828</v>
      </c>
      <c r="C57" s="602">
        <f>+C54+C27+C20+C12+C33</f>
        <v>76</v>
      </c>
      <c r="D57" s="607"/>
      <c r="E57" s="607">
        <f>+E54+E27+E20+E12+E33</f>
        <v>23335000</v>
      </c>
      <c r="F57" s="607"/>
      <c r="G57" s="607">
        <f t="shared" ref="G57:O57" si="68">+G54+G27+G20+G12+G33</f>
        <v>0</v>
      </c>
      <c r="H57" s="607">
        <f t="shared" si="68"/>
        <v>23335000</v>
      </c>
      <c r="I57" s="607">
        <f>+I54+I27+I20+I12+I33</f>
        <v>939250</v>
      </c>
      <c r="J57" s="607">
        <f t="shared" si="68"/>
        <v>3033550</v>
      </c>
      <c r="K57" s="607">
        <f t="shared" si="68"/>
        <v>27307800</v>
      </c>
      <c r="L57" s="607">
        <f t="shared" si="68"/>
        <v>5671250.0000000009</v>
      </c>
      <c r="M57" s="607">
        <f t="shared" si="68"/>
        <v>129250</v>
      </c>
      <c r="N57" s="607">
        <f t="shared" si="68"/>
        <v>233350</v>
      </c>
      <c r="O57" s="607">
        <f t="shared" si="68"/>
        <v>17301150</v>
      </c>
      <c r="P57" s="606"/>
    </row>
    <row r="58" spans="1:16">
      <c r="D58" s="606"/>
      <c r="E58" s="606"/>
      <c r="F58" s="606"/>
      <c r="G58" s="606"/>
      <c r="H58" s="606"/>
      <c r="I58" s="606"/>
      <c r="J58" s="606"/>
      <c r="K58" s="606"/>
      <c r="L58" s="606"/>
      <c r="M58" s="606"/>
      <c r="N58" s="606"/>
      <c r="O58" s="606"/>
      <c r="P58" s="606"/>
    </row>
    <row r="59" spans="1:16" ht="17.25" thickBot="1">
      <c r="D59" s="606"/>
      <c r="E59" s="606"/>
      <c r="F59" s="606"/>
      <c r="G59" s="606"/>
      <c r="H59" s="606"/>
      <c r="I59" s="606"/>
      <c r="J59" s="606"/>
      <c r="K59" s="606"/>
      <c r="L59" s="606"/>
      <c r="M59" s="606"/>
      <c r="N59" s="606"/>
      <c r="O59" s="606"/>
      <c r="P59" s="606"/>
    </row>
    <row r="60" spans="1:16">
      <c r="B60" s="614" t="s">
        <v>877</v>
      </c>
      <c r="C60" s="614"/>
      <c r="D60" s="615" t="s">
        <v>614</v>
      </c>
      <c r="E60" s="615" t="s">
        <v>615</v>
      </c>
      <c r="F60" s="615" t="s">
        <v>616</v>
      </c>
      <c r="G60" s="615" t="s">
        <v>617</v>
      </c>
      <c r="H60" s="615" t="s">
        <v>618</v>
      </c>
      <c r="I60" s="615" t="s">
        <v>619</v>
      </c>
      <c r="J60" s="615" t="s">
        <v>620</v>
      </c>
      <c r="K60" s="615" t="s">
        <v>621</v>
      </c>
      <c r="L60" s="615" t="s">
        <v>622</v>
      </c>
      <c r="M60" s="615" t="s">
        <v>623</v>
      </c>
      <c r="N60" s="615" t="s">
        <v>624</v>
      </c>
      <c r="O60" s="615" t="s">
        <v>625</v>
      </c>
      <c r="P60" s="615" t="s">
        <v>362</v>
      </c>
    </row>
    <row r="61" spans="1:16">
      <c r="B61" s="601" t="s">
        <v>1117</v>
      </c>
      <c r="D61" s="606">
        <f>+H57</f>
        <v>23335000</v>
      </c>
      <c r="E61" s="606">
        <f>+D61</f>
        <v>23335000</v>
      </c>
      <c r="F61" s="606">
        <f t="shared" ref="F61:O61" si="69">+E61</f>
        <v>23335000</v>
      </c>
      <c r="G61" s="606">
        <f t="shared" si="69"/>
        <v>23335000</v>
      </c>
      <c r="H61" s="606">
        <f t="shared" si="69"/>
        <v>23335000</v>
      </c>
      <c r="I61" s="606">
        <f t="shared" si="69"/>
        <v>23335000</v>
      </c>
      <c r="J61" s="606">
        <f t="shared" si="69"/>
        <v>23335000</v>
      </c>
      <c r="K61" s="606">
        <f t="shared" si="69"/>
        <v>23335000</v>
      </c>
      <c r="L61" s="606">
        <f t="shared" si="69"/>
        <v>23335000</v>
      </c>
      <c r="M61" s="606">
        <f t="shared" si="69"/>
        <v>23335000</v>
      </c>
      <c r="N61" s="606">
        <f t="shared" si="69"/>
        <v>23335000</v>
      </c>
      <c r="O61" s="606">
        <f t="shared" si="69"/>
        <v>23335000</v>
      </c>
      <c r="P61" s="606">
        <f>SUM(D61:O61)</f>
        <v>280020000</v>
      </c>
    </row>
    <row r="62" spans="1:16">
      <c r="B62" s="601" t="s">
        <v>1118</v>
      </c>
      <c r="D62" s="606">
        <f>+I57+J57</f>
        <v>3972800</v>
      </c>
      <c r="E62" s="606">
        <f>+D62</f>
        <v>3972800</v>
      </c>
      <c r="F62" s="606">
        <f t="shared" ref="F62:O62" si="70">+E62</f>
        <v>3972800</v>
      </c>
      <c r="G62" s="606">
        <f t="shared" si="70"/>
        <v>3972800</v>
      </c>
      <c r="H62" s="606">
        <f t="shared" si="70"/>
        <v>3972800</v>
      </c>
      <c r="I62" s="606">
        <f t="shared" si="70"/>
        <v>3972800</v>
      </c>
      <c r="J62" s="606">
        <f t="shared" si="70"/>
        <v>3972800</v>
      </c>
      <c r="K62" s="606">
        <f t="shared" si="70"/>
        <v>3972800</v>
      </c>
      <c r="L62" s="606">
        <f t="shared" si="70"/>
        <v>3972800</v>
      </c>
      <c r="M62" s="606">
        <f t="shared" si="70"/>
        <v>3972800</v>
      </c>
      <c r="N62" s="606">
        <f t="shared" si="70"/>
        <v>3972800</v>
      </c>
      <c r="O62" s="606">
        <f t="shared" si="70"/>
        <v>3972800</v>
      </c>
      <c r="P62" s="606">
        <f t="shared" ref="P62:P66" si="71">SUM(D62:O62)</f>
        <v>47673600</v>
      </c>
    </row>
    <row r="63" spans="1:16">
      <c r="B63" s="601" t="s">
        <v>824</v>
      </c>
      <c r="D63" s="606">
        <f>-D62</f>
        <v>-3972800</v>
      </c>
      <c r="E63" s="606">
        <f t="shared" ref="E63:O66" si="72">+D63</f>
        <v>-3972800</v>
      </c>
      <c r="F63" s="606">
        <f t="shared" si="72"/>
        <v>-3972800</v>
      </c>
      <c r="G63" s="606">
        <f t="shared" si="72"/>
        <v>-3972800</v>
      </c>
      <c r="H63" s="606">
        <f t="shared" si="72"/>
        <v>-3972800</v>
      </c>
      <c r="I63" s="606">
        <f t="shared" si="72"/>
        <v>-3972800</v>
      </c>
      <c r="J63" s="606">
        <f t="shared" si="72"/>
        <v>-3972800</v>
      </c>
      <c r="K63" s="606">
        <f t="shared" si="72"/>
        <v>-3972800</v>
      </c>
      <c r="L63" s="606">
        <f t="shared" si="72"/>
        <v>-3972800</v>
      </c>
      <c r="M63" s="606">
        <f t="shared" si="72"/>
        <v>-3972800</v>
      </c>
      <c r="N63" s="606">
        <f t="shared" si="72"/>
        <v>-3972800</v>
      </c>
      <c r="O63" s="606">
        <f t="shared" si="72"/>
        <v>-3972800</v>
      </c>
      <c r="P63" s="606">
        <f t="shared" si="71"/>
        <v>-47673600</v>
      </c>
    </row>
    <row r="64" spans="1:16">
      <c r="B64" s="601" t="s">
        <v>16</v>
      </c>
      <c r="D64" s="606">
        <f>+L59</f>
        <v>0</v>
      </c>
      <c r="E64" s="606">
        <f t="shared" si="72"/>
        <v>0</v>
      </c>
      <c r="F64" s="606">
        <f t="shared" si="72"/>
        <v>0</v>
      </c>
      <c r="G64" s="606">
        <f t="shared" si="72"/>
        <v>0</v>
      </c>
      <c r="H64" s="606">
        <f t="shared" si="72"/>
        <v>0</v>
      </c>
      <c r="I64" s="606">
        <f t="shared" si="72"/>
        <v>0</v>
      </c>
      <c r="J64" s="606">
        <f t="shared" si="72"/>
        <v>0</v>
      </c>
      <c r="K64" s="606">
        <f t="shared" si="72"/>
        <v>0</v>
      </c>
      <c r="L64" s="606">
        <f t="shared" si="72"/>
        <v>0</v>
      </c>
      <c r="M64" s="606">
        <f t="shared" si="72"/>
        <v>0</v>
      </c>
      <c r="N64" s="606">
        <f t="shared" si="72"/>
        <v>0</v>
      </c>
      <c r="O64" s="606">
        <f t="shared" si="72"/>
        <v>0</v>
      </c>
      <c r="P64" s="606">
        <f t="shared" si="71"/>
        <v>0</v>
      </c>
    </row>
    <row r="65" spans="2:16">
      <c r="B65" s="601" t="s">
        <v>1119</v>
      </c>
      <c r="D65" s="606">
        <f>-M57-N57</f>
        <v>-362600</v>
      </c>
      <c r="E65" s="606">
        <f t="shared" si="72"/>
        <v>-362600</v>
      </c>
      <c r="F65" s="606">
        <f t="shared" si="72"/>
        <v>-362600</v>
      </c>
      <c r="G65" s="606">
        <f t="shared" si="72"/>
        <v>-362600</v>
      </c>
      <c r="H65" s="606">
        <f t="shared" si="72"/>
        <v>-362600</v>
      </c>
      <c r="I65" s="606">
        <f t="shared" si="72"/>
        <v>-362600</v>
      </c>
      <c r="J65" s="606">
        <f t="shared" si="72"/>
        <v>-362600</v>
      </c>
      <c r="K65" s="606">
        <f t="shared" si="72"/>
        <v>-362600</v>
      </c>
      <c r="L65" s="606">
        <f t="shared" si="72"/>
        <v>-362600</v>
      </c>
      <c r="M65" s="606">
        <f t="shared" si="72"/>
        <v>-362600</v>
      </c>
      <c r="N65" s="606">
        <f t="shared" si="72"/>
        <v>-362600</v>
      </c>
      <c r="O65" s="606">
        <f t="shared" si="72"/>
        <v>-362600</v>
      </c>
      <c r="P65" s="606">
        <f t="shared" si="71"/>
        <v>-4351200</v>
      </c>
    </row>
    <row r="66" spans="2:16" ht="17.25" thickBot="1">
      <c r="B66" s="616" t="s">
        <v>1114</v>
      </c>
      <c r="C66" s="617"/>
      <c r="D66" s="618">
        <f>+O59</f>
        <v>0</v>
      </c>
      <c r="E66" s="618">
        <f t="shared" si="72"/>
        <v>0</v>
      </c>
      <c r="F66" s="618">
        <f t="shared" si="72"/>
        <v>0</v>
      </c>
      <c r="G66" s="618">
        <f t="shared" si="72"/>
        <v>0</v>
      </c>
      <c r="H66" s="618">
        <f t="shared" si="72"/>
        <v>0</v>
      </c>
      <c r="I66" s="618">
        <f t="shared" si="72"/>
        <v>0</v>
      </c>
      <c r="J66" s="618">
        <f t="shared" si="72"/>
        <v>0</v>
      </c>
      <c r="K66" s="618">
        <f t="shared" si="72"/>
        <v>0</v>
      </c>
      <c r="L66" s="618">
        <f t="shared" si="72"/>
        <v>0</v>
      </c>
      <c r="M66" s="618">
        <f t="shared" si="72"/>
        <v>0</v>
      </c>
      <c r="N66" s="618">
        <f t="shared" si="72"/>
        <v>0</v>
      </c>
      <c r="O66" s="618">
        <f t="shared" si="72"/>
        <v>0</v>
      </c>
      <c r="P66" s="618">
        <f t="shared" si="71"/>
        <v>0</v>
      </c>
    </row>
    <row r="67" spans="2:16">
      <c r="D67" s="606">
        <f>SUM(D61:D66)</f>
        <v>22972400</v>
      </c>
      <c r="E67" s="606"/>
      <c r="F67" s="606"/>
      <c r="G67" s="606"/>
      <c r="H67" s="606"/>
      <c r="I67" s="606"/>
      <c r="J67" s="606"/>
      <c r="K67" s="606"/>
      <c r="L67" s="606"/>
      <c r="M67" s="606"/>
      <c r="N67" s="606"/>
      <c r="O67" s="606"/>
      <c r="P67" s="606"/>
    </row>
    <row r="68" spans="2:16">
      <c r="B68" s="210" t="s">
        <v>828</v>
      </c>
      <c r="D68" s="606"/>
      <c r="E68" s="606"/>
      <c r="F68" s="606"/>
      <c r="G68" s="606"/>
      <c r="H68" s="606"/>
      <c r="I68" s="606"/>
      <c r="J68" s="606"/>
      <c r="K68" s="606"/>
      <c r="L68" s="606"/>
      <c r="M68" s="606"/>
      <c r="N68" s="606"/>
      <c r="O68" s="606"/>
      <c r="P68" s="606"/>
    </row>
    <row r="69" spans="2:16">
      <c r="B69" s="149" t="s">
        <v>827</v>
      </c>
      <c r="D69" s="606"/>
      <c r="E69" s="606"/>
      <c r="F69" s="606"/>
      <c r="G69" s="606"/>
      <c r="H69" s="606"/>
      <c r="I69" s="606"/>
      <c r="J69" s="606"/>
      <c r="K69" s="606"/>
      <c r="L69" s="606"/>
      <c r="M69" s="606"/>
      <c r="N69" s="606"/>
      <c r="O69" s="606"/>
      <c r="P69" s="606"/>
    </row>
    <row r="70" spans="2:16">
      <c r="B70" s="149" t="s">
        <v>824</v>
      </c>
      <c r="P70" s="606">
        <f>+Sal!P176</f>
        <v>625833200</v>
      </c>
    </row>
    <row r="71" spans="2:16">
      <c r="B71" s="149" t="s">
        <v>829</v>
      </c>
      <c r="P71" s="606">
        <f>+Sal!P177</f>
        <v>107881476</v>
      </c>
    </row>
    <row r="72" spans="2:16">
      <c r="B72" s="149" t="s">
        <v>16</v>
      </c>
      <c r="P72" s="606">
        <f>+Sal!P178</f>
        <v>-13730622</v>
      </c>
    </row>
    <row r="73" spans="2:16">
      <c r="B73" s="149" t="s">
        <v>830</v>
      </c>
      <c r="P73" s="606">
        <f>+Sal!P179</f>
        <v>-107600976</v>
      </c>
    </row>
    <row r="74" spans="2:16">
      <c r="B74" s="149"/>
      <c r="P74" s="606">
        <f>+Sal!P180</f>
        <v>-107888976</v>
      </c>
    </row>
    <row r="75" spans="2:16">
      <c r="B75" s="143"/>
      <c r="P75" s="606"/>
    </row>
    <row r="76" spans="2:16">
      <c r="P76" s="606">
        <f>+P61-P70</f>
        <v>-345813200</v>
      </c>
    </row>
    <row r="77" spans="2:16">
      <c r="P77" s="606">
        <f>+P62-P71</f>
        <v>-60207876</v>
      </c>
    </row>
  </sheetData>
  <mergeCells count="1">
    <mergeCell ref="I3:J3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/>
  <dimension ref="B1:S212"/>
  <sheetViews>
    <sheetView tabSelected="1" topLeftCell="D1" zoomScale="92" zoomScaleNormal="96" workbookViewId="0">
      <selection activeCell="H6" sqref="H6"/>
    </sheetView>
  </sheetViews>
  <sheetFormatPr baseColWidth="10" defaultRowHeight="16.5"/>
  <cols>
    <col min="1" max="1" width="3.28515625" style="198" customWidth="1"/>
    <col min="2" max="2" width="17.85546875" style="198" customWidth="1"/>
    <col min="3" max="15" width="15.140625" style="198" bestFit="1" customWidth="1"/>
    <col min="16" max="16" width="16.28515625" style="198" customWidth="1"/>
    <col min="17" max="17" width="0.85546875" style="198" customWidth="1"/>
    <col min="18" max="18" width="17.42578125" style="198" bestFit="1" customWidth="1"/>
    <col min="19" max="19" width="14.85546875" style="198" bestFit="1" customWidth="1"/>
    <col min="20" max="20" width="12.7109375" style="198" bestFit="1" customWidth="1"/>
    <col min="21" max="16384" width="11.42578125" style="198"/>
  </cols>
  <sheetData>
    <row r="1" spans="2:19" ht="17.25" thickBot="1"/>
    <row r="2" spans="2:19" s="468" customFormat="1">
      <c r="B2" s="477" t="s">
        <v>967</v>
      </c>
      <c r="C2" s="478" t="str">
        <f>+Production!D8</f>
        <v>Janvier</v>
      </c>
      <c r="D2" s="478" t="str">
        <f>+Production!E8</f>
        <v>Février</v>
      </c>
      <c r="E2" s="478" t="str">
        <f>+Production!F8</f>
        <v>Mars</v>
      </c>
      <c r="F2" s="478" t="str">
        <f>+Production!G8</f>
        <v>Avril</v>
      </c>
      <c r="G2" s="478" t="str">
        <f>+Production!H8</f>
        <v>Mai</v>
      </c>
      <c r="H2" s="478" t="str">
        <f>+Production!I8</f>
        <v>Juin</v>
      </c>
      <c r="I2" s="478" t="str">
        <f>+Production!J8</f>
        <v>Juillet</v>
      </c>
      <c r="J2" s="478" t="str">
        <f>+Production!K8</f>
        <v>Août</v>
      </c>
      <c r="K2" s="478" t="str">
        <f>+Production!L8</f>
        <v>Septembre</v>
      </c>
      <c r="L2" s="478" t="str">
        <f>+Production!M8</f>
        <v>Octobre</v>
      </c>
      <c r="M2" s="478" t="str">
        <f>+Production!N8</f>
        <v>Novembre</v>
      </c>
      <c r="N2" s="478" t="str">
        <f>+Production!O8</f>
        <v>Décembre</v>
      </c>
      <c r="O2" s="478" t="str">
        <f>+Production!P8</f>
        <v>Total</v>
      </c>
      <c r="P2" s="119"/>
      <c r="Q2" s="119"/>
    </row>
    <row r="3" spans="2:19">
      <c r="B3" s="474" t="s">
        <v>1784</v>
      </c>
      <c r="C3" s="117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6"/>
      <c r="Q3" s="116"/>
    </row>
    <row r="4" spans="2:19">
      <c r="B4" s="116" t="str">
        <f>+'Données SOMIDA'!C96</f>
        <v>Okabe</v>
      </c>
      <c r="C4" s="117">
        <f>+Commandes!C28</f>
        <v>0</v>
      </c>
      <c r="D4" s="117">
        <f>+Commandes!D28</f>
        <v>20</v>
      </c>
      <c r="E4" s="117">
        <f>+Commandes!E28</f>
        <v>0</v>
      </c>
      <c r="F4" s="117">
        <f>+Commandes!F28</f>
        <v>20</v>
      </c>
      <c r="G4" s="117">
        <f>+Commandes!G28</f>
        <v>0</v>
      </c>
      <c r="H4" s="117">
        <f>+Commandes!H28</f>
        <v>20</v>
      </c>
      <c r="I4" s="117">
        <f>+Commandes!I28</f>
        <v>0</v>
      </c>
      <c r="J4" s="117">
        <f>+Commandes!J28</f>
        <v>20</v>
      </c>
      <c r="K4" s="117">
        <f>+Commandes!K28</f>
        <v>0</v>
      </c>
      <c r="L4" s="117">
        <f>+Commandes!L28</f>
        <v>20</v>
      </c>
      <c r="M4" s="117">
        <f>+Commandes!M28</f>
        <v>0</v>
      </c>
      <c r="N4" s="117">
        <f>+Commandes!N28</f>
        <v>20</v>
      </c>
      <c r="O4" s="117">
        <f t="shared" ref="O4:O14" si="0">SUM(C4:N4)</f>
        <v>120</v>
      </c>
      <c r="P4" s="116"/>
      <c r="Q4" s="117"/>
    </row>
    <row r="5" spans="2:19">
      <c r="B5" s="116" t="str">
        <f>+'Données SOMIDA'!C97</f>
        <v>NRK</v>
      </c>
      <c r="C5" s="117">
        <f>+Commandes!C29</f>
        <v>17.8</v>
      </c>
      <c r="D5" s="117">
        <f>+Commandes!D29</f>
        <v>0</v>
      </c>
      <c r="E5" s="117">
        <f>+Commandes!E29</f>
        <v>17.8</v>
      </c>
      <c r="F5" s="117">
        <f>+Commandes!F29</f>
        <v>0</v>
      </c>
      <c r="G5" s="117">
        <f>+Commandes!G29</f>
        <v>17.8</v>
      </c>
      <c r="H5" s="117">
        <f>+Commandes!H29</f>
        <v>0</v>
      </c>
      <c r="I5" s="117">
        <f>+Commandes!I29</f>
        <v>17.8</v>
      </c>
      <c r="J5" s="117">
        <f>+Commandes!J29</f>
        <v>0</v>
      </c>
      <c r="K5" s="117">
        <f>+Commandes!K29</f>
        <v>17.8</v>
      </c>
      <c r="L5" s="117">
        <f>+Commandes!L29</f>
        <v>0</v>
      </c>
      <c r="M5" s="117">
        <f>+Commandes!M29</f>
        <v>17.8</v>
      </c>
      <c r="N5" s="117">
        <f>+Commandes!N29</f>
        <v>0</v>
      </c>
      <c r="O5" s="117">
        <f t="shared" si="0"/>
        <v>106.8</v>
      </c>
      <c r="P5" s="116"/>
      <c r="Q5" s="117"/>
    </row>
    <row r="6" spans="2:19">
      <c r="B6" s="116" t="str">
        <f>+'Données SOMIDA'!C98</f>
        <v>Goodies</v>
      </c>
      <c r="C6" s="117">
        <f>+Commandes!C30</f>
        <v>252</v>
      </c>
      <c r="D6" s="117">
        <f>+Commandes!D30</f>
        <v>252</v>
      </c>
      <c r="E6" s="117">
        <f>+Commandes!E30</f>
        <v>252</v>
      </c>
      <c r="F6" s="117">
        <f>+Commandes!F30</f>
        <v>252</v>
      </c>
      <c r="G6" s="117">
        <f>+Commandes!G30</f>
        <v>252</v>
      </c>
      <c r="H6" s="117">
        <f>+Commandes!H30</f>
        <v>252</v>
      </c>
      <c r="I6" s="117">
        <f>+Commandes!I30</f>
        <v>252</v>
      </c>
      <c r="J6" s="117">
        <f>+Commandes!J30</f>
        <v>252</v>
      </c>
      <c r="K6" s="117">
        <f>+Commandes!K30</f>
        <v>252</v>
      </c>
      <c r="L6" s="117">
        <f>+Commandes!L30</f>
        <v>252</v>
      </c>
      <c r="M6" s="117">
        <f>+Commandes!M30</f>
        <v>252</v>
      </c>
      <c r="N6" s="117">
        <f>+Commandes!N30</f>
        <v>252</v>
      </c>
      <c r="O6" s="117">
        <f t="shared" si="0"/>
        <v>3024</v>
      </c>
      <c r="P6" s="116"/>
      <c r="Q6" s="117"/>
    </row>
    <row r="7" spans="2:19">
      <c r="B7" s="116" t="str">
        <f>+'Données SOMIDA'!C99</f>
        <v>Elinar</v>
      </c>
      <c r="C7" s="117">
        <f>+Commandes!C31</f>
        <v>75.599999999999994</v>
      </c>
      <c r="D7" s="117">
        <f>+Commandes!D31</f>
        <v>75.599999999999994</v>
      </c>
      <c r="E7" s="117">
        <f>+Commandes!E31</f>
        <v>75.599999999999994</v>
      </c>
      <c r="F7" s="117">
        <f>+Commandes!F31</f>
        <v>75.599999999999994</v>
      </c>
      <c r="G7" s="117">
        <f>+Commandes!G31</f>
        <v>75.599999999999994</v>
      </c>
      <c r="H7" s="117">
        <f>+Commandes!H31</f>
        <v>75.599999999999994</v>
      </c>
      <c r="I7" s="117">
        <f>+Commandes!I31</f>
        <v>75.599999999999994</v>
      </c>
      <c r="J7" s="117">
        <f>+Commandes!J31</f>
        <v>75.599999999999994</v>
      </c>
      <c r="K7" s="117">
        <f>+Commandes!K31</f>
        <v>75.599999999999994</v>
      </c>
      <c r="L7" s="117">
        <f>+Commandes!L31</f>
        <v>75.599999999999994</v>
      </c>
      <c r="M7" s="117">
        <f>+Commandes!M31</f>
        <v>75.599999999999994</v>
      </c>
      <c r="N7" s="117">
        <f>+Commandes!N31</f>
        <v>75.599999999999994</v>
      </c>
      <c r="O7" s="117">
        <f t="shared" si="0"/>
        <v>907.20000000000016</v>
      </c>
      <c r="P7" s="116"/>
      <c r="Q7" s="117">
        <f>+SUM(O4:O7)</f>
        <v>4158</v>
      </c>
    </row>
    <row r="8" spans="2:19">
      <c r="B8" s="474" t="s">
        <v>1785</v>
      </c>
      <c r="C8" s="117"/>
      <c r="D8" s="117"/>
      <c r="E8" s="117"/>
      <c r="F8" s="117"/>
      <c r="G8" s="117"/>
      <c r="H8" s="117"/>
      <c r="I8" s="117"/>
      <c r="J8" s="117"/>
      <c r="K8" s="117"/>
      <c r="L8" s="117"/>
      <c r="M8" s="117"/>
      <c r="N8" s="117"/>
      <c r="O8" s="117"/>
      <c r="P8" s="116"/>
      <c r="Q8" s="117"/>
      <c r="S8" s="117"/>
    </row>
    <row r="9" spans="2:19">
      <c r="B9" s="116" t="str">
        <f>+'Données SOMIDA'!C101</f>
        <v>Okabe</v>
      </c>
      <c r="C9" s="117">
        <f>+Commandes!C35</f>
        <v>0</v>
      </c>
      <c r="D9" s="117">
        <f>+Commandes!D35</f>
        <v>0</v>
      </c>
      <c r="E9" s="117">
        <f>+Commandes!E35</f>
        <v>0</v>
      </c>
      <c r="F9" s="117">
        <f>+Commandes!F35</f>
        <v>0</v>
      </c>
      <c r="G9" s="117">
        <f>+Commandes!G35</f>
        <v>0</v>
      </c>
      <c r="H9" s="117">
        <f>+Commandes!H35</f>
        <v>0</v>
      </c>
      <c r="I9" s="117">
        <f>+Commandes!I35</f>
        <v>0</v>
      </c>
      <c r="J9" s="117">
        <f>+Commandes!J35</f>
        <v>0</v>
      </c>
      <c r="K9" s="117">
        <f>+Commandes!K35</f>
        <v>0</v>
      </c>
      <c r="L9" s="117">
        <f>+Commandes!L35</f>
        <v>0</v>
      </c>
      <c r="M9" s="117">
        <f>+Commandes!M35</f>
        <v>0</v>
      </c>
      <c r="N9" s="117">
        <f>+Commandes!N35</f>
        <v>0</v>
      </c>
      <c r="O9" s="117">
        <f t="shared" si="0"/>
        <v>0</v>
      </c>
      <c r="P9" s="116"/>
      <c r="Q9" s="117"/>
    </row>
    <row r="10" spans="2:19">
      <c r="B10" s="116" t="str">
        <f>+'Données SOMIDA'!C102</f>
        <v>NRK</v>
      </c>
      <c r="C10" s="117">
        <f>+Commandes!C36</f>
        <v>0</v>
      </c>
      <c r="D10" s="117">
        <f>+Commandes!D36</f>
        <v>0</v>
      </c>
      <c r="E10" s="117">
        <f>+Commandes!E36</f>
        <v>0</v>
      </c>
      <c r="F10" s="117">
        <f>+Commandes!F36</f>
        <v>0</v>
      </c>
      <c r="G10" s="117">
        <f>+Commandes!G36</f>
        <v>0</v>
      </c>
      <c r="H10" s="117">
        <f>+Commandes!H36</f>
        <v>0</v>
      </c>
      <c r="I10" s="117">
        <f>+Commandes!I36</f>
        <v>0</v>
      </c>
      <c r="J10" s="117">
        <f>+Commandes!J36</f>
        <v>0</v>
      </c>
      <c r="K10" s="117">
        <f>+Commandes!K36</f>
        <v>0</v>
      </c>
      <c r="L10" s="117">
        <f>+Commandes!L36</f>
        <v>0</v>
      </c>
      <c r="M10" s="117">
        <f>+Commandes!M36</f>
        <v>0</v>
      </c>
      <c r="N10" s="117">
        <f>+Commandes!N36</f>
        <v>0</v>
      </c>
      <c r="O10" s="117">
        <f t="shared" si="0"/>
        <v>0</v>
      </c>
      <c r="P10" s="116"/>
      <c r="Q10" s="117"/>
    </row>
    <row r="11" spans="2:19">
      <c r="B11" s="116" t="str">
        <f>+'Données SOMIDA'!C103</f>
        <v>Goodies</v>
      </c>
      <c r="C11" s="117">
        <f>+Commandes!C37</f>
        <v>252</v>
      </c>
      <c r="D11" s="117">
        <f>+Commandes!D37</f>
        <v>252</v>
      </c>
      <c r="E11" s="117">
        <f>+Commandes!E37</f>
        <v>252</v>
      </c>
      <c r="F11" s="117">
        <f>+Commandes!F37</f>
        <v>252</v>
      </c>
      <c r="G11" s="117">
        <f>+Commandes!G37</f>
        <v>252</v>
      </c>
      <c r="H11" s="117">
        <f>+Commandes!H37</f>
        <v>252</v>
      </c>
      <c r="I11" s="117">
        <f>+Commandes!I37</f>
        <v>252</v>
      </c>
      <c r="J11" s="117">
        <f>+Commandes!J37</f>
        <v>252</v>
      </c>
      <c r="K11" s="117">
        <f>+Commandes!K37</f>
        <v>252</v>
      </c>
      <c r="L11" s="117">
        <f>+Commandes!L37</f>
        <v>252</v>
      </c>
      <c r="M11" s="117">
        <f>+Commandes!M37</f>
        <v>252</v>
      </c>
      <c r="N11" s="117">
        <f>+Commandes!N37</f>
        <v>252</v>
      </c>
      <c r="O11" s="117">
        <f t="shared" si="0"/>
        <v>3024</v>
      </c>
      <c r="P11" s="116"/>
      <c r="Q11" s="117"/>
    </row>
    <row r="12" spans="2:19">
      <c r="B12" s="116" t="str">
        <f>+B7</f>
        <v>Elinar</v>
      </c>
      <c r="C12" s="117">
        <f>+Commandes!C38</f>
        <v>75.599999999999994</v>
      </c>
      <c r="D12" s="117">
        <f>+Commandes!D38</f>
        <v>75.599999999999994</v>
      </c>
      <c r="E12" s="117">
        <f>+Commandes!E38</f>
        <v>75.599999999999994</v>
      </c>
      <c r="F12" s="117">
        <f>+Commandes!F38</f>
        <v>75.599999999999994</v>
      </c>
      <c r="G12" s="117">
        <f>+Commandes!G38</f>
        <v>75.599999999999994</v>
      </c>
      <c r="H12" s="117">
        <f>+Commandes!H38</f>
        <v>75.599999999999994</v>
      </c>
      <c r="I12" s="117">
        <f>+Commandes!I38</f>
        <v>75.599999999999994</v>
      </c>
      <c r="J12" s="117">
        <f>+Commandes!J38</f>
        <v>75.599999999999994</v>
      </c>
      <c r="K12" s="117">
        <f>+Commandes!K38</f>
        <v>75.599999999999994</v>
      </c>
      <c r="L12" s="117">
        <f>+Commandes!L38</f>
        <v>75.599999999999994</v>
      </c>
      <c r="M12" s="117">
        <f>+Commandes!M38</f>
        <v>75.599999999999994</v>
      </c>
      <c r="N12" s="117">
        <f>+Commandes!N38</f>
        <v>75.599999999999994</v>
      </c>
      <c r="O12" s="117">
        <f t="shared" si="0"/>
        <v>907.20000000000016</v>
      </c>
      <c r="P12" s="116"/>
      <c r="Q12" s="117">
        <f>+SUM(O9:O12)</f>
        <v>3931.2000000000003</v>
      </c>
    </row>
    <row r="13" spans="2:19">
      <c r="B13" s="474" t="s">
        <v>1786</v>
      </c>
      <c r="C13" s="117"/>
      <c r="D13" s="117"/>
      <c r="E13" s="117"/>
      <c r="F13" s="117"/>
      <c r="G13" s="117"/>
      <c r="H13" s="117"/>
      <c r="I13" s="117"/>
      <c r="J13" s="117"/>
      <c r="K13" s="117"/>
      <c r="L13" s="117"/>
      <c r="M13" s="117"/>
      <c r="N13" s="117"/>
      <c r="O13" s="117"/>
      <c r="P13" s="116"/>
      <c r="Q13" s="117">
        <f>SUM(Q7:Q12)</f>
        <v>8089.2000000000007</v>
      </c>
    </row>
    <row r="14" spans="2:19">
      <c r="B14" s="116" t="str">
        <f>+B4</f>
        <v>Okabe</v>
      </c>
      <c r="C14" s="117">
        <f>+Commandes!C42</f>
        <v>0</v>
      </c>
      <c r="D14" s="117">
        <f>+Commandes!D42</f>
        <v>0</v>
      </c>
      <c r="E14" s="117">
        <f>+Commandes!E42</f>
        <v>0</v>
      </c>
      <c r="F14" s="117">
        <f>+Commandes!F42</f>
        <v>0</v>
      </c>
      <c r="G14" s="117">
        <f>+Commandes!G42</f>
        <v>0</v>
      </c>
      <c r="H14" s="117">
        <f>+Commandes!H42</f>
        <v>0</v>
      </c>
      <c r="I14" s="117">
        <f>+Commandes!I42</f>
        <v>0</v>
      </c>
      <c r="J14" s="117">
        <f>+Commandes!J42</f>
        <v>0</v>
      </c>
      <c r="K14" s="117">
        <f>+Commandes!K42</f>
        <v>0</v>
      </c>
      <c r="L14" s="117">
        <f>+Commandes!L42</f>
        <v>0</v>
      </c>
      <c r="M14" s="117">
        <f>+Commandes!M42</f>
        <v>0</v>
      </c>
      <c r="N14" s="117">
        <f>+Commandes!N42</f>
        <v>0</v>
      </c>
      <c r="O14" s="117">
        <f t="shared" si="0"/>
        <v>0</v>
      </c>
      <c r="P14" s="116"/>
      <c r="Q14" s="117"/>
    </row>
    <row r="15" spans="2:19" ht="17.25" thickBot="1">
      <c r="B15" s="479" t="s">
        <v>362</v>
      </c>
      <c r="C15" s="480">
        <f>SUM(C3:C14)</f>
        <v>673</v>
      </c>
      <c r="D15" s="480">
        <f t="shared" ref="D15:O15" si="1">SUM(D3:D14)</f>
        <v>675.2</v>
      </c>
      <c r="E15" s="480">
        <f t="shared" si="1"/>
        <v>673</v>
      </c>
      <c r="F15" s="480">
        <f t="shared" si="1"/>
        <v>675.2</v>
      </c>
      <c r="G15" s="480">
        <f t="shared" si="1"/>
        <v>673</v>
      </c>
      <c r="H15" s="480">
        <f t="shared" si="1"/>
        <v>675.2</v>
      </c>
      <c r="I15" s="480">
        <f t="shared" si="1"/>
        <v>673</v>
      </c>
      <c r="J15" s="480">
        <f t="shared" si="1"/>
        <v>675.2</v>
      </c>
      <c r="K15" s="480">
        <f t="shared" si="1"/>
        <v>673</v>
      </c>
      <c r="L15" s="480">
        <f t="shared" si="1"/>
        <v>675.2</v>
      </c>
      <c r="M15" s="480">
        <f t="shared" si="1"/>
        <v>673</v>
      </c>
      <c r="N15" s="480">
        <f t="shared" si="1"/>
        <v>675.2</v>
      </c>
      <c r="O15" s="480">
        <f t="shared" si="1"/>
        <v>8089.2</v>
      </c>
      <c r="P15" s="115"/>
      <c r="Q15" s="637"/>
    </row>
    <row r="16" spans="2:19" ht="8.25" customHeight="1" thickBot="1">
      <c r="B16" s="115"/>
      <c r="C16" s="115"/>
      <c r="D16" s="115"/>
      <c r="E16" s="115"/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5"/>
    </row>
    <row r="17" spans="2:18" s="468" customFormat="1">
      <c r="B17" s="477" t="s">
        <v>470</v>
      </c>
      <c r="C17" s="478" t="str">
        <f t="shared" ref="C17:O17" si="2">+C2</f>
        <v>Janvier</v>
      </c>
      <c r="D17" s="478" t="str">
        <f t="shared" si="2"/>
        <v>Février</v>
      </c>
      <c r="E17" s="478" t="str">
        <f t="shared" si="2"/>
        <v>Mars</v>
      </c>
      <c r="F17" s="478" t="str">
        <f t="shared" si="2"/>
        <v>Avril</v>
      </c>
      <c r="G17" s="478" t="str">
        <f t="shared" si="2"/>
        <v>Mai</v>
      </c>
      <c r="H17" s="478" t="str">
        <f t="shared" si="2"/>
        <v>Juin</v>
      </c>
      <c r="I17" s="478" t="str">
        <f t="shared" si="2"/>
        <v>Juillet</v>
      </c>
      <c r="J17" s="478" t="str">
        <f t="shared" si="2"/>
        <v>Août</v>
      </c>
      <c r="K17" s="478" t="str">
        <f t="shared" si="2"/>
        <v>Septembre</v>
      </c>
      <c r="L17" s="478" t="str">
        <f t="shared" si="2"/>
        <v>Octobre</v>
      </c>
      <c r="M17" s="478" t="str">
        <f t="shared" si="2"/>
        <v>Novembre</v>
      </c>
      <c r="N17" s="478" t="str">
        <f t="shared" si="2"/>
        <v>Décembre</v>
      </c>
      <c r="O17" s="478" t="str">
        <f t="shared" si="2"/>
        <v>Total</v>
      </c>
      <c r="P17" s="119"/>
      <c r="Q17" s="119"/>
    </row>
    <row r="18" spans="2:18">
      <c r="B18" s="473" t="str">
        <f t="shared" ref="B18:B24" si="3">+B3</f>
        <v>TRA COUPE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6"/>
      <c r="Q18" s="115"/>
    </row>
    <row r="19" spans="2:18">
      <c r="B19" s="230" t="str">
        <f t="shared" si="3"/>
        <v>Okabe</v>
      </c>
      <c r="C19" s="117">
        <f>+C4*'Données SOMIDA'!$D$79*'Données SOMIDA'!$E$6</f>
        <v>0</v>
      </c>
      <c r="D19" s="117">
        <f>+D4*'Données SOMIDA'!$D$79*'Données SOMIDA'!$E$6</f>
        <v>34300000</v>
      </c>
      <c r="E19" s="117">
        <f>+E4*'Données SOMIDA'!$D$79*'Données SOMIDA'!$E$6</f>
        <v>0</v>
      </c>
      <c r="F19" s="117">
        <f>+F4*'Données SOMIDA'!$D$79*'Données SOMIDA'!$E$6</f>
        <v>34300000</v>
      </c>
      <c r="G19" s="117">
        <f>+G4*'Données SOMIDA'!$D$79*'Données SOMIDA'!$E$6</f>
        <v>0</v>
      </c>
      <c r="H19" s="117">
        <f>+H4*'Données SOMIDA'!$D$79*'Données SOMIDA'!$E$6</f>
        <v>34300000</v>
      </c>
      <c r="I19" s="117">
        <f>+I4*'Données SOMIDA'!$D$79*'Données SOMIDA'!$E$6</f>
        <v>0</v>
      </c>
      <c r="J19" s="117">
        <f>+J4*'Données SOMIDA'!$D$79*'Données SOMIDA'!$E$6</f>
        <v>34300000</v>
      </c>
      <c r="K19" s="117">
        <f>+K4*'Données SOMIDA'!$D$79*'Données SOMIDA'!$E$6</f>
        <v>0</v>
      </c>
      <c r="L19" s="117">
        <f>+L4*'Données SOMIDA'!$D$79*'Données SOMIDA'!$E$6</f>
        <v>34300000</v>
      </c>
      <c r="M19" s="117">
        <f>+M4*'Données SOMIDA'!$D$79*'Données SOMIDA'!$E$6</f>
        <v>0</v>
      </c>
      <c r="N19" s="117">
        <f>+N4*'Données SOMIDA'!$D$79*'Données SOMIDA'!$E$6</f>
        <v>34300000</v>
      </c>
      <c r="O19" s="117">
        <f t="shared" ref="O19:O31" si="4">SUM(C19:N19)</f>
        <v>205800000</v>
      </c>
      <c r="P19" s="116"/>
      <c r="Q19" s="116"/>
    </row>
    <row r="20" spans="2:18">
      <c r="B20" s="230" t="str">
        <f t="shared" si="3"/>
        <v>NRK</v>
      </c>
      <c r="C20" s="117">
        <f>+C5*'Données SOMIDA'!$D$80*'Données SOMIDA'!$E$6</f>
        <v>30527000</v>
      </c>
      <c r="D20" s="117">
        <f>+D5*'Données SOMIDA'!$D$80*'Données SOMIDA'!$E$6</f>
        <v>0</v>
      </c>
      <c r="E20" s="117">
        <f>+E5*'Données SOMIDA'!$D$80*'Données SOMIDA'!$E$6</f>
        <v>30527000</v>
      </c>
      <c r="F20" s="117">
        <f>+F5*'Données SOMIDA'!$D$80*'Données SOMIDA'!$E$6</f>
        <v>0</v>
      </c>
      <c r="G20" s="117">
        <f>+G5*'Données SOMIDA'!$D$80*'Données SOMIDA'!$E$6</f>
        <v>30527000</v>
      </c>
      <c r="H20" s="117">
        <f>+H5*'Données SOMIDA'!$D$80*'Données SOMIDA'!$E$6</f>
        <v>0</v>
      </c>
      <c r="I20" s="117">
        <f>+I5*'Données SOMIDA'!$D$80*'Données SOMIDA'!$E$6</f>
        <v>30527000</v>
      </c>
      <c r="J20" s="117">
        <f>+J5*'Données SOMIDA'!$D$80*'Données SOMIDA'!$E$6</f>
        <v>0</v>
      </c>
      <c r="K20" s="117">
        <f>+K5*'Données SOMIDA'!$D$80*'Données SOMIDA'!$E$6</f>
        <v>30527000</v>
      </c>
      <c r="L20" s="117">
        <f>+L5*'Données SOMIDA'!$D$80*'Données SOMIDA'!$E$6</f>
        <v>0</v>
      </c>
      <c r="M20" s="117">
        <f>+M5*'Données SOMIDA'!$D$80*'Données SOMIDA'!$E$6</f>
        <v>30527000</v>
      </c>
      <c r="N20" s="117">
        <f>+N5*'Données SOMIDA'!$D$80*'Données SOMIDA'!$E$6</f>
        <v>0</v>
      </c>
      <c r="O20" s="117">
        <f t="shared" si="4"/>
        <v>183162000</v>
      </c>
      <c r="P20" s="116"/>
      <c r="Q20" s="116"/>
    </row>
    <row r="21" spans="2:18">
      <c r="B21" s="230" t="str">
        <f t="shared" si="3"/>
        <v>Goodies</v>
      </c>
      <c r="C21" s="117">
        <f>+C6*'Données SOMIDA'!$D$81*'Données SOMIDA'!$E$5</f>
        <v>481950000</v>
      </c>
      <c r="D21" s="117">
        <f>+D6*'Données SOMIDA'!$D$81*'Données SOMIDA'!$E$5</f>
        <v>481950000</v>
      </c>
      <c r="E21" s="117">
        <f>+E6*'Données SOMIDA'!$D$81*'Données SOMIDA'!$E$5</f>
        <v>481950000</v>
      </c>
      <c r="F21" s="117">
        <f>+F6*'Données SOMIDA'!$D$81*'Données SOMIDA'!$E$5</f>
        <v>481950000</v>
      </c>
      <c r="G21" s="117">
        <f>+G6*'Données SOMIDA'!$D$81*'Données SOMIDA'!$E$5</f>
        <v>481950000</v>
      </c>
      <c r="H21" s="117">
        <f>+H6*'Données SOMIDA'!$D$81*'Données SOMIDA'!$E$5</f>
        <v>481950000</v>
      </c>
      <c r="I21" s="117">
        <f>+I6*'Données SOMIDA'!$D$81*'Données SOMIDA'!$E$5</f>
        <v>481950000</v>
      </c>
      <c r="J21" s="117">
        <f>+J6*'Données SOMIDA'!$D$81*'Données SOMIDA'!$E$5</f>
        <v>481950000</v>
      </c>
      <c r="K21" s="117">
        <f>+K6*'Données SOMIDA'!$D$81*'Données SOMIDA'!$E$5</f>
        <v>481950000</v>
      </c>
      <c r="L21" s="117">
        <f>+L6*'Données SOMIDA'!$D$81*'Données SOMIDA'!$E$5</f>
        <v>481950000</v>
      </c>
      <c r="M21" s="117">
        <f>+M6*'Données SOMIDA'!$D$81*'Données SOMIDA'!$E$5</f>
        <v>481950000</v>
      </c>
      <c r="N21" s="117">
        <f>+N6*'Données SOMIDA'!$D$81*'Données SOMIDA'!$E$5</f>
        <v>481950000</v>
      </c>
      <c r="O21" s="117">
        <f t="shared" si="4"/>
        <v>5783400000</v>
      </c>
      <c r="P21" s="116"/>
      <c r="Q21" s="116"/>
    </row>
    <row r="22" spans="2:18">
      <c r="B22" s="230" t="str">
        <f t="shared" si="3"/>
        <v>Elinar</v>
      </c>
      <c r="C22" s="117">
        <f>+C7*'Données SOMIDA'!$D$82*'Données SOMIDA'!$E$12</f>
        <v>111132000</v>
      </c>
      <c r="D22" s="117">
        <f>+D7*'Données SOMIDA'!$D$82*'Données SOMIDA'!$E$12</f>
        <v>111132000</v>
      </c>
      <c r="E22" s="117">
        <f>+E7*'Données SOMIDA'!$D$82*'Données SOMIDA'!$E$12</f>
        <v>111132000</v>
      </c>
      <c r="F22" s="117">
        <f>+F7*'Données SOMIDA'!$D$82*'Données SOMIDA'!$E$12</f>
        <v>111132000</v>
      </c>
      <c r="G22" s="117">
        <f>+G7*'Données SOMIDA'!$D$82*'Données SOMIDA'!$E$12</f>
        <v>111132000</v>
      </c>
      <c r="H22" s="117">
        <f>+H7*'Données SOMIDA'!$D$82*'Données SOMIDA'!$E$12</f>
        <v>111132000</v>
      </c>
      <c r="I22" s="117">
        <f>+I7*'Données SOMIDA'!$D$82*'Données SOMIDA'!$E$12</f>
        <v>111132000</v>
      </c>
      <c r="J22" s="117">
        <f>+J7*'Données SOMIDA'!$D$82*'Données SOMIDA'!$E$12</f>
        <v>111132000</v>
      </c>
      <c r="K22" s="117">
        <f>+K7*'Données SOMIDA'!$D$82*'Données SOMIDA'!$E$12</f>
        <v>111132000</v>
      </c>
      <c r="L22" s="117">
        <f>+L7*'Données SOMIDA'!$D$82*'Données SOMIDA'!$E$12</f>
        <v>111132000</v>
      </c>
      <c r="M22" s="117">
        <f>+M7*'Données SOMIDA'!$D$82*'Données SOMIDA'!$E$12</f>
        <v>111132000</v>
      </c>
      <c r="N22" s="117">
        <f>+N7*'Données SOMIDA'!$D$82*'Données SOMIDA'!$E$12</f>
        <v>111132000</v>
      </c>
      <c r="O22" s="117">
        <f t="shared" si="4"/>
        <v>1333584000</v>
      </c>
      <c r="P22" s="116"/>
      <c r="Q22" s="116"/>
    </row>
    <row r="23" spans="2:18">
      <c r="B23" s="473" t="str">
        <f t="shared" si="3"/>
        <v>ABR COUPE</v>
      </c>
      <c r="C23" s="117"/>
      <c r="D23" s="117"/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17"/>
      <c r="P23" s="116"/>
      <c r="Q23" s="116"/>
    </row>
    <row r="24" spans="2:18">
      <c r="B24" s="230" t="str">
        <f t="shared" si="3"/>
        <v>Okabe</v>
      </c>
      <c r="C24" s="117">
        <f>+C9*'Données SOMIDA'!$D$79*'Données SOMIDA'!$E$6</f>
        <v>0</v>
      </c>
      <c r="D24" s="117">
        <f>+D9*'Données SOMIDA'!$D$79*'Données SOMIDA'!$E$6</f>
        <v>0</v>
      </c>
      <c r="E24" s="117">
        <f>+E9*'Données SOMIDA'!$D$79*'Données SOMIDA'!$E$6</f>
        <v>0</v>
      </c>
      <c r="F24" s="117">
        <f>+F9*'Données SOMIDA'!$D$79*'Données SOMIDA'!$E$6</f>
        <v>0</v>
      </c>
      <c r="G24" s="117">
        <f>+G9*'Données SOMIDA'!$D$79*'Données SOMIDA'!$E$6</f>
        <v>0</v>
      </c>
      <c r="H24" s="117">
        <f>+H9*'Données SOMIDA'!$D$79*'Données SOMIDA'!$E$6</f>
        <v>0</v>
      </c>
      <c r="I24" s="117">
        <f>+I9*'Données SOMIDA'!$D$79*'Données SOMIDA'!$E$6</f>
        <v>0</v>
      </c>
      <c r="J24" s="117">
        <f>+J9*'Données SOMIDA'!$D$79*'Données SOMIDA'!$E$6</f>
        <v>0</v>
      </c>
      <c r="K24" s="117">
        <f>+K9*'Données SOMIDA'!$D$79*'Données SOMIDA'!$E$6</f>
        <v>0</v>
      </c>
      <c r="L24" s="117">
        <f>+L9*'Données SOMIDA'!$D$79*'Données SOMIDA'!$E$6</f>
        <v>0</v>
      </c>
      <c r="M24" s="117">
        <f>+M9*'Données SOMIDA'!$D$79*'Données SOMIDA'!$E$6</f>
        <v>0</v>
      </c>
      <c r="N24" s="117">
        <f>+N9*'Données SOMIDA'!$D$79*'Données SOMIDA'!$E$6</f>
        <v>0</v>
      </c>
      <c r="O24" s="117">
        <f t="shared" si="4"/>
        <v>0</v>
      </c>
      <c r="P24" s="116"/>
      <c r="Q24" s="116"/>
    </row>
    <row r="25" spans="2:18">
      <c r="B25" s="230" t="str">
        <f t="shared" ref="B25:B27" si="5">+B10</f>
        <v>NRK</v>
      </c>
      <c r="C25" s="117">
        <f>+C10*'Données SOMIDA'!$D$80*'Données SOMIDA'!$E$6</f>
        <v>0</v>
      </c>
      <c r="D25" s="117">
        <f>+D10*'Données SOMIDA'!$D$80*'Données SOMIDA'!$E$6</f>
        <v>0</v>
      </c>
      <c r="E25" s="117">
        <f>+E10*'Données SOMIDA'!$D$80*'Données SOMIDA'!$E$6</f>
        <v>0</v>
      </c>
      <c r="F25" s="117">
        <f>+F10*'Données SOMIDA'!$D$80*'Données SOMIDA'!$E$6</f>
        <v>0</v>
      </c>
      <c r="G25" s="117">
        <f>+G10*'Données SOMIDA'!$D$80*'Données SOMIDA'!$E$6</f>
        <v>0</v>
      </c>
      <c r="H25" s="117">
        <f>+H10*'Données SOMIDA'!$D$80*'Données SOMIDA'!$E$6</f>
        <v>0</v>
      </c>
      <c r="I25" s="117">
        <f>+I10*'Données SOMIDA'!$D$80*'Données SOMIDA'!$E$6</f>
        <v>0</v>
      </c>
      <c r="J25" s="117">
        <f>+J10*'Données SOMIDA'!$D$80*'Données SOMIDA'!$E$6</f>
        <v>0</v>
      </c>
      <c r="K25" s="117">
        <f>+K10*'Données SOMIDA'!$D$80*'Données SOMIDA'!$E$6</f>
        <v>0</v>
      </c>
      <c r="L25" s="117">
        <f>+L10*'Données SOMIDA'!$D$80*'Données SOMIDA'!$E$6</f>
        <v>0</v>
      </c>
      <c r="M25" s="117">
        <f>+M10*'Données SOMIDA'!$D$80*'Données SOMIDA'!$E$6</f>
        <v>0</v>
      </c>
      <c r="N25" s="117">
        <f>+N10*'Données SOMIDA'!$D$80*'Données SOMIDA'!$E$6</f>
        <v>0</v>
      </c>
      <c r="O25" s="117">
        <f t="shared" si="4"/>
        <v>0</v>
      </c>
      <c r="P25" s="116"/>
      <c r="Q25" s="116"/>
    </row>
    <row r="26" spans="2:18">
      <c r="B26" s="230" t="str">
        <f t="shared" si="5"/>
        <v>Goodies</v>
      </c>
      <c r="C26" s="117">
        <f>+C11*'Données SOMIDA'!$D$81*'Données SOMIDA'!$E$5</f>
        <v>481950000</v>
      </c>
      <c r="D26" s="117">
        <f>+D11*'Données SOMIDA'!$D$81*'Données SOMIDA'!$E$5</f>
        <v>481950000</v>
      </c>
      <c r="E26" s="117">
        <f>+E11*'Données SOMIDA'!$D$81*'Données SOMIDA'!$E$5</f>
        <v>481950000</v>
      </c>
      <c r="F26" s="117">
        <f>+F11*'Données SOMIDA'!$D$81*'Données SOMIDA'!$E$5</f>
        <v>481950000</v>
      </c>
      <c r="G26" s="117">
        <f>+G11*'Données SOMIDA'!$D$81*'Données SOMIDA'!$E$5</f>
        <v>481950000</v>
      </c>
      <c r="H26" s="117">
        <f>+H11*'Données SOMIDA'!$D$81*'Données SOMIDA'!$E$5</f>
        <v>481950000</v>
      </c>
      <c r="I26" s="117">
        <f>+I11*'Données SOMIDA'!$D$81*'Données SOMIDA'!$E$5</f>
        <v>481950000</v>
      </c>
      <c r="J26" s="117">
        <f>+J11*'Données SOMIDA'!$D$81*'Données SOMIDA'!$E$5</f>
        <v>481950000</v>
      </c>
      <c r="K26" s="117">
        <f>+K11*'Données SOMIDA'!$D$81*'Données SOMIDA'!$E$5</f>
        <v>481950000</v>
      </c>
      <c r="L26" s="117">
        <f>+L11*'Données SOMIDA'!$D$81*'Données SOMIDA'!$E$5</f>
        <v>481950000</v>
      </c>
      <c r="M26" s="117">
        <f>+M11*'Données SOMIDA'!$D$81*'Données SOMIDA'!$E$5</f>
        <v>481950000</v>
      </c>
      <c r="N26" s="117">
        <f>+N11*'Données SOMIDA'!$D$81*'Données SOMIDA'!$E$5</f>
        <v>481950000</v>
      </c>
      <c r="O26" s="117">
        <f t="shared" si="4"/>
        <v>5783400000</v>
      </c>
      <c r="P26" s="116"/>
      <c r="Q26" s="116"/>
    </row>
    <row r="27" spans="2:18">
      <c r="B27" s="230" t="str">
        <f t="shared" si="5"/>
        <v>Elinar</v>
      </c>
      <c r="C27" s="117">
        <f>+C12*'Données SOMIDA'!$D$82*'Données SOMIDA'!$E$12</f>
        <v>111132000</v>
      </c>
      <c r="D27" s="117">
        <f>+D12*'Données SOMIDA'!$D$82*'Données SOMIDA'!$E$12</f>
        <v>111132000</v>
      </c>
      <c r="E27" s="117">
        <f>+E12*'Données SOMIDA'!$D$82*'Données SOMIDA'!$E$12</f>
        <v>111132000</v>
      </c>
      <c r="F27" s="117">
        <f>+F12*'Données SOMIDA'!$D$82*'Données SOMIDA'!$E$12</f>
        <v>111132000</v>
      </c>
      <c r="G27" s="117">
        <f>+G12*'Données SOMIDA'!$D$82*'Données SOMIDA'!$E$12</f>
        <v>111132000</v>
      </c>
      <c r="H27" s="117">
        <f>+H12*'Données SOMIDA'!$D$82*'Données SOMIDA'!$E$12</f>
        <v>111132000</v>
      </c>
      <c r="I27" s="117">
        <f>+I12*'Données SOMIDA'!$D$82*'Données SOMIDA'!$E$12</f>
        <v>111132000</v>
      </c>
      <c r="J27" s="117">
        <f>+J12*'Données SOMIDA'!$D$82*'Données SOMIDA'!$E$12</f>
        <v>111132000</v>
      </c>
      <c r="K27" s="117">
        <f>+K12*'Données SOMIDA'!$D$82*'Données SOMIDA'!$E$12</f>
        <v>111132000</v>
      </c>
      <c r="L27" s="117">
        <f>+L12*'Données SOMIDA'!$D$82*'Données SOMIDA'!$E$12</f>
        <v>111132000</v>
      </c>
      <c r="M27" s="117">
        <f>+M12*'Données SOMIDA'!$D$82*'Données SOMIDA'!$E$12</f>
        <v>111132000</v>
      </c>
      <c r="N27" s="117">
        <f>+N12*'Données SOMIDA'!$D$82*'Données SOMIDA'!$E$12</f>
        <v>111132000</v>
      </c>
      <c r="O27" s="117">
        <f t="shared" si="4"/>
        <v>1333584000</v>
      </c>
      <c r="P27" s="116"/>
      <c r="Q27" s="116"/>
    </row>
    <row r="28" spans="2:18">
      <c r="B28" s="473" t="str">
        <f>+B13</f>
        <v>FP1 COUPE</v>
      </c>
      <c r="C28" s="117">
        <f>+C14*'Données SOMIDA'!$D$83*'Données SOMIDA'!$E$6</f>
        <v>0</v>
      </c>
      <c r="D28" s="117">
        <f>+D14*'Données SOMIDA'!$D$83*'Données SOMIDA'!$E$6</f>
        <v>0</v>
      </c>
      <c r="E28" s="117">
        <f>+E14*'Données SOMIDA'!$D$83*'Données SOMIDA'!$E$6</f>
        <v>0</v>
      </c>
      <c r="F28" s="117">
        <f>+F14*'Données SOMIDA'!$D$83*'Données SOMIDA'!$E$6</f>
        <v>0</v>
      </c>
      <c r="G28" s="117">
        <f>+G14*'Données SOMIDA'!$D$83*'Données SOMIDA'!$E$6</f>
        <v>0</v>
      </c>
      <c r="H28" s="117">
        <f>+H14*'Données SOMIDA'!$D$83*'Données SOMIDA'!$E$6</f>
        <v>0</v>
      </c>
      <c r="I28" s="117">
        <f>+I14*'Données SOMIDA'!$D$83*'Données SOMIDA'!$E$6</f>
        <v>0</v>
      </c>
      <c r="J28" s="117">
        <f>+J14*'Données SOMIDA'!$D$83*'Données SOMIDA'!$E$6</f>
        <v>0</v>
      </c>
      <c r="K28" s="117">
        <f>+K14*'Données SOMIDA'!$D$83*'Données SOMIDA'!$E$6</f>
        <v>0</v>
      </c>
      <c r="L28" s="117">
        <f>+L14*'Données SOMIDA'!$D$83*'Données SOMIDA'!$E$6</f>
        <v>0</v>
      </c>
      <c r="M28" s="117">
        <f>+M14*'Données SOMIDA'!$D$83*'Données SOMIDA'!$E$6</f>
        <v>0</v>
      </c>
      <c r="N28" s="117">
        <f>+N14*'Données SOMIDA'!$D$83*'Données SOMIDA'!$E$6</f>
        <v>0</v>
      </c>
      <c r="O28" s="117">
        <f t="shared" si="4"/>
        <v>0</v>
      </c>
      <c r="P28" s="116"/>
      <c r="Q28" s="116"/>
    </row>
    <row r="29" spans="2:18">
      <c r="B29" s="473" t="s">
        <v>1761</v>
      </c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17"/>
      <c r="P29" s="117">
        <f>+Production!Q65</f>
        <v>0</v>
      </c>
      <c r="Q29" s="116"/>
    </row>
    <row r="30" spans="2:18">
      <c r="B30" s="116" t="s">
        <v>601</v>
      </c>
      <c r="C30" s="117">
        <v>1050000</v>
      </c>
      <c r="D30" s="117">
        <v>1050000</v>
      </c>
      <c r="E30" s="117">
        <v>1050000</v>
      </c>
      <c r="F30" s="117">
        <v>1050000</v>
      </c>
      <c r="G30" s="117">
        <v>1050000</v>
      </c>
      <c r="H30" s="117">
        <v>1050000</v>
      </c>
      <c r="I30" s="117">
        <v>1050000</v>
      </c>
      <c r="J30" s="117">
        <v>1050000</v>
      </c>
      <c r="K30" s="117">
        <v>1050000</v>
      </c>
      <c r="L30" s="117">
        <v>1050000</v>
      </c>
      <c r="M30" s="117">
        <v>1050000</v>
      </c>
      <c r="N30" s="117">
        <v>1050000</v>
      </c>
      <c r="O30" s="117">
        <f t="shared" si="4"/>
        <v>12600000</v>
      </c>
      <c r="P30" s="116"/>
      <c r="Q30" s="116"/>
    </row>
    <row r="31" spans="2:18">
      <c r="B31" s="116" t="s">
        <v>602</v>
      </c>
      <c r="C31" s="117">
        <v>918750</v>
      </c>
      <c r="D31" s="117">
        <v>918750</v>
      </c>
      <c r="E31" s="117">
        <v>918750</v>
      </c>
      <c r="F31" s="117">
        <v>918750</v>
      </c>
      <c r="G31" s="117">
        <v>918750</v>
      </c>
      <c r="H31" s="117">
        <v>918750</v>
      </c>
      <c r="I31" s="117">
        <v>918750</v>
      </c>
      <c r="J31" s="117">
        <v>918750</v>
      </c>
      <c r="K31" s="117">
        <v>918750</v>
      </c>
      <c r="L31" s="117">
        <v>918750</v>
      </c>
      <c r="M31" s="117">
        <v>918750</v>
      </c>
      <c r="N31" s="117">
        <v>918750</v>
      </c>
      <c r="O31" s="117">
        <f t="shared" si="4"/>
        <v>11025000</v>
      </c>
      <c r="P31" s="116"/>
      <c r="Q31" s="116"/>
    </row>
    <row r="32" spans="2:18">
      <c r="B32" s="481" t="s">
        <v>792</v>
      </c>
      <c r="C32" s="481">
        <f t="shared" ref="C32:O32" si="6">SUM(C18:C31)</f>
        <v>1218659750</v>
      </c>
      <c r="D32" s="481">
        <f t="shared" si="6"/>
        <v>1222432750</v>
      </c>
      <c r="E32" s="481">
        <f t="shared" si="6"/>
        <v>1218659750</v>
      </c>
      <c r="F32" s="481">
        <f t="shared" si="6"/>
        <v>1222432750</v>
      </c>
      <c r="G32" s="481">
        <f t="shared" si="6"/>
        <v>1218659750</v>
      </c>
      <c r="H32" s="481">
        <f t="shared" si="6"/>
        <v>1222432750</v>
      </c>
      <c r="I32" s="481">
        <f t="shared" si="6"/>
        <v>1218659750</v>
      </c>
      <c r="J32" s="481">
        <f t="shared" si="6"/>
        <v>1222432750</v>
      </c>
      <c r="K32" s="481">
        <f t="shared" si="6"/>
        <v>1218659750</v>
      </c>
      <c r="L32" s="481">
        <f t="shared" si="6"/>
        <v>1222432750</v>
      </c>
      <c r="M32" s="481">
        <f t="shared" si="6"/>
        <v>1218659750</v>
      </c>
      <c r="N32" s="481">
        <f t="shared" si="6"/>
        <v>1222432750</v>
      </c>
      <c r="O32" s="481">
        <f t="shared" si="6"/>
        <v>14646555000</v>
      </c>
      <c r="Q32" s="475">
        <f>SUM('CR Nature FD'!O4:O8)</f>
        <v>14646555000</v>
      </c>
      <c r="R32" s="476">
        <f>+O32-Q32</f>
        <v>0</v>
      </c>
    </row>
    <row r="33" spans="2:18">
      <c r="B33" s="118" t="s">
        <v>791</v>
      </c>
      <c r="C33" s="118">
        <f>+SUM(C30:C31)*0.2</f>
        <v>393750</v>
      </c>
      <c r="D33" s="118">
        <f t="shared" ref="D33:O33" si="7">+SUM(D30:D31)*0.2</f>
        <v>393750</v>
      </c>
      <c r="E33" s="118">
        <f t="shared" si="7"/>
        <v>393750</v>
      </c>
      <c r="F33" s="118">
        <f t="shared" si="7"/>
        <v>393750</v>
      </c>
      <c r="G33" s="118">
        <f t="shared" si="7"/>
        <v>393750</v>
      </c>
      <c r="H33" s="118">
        <f t="shared" si="7"/>
        <v>393750</v>
      </c>
      <c r="I33" s="118">
        <f t="shared" si="7"/>
        <v>393750</v>
      </c>
      <c r="J33" s="118">
        <f t="shared" si="7"/>
        <v>393750</v>
      </c>
      <c r="K33" s="118">
        <f t="shared" si="7"/>
        <v>393750</v>
      </c>
      <c r="L33" s="118">
        <f t="shared" si="7"/>
        <v>393750</v>
      </c>
      <c r="M33" s="118">
        <f t="shared" si="7"/>
        <v>393750</v>
      </c>
      <c r="N33" s="118">
        <f t="shared" si="7"/>
        <v>393750</v>
      </c>
      <c r="O33" s="118">
        <f t="shared" si="7"/>
        <v>4725000</v>
      </c>
    </row>
    <row r="34" spans="2:18" ht="17.25" thickBot="1">
      <c r="B34" s="480" t="s">
        <v>793</v>
      </c>
      <c r="C34" s="480">
        <f>SUM(C32:C33)</f>
        <v>1219053500</v>
      </c>
      <c r="D34" s="480">
        <f t="shared" ref="D34:O34" si="8">SUM(D32:D33)</f>
        <v>1222826500</v>
      </c>
      <c r="E34" s="480">
        <f t="shared" si="8"/>
        <v>1219053500</v>
      </c>
      <c r="F34" s="480">
        <f t="shared" si="8"/>
        <v>1222826500</v>
      </c>
      <c r="G34" s="480">
        <f t="shared" si="8"/>
        <v>1219053500</v>
      </c>
      <c r="H34" s="480">
        <f t="shared" si="8"/>
        <v>1222826500</v>
      </c>
      <c r="I34" s="480">
        <f t="shared" si="8"/>
        <v>1219053500</v>
      </c>
      <c r="J34" s="480">
        <f t="shared" si="8"/>
        <v>1222826500</v>
      </c>
      <c r="K34" s="480">
        <f t="shared" si="8"/>
        <v>1219053500</v>
      </c>
      <c r="L34" s="480">
        <f t="shared" si="8"/>
        <v>1222826500</v>
      </c>
      <c r="M34" s="480">
        <f t="shared" si="8"/>
        <v>1219053500</v>
      </c>
      <c r="N34" s="480">
        <f t="shared" si="8"/>
        <v>1222826500</v>
      </c>
      <c r="O34" s="480">
        <f t="shared" si="8"/>
        <v>14651280000</v>
      </c>
    </row>
    <row r="35" spans="2:18" ht="17.25" thickBot="1"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</row>
    <row r="36" spans="2:18">
      <c r="B36" s="1099" t="s">
        <v>659</v>
      </c>
      <c r="C36" s="1099" t="s">
        <v>1831</v>
      </c>
      <c r="D36" s="1100" t="str">
        <f>+C17</f>
        <v>Janvier</v>
      </c>
      <c r="E36" s="1100" t="str">
        <f t="shared" ref="E36:O36" si="9">+D17</f>
        <v>Février</v>
      </c>
      <c r="F36" s="1100" t="str">
        <f t="shared" si="9"/>
        <v>Mars</v>
      </c>
      <c r="G36" s="1100" t="str">
        <f t="shared" si="9"/>
        <v>Avril</v>
      </c>
      <c r="H36" s="1100" t="str">
        <f t="shared" si="9"/>
        <v>Mai</v>
      </c>
      <c r="I36" s="1100" t="str">
        <f t="shared" si="9"/>
        <v>Juin</v>
      </c>
      <c r="J36" s="1100" t="str">
        <f t="shared" si="9"/>
        <v>Juillet</v>
      </c>
      <c r="K36" s="1100" t="str">
        <f t="shared" si="9"/>
        <v>Août</v>
      </c>
      <c r="L36" s="1100" t="str">
        <f t="shared" si="9"/>
        <v>Septembre</v>
      </c>
      <c r="M36" s="1100" t="str">
        <f t="shared" si="9"/>
        <v>Octobre</v>
      </c>
      <c r="N36" s="1100" t="str">
        <f t="shared" si="9"/>
        <v>Novembre</v>
      </c>
      <c r="O36" s="1100" t="str">
        <f t="shared" si="9"/>
        <v>Décembre</v>
      </c>
      <c r="P36" s="1100" t="s">
        <v>673</v>
      </c>
      <c r="Q36" s="475"/>
      <c r="R36" s="476"/>
    </row>
    <row r="37" spans="2:18">
      <c r="B37" s="230" t="s">
        <v>669</v>
      </c>
      <c r="C37" s="117"/>
      <c r="D37" s="117">
        <f>+C40</f>
        <v>0</v>
      </c>
      <c r="E37" s="117">
        <f t="shared" ref="E37:O37" si="10">+D40</f>
        <v>304763.375</v>
      </c>
      <c r="F37" s="117">
        <f t="shared" si="10"/>
        <v>427046.02499999991</v>
      </c>
      <c r="G37" s="117">
        <f t="shared" si="10"/>
        <v>548951.37499999977</v>
      </c>
      <c r="H37" s="117">
        <f t="shared" si="10"/>
        <v>426668.72499999963</v>
      </c>
      <c r="I37" s="117">
        <f t="shared" si="10"/>
        <v>304763.37499999953</v>
      </c>
      <c r="J37" s="117">
        <f t="shared" si="10"/>
        <v>182480.72499999939</v>
      </c>
      <c r="K37" s="117">
        <f t="shared" si="10"/>
        <v>60575.374999999302</v>
      </c>
      <c r="L37" s="117">
        <f t="shared" si="10"/>
        <v>121716.69999999925</v>
      </c>
      <c r="M37" s="117">
        <f t="shared" si="10"/>
        <v>243622.04999999912</v>
      </c>
      <c r="N37" s="117">
        <f t="shared" si="10"/>
        <v>365904.69999999902</v>
      </c>
      <c r="O37" s="117">
        <f t="shared" si="10"/>
        <v>487810.04999999888</v>
      </c>
      <c r="P37" s="117">
        <f>+D37</f>
        <v>0</v>
      </c>
      <c r="Q37" s="116"/>
    </row>
    <row r="38" spans="2:18">
      <c r="B38" s="230" t="s">
        <v>693</v>
      </c>
      <c r="C38" s="117"/>
      <c r="D38" s="117">
        <f>+C34/1000</f>
        <v>1219053.5</v>
      </c>
      <c r="E38" s="117">
        <f t="shared" ref="E38:O38" si="11">+D34/1000</f>
        <v>1222826.5</v>
      </c>
      <c r="F38" s="117">
        <f t="shared" si="11"/>
        <v>1219053.5</v>
      </c>
      <c r="G38" s="117">
        <f t="shared" si="11"/>
        <v>1222826.5</v>
      </c>
      <c r="H38" s="117">
        <f t="shared" si="11"/>
        <v>1219053.5</v>
      </c>
      <c r="I38" s="117">
        <f t="shared" si="11"/>
        <v>1222826.5</v>
      </c>
      <c r="J38" s="117">
        <f t="shared" si="11"/>
        <v>1219053.5</v>
      </c>
      <c r="K38" s="117">
        <f t="shared" si="11"/>
        <v>1222826.5</v>
      </c>
      <c r="L38" s="117">
        <f t="shared" si="11"/>
        <v>1219053.5</v>
      </c>
      <c r="M38" s="117">
        <f t="shared" si="11"/>
        <v>1222826.5</v>
      </c>
      <c r="N38" s="117">
        <f t="shared" si="11"/>
        <v>1219053.5</v>
      </c>
      <c r="O38" s="117">
        <f t="shared" si="11"/>
        <v>1222826.5</v>
      </c>
      <c r="P38" s="117">
        <f>SUM(D38:O38)</f>
        <v>14651280</v>
      </c>
      <c r="Q38" s="116"/>
    </row>
    <row r="39" spans="2:18" s="1101" customFormat="1">
      <c r="B39" s="1102" t="s">
        <v>694</v>
      </c>
      <c r="C39" s="1103"/>
      <c r="D39" s="1103">
        <f>-D38*0.75</f>
        <v>-914290.125</v>
      </c>
      <c r="E39" s="1103">
        <f>-E38*0.9</f>
        <v>-1100543.8500000001</v>
      </c>
      <c r="F39" s="1103">
        <f>-F38*0.9</f>
        <v>-1097148.1500000001</v>
      </c>
      <c r="G39" s="1103">
        <f>-G38*1.1</f>
        <v>-1345109.1500000001</v>
      </c>
      <c r="H39" s="1103">
        <f>-H38*1.1</f>
        <v>-1340958.8500000001</v>
      </c>
      <c r="I39" s="1103">
        <f>-I38*1.1</f>
        <v>-1345109.1500000001</v>
      </c>
      <c r="J39" s="1103">
        <f>-J38*1.1</f>
        <v>-1340958.8500000001</v>
      </c>
      <c r="K39" s="1103">
        <f>-K38*0.95</f>
        <v>-1161685.175</v>
      </c>
      <c r="L39" s="1103">
        <f t="shared" ref="L39:O39" si="12">-L38*0.9</f>
        <v>-1097148.1500000001</v>
      </c>
      <c r="M39" s="1103">
        <f t="shared" si="12"/>
        <v>-1100543.8500000001</v>
      </c>
      <c r="N39" s="1103">
        <f t="shared" si="12"/>
        <v>-1097148.1500000001</v>
      </c>
      <c r="O39" s="1103">
        <f t="shared" si="12"/>
        <v>-1100543.8500000001</v>
      </c>
      <c r="P39" s="1103">
        <f>SUM(D39:O39)</f>
        <v>-14041187.300000001</v>
      </c>
      <c r="Q39" s="1104"/>
    </row>
    <row r="40" spans="2:18" ht="17.25" thickBot="1">
      <c r="B40" s="480" t="s">
        <v>673</v>
      </c>
      <c r="C40" s="480">
        <f>+AN!C181</f>
        <v>0</v>
      </c>
      <c r="D40" s="480">
        <f t="shared" ref="D40:P40" si="13">SUM(D37:D39)</f>
        <v>304763.375</v>
      </c>
      <c r="E40" s="480">
        <f t="shared" si="13"/>
        <v>427046.02499999991</v>
      </c>
      <c r="F40" s="480">
        <f t="shared" si="13"/>
        <v>548951.37499999977</v>
      </c>
      <c r="G40" s="480">
        <f t="shared" si="13"/>
        <v>426668.72499999963</v>
      </c>
      <c r="H40" s="480">
        <f t="shared" si="13"/>
        <v>304763.37499999953</v>
      </c>
      <c r="I40" s="480">
        <f t="shared" si="13"/>
        <v>182480.72499999939</v>
      </c>
      <c r="J40" s="480">
        <f t="shared" si="13"/>
        <v>60575.374999999302</v>
      </c>
      <c r="K40" s="480">
        <f t="shared" si="13"/>
        <v>121716.69999999925</v>
      </c>
      <c r="L40" s="480">
        <f t="shared" si="13"/>
        <v>243622.04999999912</v>
      </c>
      <c r="M40" s="480">
        <f t="shared" si="13"/>
        <v>365904.69999999902</v>
      </c>
      <c r="N40" s="480">
        <f t="shared" si="13"/>
        <v>487810.04999999888</v>
      </c>
      <c r="O40" s="480">
        <f t="shared" si="13"/>
        <v>610092.69999999879</v>
      </c>
      <c r="P40" s="480">
        <f t="shared" si="13"/>
        <v>610092.69999999925</v>
      </c>
    </row>
    <row r="41" spans="2:18" s="969" customFormat="1" ht="13.5" thickBot="1">
      <c r="C41" s="1098"/>
      <c r="D41" s="1050"/>
      <c r="E41" s="1050"/>
      <c r="F41" s="1050"/>
      <c r="G41" s="1050"/>
      <c r="H41" s="1050"/>
      <c r="I41" s="1050"/>
      <c r="J41" s="1050"/>
      <c r="K41" s="1050"/>
      <c r="L41" s="1050"/>
      <c r="M41" s="1050"/>
      <c r="N41" s="1050"/>
      <c r="O41" s="1050"/>
      <c r="P41" s="1050"/>
      <c r="Q41" s="970"/>
    </row>
    <row r="42" spans="2:18" s="468" customFormat="1">
      <c r="B42" s="764" t="s">
        <v>877</v>
      </c>
      <c r="C42" s="478" t="str">
        <f t="shared" ref="C42:O42" si="14">+C17</f>
        <v>Janvier</v>
      </c>
      <c r="D42" s="478" t="str">
        <f t="shared" si="14"/>
        <v>Février</v>
      </c>
      <c r="E42" s="478" t="str">
        <f t="shared" si="14"/>
        <v>Mars</v>
      </c>
      <c r="F42" s="478" t="str">
        <f t="shared" si="14"/>
        <v>Avril</v>
      </c>
      <c r="G42" s="478" t="str">
        <f t="shared" si="14"/>
        <v>Mai</v>
      </c>
      <c r="H42" s="478" t="str">
        <f t="shared" si="14"/>
        <v>Juin</v>
      </c>
      <c r="I42" s="478" t="str">
        <f t="shared" si="14"/>
        <v>Juillet</v>
      </c>
      <c r="J42" s="478" t="str">
        <f t="shared" si="14"/>
        <v>Août</v>
      </c>
      <c r="K42" s="478" t="str">
        <f t="shared" si="14"/>
        <v>Septembre</v>
      </c>
      <c r="L42" s="478" t="str">
        <f t="shared" si="14"/>
        <v>Octobre</v>
      </c>
      <c r="M42" s="478" t="str">
        <f t="shared" si="14"/>
        <v>Novembre</v>
      </c>
      <c r="N42" s="478" t="str">
        <f t="shared" si="14"/>
        <v>Décembre</v>
      </c>
      <c r="O42" s="478" t="str">
        <f t="shared" si="14"/>
        <v>Total</v>
      </c>
      <c r="P42" s="119"/>
      <c r="Q42" s="119"/>
    </row>
    <row r="43" spans="2:18">
      <c r="B43" s="406" t="s">
        <v>1107</v>
      </c>
      <c r="C43" s="599">
        <v>0.05</v>
      </c>
      <c r="O43" s="476"/>
    </row>
    <row r="44" spans="2:18">
      <c r="B44" s="406" t="s">
        <v>1108</v>
      </c>
      <c r="C44" s="599">
        <v>0.05</v>
      </c>
      <c r="O44" s="476"/>
    </row>
    <row r="45" spans="2:18">
      <c r="B45" s="198" t="str">
        <f>+B19</f>
        <v>Okabe</v>
      </c>
      <c r="C45" s="117">
        <f t="shared" ref="C45:N45" si="15">+SUMIF($B$18:$B$31,$B$45,C18:C31)*$C$44</f>
        <v>0</v>
      </c>
      <c r="D45" s="117">
        <f t="shared" si="15"/>
        <v>1715000</v>
      </c>
      <c r="E45" s="117">
        <f t="shared" si="15"/>
        <v>0</v>
      </c>
      <c r="F45" s="117">
        <f t="shared" si="15"/>
        <v>1715000</v>
      </c>
      <c r="G45" s="117">
        <f t="shared" si="15"/>
        <v>0</v>
      </c>
      <c r="H45" s="117">
        <f t="shared" si="15"/>
        <v>1715000</v>
      </c>
      <c r="I45" s="117">
        <f t="shared" si="15"/>
        <v>0</v>
      </c>
      <c r="J45" s="117">
        <f t="shared" si="15"/>
        <v>1715000</v>
      </c>
      <c r="K45" s="117">
        <f t="shared" si="15"/>
        <v>0</v>
      </c>
      <c r="L45" s="117">
        <f t="shared" si="15"/>
        <v>1715000</v>
      </c>
      <c r="M45" s="117">
        <f t="shared" si="15"/>
        <v>0</v>
      </c>
      <c r="N45" s="117">
        <f t="shared" si="15"/>
        <v>1715000</v>
      </c>
      <c r="O45" s="245">
        <f>SUM(C45:N45)</f>
        <v>10290000</v>
      </c>
    </row>
    <row r="46" spans="2:18">
      <c r="B46" s="198" t="str">
        <f>+B20</f>
        <v>NRK</v>
      </c>
      <c r="C46" s="117">
        <f t="shared" ref="C46:N46" si="16">+SUMIF($B$18:$B$31,$B$46,C18:C31)*$C$44</f>
        <v>1526350</v>
      </c>
      <c r="D46" s="117">
        <f t="shared" si="16"/>
        <v>0</v>
      </c>
      <c r="E46" s="117">
        <f t="shared" si="16"/>
        <v>1526350</v>
      </c>
      <c r="F46" s="117">
        <f t="shared" si="16"/>
        <v>0</v>
      </c>
      <c r="G46" s="117">
        <f t="shared" si="16"/>
        <v>1526350</v>
      </c>
      <c r="H46" s="117">
        <f t="shared" si="16"/>
        <v>0</v>
      </c>
      <c r="I46" s="117">
        <f t="shared" si="16"/>
        <v>1526350</v>
      </c>
      <c r="J46" s="117">
        <f t="shared" si="16"/>
        <v>0</v>
      </c>
      <c r="K46" s="117">
        <f t="shared" si="16"/>
        <v>1526350</v>
      </c>
      <c r="L46" s="117">
        <f t="shared" si="16"/>
        <v>0</v>
      </c>
      <c r="M46" s="117">
        <f t="shared" si="16"/>
        <v>1526350</v>
      </c>
      <c r="N46" s="117">
        <f t="shared" si="16"/>
        <v>0</v>
      </c>
      <c r="O46" s="245">
        <f t="shared" ref="O46:O50" si="17">SUM(C46:N46)</f>
        <v>9158100</v>
      </c>
    </row>
    <row r="47" spans="2:18">
      <c r="B47" s="198" t="str">
        <f>+B21</f>
        <v>Goodies</v>
      </c>
      <c r="C47" s="117">
        <f t="shared" ref="C47:N47" si="18">+SUMIF($B$18:$B$31,$B$47,C18:C31)*$C$44</f>
        <v>48195000</v>
      </c>
      <c r="D47" s="117">
        <f t="shared" si="18"/>
        <v>48195000</v>
      </c>
      <c r="E47" s="117">
        <f t="shared" si="18"/>
        <v>48195000</v>
      </c>
      <c r="F47" s="117">
        <f t="shared" si="18"/>
        <v>48195000</v>
      </c>
      <c r="G47" s="117">
        <f t="shared" si="18"/>
        <v>48195000</v>
      </c>
      <c r="H47" s="117">
        <f t="shared" si="18"/>
        <v>48195000</v>
      </c>
      <c r="I47" s="117">
        <f t="shared" si="18"/>
        <v>48195000</v>
      </c>
      <c r="J47" s="117">
        <f t="shared" si="18"/>
        <v>48195000</v>
      </c>
      <c r="K47" s="117">
        <f t="shared" si="18"/>
        <v>48195000</v>
      </c>
      <c r="L47" s="117">
        <f t="shared" si="18"/>
        <v>48195000</v>
      </c>
      <c r="M47" s="117">
        <f t="shared" si="18"/>
        <v>48195000</v>
      </c>
      <c r="N47" s="117">
        <f t="shared" si="18"/>
        <v>48195000</v>
      </c>
      <c r="O47" s="245">
        <f t="shared" si="17"/>
        <v>578340000</v>
      </c>
    </row>
    <row r="48" spans="2:18">
      <c r="B48" s="198" t="str">
        <f>+B22</f>
        <v>Elinar</v>
      </c>
      <c r="C48" s="117">
        <f t="shared" ref="C48:N48" si="19">+SUMIF($B$18:$B$31,$B$48,C18:C31)*$C$43</f>
        <v>11113200</v>
      </c>
      <c r="D48" s="117">
        <f t="shared" si="19"/>
        <v>11113200</v>
      </c>
      <c r="E48" s="117">
        <f t="shared" si="19"/>
        <v>11113200</v>
      </c>
      <c r="F48" s="117">
        <f t="shared" si="19"/>
        <v>11113200</v>
      </c>
      <c r="G48" s="117">
        <f t="shared" si="19"/>
        <v>11113200</v>
      </c>
      <c r="H48" s="117">
        <f t="shared" si="19"/>
        <v>11113200</v>
      </c>
      <c r="I48" s="117">
        <f t="shared" si="19"/>
        <v>11113200</v>
      </c>
      <c r="J48" s="117">
        <f t="shared" si="19"/>
        <v>11113200</v>
      </c>
      <c r="K48" s="117">
        <f t="shared" si="19"/>
        <v>11113200</v>
      </c>
      <c r="L48" s="117">
        <f t="shared" si="19"/>
        <v>11113200</v>
      </c>
      <c r="M48" s="117">
        <f t="shared" si="19"/>
        <v>11113200</v>
      </c>
      <c r="N48" s="117">
        <f t="shared" si="19"/>
        <v>11113200</v>
      </c>
      <c r="O48" s="245">
        <f t="shared" si="17"/>
        <v>133358400</v>
      </c>
    </row>
    <row r="49" spans="2:17">
      <c r="B49" s="198" t="str">
        <f>+B28</f>
        <v>FP1 COUPE</v>
      </c>
      <c r="C49" s="117">
        <f>+SUMIF($B$18:$B$31,$B$49,C18:C31)*$C$43</f>
        <v>0</v>
      </c>
      <c r="D49" s="117">
        <f t="shared" ref="D49:N49" si="20">+SUMIF($B$18:$B$31,$B$49,D18:D31)*$C$43</f>
        <v>0</v>
      </c>
      <c r="E49" s="117">
        <f t="shared" si="20"/>
        <v>0</v>
      </c>
      <c r="F49" s="117">
        <f t="shared" si="20"/>
        <v>0</v>
      </c>
      <c r="G49" s="117">
        <f t="shared" si="20"/>
        <v>0</v>
      </c>
      <c r="H49" s="117">
        <f t="shared" si="20"/>
        <v>0</v>
      </c>
      <c r="I49" s="117">
        <f t="shared" si="20"/>
        <v>0</v>
      </c>
      <c r="J49" s="117">
        <f t="shared" si="20"/>
        <v>0</v>
      </c>
      <c r="K49" s="117">
        <f t="shared" si="20"/>
        <v>0</v>
      </c>
      <c r="L49" s="117">
        <f t="shared" si="20"/>
        <v>0</v>
      </c>
      <c r="M49" s="117">
        <f t="shared" si="20"/>
        <v>0</v>
      </c>
      <c r="N49" s="117">
        <f t="shared" si="20"/>
        <v>0</v>
      </c>
      <c r="O49" s="245">
        <f t="shared" si="17"/>
        <v>0</v>
      </c>
    </row>
    <row r="50" spans="2:17" ht="17.25" thickBot="1">
      <c r="B50" s="480" t="s">
        <v>555</v>
      </c>
      <c r="C50" s="480">
        <f>SUM(C45:C49)</f>
        <v>60834550</v>
      </c>
      <c r="D50" s="480">
        <f t="shared" ref="D50:N50" si="21">SUM(D45:D49)</f>
        <v>61023200</v>
      </c>
      <c r="E50" s="480">
        <f t="shared" si="21"/>
        <v>60834550</v>
      </c>
      <c r="F50" s="480">
        <f t="shared" si="21"/>
        <v>61023200</v>
      </c>
      <c r="G50" s="480">
        <f t="shared" si="21"/>
        <v>60834550</v>
      </c>
      <c r="H50" s="480">
        <f t="shared" si="21"/>
        <v>61023200</v>
      </c>
      <c r="I50" s="480">
        <f t="shared" si="21"/>
        <v>60834550</v>
      </c>
      <c r="J50" s="480">
        <f t="shared" si="21"/>
        <v>61023200</v>
      </c>
      <c r="K50" s="480">
        <f t="shared" si="21"/>
        <v>60834550</v>
      </c>
      <c r="L50" s="480">
        <f t="shared" si="21"/>
        <v>61023200</v>
      </c>
      <c r="M50" s="480">
        <f t="shared" si="21"/>
        <v>60834550</v>
      </c>
      <c r="N50" s="480">
        <f t="shared" si="21"/>
        <v>61023200</v>
      </c>
      <c r="O50" s="480">
        <f t="shared" si="17"/>
        <v>731146500</v>
      </c>
    </row>
    <row r="51" spans="2:17" ht="17.25" thickBot="1">
      <c r="B51" s="118"/>
      <c r="C51" s="118"/>
      <c r="D51" s="118"/>
      <c r="E51" s="118"/>
      <c r="F51" s="118"/>
      <c r="G51" s="118"/>
      <c r="H51" s="118"/>
      <c r="I51" s="118"/>
      <c r="J51" s="118"/>
      <c r="K51" s="118"/>
      <c r="L51" s="118"/>
      <c r="M51" s="118"/>
      <c r="N51" s="118"/>
      <c r="O51" s="118"/>
    </row>
    <row r="52" spans="2:17">
      <c r="B52" s="467" t="s">
        <v>1320</v>
      </c>
      <c r="C52" s="408" t="str">
        <f>+C42</f>
        <v>Janvier</v>
      </c>
      <c r="D52" s="408" t="str">
        <f t="shared" ref="D52:O52" si="22">+D42</f>
        <v>Février</v>
      </c>
      <c r="E52" s="408" t="str">
        <f t="shared" si="22"/>
        <v>Mars</v>
      </c>
      <c r="F52" s="408" t="str">
        <f t="shared" si="22"/>
        <v>Avril</v>
      </c>
      <c r="G52" s="408" t="str">
        <f t="shared" si="22"/>
        <v>Mai</v>
      </c>
      <c r="H52" s="408" t="str">
        <f t="shared" si="22"/>
        <v>Juin</v>
      </c>
      <c r="I52" s="408" t="str">
        <f t="shared" si="22"/>
        <v>Juillet</v>
      </c>
      <c r="J52" s="408" t="str">
        <f t="shared" si="22"/>
        <v>Août</v>
      </c>
      <c r="K52" s="408" t="str">
        <f t="shared" si="22"/>
        <v>Septembre</v>
      </c>
      <c r="L52" s="408" t="str">
        <f t="shared" si="22"/>
        <v>Octobre</v>
      </c>
      <c r="M52" s="408" t="str">
        <f t="shared" si="22"/>
        <v>Novembre</v>
      </c>
      <c r="N52" s="408" t="str">
        <f t="shared" si="22"/>
        <v>Décembre</v>
      </c>
      <c r="O52" s="408" t="str">
        <f t="shared" si="22"/>
        <v>Total</v>
      </c>
      <c r="P52" s="765"/>
      <c r="Q52" s="408" t="s">
        <v>1264</v>
      </c>
    </row>
    <row r="53" spans="2:17">
      <c r="B53" s="826" t="str">
        <f>+Production!C71</f>
        <v>Ariary</v>
      </c>
      <c r="C53" s="827">
        <f t="shared" ref="C53:O53" si="23">IFERROR(+SUM(C19:C28)/C15,0)</f>
        <v>1807861.8127786033</v>
      </c>
      <c r="D53" s="827">
        <f t="shared" si="23"/>
        <v>1807559.2417061611</v>
      </c>
      <c r="E53" s="827">
        <f t="shared" si="23"/>
        <v>1807861.8127786033</v>
      </c>
      <c r="F53" s="827">
        <f t="shared" si="23"/>
        <v>1807559.2417061611</v>
      </c>
      <c r="G53" s="827">
        <f t="shared" si="23"/>
        <v>1807861.8127786033</v>
      </c>
      <c r="H53" s="827">
        <f t="shared" si="23"/>
        <v>1807559.2417061611</v>
      </c>
      <c r="I53" s="827">
        <f t="shared" si="23"/>
        <v>1807861.8127786033</v>
      </c>
      <c r="J53" s="827">
        <f t="shared" si="23"/>
        <v>1807559.2417061611</v>
      </c>
      <c r="K53" s="827">
        <f t="shared" si="23"/>
        <v>1807861.8127786033</v>
      </c>
      <c r="L53" s="827">
        <f t="shared" si="23"/>
        <v>1807559.2417061611</v>
      </c>
      <c r="M53" s="827">
        <f t="shared" si="23"/>
        <v>1807861.8127786033</v>
      </c>
      <c r="N53" s="827">
        <f t="shared" si="23"/>
        <v>1807559.2417061611</v>
      </c>
      <c r="O53" s="827">
        <f t="shared" si="23"/>
        <v>1807710.2803738317</v>
      </c>
      <c r="Q53" s="827">
        <f>AVERAGE(C53:N53)</f>
        <v>1807710.5272423823</v>
      </c>
    </row>
    <row r="54" spans="2:17">
      <c r="B54" s="198" t="str">
        <f>+Production!C72</f>
        <v>EUR</v>
      </c>
      <c r="C54" s="117">
        <f>+C53/'Données SOMIDA'!$E$6</f>
        <v>368.95139036298025</v>
      </c>
      <c r="D54" s="117">
        <f>+D53/'Données SOMIDA'!$E$6</f>
        <v>368.88964116452269</v>
      </c>
      <c r="E54" s="117">
        <f>+E53/'Données SOMIDA'!$E$6</f>
        <v>368.95139036298025</v>
      </c>
      <c r="F54" s="117">
        <f>+F53/'Données SOMIDA'!$E$6</f>
        <v>368.88964116452269</v>
      </c>
      <c r="G54" s="117">
        <f>+G53/'Données SOMIDA'!$E$6</f>
        <v>368.95139036298025</v>
      </c>
      <c r="H54" s="117">
        <f>+H53/'Données SOMIDA'!$E$6</f>
        <v>368.88964116452269</v>
      </c>
      <c r="I54" s="117">
        <f>+I53/'Données SOMIDA'!$E$6</f>
        <v>368.95139036298025</v>
      </c>
      <c r="J54" s="117">
        <f>+J53/'Données SOMIDA'!$E$6</f>
        <v>368.88964116452269</v>
      </c>
      <c r="K54" s="117">
        <f>+K53/'Données SOMIDA'!$E$6</f>
        <v>368.95139036298025</v>
      </c>
      <c r="L54" s="117">
        <f>+L53/'Données SOMIDA'!$E$6</f>
        <v>368.88964116452269</v>
      </c>
      <c r="M54" s="117">
        <f>+M53/'Données SOMIDA'!$E$6</f>
        <v>368.95139036298025</v>
      </c>
      <c r="N54" s="117">
        <f>+N53/'Données SOMIDA'!$E$6</f>
        <v>368.88964116452269</v>
      </c>
      <c r="O54" s="117">
        <f>+O53/'Données SOMIDA'!$E$6</f>
        <v>368.92046538241465</v>
      </c>
      <c r="Q54" s="117">
        <f t="shared" ref="Q54:Q55" si="24">AVERAGE(C54:N54)</f>
        <v>368.92051576375155</v>
      </c>
    </row>
    <row r="55" spans="2:17" ht="17.25" thickBot="1">
      <c r="B55" s="774" t="str">
        <f>+Production!C73</f>
        <v>USD</v>
      </c>
      <c r="C55" s="828">
        <f>+C53/'Données SOMIDA'!$E$5</f>
        <v>401.7470695063563</v>
      </c>
      <c r="D55" s="828">
        <f>+D53/'Données SOMIDA'!$E$5</f>
        <v>401.67983149025804</v>
      </c>
      <c r="E55" s="828">
        <f>+E53/'Données SOMIDA'!$E$5</f>
        <v>401.7470695063563</v>
      </c>
      <c r="F55" s="828">
        <f>+F53/'Données SOMIDA'!$E$5</f>
        <v>401.67983149025804</v>
      </c>
      <c r="G55" s="828">
        <f>+G53/'Données SOMIDA'!$E$5</f>
        <v>401.7470695063563</v>
      </c>
      <c r="H55" s="828">
        <f>+H53/'Données SOMIDA'!$E$5</f>
        <v>401.67983149025804</v>
      </c>
      <c r="I55" s="828">
        <f>+I53/'Données SOMIDA'!$E$5</f>
        <v>401.7470695063563</v>
      </c>
      <c r="J55" s="828">
        <f>+J53/'Données SOMIDA'!$E$5</f>
        <v>401.67983149025804</v>
      </c>
      <c r="K55" s="828">
        <f>+K53/'Données SOMIDA'!$E$5</f>
        <v>401.7470695063563</v>
      </c>
      <c r="L55" s="828">
        <f>+L53/'Données SOMIDA'!$E$5</f>
        <v>401.67983149025804</v>
      </c>
      <c r="M55" s="828">
        <f>+M53/'Données SOMIDA'!$E$5</f>
        <v>401.7470695063563</v>
      </c>
      <c r="N55" s="828">
        <f>+N53/'Données SOMIDA'!$E$5</f>
        <v>401.67983149025804</v>
      </c>
      <c r="O55" s="828">
        <f>+O53/'Données SOMIDA'!$E$5</f>
        <v>401.71339563862927</v>
      </c>
      <c r="Q55" s="828">
        <f t="shared" si="24"/>
        <v>401.71345049830717</v>
      </c>
    </row>
    <row r="56" spans="2:17">
      <c r="C56" s="117"/>
      <c r="D56" s="117"/>
      <c r="E56" s="117"/>
      <c r="F56" s="117"/>
      <c r="G56" s="117"/>
      <c r="H56" s="117"/>
      <c r="I56" s="117"/>
      <c r="J56" s="117"/>
      <c r="K56" s="117"/>
      <c r="L56" s="117"/>
      <c r="M56" s="117"/>
      <c r="N56" s="117"/>
      <c r="O56" s="117"/>
      <c r="Q56" s="117"/>
    </row>
    <row r="57" spans="2:17" ht="17.25" thickBot="1">
      <c r="G57" s="926">
        <f>+SUBTOTAL(9,G59:G166)</f>
        <v>8089.2000000000044</v>
      </c>
      <c r="H57" s="926"/>
      <c r="I57" s="926">
        <f>+SUBTOTAL(9,I59:I166)</f>
        <v>14622930000</v>
      </c>
      <c r="J57" s="926">
        <f>+SUBTOTAL(9,J59:J166)</f>
        <v>3249540</v>
      </c>
      <c r="K57" s="926">
        <f>+SUBTOTAL(9,K59:K166)</f>
        <v>2984271.4285714282</v>
      </c>
      <c r="M57" s="117"/>
      <c r="N57" s="117"/>
    </row>
    <row r="58" spans="2:17">
      <c r="B58" s="848" t="s">
        <v>1743</v>
      </c>
      <c r="C58" s="848" t="s">
        <v>1735</v>
      </c>
      <c r="D58" s="848" t="s">
        <v>1732</v>
      </c>
      <c r="E58" s="848" t="s">
        <v>804</v>
      </c>
      <c r="F58" s="848" t="s">
        <v>1749</v>
      </c>
      <c r="G58" s="848" t="s">
        <v>843</v>
      </c>
      <c r="H58" s="848" t="s">
        <v>382</v>
      </c>
      <c r="I58" s="848" t="s">
        <v>1745</v>
      </c>
      <c r="J58" s="848" t="s">
        <v>1094</v>
      </c>
      <c r="K58" s="848" t="s">
        <v>612</v>
      </c>
    </row>
    <row r="59" spans="2:17">
      <c r="B59" s="405" t="str">
        <f>_xlfn.XLOOKUP(C59,'Données SOMIDA'!$C$18:$C$28,'Données SOMIDA'!$B$18:$B$28)</f>
        <v>1 PF</v>
      </c>
      <c r="C59" s="198" t="str">
        <f>+B3</f>
        <v>TRA COUPE</v>
      </c>
      <c r="D59" s="198" t="str">
        <f>+C52</f>
        <v>Janvier</v>
      </c>
      <c r="E59" s="198" t="str">
        <f>+B4</f>
        <v>Okabe</v>
      </c>
      <c r="F59" s="405" t="str">
        <f>IF(C59="FP1",'Données SOMIDA'!$N$83,VLOOKUP(E59,'Données SOMIDA'!$C$79:$N$85,12,FALSE))</f>
        <v>Japon</v>
      </c>
      <c r="G59" s="245">
        <f>+C$4</f>
        <v>0</v>
      </c>
      <c r="H59" s="245">
        <f>IF(C59="FP1 COUPE",'Données SOMIDA'!$G$83,VLOOKUP(E59,'Données SOMIDA'!$C$79:$G$85,5,FALSE))</f>
        <v>1715000</v>
      </c>
      <c r="I59" s="245">
        <f>+G59*H59</f>
        <v>0</v>
      </c>
      <c r="J59" s="245">
        <f>+I59/'Données SOMIDA'!$E$11</f>
        <v>0</v>
      </c>
      <c r="K59" s="245">
        <f>+I59/'Données SOMIDA'!$E$6</f>
        <v>0</v>
      </c>
    </row>
    <row r="60" spans="2:17">
      <c r="B60" s="405" t="str">
        <f>_xlfn.XLOOKUP(C60,'Données SOMIDA'!$C$18:$C$28,'Données SOMIDA'!$B$18:$B$28)</f>
        <v>1 PF</v>
      </c>
      <c r="C60" s="198" t="str">
        <f>+C59</f>
        <v>TRA COUPE</v>
      </c>
      <c r="D60" s="198" t="str">
        <f>+D59</f>
        <v>Janvier</v>
      </c>
      <c r="E60" s="198" t="str">
        <f>+B5</f>
        <v>NRK</v>
      </c>
      <c r="F60" s="405" t="str">
        <f>IF(C60="FP1",'Données SOMIDA'!$N$83,VLOOKUP(E60,'Données SOMIDA'!$C$79:$N$85,12,FALSE))</f>
        <v>Japon</v>
      </c>
      <c r="G60" s="245">
        <f>+C$5</f>
        <v>17.8</v>
      </c>
      <c r="H60" s="245">
        <f>IF(C60="FP1 COUPE",'Données SOMIDA'!$G$83,VLOOKUP(E60,'Données SOMIDA'!$C$79:$G$85,5,FALSE))</f>
        <v>1715000</v>
      </c>
      <c r="I60" s="245">
        <f t="shared" ref="I60:I123" si="25">+G60*H60</f>
        <v>30527000</v>
      </c>
      <c r="J60" s="245">
        <f>+I60/'Données SOMIDA'!$E$11</f>
        <v>6783.7777777777774</v>
      </c>
      <c r="K60" s="245">
        <f>+I60/'Données SOMIDA'!$E$6</f>
        <v>6230</v>
      </c>
    </row>
    <row r="61" spans="2:17">
      <c r="B61" s="405" t="str">
        <f>_xlfn.XLOOKUP(C61,'Données SOMIDA'!$C$18:$C$28,'Données SOMIDA'!$B$18:$B$28)</f>
        <v>1 PF</v>
      </c>
      <c r="C61" s="198" t="str">
        <f t="shared" ref="C61:C62" si="26">+C60</f>
        <v>TRA COUPE</v>
      </c>
      <c r="D61" s="198" t="str">
        <f t="shared" ref="D61:D67" si="27">+D60</f>
        <v>Janvier</v>
      </c>
      <c r="E61" s="198" t="str">
        <f>+B6</f>
        <v>Goodies</v>
      </c>
      <c r="F61" s="405" t="str">
        <f>IF(C61="FP1",'Données SOMIDA'!$N$83,VLOOKUP(E61,'Données SOMIDA'!$C$79:$N$85,12,FALSE))</f>
        <v>Chine</v>
      </c>
      <c r="G61" s="245">
        <f>+C$6</f>
        <v>252</v>
      </c>
      <c r="H61" s="245">
        <f>IF(C61="FP1 COUPE",'Données SOMIDA'!$G$83,VLOOKUP(E61,'Données SOMIDA'!$C$79:$G$85,5,FALSE))</f>
        <v>1912500</v>
      </c>
      <c r="I61" s="245">
        <f t="shared" si="25"/>
        <v>481950000</v>
      </c>
      <c r="J61" s="245">
        <f>+I61/'Données SOMIDA'!$E$11</f>
        <v>107100</v>
      </c>
      <c r="K61" s="245">
        <f>+I61/'Données SOMIDA'!$E$6</f>
        <v>98357.142857142855</v>
      </c>
    </row>
    <row r="62" spans="2:17">
      <c r="B62" s="405" t="str">
        <f>_xlfn.XLOOKUP(C62,'Données SOMIDA'!$C$18:$C$28,'Données SOMIDA'!$B$18:$B$28)</f>
        <v>1 PF</v>
      </c>
      <c r="C62" s="198" t="str">
        <f t="shared" si="26"/>
        <v>TRA COUPE</v>
      </c>
      <c r="D62" s="198" t="str">
        <f t="shared" si="27"/>
        <v>Janvier</v>
      </c>
      <c r="E62" s="198" t="str">
        <f>+B7</f>
        <v>Elinar</v>
      </c>
      <c r="F62" s="405" t="str">
        <f>IF(C62="FP1",'Données SOMIDA'!$N$83,VLOOKUP(E62,'Données SOMIDA'!$C$79:$N$85,12,FALSE))</f>
        <v>Russie</v>
      </c>
      <c r="G62" s="245">
        <f>+C$7</f>
        <v>75.599999999999994</v>
      </c>
      <c r="H62" s="245">
        <f>IF(C62="FP1 COUPE",'Données SOMIDA'!$G$83,VLOOKUP(E62,'Données SOMIDA'!$C$79:$G$85,5,FALSE))</f>
        <v>1470000</v>
      </c>
      <c r="I62" s="245">
        <f t="shared" si="25"/>
        <v>111131999.99999999</v>
      </c>
      <c r="J62" s="245">
        <f>+I62/'Données SOMIDA'!$E$11</f>
        <v>24695.999999999996</v>
      </c>
      <c r="K62" s="245">
        <f>+I62/'Données SOMIDA'!$E$6</f>
        <v>22679.999999999996</v>
      </c>
    </row>
    <row r="63" spans="2:17">
      <c r="B63" s="405" t="str">
        <f>_xlfn.XLOOKUP(C63,'Données SOMIDA'!$C$18:$C$28,'Données SOMIDA'!$B$18:$B$28)</f>
        <v>2 PF</v>
      </c>
      <c r="C63" s="198" t="str">
        <f>+B8</f>
        <v>ABR COUPE</v>
      </c>
      <c r="D63" s="198" t="str">
        <f>+D62</f>
        <v>Janvier</v>
      </c>
      <c r="E63" s="198" t="str">
        <f>+B9</f>
        <v>Okabe</v>
      </c>
      <c r="F63" s="405" t="str">
        <f>IF(C63="FP1",'Données SOMIDA'!$N$83,VLOOKUP(E63,'Données SOMIDA'!$C$79:$N$85,12,FALSE))</f>
        <v>Japon</v>
      </c>
      <c r="G63" s="245">
        <f>+C$9</f>
        <v>0</v>
      </c>
      <c r="H63" s="245">
        <f>IF(C63="FP1 COUPE",'Données SOMIDA'!$G$83,VLOOKUP(E63,'Données SOMIDA'!$C$79:$G$85,5,FALSE))</f>
        <v>1715000</v>
      </c>
      <c r="I63" s="245">
        <f t="shared" si="25"/>
        <v>0</v>
      </c>
      <c r="J63" s="245">
        <f>+I63/'Données SOMIDA'!$E$11</f>
        <v>0</v>
      </c>
      <c r="K63" s="245">
        <f>+I63/'Données SOMIDA'!$E$6</f>
        <v>0</v>
      </c>
    </row>
    <row r="64" spans="2:17">
      <c r="B64" s="405" t="str">
        <f>_xlfn.XLOOKUP(C64,'Données SOMIDA'!$C$18:$C$28,'Données SOMIDA'!$B$18:$B$28)</f>
        <v>2 PF</v>
      </c>
      <c r="C64" s="198" t="str">
        <f>+C63</f>
        <v>ABR COUPE</v>
      </c>
      <c r="D64" s="198" t="str">
        <f t="shared" si="27"/>
        <v>Janvier</v>
      </c>
      <c r="E64" s="198" t="str">
        <f>+B10</f>
        <v>NRK</v>
      </c>
      <c r="F64" s="405" t="str">
        <f>IF(C64="FP1",'Données SOMIDA'!$N$83,VLOOKUP(E64,'Données SOMIDA'!$C$79:$N$85,12,FALSE))</f>
        <v>Japon</v>
      </c>
      <c r="G64" s="245">
        <f>+C$10</f>
        <v>0</v>
      </c>
      <c r="H64" s="245">
        <f>IF(C64="FP1 COUPE",'Données SOMIDA'!$G$83,VLOOKUP(E64,'Données SOMIDA'!$C$79:$G$85,5,FALSE))</f>
        <v>1715000</v>
      </c>
      <c r="I64" s="245">
        <f t="shared" si="25"/>
        <v>0</v>
      </c>
      <c r="J64" s="245">
        <f>+I64/'Données SOMIDA'!$E$11</f>
        <v>0</v>
      </c>
      <c r="K64" s="245">
        <f>+I64/'Données SOMIDA'!$E$6</f>
        <v>0</v>
      </c>
    </row>
    <row r="65" spans="2:13">
      <c r="B65" s="405" t="str">
        <f>_xlfn.XLOOKUP(C65,'Données SOMIDA'!$C$18:$C$28,'Données SOMIDA'!$B$18:$B$28)</f>
        <v>2 PF</v>
      </c>
      <c r="C65" s="198" t="str">
        <f t="shared" ref="C65:C66" si="28">+C64</f>
        <v>ABR COUPE</v>
      </c>
      <c r="D65" s="198" t="str">
        <f t="shared" si="27"/>
        <v>Janvier</v>
      </c>
      <c r="E65" s="198" t="str">
        <f>+B11</f>
        <v>Goodies</v>
      </c>
      <c r="F65" s="405" t="str">
        <f>IF(C65="FP1",'Données SOMIDA'!$N$83,VLOOKUP(E65,'Données SOMIDA'!$C$79:$N$85,12,FALSE))</f>
        <v>Chine</v>
      </c>
      <c r="G65" s="245">
        <f>+C$11</f>
        <v>252</v>
      </c>
      <c r="H65" s="245">
        <f>IF(C65="FP1 COUPE",'Données SOMIDA'!$G$83,VLOOKUP(E65,'Données SOMIDA'!$C$79:$G$85,5,FALSE))</f>
        <v>1912500</v>
      </c>
      <c r="I65" s="245">
        <f t="shared" si="25"/>
        <v>481950000</v>
      </c>
      <c r="J65" s="245">
        <f>+I65/'Données SOMIDA'!$E$11</f>
        <v>107100</v>
      </c>
      <c r="K65" s="245">
        <f>+I65/'Données SOMIDA'!$E$6</f>
        <v>98357.142857142855</v>
      </c>
    </row>
    <row r="66" spans="2:13">
      <c r="B66" s="405" t="str">
        <f>_xlfn.XLOOKUP(C66,'Données SOMIDA'!$C$18:$C$28,'Données SOMIDA'!$B$18:$B$28)</f>
        <v>2 PF</v>
      </c>
      <c r="C66" s="198" t="str">
        <f t="shared" si="28"/>
        <v>ABR COUPE</v>
      </c>
      <c r="D66" s="198" t="str">
        <f t="shared" si="27"/>
        <v>Janvier</v>
      </c>
      <c r="E66" s="198" t="str">
        <f>+B12</f>
        <v>Elinar</v>
      </c>
      <c r="F66" s="405" t="str">
        <f>IF(C66="FP1",'Données SOMIDA'!$N$83,VLOOKUP(E66,'Données SOMIDA'!$C$79:$N$85,12,FALSE))</f>
        <v>Russie</v>
      </c>
      <c r="G66" s="245">
        <f>+$C12</f>
        <v>75.599999999999994</v>
      </c>
      <c r="H66" s="245">
        <f>IF(C66="FP1 COUPE",'Données SOMIDA'!$G$83,VLOOKUP(E66,'Données SOMIDA'!$C$79:$G$85,5,FALSE))</f>
        <v>1470000</v>
      </c>
      <c r="I66" s="245">
        <f t="shared" si="25"/>
        <v>111131999.99999999</v>
      </c>
      <c r="J66" s="245">
        <f>+I66/'Données SOMIDA'!$E$11</f>
        <v>24695.999999999996</v>
      </c>
      <c r="K66" s="245">
        <f>+I66/'Données SOMIDA'!$E$6</f>
        <v>22679.999999999996</v>
      </c>
    </row>
    <row r="67" spans="2:13">
      <c r="B67" s="405" t="str">
        <f>_xlfn.XLOOKUP(C67,'Données SOMIDA'!$C$18:$C$28,'Données SOMIDA'!$B$18:$B$28)</f>
        <v>3 PF</v>
      </c>
      <c r="C67" s="198" t="str">
        <f>+B13</f>
        <v>FP1 COUPE</v>
      </c>
      <c r="D67" s="198" t="str">
        <f t="shared" si="27"/>
        <v>Janvier</v>
      </c>
      <c r="E67" s="198" t="str">
        <f>+B14</f>
        <v>Okabe</v>
      </c>
      <c r="F67" s="405" t="str">
        <f>IF(C67="FP1",'Données SOMIDA'!$N$83,VLOOKUP(E67,'Données SOMIDA'!$C$79:$N$85,12,FALSE))</f>
        <v>Japon</v>
      </c>
      <c r="G67" s="245">
        <f>+C$14</f>
        <v>0</v>
      </c>
      <c r="H67" s="245">
        <f>IF(C67="FP1 COUPE",'Données SOMIDA'!$G$83,VLOOKUP(E67,'Données SOMIDA'!$C$79:$G$85,5,FALSE))</f>
        <v>2205000</v>
      </c>
      <c r="I67" s="245">
        <f t="shared" si="25"/>
        <v>0</v>
      </c>
      <c r="J67" s="245">
        <f>+I67/'Données SOMIDA'!$E$11</f>
        <v>0</v>
      </c>
      <c r="K67" s="245">
        <f>+I67/'Données SOMIDA'!$E$6</f>
        <v>0</v>
      </c>
    </row>
    <row r="68" spans="2:13">
      <c r="B68" s="405" t="str">
        <f>_xlfn.XLOOKUP(C68,'Données SOMIDA'!$C$18:$C$28,'Données SOMIDA'!$B$18:$B$28)</f>
        <v>1 PF</v>
      </c>
      <c r="C68" s="198" t="str">
        <f t="shared" ref="C68:C99" si="29">+C59</f>
        <v>TRA COUPE</v>
      </c>
      <c r="D68" s="198" t="str">
        <f>+D52</f>
        <v>Février</v>
      </c>
      <c r="E68" s="198" t="str">
        <f t="shared" ref="E68:E99" si="30">+E59</f>
        <v>Okabe</v>
      </c>
      <c r="F68" s="405" t="str">
        <f>IF(C68="FP1",'Données SOMIDA'!$N$83,VLOOKUP(E68,'Données SOMIDA'!$C$79:$N$85,12,FALSE))</f>
        <v>Japon</v>
      </c>
      <c r="G68" s="245">
        <f>+D$4</f>
        <v>20</v>
      </c>
      <c r="H68" s="245">
        <f>IF(C68="FP1 COUPE",'Données SOMIDA'!$G$83,VLOOKUP(E68,'Données SOMIDA'!$C$79:$G$85,5,FALSE))</f>
        <v>1715000</v>
      </c>
      <c r="I68" s="245">
        <f t="shared" si="25"/>
        <v>34300000</v>
      </c>
      <c r="J68" s="245">
        <f>+I68/'Données SOMIDA'!$E$11</f>
        <v>7622.2222222222226</v>
      </c>
      <c r="K68" s="245">
        <f>+I68/'Données SOMIDA'!$E$6</f>
        <v>7000</v>
      </c>
    </row>
    <row r="69" spans="2:13">
      <c r="B69" s="405" t="str">
        <f>_xlfn.XLOOKUP(C69,'Données SOMIDA'!$C$18:$C$28,'Données SOMIDA'!$B$18:$B$28)</f>
        <v>1 PF</v>
      </c>
      <c r="C69" s="198" t="str">
        <f t="shared" si="29"/>
        <v>TRA COUPE</v>
      </c>
      <c r="D69" s="198" t="str">
        <f t="shared" ref="D69:D132" si="31">+D68</f>
        <v>Février</v>
      </c>
      <c r="E69" s="198" t="str">
        <f t="shared" si="30"/>
        <v>NRK</v>
      </c>
      <c r="F69" s="405" t="str">
        <f>IF(C69="FP1",'Données SOMIDA'!$N$83,VLOOKUP(E69,'Données SOMIDA'!$C$79:$N$85,12,FALSE))</f>
        <v>Japon</v>
      </c>
      <c r="G69" s="245">
        <f>+D$5</f>
        <v>0</v>
      </c>
      <c r="H69" s="245">
        <f>IF(C69="FP1 COUPE",'Données SOMIDA'!$G$83,VLOOKUP(E69,'Données SOMIDA'!$C$79:$G$85,5,FALSE))</f>
        <v>1715000</v>
      </c>
      <c r="I69" s="245">
        <f t="shared" si="25"/>
        <v>0</v>
      </c>
      <c r="J69" s="245">
        <f>+I69/'Données SOMIDA'!$E$11</f>
        <v>0</v>
      </c>
      <c r="K69" s="245">
        <f>+I69/'Données SOMIDA'!$E$6</f>
        <v>0</v>
      </c>
    </row>
    <row r="70" spans="2:13">
      <c r="B70" s="405" t="str">
        <f>_xlfn.XLOOKUP(C70,'Données SOMIDA'!$C$18:$C$28,'Données SOMIDA'!$B$18:$B$28)</f>
        <v>1 PF</v>
      </c>
      <c r="C70" s="198" t="str">
        <f t="shared" si="29"/>
        <v>TRA COUPE</v>
      </c>
      <c r="D70" s="198" t="str">
        <f t="shared" si="31"/>
        <v>Février</v>
      </c>
      <c r="E70" s="198" t="str">
        <f t="shared" si="30"/>
        <v>Goodies</v>
      </c>
      <c r="F70" s="405" t="str">
        <f>IF(C70="FP1",'Données SOMIDA'!$N$83,VLOOKUP(E70,'Données SOMIDA'!$C$79:$N$85,12,FALSE))</f>
        <v>Chine</v>
      </c>
      <c r="G70" s="245">
        <f>+D$6</f>
        <v>252</v>
      </c>
      <c r="H70" s="245">
        <f>IF(C70="FP1 COUPE",'Données SOMIDA'!$G$83,VLOOKUP(E70,'Données SOMIDA'!$C$79:$G$85,5,FALSE))</f>
        <v>1912500</v>
      </c>
      <c r="I70" s="245">
        <f t="shared" si="25"/>
        <v>481950000</v>
      </c>
      <c r="J70" s="245">
        <f>+I70/'Données SOMIDA'!$E$11</f>
        <v>107100</v>
      </c>
      <c r="K70" s="245">
        <f>+I70/'Données SOMIDA'!$E$6</f>
        <v>98357.142857142855</v>
      </c>
    </row>
    <row r="71" spans="2:13">
      <c r="B71" s="405" t="str">
        <f>_xlfn.XLOOKUP(C71,'Données SOMIDA'!$C$18:$C$28,'Données SOMIDA'!$B$18:$B$28)</f>
        <v>1 PF</v>
      </c>
      <c r="C71" s="198" t="str">
        <f t="shared" si="29"/>
        <v>TRA COUPE</v>
      </c>
      <c r="D71" s="198" t="str">
        <f t="shared" si="31"/>
        <v>Février</v>
      </c>
      <c r="E71" s="198" t="str">
        <f t="shared" si="30"/>
        <v>Elinar</v>
      </c>
      <c r="F71" s="405" t="str">
        <f>IF(C71="FP1",'Données SOMIDA'!$N$83,VLOOKUP(E71,'Données SOMIDA'!$C$79:$N$85,12,FALSE))</f>
        <v>Russie</v>
      </c>
      <c r="G71" s="245">
        <f>+D$7</f>
        <v>75.599999999999994</v>
      </c>
      <c r="H71" s="245">
        <f>IF(C71="FP1 COUPE",'Données SOMIDA'!$G$83,VLOOKUP(E71,'Données SOMIDA'!$C$79:$G$85,5,FALSE))</f>
        <v>1470000</v>
      </c>
      <c r="I71" s="245">
        <f t="shared" si="25"/>
        <v>111131999.99999999</v>
      </c>
      <c r="J71" s="245">
        <f>+I71/'Données SOMIDA'!$E$11</f>
        <v>24695.999999999996</v>
      </c>
      <c r="K71" s="245">
        <f>+I71/'Données SOMIDA'!$E$6</f>
        <v>22679.999999999996</v>
      </c>
    </row>
    <row r="72" spans="2:13">
      <c r="B72" s="405" t="str">
        <f>_xlfn.XLOOKUP(C72,'Données SOMIDA'!$C$18:$C$28,'Données SOMIDA'!$B$18:$B$28)</f>
        <v>2 PF</v>
      </c>
      <c r="C72" s="198" t="str">
        <f t="shared" si="29"/>
        <v>ABR COUPE</v>
      </c>
      <c r="D72" s="198" t="str">
        <f t="shared" si="31"/>
        <v>Février</v>
      </c>
      <c r="E72" s="198" t="str">
        <f t="shared" si="30"/>
        <v>Okabe</v>
      </c>
      <c r="F72" s="405" t="str">
        <f>IF(C72="FP1",'Données SOMIDA'!$N$83,VLOOKUP(E72,'Données SOMIDA'!$C$79:$N$85,12,FALSE))</f>
        <v>Japon</v>
      </c>
      <c r="G72" s="245">
        <f>+D$9</f>
        <v>0</v>
      </c>
      <c r="H72" s="245">
        <f>IF(C72="FP1 COUPE",'Données SOMIDA'!$G$83,VLOOKUP(E72,'Données SOMIDA'!$C$79:$G$85,5,FALSE))</f>
        <v>1715000</v>
      </c>
      <c r="I72" s="245">
        <f t="shared" si="25"/>
        <v>0</v>
      </c>
      <c r="J72" s="245">
        <f>+I72/'Données SOMIDA'!$E$11</f>
        <v>0</v>
      </c>
      <c r="K72" s="245">
        <f>+I72/'Données SOMIDA'!$E$6</f>
        <v>0</v>
      </c>
    </row>
    <row r="73" spans="2:13">
      <c r="B73" s="405" t="str">
        <f>_xlfn.XLOOKUP(C73,'Données SOMIDA'!$C$18:$C$28,'Données SOMIDA'!$B$18:$B$28)</f>
        <v>2 PF</v>
      </c>
      <c r="C73" s="198" t="str">
        <f t="shared" si="29"/>
        <v>ABR COUPE</v>
      </c>
      <c r="D73" s="198" t="str">
        <f t="shared" si="31"/>
        <v>Février</v>
      </c>
      <c r="E73" s="198" t="str">
        <f t="shared" si="30"/>
        <v>NRK</v>
      </c>
      <c r="F73" s="405" t="str">
        <f>IF(C73="FP1",'Données SOMIDA'!$N$83,VLOOKUP(E73,'Données SOMIDA'!$C$79:$N$85,12,FALSE))</f>
        <v>Japon</v>
      </c>
      <c r="G73" s="245">
        <f>+D$10</f>
        <v>0</v>
      </c>
      <c r="H73" s="245">
        <f>IF(C73="FP1 COUPE",'Données SOMIDA'!$G$83,VLOOKUP(E73,'Données SOMIDA'!$C$79:$G$85,5,FALSE))</f>
        <v>1715000</v>
      </c>
      <c r="I73" s="245">
        <f t="shared" si="25"/>
        <v>0</v>
      </c>
      <c r="J73" s="245">
        <f>+I73/'Données SOMIDA'!$E$11</f>
        <v>0</v>
      </c>
      <c r="K73" s="245">
        <f>+I73/'Données SOMIDA'!$E$6</f>
        <v>0</v>
      </c>
    </row>
    <row r="74" spans="2:13">
      <c r="B74" s="405" t="str">
        <f>_xlfn.XLOOKUP(C74,'Données SOMIDA'!$C$18:$C$28,'Données SOMIDA'!$B$18:$B$28)</f>
        <v>2 PF</v>
      </c>
      <c r="C74" s="198" t="str">
        <f t="shared" si="29"/>
        <v>ABR COUPE</v>
      </c>
      <c r="D74" s="198" t="str">
        <f t="shared" si="31"/>
        <v>Février</v>
      </c>
      <c r="E74" s="198" t="str">
        <f t="shared" si="30"/>
        <v>Goodies</v>
      </c>
      <c r="F74" s="405" t="str">
        <f>IF(C74="FP1",'Données SOMIDA'!$N$83,VLOOKUP(E74,'Données SOMIDA'!$C$79:$N$85,12,FALSE))</f>
        <v>Chine</v>
      </c>
      <c r="G74" s="245">
        <f>+D$11</f>
        <v>252</v>
      </c>
      <c r="H74" s="245">
        <f>IF(C74="FP1 COUPE",'Données SOMIDA'!$G$83,VLOOKUP(E74,'Données SOMIDA'!$C$79:$G$85,5,FALSE))</f>
        <v>1912500</v>
      </c>
      <c r="I74" s="245">
        <f t="shared" si="25"/>
        <v>481950000</v>
      </c>
      <c r="J74" s="245">
        <f>+I74/'Données SOMIDA'!$E$11</f>
        <v>107100</v>
      </c>
      <c r="K74" s="245">
        <f>+I74/'Données SOMIDA'!$E$6</f>
        <v>98357.142857142855</v>
      </c>
    </row>
    <row r="75" spans="2:13">
      <c r="B75" s="405" t="str">
        <f>_xlfn.XLOOKUP(C75,'Données SOMIDA'!$C$18:$C$28,'Données SOMIDA'!$B$18:$B$28)</f>
        <v>2 PF</v>
      </c>
      <c r="C75" s="198" t="str">
        <f t="shared" si="29"/>
        <v>ABR COUPE</v>
      </c>
      <c r="D75" s="198" t="str">
        <f t="shared" si="31"/>
        <v>Février</v>
      </c>
      <c r="E75" s="198" t="str">
        <f t="shared" si="30"/>
        <v>Elinar</v>
      </c>
      <c r="F75" s="405" t="str">
        <f>IF(C75="FP1",'Données SOMIDA'!$N$83,VLOOKUP(E75,'Données SOMIDA'!$C$79:$N$85,12,FALSE))</f>
        <v>Russie</v>
      </c>
      <c r="G75" s="245">
        <f>+D$12</f>
        <v>75.599999999999994</v>
      </c>
      <c r="H75" s="245">
        <f>IF(C75="FP1 COUPE",'Données SOMIDA'!$G$83,VLOOKUP(E75,'Données SOMIDA'!$C$79:$G$85,5,FALSE))</f>
        <v>1470000</v>
      </c>
      <c r="I75" s="245">
        <f t="shared" si="25"/>
        <v>111131999.99999999</v>
      </c>
      <c r="J75" s="245">
        <f>+I75/'Données SOMIDA'!$E$11</f>
        <v>24695.999999999996</v>
      </c>
      <c r="K75" s="245">
        <f>+I75/'Données SOMIDA'!$E$6</f>
        <v>22679.999999999996</v>
      </c>
    </row>
    <row r="76" spans="2:13">
      <c r="B76" s="405" t="str">
        <f>_xlfn.XLOOKUP(C76,'Données SOMIDA'!$C$18:$C$28,'Données SOMIDA'!$B$18:$B$28)</f>
        <v>3 PF</v>
      </c>
      <c r="C76" s="198" t="str">
        <f t="shared" si="29"/>
        <v>FP1 COUPE</v>
      </c>
      <c r="D76" s="198" t="str">
        <f t="shared" si="31"/>
        <v>Février</v>
      </c>
      <c r="E76" s="198" t="str">
        <f t="shared" si="30"/>
        <v>Okabe</v>
      </c>
      <c r="F76" s="405" t="str">
        <f>IF(C76="FP1",'Données SOMIDA'!$N$83,VLOOKUP(E76,'Données SOMIDA'!$C$79:$N$85,12,FALSE))</f>
        <v>Japon</v>
      </c>
      <c r="G76" s="245">
        <f>+D$14</f>
        <v>0</v>
      </c>
      <c r="H76" s="245">
        <f>IF(C76="FP1 COUPE",'Données SOMIDA'!$G$83,VLOOKUP(E76,'Données SOMIDA'!$C$79:$G$85,5,FALSE))</f>
        <v>2205000</v>
      </c>
      <c r="I76" s="245">
        <f t="shared" si="25"/>
        <v>0</v>
      </c>
      <c r="J76" s="245">
        <f>+I76/'Données SOMIDA'!$E$11</f>
        <v>0</v>
      </c>
      <c r="K76" s="245">
        <f>+I76/'Données SOMIDA'!$E$6</f>
        <v>0</v>
      </c>
    </row>
    <row r="77" spans="2:13">
      <c r="B77" s="405" t="str">
        <f>_xlfn.XLOOKUP(C77,'Données SOMIDA'!$C$18:$C$28,'Données SOMIDA'!$B$18:$B$28)</f>
        <v>1 PF</v>
      </c>
      <c r="C77" s="198" t="str">
        <f t="shared" si="29"/>
        <v>TRA COUPE</v>
      </c>
      <c r="D77" s="198" t="str">
        <f>+E52</f>
        <v>Mars</v>
      </c>
      <c r="E77" s="198" t="str">
        <f t="shared" si="30"/>
        <v>Okabe</v>
      </c>
      <c r="F77" s="405" t="str">
        <f>IF(C77="FP1",'Données SOMIDA'!$N$83,VLOOKUP(E77,'Données SOMIDA'!$C$79:$N$85,12,FALSE))</f>
        <v>Japon</v>
      </c>
      <c r="G77" s="245">
        <f>+E$4</f>
        <v>0</v>
      </c>
      <c r="H77" s="245">
        <f>IF(C77="FP1 COUPE",'Données SOMIDA'!$G$83,VLOOKUP(E77,'Données SOMIDA'!$C$79:$G$85,5,FALSE))</f>
        <v>1715000</v>
      </c>
      <c r="I77" s="245">
        <f t="shared" si="25"/>
        <v>0</v>
      </c>
      <c r="J77" s="245">
        <f>+I77/'Données SOMIDA'!$E$11</f>
        <v>0</v>
      </c>
      <c r="K77" s="245">
        <f>+I77/'Données SOMIDA'!$E$6</f>
        <v>0</v>
      </c>
      <c r="M77" s="198">
        <f>IFERROR(+N77/L77,0)</f>
        <v>0</v>
      </c>
    </row>
    <row r="78" spans="2:13">
      <c r="B78" s="405" t="str">
        <f>_xlfn.XLOOKUP(C78,'Données SOMIDA'!$C$18:$C$28,'Données SOMIDA'!$B$18:$B$28)</f>
        <v>1 PF</v>
      </c>
      <c r="C78" s="198" t="str">
        <f t="shared" si="29"/>
        <v>TRA COUPE</v>
      </c>
      <c r="D78" s="198" t="str">
        <f t="shared" si="31"/>
        <v>Mars</v>
      </c>
      <c r="E78" s="198" t="str">
        <f t="shared" si="30"/>
        <v>NRK</v>
      </c>
      <c r="F78" s="405" t="str">
        <f>IF(C78="FP1",'Données SOMIDA'!$N$83,VLOOKUP(E78,'Données SOMIDA'!$C$79:$N$85,12,FALSE))</f>
        <v>Japon</v>
      </c>
      <c r="G78" s="245">
        <f>+E$5</f>
        <v>17.8</v>
      </c>
      <c r="H78" s="245">
        <f>IF(C78="FP1 COUPE",'Données SOMIDA'!$G$83,VLOOKUP(E78,'Données SOMIDA'!$C$79:$G$85,5,FALSE))</f>
        <v>1715000</v>
      </c>
      <c r="I78" s="245">
        <f t="shared" si="25"/>
        <v>30527000</v>
      </c>
      <c r="J78" s="245">
        <f>+I78/'Données SOMIDA'!$E$11</f>
        <v>6783.7777777777774</v>
      </c>
      <c r="K78" s="245">
        <f>+I78/'Données SOMIDA'!$E$6</f>
        <v>6230</v>
      </c>
      <c r="M78" s="198">
        <f t="shared" ref="M78:M113" si="32">IFERROR(+N78/L78,0)</f>
        <v>0</v>
      </c>
    </row>
    <row r="79" spans="2:13">
      <c r="B79" s="405" t="str">
        <f>_xlfn.XLOOKUP(C79,'Données SOMIDA'!$C$18:$C$28,'Données SOMIDA'!$B$18:$B$28)</f>
        <v>1 PF</v>
      </c>
      <c r="C79" s="198" t="str">
        <f t="shared" si="29"/>
        <v>TRA COUPE</v>
      </c>
      <c r="D79" s="198" t="str">
        <f t="shared" si="31"/>
        <v>Mars</v>
      </c>
      <c r="E79" s="198" t="str">
        <f t="shared" si="30"/>
        <v>Goodies</v>
      </c>
      <c r="F79" s="405" t="str">
        <f>IF(C79="FP1",'Données SOMIDA'!$N$83,VLOOKUP(E79,'Données SOMIDA'!$C$79:$N$85,12,FALSE))</f>
        <v>Chine</v>
      </c>
      <c r="G79" s="245">
        <f>+E$6</f>
        <v>252</v>
      </c>
      <c r="H79" s="245">
        <f>IF(C79="FP1 COUPE",'Données SOMIDA'!$G$83,VLOOKUP(E79,'Données SOMIDA'!$C$79:$G$85,5,FALSE))</f>
        <v>1912500</v>
      </c>
      <c r="I79" s="245">
        <f t="shared" si="25"/>
        <v>481950000</v>
      </c>
      <c r="J79" s="245">
        <f>+I79/'Données SOMIDA'!$E$11</f>
        <v>107100</v>
      </c>
      <c r="K79" s="245">
        <f>+I79/'Données SOMIDA'!$E$6</f>
        <v>98357.142857142855</v>
      </c>
      <c r="M79" s="198">
        <f t="shared" si="32"/>
        <v>0</v>
      </c>
    </row>
    <row r="80" spans="2:13">
      <c r="B80" s="405" t="str">
        <f>_xlfn.XLOOKUP(C80,'Données SOMIDA'!$C$18:$C$28,'Données SOMIDA'!$B$18:$B$28)</f>
        <v>1 PF</v>
      </c>
      <c r="C80" s="198" t="str">
        <f t="shared" si="29"/>
        <v>TRA COUPE</v>
      </c>
      <c r="D80" s="198" t="str">
        <f t="shared" si="31"/>
        <v>Mars</v>
      </c>
      <c r="E80" s="198" t="str">
        <f t="shared" si="30"/>
        <v>Elinar</v>
      </c>
      <c r="F80" s="405" t="str">
        <f>IF(C80="FP1",'Données SOMIDA'!$N$83,VLOOKUP(E80,'Données SOMIDA'!$C$79:$N$85,12,FALSE))</f>
        <v>Russie</v>
      </c>
      <c r="G80" s="245">
        <f>+E$7</f>
        <v>75.599999999999994</v>
      </c>
      <c r="H80" s="245">
        <f>IF(C80="FP1 COUPE",'Données SOMIDA'!$G$83,VLOOKUP(E80,'Données SOMIDA'!$C$79:$G$85,5,FALSE))</f>
        <v>1470000</v>
      </c>
      <c r="I80" s="245">
        <f t="shared" si="25"/>
        <v>111131999.99999999</v>
      </c>
      <c r="J80" s="245">
        <f>+I80/'Données SOMIDA'!$E$11</f>
        <v>24695.999999999996</v>
      </c>
      <c r="K80" s="245">
        <f>+I80/'Données SOMIDA'!$E$6</f>
        <v>22679.999999999996</v>
      </c>
      <c r="M80" s="198">
        <f t="shared" si="32"/>
        <v>0</v>
      </c>
    </row>
    <row r="81" spans="2:13">
      <c r="B81" s="405" t="str">
        <f>_xlfn.XLOOKUP(C81,'Données SOMIDA'!$C$18:$C$28,'Données SOMIDA'!$B$18:$B$28)</f>
        <v>2 PF</v>
      </c>
      <c r="C81" s="198" t="str">
        <f t="shared" si="29"/>
        <v>ABR COUPE</v>
      </c>
      <c r="D81" s="198" t="str">
        <f t="shared" si="31"/>
        <v>Mars</v>
      </c>
      <c r="E81" s="198" t="str">
        <f t="shared" si="30"/>
        <v>Okabe</v>
      </c>
      <c r="F81" s="405" t="str">
        <f>IF(C81="FP1",'Données SOMIDA'!$N$83,VLOOKUP(E81,'Données SOMIDA'!$C$79:$N$85,12,FALSE))</f>
        <v>Japon</v>
      </c>
      <c r="G81" s="245">
        <f>+E$9</f>
        <v>0</v>
      </c>
      <c r="H81" s="245">
        <f>IF(C81="FP1 COUPE",'Données SOMIDA'!$G$83,VLOOKUP(E81,'Données SOMIDA'!$C$79:$G$85,5,FALSE))</f>
        <v>1715000</v>
      </c>
      <c r="I81" s="245">
        <f t="shared" si="25"/>
        <v>0</v>
      </c>
      <c r="J81" s="245">
        <f>+I81/'Données SOMIDA'!$E$11</f>
        <v>0</v>
      </c>
      <c r="K81" s="245">
        <f>+I81/'Données SOMIDA'!$E$6</f>
        <v>0</v>
      </c>
      <c r="M81" s="198">
        <f t="shared" si="32"/>
        <v>0</v>
      </c>
    </row>
    <row r="82" spans="2:13">
      <c r="B82" s="405" t="str">
        <f>_xlfn.XLOOKUP(C82,'Données SOMIDA'!$C$18:$C$28,'Données SOMIDA'!$B$18:$B$28)</f>
        <v>2 PF</v>
      </c>
      <c r="C82" s="198" t="str">
        <f t="shared" si="29"/>
        <v>ABR COUPE</v>
      </c>
      <c r="D82" s="198" t="str">
        <f t="shared" si="31"/>
        <v>Mars</v>
      </c>
      <c r="E82" s="198" t="str">
        <f t="shared" si="30"/>
        <v>NRK</v>
      </c>
      <c r="F82" s="405" t="str">
        <f>IF(C82="FP1",'Données SOMIDA'!$N$83,VLOOKUP(E82,'Données SOMIDA'!$C$79:$N$85,12,FALSE))</f>
        <v>Japon</v>
      </c>
      <c r="G82" s="245">
        <f>+E$10</f>
        <v>0</v>
      </c>
      <c r="H82" s="245">
        <f>IF(C82="FP1 COUPE",'Données SOMIDA'!$G$83,VLOOKUP(E82,'Données SOMIDA'!$C$79:$G$85,5,FALSE))</f>
        <v>1715000</v>
      </c>
      <c r="I82" s="245">
        <f t="shared" si="25"/>
        <v>0</v>
      </c>
      <c r="J82" s="245">
        <f>+I82/'Données SOMIDA'!$E$11</f>
        <v>0</v>
      </c>
      <c r="K82" s="245">
        <f>+I82/'Données SOMIDA'!$E$6</f>
        <v>0</v>
      </c>
      <c r="M82" s="198">
        <f t="shared" si="32"/>
        <v>0</v>
      </c>
    </row>
    <row r="83" spans="2:13">
      <c r="B83" s="405" t="str">
        <f>_xlfn.XLOOKUP(C83,'Données SOMIDA'!$C$18:$C$28,'Données SOMIDA'!$B$18:$B$28)</f>
        <v>2 PF</v>
      </c>
      <c r="C83" s="198" t="str">
        <f t="shared" si="29"/>
        <v>ABR COUPE</v>
      </c>
      <c r="D83" s="198" t="str">
        <f t="shared" si="31"/>
        <v>Mars</v>
      </c>
      <c r="E83" s="198" t="str">
        <f t="shared" si="30"/>
        <v>Goodies</v>
      </c>
      <c r="F83" s="405" t="str">
        <f>IF(C83="FP1",'Données SOMIDA'!$N$83,VLOOKUP(E83,'Données SOMIDA'!$C$79:$N$85,12,FALSE))</f>
        <v>Chine</v>
      </c>
      <c r="G83" s="245">
        <f>+E$11</f>
        <v>252</v>
      </c>
      <c r="H83" s="245">
        <f>IF(C83="FP1 COUPE",'Données SOMIDA'!$G$83,VLOOKUP(E83,'Données SOMIDA'!$C$79:$G$85,5,FALSE))</f>
        <v>1912500</v>
      </c>
      <c r="I83" s="245">
        <f t="shared" si="25"/>
        <v>481950000</v>
      </c>
      <c r="J83" s="245">
        <f>+I83/'Données SOMIDA'!$E$11</f>
        <v>107100</v>
      </c>
      <c r="K83" s="245">
        <f>+I83/'Données SOMIDA'!$E$6</f>
        <v>98357.142857142855</v>
      </c>
      <c r="M83" s="198">
        <f t="shared" si="32"/>
        <v>0</v>
      </c>
    </row>
    <row r="84" spans="2:13">
      <c r="B84" s="405" t="str">
        <f>_xlfn.XLOOKUP(C84,'Données SOMIDA'!$C$18:$C$28,'Données SOMIDA'!$B$18:$B$28)</f>
        <v>2 PF</v>
      </c>
      <c r="C84" s="198" t="str">
        <f t="shared" si="29"/>
        <v>ABR COUPE</v>
      </c>
      <c r="D84" s="198" t="str">
        <f t="shared" si="31"/>
        <v>Mars</v>
      </c>
      <c r="E84" s="198" t="str">
        <f t="shared" si="30"/>
        <v>Elinar</v>
      </c>
      <c r="F84" s="405" t="str">
        <f>IF(C84="FP1",'Données SOMIDA'!$N$83,VLOOKUP(E84,'Données SOMIDA'!$C$79:$N$85,12,FALSE))</f>
        <v>Russie</v>
      </c>
      <c r="G84" s="245">
        <f>+E$12</f>
        <v>75.599999999999994</v>
      </c>
      <c r="H84" s="245">
        <f>IF(C84="FP1 COUPE",'Données SOMIDA'!$G$83,VLOOKUP(E84,'Données SOMIDA'!$C$79:$G$85,5,FALSE))</f>
        <v>1470000</v>
      </c>
      <c r="I84" s="245">
        <f t="shared" si="25"/>
        <v>111131999.99999999</v>
      </c>
      <c r="J84" s="245">
        <f>+I84/'Données SOMIDA'!$E$11</f>
        <v>24695.999999999996</v>
      </c>
      <c r="K84" s="245">
        <f>+I84/'Données SOMIDA'!$E$6</f>
        <v>22679.999999999996</v>
      </c>
      <c r="M84" s="198">
        <f t="shared" si="32"/>
        <v>0</v>
      </c>
    </row>
    <row r="85" spans="2:13">
      <c r="B85" s="405" t="str">
        <f>_xlfn.XLOOKUP(C85,'Données SOMIDA'!$C$18:$C$28,'Données SOMIDA'!$B$18:$B$28)</f>
        <v>3 PF</v>
      </c>
      <c r="C85" s="198" t="str">
        <f t="shared" si="29"/>
        <v>FP1 COUPE</v>
      </c>
      <c r="D85" s="198" t="str">
        <f t="shared" si="31"/>
        <v>Mars</v>
      </c>
      <c r="E85" s="198" t="str">
        <f t="shared" si="30"/>
        <v>Okabe</v>
      </c>
      <c r="F85" s="405" t="str">
        <f>IF(C85="FP1",'Données SOMIDA'!$N$83,VLOOKUP(E85,'Données SOMIDA'!$C$79:$N$85,12,FALSE))</f>
        <v>Japon</v>
      </c>
      <c r="G85" s="245">
        <f>+E$14</f>
        <v>0</v>
      </c>
      <c r="H85" s="245">
        <f>IF(C85="FP1 COUPE",'Données SOMIDA'!$G$83,VLOOKUP(E85,'Données SOMIDA'!$C$79:$G$85,5,FALSE))</f>
        <v>2205000</v>
      </c>
      <c r="I85" s="245">
        <f t="shared" si="25"/>
        <v>0</v>
      </c>
      <c r="J85" s="245">
        <f>+I85/'Données SOMIDA'!$E$11</f>
        <v>0</v>
      </c>
      <c r="K85" s="245">
        <f>+I85/'Données SOMIDA'!$E$6</f>
        <v>0</v>
      </c>
      <c r="M85" s="198">
        <f t="shared" si="32"/>
        <v>0</v>
      </c>
    </row>
    <row r="86" spans="2:13">
      <c r="B86" s="405" t="str">
        <f>_xlfn.XLOOKUP(C86,'Données SOMIDA'!$C$18:$C$28,'Données SOMIDA'!$B$18:$B$28)</f>
        <v>1 PF</v>
      </c>
      <c r="C86" s="198" t="str">
        <f t="shared" si="29"/>
        <v>TRA COUPE</v>
      </c>
      <c r="D86" s="198" t="str">
        <f>+F52</f>
        <v>Avril</v>
      </c>
      <c r="E86" s="198" t="str">
        <f t="shared" si="30"/>
        <v>Okabe</v>
      </c>
      <c r="F86" s="405" t="str">
        <f>IF(C86="FP1",'Données SOMIDA'!$N$83,VLOOKUP(E86,'Données SOMIDA'!$C$79:$N$85,12,FALSE))</f>
        <v>Japon</v>
      </c>
      <c r="G86" s="245">
        <f>+F$4</f>
        <v>20</v>
      </c>
      <c r="H86" s="245">
        <f>IF(C86="FP1 COUPE",'Données SOMIDA'!$G$83,VLOOKUP(E86,'Données SOMIDA'!$C$79:$G$85,5,FALSE))</f>
        <v>1715000</v>
      </c>
      <c r="I86" s="245">
        <f t="shared" si="25"/>
        <v>34300000</v>
      </c>
      <c r="J86" s="245">
        <f>+I86/'Données SOMIDA'!$E$11</f>
        <v>7622.2222222222226</v>
      </c>
      <c r="K86" s="245">
        <f>+I86/'Données SOMIDA'!$E$6</f>
        <v>7000</v>
      </c>
      <c r="M86" s="198">
        <f t="shared" si="32"/>
        <v>0</v>
      </c>
    </row>
    <row r="87" spans="2:13">
      <c r="B87" s="405" t="str">
        <f>_xlfn.XLOOKUP(C87,'Données SOMIDA'!$C$18:$C$28,'Données SOMIDA'!$B$18:$B$28)</f>
        <v>1 PF</v>
      </c>
      <c r="C87" s="198" t="str">
        <f t="shared" si="29"/>
        <v>TRA COUPE</v>
      </c>
      <c r="D87" s="198" t="str">
        <f t="shared" si="31"/>
        <v>Avril</v>
      </c>
      <c r="E87" s="198" t="str">
        <f t="shared" si="30"/>
        <v>NRK</v>
      </c>
      <c r="F87" s="405" t="str">
        <f>IF(C87="FP1",'Données SOMIDA'!$N$83,VLOOKUP(E87,'Données SOMIDA'!$C$79:$N$85,12,FALSE))</f>
        <v>Japon</v>
      </c>
      <c r="G87" s="245">
        <f>+F$5</f>
        <v>0</v>
      </c>
      <c r="H87" s="245">
        <f>IF(C87="FP1 COUPE",'Données SOMIDA'!$G$83,VLOOKUP(E87,'Données SOMIDA'!$C$79:$G$85,5,FALSE))</f>
        <v>1715000</v>
      </c>
      <c r="I87" s="245">
        <f t="shared" si="25"/>
        <v>0</v>
      </c>
      <c r="J87" s="245">
        <f>+I87/'Données SOMIDA'!$E$11</f>
        <v>0</v>
      </c>
      <c r="K87" s="245">
        <f>+I87/'Données SOMIDA'!$E$6</f>
        <v>0</v>
      </c>
      <c r="M87" s="198">
        <f t="shared" si="32"/>
        <v>0</v>
      </c>
    </row>
    <row r="88" spans="2:13">
      <c r="B88" s="405" t="str">
        <f>_xlfn.XLOOKUP(C88,'Données SOMIDA'!$C$18:$C$28,'Données SOMIDA'!$B$18:$B$28)</f>
        <v>1 PF</v>
      </c>
      <c r="C88" s="198" t="str">
        <f t="shared" si="29"/>
        <v>TRA COUPE</v>
      </c>
      <c r="D88" s="198" t="str">
        <f t="shared" si="31"/>
        <v>Avril</v>
      </c>
      <c r="E88" s="198" t="str">
        <f t="shared" si="30"/>
        <v>Goodies</v>
      </c>
      <c r="F88" s="405" t="str">
        <f>IF(C88="FP1",'Données SOMIDA'!$N$83,VLOOKUP(E88,'Données SOMIDA'!$C$79:$N$85,12,FALSE))</f>
        <v>Chine</v>
      </c>
      <c r="G88" s="245">
        <f>+F$6</f>
        <v>252</v>
      </c>
      <c r="H88" s="245">
        <f>IF(C88="FP1 COUPE",'Données SOMIDA'!$G$83,VLOOKUP(E88,'Données SOMIDA'!$C$79:$G$85,5,FALSE))</f>
        <v>1912500</v>
      </c>
      <c r="I88" s="245">
        <f t="shared" si="25"/>
        <v>481950000</v>
      </c>
      <c r="J88" s="245">
        <f>+I88/'Données SOMIDA'!$E$11</f>
        <v>107100</v>
      </c>
      <c r="K88" s="245">
        <f>+I88/'Données SOMIDA'!$E$6</f>
        <v>98357.142857142855</v>
      </c>
      <c r="M88" s="198">
        <f t="shared" si="32"/>
        <v>0</v>
      </c>
    </row>
    <row r="89" spans="2:13">
      <c r="B89" s="405" t="str">
        <f>_xlfn.XLOOKUP(C89,'Données SOMIDA'!$C$18:$C$28,'Données SOMIDA'!$B$18:$B$28)</f>
        <v>1 PF</v>
      </c>
      <c r="C89" s="198" t="str">
        <f t="shared" si="29"/>
        <v>TRA COUPE</v>
      </c>
      <c r="D89" s="198" t="str">
        <f t="shared" si="31"/>
        <v>Avril</v>
      </c>
      <c r="E89" s="198" t="str">
        <f t="shared" si="30"/>
        <v>Elinar</v>
      </c>
      <c r="F89" s="405" t="str">
        <f>IF(C89="FP1",'Données SOMIDA'!$N$83,VLOOKUP(E89,'Données SOMIDA'!$C$79:$N$85,12,FALSE))</f>
        <v>Russie</v>
      </c>
      <c r="G89" s="245">
        <f>+F$7</f>
        <v>75.599999999999994</v>
      </c>
      <c r="H89" s="245">
        <f>IF(C89="FP1 COUPE",'Données SOMIDA'!$G$83,VLOOKUP(E89,'Données SOMIDA'!$C$79:$G$85,5,FALSE))</f>
        <v>1470000</v>
      </c>
      <c r="I89" s="245">
        <f t="shared" si="25"/>
        <v>111131999.99999999</v>
      </c>
      <c r="J89" s="245">
        <f>+I89/'Données SOMIDA'!$E$11</f>
        <v>24695.999999999996</v>
      </c>
      <c r="K89" s="245">
        <f>+I89/'Données SOMIDA'!$E$6</f>
        <v>22679.999999999996</v>
      </c>
      <c r="M89" s="198">
        <f t="shared" si="32"/>
        <v>0</v>
      </c>
    </row>
    <row r="90" spans="2:13">
      <c r="B90" s="405" t="str">
        <f>_xlfn.XLOOKUP(C90,'Données SOMIDA'!$C$18:$C$28,'Données SOMIDA'!$B$18:$B$28)</f>
        <v>2 PF</v>
      </c>
      <c r="C90" s="198" t="str">
        <f t="shared" si="29"/>
        <v>ABR COUPE</v>
      </c>
      <c r="D90" s="198" t="str">
        <f t="shared" si="31"/>
        <v>Avril</v>
      </c>
      <c r="E90" s="198" t="str">
        <f t="shared" si="30"/>
        <v>Okabe</v>
      </c>
      <c r="F90" s="405" t="str">
        <f>IF(C90="FP1",'Données SOMIDA'!$N$83,VLOOKUP(E90,'Données SOMIDA'!$C$79:$N$85,12,FALSE))</f>
        <v>Japon</v>
      </c>
      <c r="G90" s="245">
        <f>+F$9</f>
        <v>0</v>
      </c>
      <c r="H90" s="245">
        <f>IF(C90="FP1 COUPE",'Données SOMIDA'!$G$83,VLOOKUP(E90,'Données SOMIDA'!$C$79:$G$85,5,FALSE))</f>
        <v>1715000</v>
      </c>
      <c r="I90" s="245">
        <f t="shared" si="25"/>
        <v>0</v>
      </c>
      <c r="J90" s="245">
        <f>+I90/'Données SOMIDA'!$E$11</f>
        <v>0</v>
      </c>
      <c r="K90" s="245">
        <f>+I90/'Données SOMIDA'!$E$6</f>
        <v>0</v>
      </c>
      <c r="M90" s="198">
        <f t="shared" si="32"/>
        <v>0</v>
      </c>
    </row>
    <row r="91" spans="2:13">
      <c r="B91" s="405" t="str">
        <f>_xlfn.XLOOKUP(C91,'Données SOMIDA'!$C$18:$C$28,'Données SOMIDA'!$B$18:$B$28)</f>
        <v>2 PF</v>
      </c>
      <c r="C91" s="198" t="str">
        <f t="shared" si="29"/>
        <v>ABR COUPE</v>
      </c>
      <c r="D91" s="198" t="str">
        <f t="shared" si="31"/>
        <v>Avril</v>
      </c>
      <c r="E91" s="198" t="str">
        <f t="shared" si="30"/>
        <v>NRK</v>
      </c>
      <c r="F91" s="405" t="str">
        <f>IF(C91="FP1",'Données SOMIDA'!$N$83,VLOOKUP(E91,'Données SOMIDA'!$C$79:$N$85,12,FALSE))</f>
        <v>Japon</v>
      </c>
      <c r="G91" s="245">
        <f>+F$10</f>
        <v>0</v>
      </c>
      <c r="H91" s="245">
        <f>IF(C91="FP1 COUPE",'Données SOMIDA'!$G$83,VLOOKUP(E91,'Données SOMIDA'!$C$79:$G$85,5,FALSE))</f>
        <v>1715000</v>
      </c>
      <c r="I91" s="245">
        <f t="shared" si="25"/>
        <v>0</v>
      </c>
      <c r="J91" s="245">
        <f>+I91/'Données SOMIDA'!$E$11</f>
        <v>0</v>
      </c>
      <c r="K91" s="245">
        <f>+I91/'Données SOMIDA'!$E$6</f>
        <v>0</v>
      </c>
      <c r="M91" s="198">
        <f t="shared" si="32"/>
        <v>0</v>
      </c>
    </row>
    <row r="92" spans="2:13">
      <c r="B92" s="405" t="str">
        <f>_xlfn.XLOOKUP(C92,'Données SOMIDA'!$C$18:$C$28,'Données SOMIDA'!$B$18:$B$28)</f>
        <v>2 PF</v>
      </c>
      <c r="C92" s="198" t="str">
        <f t="shared" si="29"/>
        <v>ABR COUPE</v>
      </c>
      <c r="D92" s="198" t="str">
        <f t="shared" si="31"/>
        <v>Avril</v>
      </c>
      <c r="E92" s="198" t="str">
        <f t="shared" si="30"/>
        <v>Goodies</v>
      </c>
      <c r="F92" s="405" t="str">
        <f>IF(C92="FP1",'Données SOMIDA'!$N$83,VLOOKUP(E92,'Données SOMIDA'!$C$79:$N$85,12,FALSE))</f>
        <v>Chine</v>
      </c>
      <c r="G92" s="245">
        <f>+F$11</f>
        <v>252</v>
      </c>
      <c r="H92" s="245">
        <f>IF(C92="FP1 COUPE",'Données SOMIDA'!$G$83,VLOOKUP(E92,'Données SOMIDA'!$C$79:$G$85,5,FALSE))</f>
        <v>1912500</v>
      </c>
      <c r="I92" s="245">
        <f t="shared" si="25"/>
        <v>481950000</v>
      </c>
      <c r="J92" s="245">
        <f>+I92/'Données SOMIDA'!$E$11</f>
        <v>107100</v>
      </c>
      <c r="K92" s="245">
        <f>+I92/'Données SOMIDA'!$E$6</f>
        <v>98357.142857142855</v>
      </c>
      <c r="M92" s="198">
        <f t="shared" si="32"/>
        <v>0</v>
      </c>
    </row>
    <row r="93" spans="2:13">
      <c r="B93" s="405" t="str">
        <f>_xlfn.XLOOKUP(C93,'Données SOMIDA'!$C$18:$C$28,'Données SOMIDA'!$B$18:$B$28)</f>
        <v>2 PF</v>
      </c>
      <c r="C93" s="198" t="str">
        <f t="shared" si="29"/>
        <v>ABR COUPE</v>
      </c>
      <c r="D93" s="198" t="str">
        <f t="shared" si="31"/>
        <v>Avril</v>
      </c>
      <c r="E93" s="198" t="str">
        <f t="shared" si="30"/>
        <v>Elinar</v>
      </c>
      <c r="F93" s="405" t="str">
        <f>IF(C93="FP1",'Données SOMIDA'!$N$83,VLOOKUP(E93,'Données SOMIDA'!$C$79:$N$85,12,FALSE))</f>
        <v>Russie</v>
      </c>
      <c r="G93" s="245">
        <f>+F$12</f>
        <v>75.599999999999994</v>
      </c>
      <c r="H93" s="245">
        <f>IF(C93="FP1 COUPE",'Données SOMIDA'!$G$83,VLOOKUP(E93,'Données SOMIDA'!$C$79:$G$85,5,FALSE))</f>
        <v>1470000</v>
      </c>
      <c r="I93" s="245">
        <f t="shared" si="25"/>
        <v>111131999.99999999</v>
      </c>
      <c r="J93" s="245">
        <f>+I93/'Données SOMIDA'!$E$11</f>
        <v>24695.999999999996</v>
      </c>
      <c r="K93" s="245">
        <f>+I93/'Données SOMIDA'!$E$6</f>
        <v>22679.999999999996</v>
      </c>
      <c r="M93" s="198">
        <f t="shared" si="32"/>
        <v>0</v>
      </c>
    </row>
    <row r="94" spans="2:13">
      <c r="B94" s="405" t="str">
        <f>_xlfn.XLOOKUP(C94,'Données SOMIDA'!$C$18:$C$28,'Données SOMIDA'!$B$18:$B$28)</f>
        <v>3 PF</v>
      </c>
      <c r="C94" s="198" t="str">
        <f t="shared" si="29"/>
        <v>FP1 COUPE</v>
      </c>
      <c r="D94" s="198" t="str">
        <f t="shared" si="31"/>
        <v>Avril</v>
      </c>
      <c r="E94" s="198" t="str">
        <f t="shared" si="30"/>
        <v>Okabe</v>
      </c>
      <c r="F94" s="405" t="str">
        <f>IF(C94="FP1",'Données SOMIDA'!$N$83,VLOOKUP(E94,'Données SOMIDA'!$C$79:$N$85,12,FALSE))</f>
        <v>Japon</v>
      </c>
      <c r="G94" s="245">
        <f>+F$14</f>
        <v>0</v>
      </c>
      <c r="H94" s="245">
        <f>IF(C94="FP1 COUPE",'Données SOMIDA'!$G$83,VLOOKUP(E94,'Données SOMIDA'!$C$79:$G$85,5,FALSE))</f>
        <v>2205000</v>
      </c>
      <c r="I94" s="245">
        <f t="shared" si="25"/>
        <v>0</v>
      </c>
      <c r="J94" s="245">
        <f>+I94/'Données SOMIDA'!$E$11</f>
        <v>0</v>
      </c>
      <c r="K94" s="245">
        <f>+I94/'Données SOMIDA'!$E$6</f>
        <v>0</v>
      </c>
      <c r="M94" s="198">
        <f t="shared" si="32"/>
        <v>0</v>
      </c>
    </row>
    <row r="95" spans="2:13">
      <c r="B95" s="405" t="str">
        <f>_xlfn.XLOOKUP(C95,'Données SOMIDA'!$C$18:$C$28,'Données SOMIDA'!$B$18:$B$28)</f>
        <v>1 PF</v>
      </c>
      <c r="C95" s="198" t="str">
        <f t="shared" si="29"/>
        <v>TRA COUPE</v>
      </c>
      <c r="D95" s="198" t="str">
        <f>+G52</f>
        <v>Mai</v>
      </c>
      <c r="E95" s="198" t="str">
        <f t="shared" si="30"/>
        <v>Okabe</v>
      </c>
      <c r="F95" s="405" t="str">
        <f>IF(C95="FP1",'Données SOMIDA'!$N$83,VLOOKUP(E95,'Données SOMIDA'!$C$79:$N$85,12,FALSE))</f>
        <v>Japon</v>
      </c>
      <c r="G95" s="245">
        <f>+G$4</f>
        <v>0</v>
      </c>
      <c r="H95" s="245">
        <f>IF(C95="FP1 COUPE",'Données SOMIDA'!$G$83,VLOOKUP(E95,'Données SOMIDA'!$C$79:$G$85,5,FALSE))</f>
        <v>1715000</v>
      </c>
      <c r="I95" s="245">
        <f t="shared" si="25"/>
        <v>0</v>
      </c>
      <c r="J95" s="245">
        <f>+I95/'Données SOMIDA'!$E$11</f>
        <v>0</v>
      </c>
      <c r="K95" s="245">
        <f>+I95/'Données SOMIDA'!$E$6</f>
        <v>0</v>
      </c>
      <c r="M95" s="198">
        <f t="shared" si="32"/>
        <v>0</v>
      </c>
    </row>
    <row r="96" spans="2:13">
      <c r="B96" s="405" t="str">
        <f>_xlfn.XLOOKUP(C96,'Données SOMIDA'!$C$18:$C$28,'Données SOMIDA'!$B$18:$B$28)</f>
        <v>1 PF</v>
      </c>
      <c r="C96" s="198" t="str">
        <f t="shared" si="29"/>
        <v>TRA COUPE</v>
      </c>
      <c r="D96" s="198" t="str">
        <f t="shared" si="31"/>
        <v>Mai</v>
      </c>
      <c r="E96" s="198" t="str">
        <f t="shared" si="30"/>
        <v>NRK</v>
      </c>
      <c r="F96" s="405" t="str">
        <f>IF(C96="FP1",'Données SOMIDA'!$N$83,VLOOKUP(E96,'Données SOMIDA'!$C$79:$N$85,12,FALSE))</f>
        <v>Japon</v>
      </c>
      <c r="G96" s="245">
        <f>+G$5</f>
        <v>17.8</v>
      </c>
      <c r="H96" s="245">
        <f>IF(C96="FP1 COUPE",'Données SOMIDA'!$G$83,VLOOKUP(E96,'Données SOMIDA'!$C$79:$G$85,5,FALSE))</f>
        <v>1715000</v>
      </c>
      <c r="I96" s="245">
        <f t="shared" si="25"/>
        <v>30527000</v>
      </c>
      <c r="J96" s="245">
        <f>+I96/'Données SOMIDA'!$E$11</f>
        <v>6783.7777777777774</v>
      </c>
      <c r="K96" s="245">
        <f>+I96/'Données SOMIDA'!$E$6</f>
        <v>6230</v>
      </c>
      <c r="M96" s="198">
        <f t="shared" si="32"/>
        <v>0</v>
      </c>
    </row>
    <row r="97" spans="2:13">
      <c r="B97" s="405" t="str">
        <f>_xlfn.XLOOKUP(C97,'Données SOMIDA'!$C$18:$C$28,'Données SOMIDA'!$B$18:$B$28)</f>
        <v>1 PF</v>
      </c>
      <c r="C97" s="198" t="str">
        <f t="shared" si="29"/>
        <v>TRA COUPE</v>
      </c>
      <c r="D97" s="198" t="str">
        <f t="shared" si="31"/>
        <v>Mai</v>
      </c>
      <c r="E97" s="198" t="str">
        <f t="shared" si="30"/>
        <v>Goodies</v>
      </c>
      <c r="F97" s="405" t="str">
        <f>IF(C97="FP1",'Données SOMIDA'!$N$83,VLOOKUP(E97,'Données SOMIDA'!$C$79:$N$85,12,FALSE))</f>
        <v>Chine</v>
      </c>
      <c r="G97" s="245">
        <f>+G$6</f>
        <v>252</v>
      </c>
      <c r="H97" s="245">
        <f>IF(C97="FP1 COUPE",'Données SOMIDA'!$G$83,VLOOKUP(E97,'Données SOMIDA'!$C$79:$G$85,5,FALSE))</f>
        <v>1912500</v>
      </c>
      <c r="I97" s="245">
        <f t="shared" si="25"/>
        <v>481950000</v>
      </c>
      <c r="J97" s="245">
        <f>+I97/'Données SOMIDA'!$E$11</f>
        <v>107100</v>
      </c>
      <c r="K97" s="245">
        <f>+I97/'Données SOMIDA'!$E$6</f>
        <v>98357.142857142855</v>
      </c>
      <c r="M97" s="198">
        <f t="shared" si="32"/>
        <v>0</v>
      </c>
    </row>
    <row r="98" spans="2:13">
      <c r="B98" s="405" t="str">
        <f>_xlfn.XLOOKUP(C98,'Données SOMIDA'!$C$18:$C$28,'Données SOMIDA'!$B$18:$B$28)</f>
        <v>1 PF</v>
      </c>
      <c r="C98" s="198" t="str">
        <f t="shared" si="29"/>
        <v>TRA COUPE</v>
      </c>
      <c r="D98" s="198" t="str">
        <f t="shared" si="31"/>
        <v>Mai</v>
      </c>
      <c r="E98" s="198" t="str">
        <f t="shared" si="30"/>
        <v>Elinar</v>
      </c>
      <c r="F98" s="405" t="str">
        <f>IF(C98="FP1",'Données SOMIDA'!$N$83,VLOOKUP(E98,'Données SOMIDA'!$C$79:$N$85,12,FALSE))</f>
        <v>Russie</v>
      </c>
      <c r="G98" s="245">
        <f>+G$7</f>
        <v>75.599999999999994</v>
      </c>
      <c r="H98" s="245">
        <f>IF(C98="FP1 COUPE",'Données SOMIDA'!$G$83,VLOOKUP(E98,'Données SOMIDA'!$C$79:$G$85,5,FALSE))</f>
        <v>1470000</v>
      </c>
      <c r="I98" s="245">
        <f t="shared" si="25"/>
        <v>111131999.99999999</v>
      </c>
      <c r="J98" s="245">
        <f>+I98/'Données SOMIDA'!$E$11</f>
        <v>24695.999999999996</v>
      </c>
      <c r="K98" s="245">
        <f>+I98/'Données SOMIDA'!$E$6</f>
        <v>22679.999999999996</v>
      </c>
      <c r="M98" s="198">
        <f t="shared" si="32"/>
        <v>0</v>
      </c>
    </row>
    <row r="99" spans="2:13">
      <c r="B99" s="405" t="str">
        <f>_xlfn.XLOOKUP(C99,'Données SOMIDA'!$C$18:$C$28,'Données SOMIDA'!$B$18:$B$28)</f>
        <v>2 PF</v>
      </c>
      <c r="C99" s="198" t="str">
        <f t="shared" si="29"/>
        <v>ABR COUPE</v>
      </c>
      <c r="D99" s="198" t="str">
        <f t="shared" si="31"/>
        <v>Mai</v>
      </c>
      <c r="E99" s="198" t="str">
        <f t="shared" si="30"/>
        <v>Okabe</v>
      </c>
      <c r="F99" s="405" t="str">
        <f>IF(C99="FP1",'Données SOMIDA'!$N$83,VLOOKUP(E99,'Données SOMIDA'!$C$79:$N$85,12,FALSE))</f>
        <v>Japon</v>
      </c>
      <c r="G99" s="245">
        <f>+G$9</f>
        <v>0</v>
      </c>
      <c r="H99" s="245">
        <f>IF(C99="FP1 COUPE",'Données SOMIDA'!$G$83,VLOOKUP(E99,'Données SOMIDA'!$C$79:$G$85,5,FALSE))</f>
        <v>1715000</v>
      </c>
      <c r="I99" s="245">
        <f t="shared" si="25"/>
        <v>0</v>
      </c>
      <c r="J99" s="245">
        <f>+I99/'Données SOMIDA'!$E$11</f>
        <v>0</v>
      </c>
      <c r="K99" s="245">
        <f>+I99/'Données SOMIDA'!$E$6</f>
        <v>0</v>
      </c>
      <c r="M99" s="198">
        <f t="shared" si="32"/>
        <v>0</v>
      </c>
    </row>
    <row r="100" spans="2:13">
      <c r="B100" s="405" t="str">
        <f>_xlfn.XLOOKUP(C100,'Données SOMIDA'!$C$18:$C$28,'Données SOMIDA'!$B$18:$B$28)</f>
        <v>2 PF</v>
      </c>
      <c r="C100" s="198" t="str">
        <f t="shared" ref="C100:C131" si="33">+C91</f>
        <v>ABR COUPE</v>
      </c>
      <c r="D100" s="198" t="str">
        <f t="shared" si="31"/>
        <v>Mai</v>
      </c>
      <c r="E100" s="198" t="str">
        <f t="shared" ref="E100:E131" si="34">+E91</f>
        <v>NRK</v>
      </c>
      <c r="F100" s="405" t="str">
        <f>IF(C100="FP1",'Données SOMIDA'!$N$83,VLOOKUP(E100,'Données SOMIDA'!$C$79:$N$85,12,FALSE))</f>
        <v>Japon</v>
      </c>
      <c r="G100" s="245">
        <f>+G$10</f>
        <v>0</v>
      </c>
      <c r="H100" s="245">
        <f>IF(C100="FP1 COUPE",'Données SOMIDA'!$G$83,VLOOKUP(E100,'Données SOMIDA'!$C$79:$G$85,5,FALSE))</f>
        <v>1715000</v>
      </c>
      <c r="I100" s="245">
        <f t="shared" si="25"/>
        <v>0</v>
      </c>
      <c r="J100" s="245">
        <f>+I100/'Données SOMIDA'!$E$11</f>
        <v>0</v>
      </c>
      <c r="K100" s="245">
        <f>+I100/'Données SOMIDA'!$E$6</f>
        <v>0</v>
      </c>
      <c r="M100" s="198">
        <f t="shared" si="32"/>
        <v>0</v>
      </c>
    </row>
    <row r="101" spans="2:13">
      <c r="B101" s="405" t="str">
        <f>_xlfn.XLOOKUP(C101,'Données SOMIDA'!$C$18:$C$28,'Données SOMIDA'!$B$18:$B$28)</f>
        <v>2 PF</v>
      </c>
      <c r="C101" s="198" t="str">
        <f t="shared" si="33"/>
        <v>ABR COUPE</v>
      </c>
      <c r="D101" s="198" t="str">
        <f t="shared" si="31"/>
        <v>Mai</v>
      </c>
      <c r="E101" s="198" t="str">
        <f t="shared" si="34"/>
        <v>Goodies</v>
      </c>
      <c r="F101" s="405" t="str">
        <f>IF(C101="FP1",'Données SOMIDA'!$N$83,VLOOKUP(E101,'Données SOMIDA'!$C$79:$N$85,12,FALSE))</f>
        <v>Chine</v>
      </c>
      <c r="G101" s="245">
        <f>+G$11</f>
        <v>252</v>
      </c>
      <c r="H101" s="245">
        <f>IF(C101="FP1 COUPE",'Données SOMIDA'!$G$83,VLOOKUP(E101,'Données SOMIDA'!$C$79:$G$85,5,FALSE))</f>
        <v>1912500</v>
      </c>
      <c r="I101" s="245">
        <f t="shared" si="25"/>
        <v>481950000</v>
      </c>
      <c r="J101" s="245">
        <f>+I101/'Données SOMIDA'!$E$11</f>
        <v>107100</v>
      </c>
      <c r="K101" s="245">
        <f>+I101/'Données SOMIDA'!$E$6</f>
        <v>98357.142857142855</v>
      </c>
      <c r="M101" s="198">
        <f t="shared" si="32"/>
        <v>0</v>
      </c>
    </row>
    <row r="102" spans="2:13">
      <c r="B102" s="405" t="str">
        <f>_xlfn.XLOOKUP(C102,'Données SOMIDA'!$C$18:$C$28,'Données SOMIDA'!$B$18:$B$28)</f>
        <v>2 PF</v>
      </c>
      <c r="C102" s="198" t="str">
        <f t="shared" si="33"/>
        <v>ABR COUPE</v>
      </c>
      <c r="D102" s="198" t="str">
        <f t="shared" si="31"/>
        <v>Mai</v>
      </c>
      <c r="E102" s="198" t="str">
        <f t="shared" si="34"/>
        <v>Elinar</v>
      </c>
      <c r="F102" s="405" t="str">
        <f>IF(C102="FP1",'Données SOMIDA'!$N$83,VLOOKUP(E102,'Données SOMIDA'!$C$79:$N$85,12,FALSE))</f>
        <v>Russie</v>
      </c>
      <c r="G102" s="245">
        <f>+G$12</f>
        <v>75.599999999999994</v>
      </c>
      <c r="H102" s="245">
        <f>IF(C102="FP1 COUPE",'Données SOMIDA'!$G$83,VLOOKUP(E102,'Données SOMIDA'!$C$79:$G$85,5,FALSE))</f>
        <v>1470000</v>
      </c>
      <c r="I102" s="245">
        <f t="shared" si="25"/>
        <v>111131999.99999999</v>
      </c>
      <c r="J102" s="245">
        <f>+I102/'Données SOMIDA'!$E$11</f>
        <v>24695.999999999996</v>
      </c>
      <c r="K102" s="245">
        <f>+I102/'Données SOMIDA'!$E$6</f>
        <v>22679.999999999996</v>
      </c>
      <c r="M102" s="198">
        <f t="shared" si="32"/>
        <v>0</v>
      </c>
    </row>
    <row r="103" spans="2:13">
      <c r="B103" s="405" t="str">
        <f>_xlfn.XLOOKUP(C103,'Données SOMIDA'!$C$18:$C$28,'Données SOMIDA'!$B$18:$B$28)</f>
        <v>3 PF</v>
      </c>
      <c r="C103" s="198" t="str">
        <f t="shared" si="33"/>
        <v>FP1 COUPE</v>
      </c>
      <c r="D103" s="198" t="str">
        <f t="shared" si="31"/>
        <v>Mai</v>
      </c>
      <c r="E103" s="198" t="str">
        <f t="shared" si="34"/>
        <v>Okabe</v>
      </c>
      <c r="F103" s="405" t="str">
        <f>IF(C103="FP1",'Données SOMIDA'!$N$83,VLOOKUP(E103,'Données SOMIDA'!$C$79:$N$85,12,FALSE))</f>
        <v>Japon</v>
      </c>
      <c r="G103" s="245">
        <f>+G$14</f>
        <v>0</v>
      </c>
      <c r="H103" s="245">
        <f>IF(C103="FP1 COUPE",'Données SOMIDA'!$G$83,VLOOKUP(E103,'Données SOMIDA'!$C$79:$G$85,5,FALSE))</f>
        <v>2205000</v>
      </c>
      <c r="I103" s="245">
        <f t="shared" si="25"/>
        <v>0</v>
      </c>
      <c r="J103" s="245">
        <f>+I103/'Données SOMIDA'!$E$11</f>
        <v>0</v>
      </c>
      <c r="K103" s="245">
        <f>+I103/'Données SOMIDA'!$E$6</f>
        <v>0</v>
      </c>
      <c r="M103" s="198">
        <f t="shared" si="32"/>
        <v>0</v>
      </c>
    </row>
    <row r="104" spans="2:13">
      <c r="B104" s="405" t="str">
        <f>_xlfn.XLOOKUP(C104,'Données SOMIDA'!$C$18:$C$28,'Données SOMIDA'!$B$18:$B$28)</f>
        <v>1 PF</v>
      </c>
      <c r="C104" s="198" t="str">
        <f t="shared" si="33"/>
        <v>TRA COUPE</v>
      </c>
      <c r="D104" s="198" t="str">
        <f>+H52</f>
        <v>Juin</v>
      </c>
      <c r="E104" s="198" t="str">
        <f t="shared" si="34"/>
        <v>Okabe</v>
      </c>
      <c r="F104" s="405" t="str">
        <f>IF(C104="FP1",'Données SOMIDA'!$N$83,VLOOKUP(E104,'Données SOMIDA'!$C$79:$N$85,12,FALSE))</f>
        <v>Japon</v>
      </c>
      <c r="G104" s="245">
        <f>+H$4</f>
        <v>20</v>
      </c>
      <c r="H104" s="245">
        <f>IF(C104="FP1 COUPE",'Données SOMIDA'!$G$83,VLOOKUP(E104,'Données SOMIDA'!$C$79:$G$85,5,FALSE))</f>
        <v>1715000</v>
      </c>
      <c r="I104" s="245">
        <f t="shared" si="25"/>
        <v>34300000</v>
      </c>
      <c r="J104" s="245">
        <f>+I104/'Données SOMIDA'!$E$11</f>
        <v>7622.2222222222226</v>
      </c>
      <c r="K104" s="245">
        <f>+I104/'Données SOMIDA'!$E$6</f>
        <v>7000</v>
      </c>
      <c r="M104" s="198">
        <f t="shared" si="32"/>
        <v>0</v>
      </c>
    </row>
    <row r="105" spans="2:13">
      <c r="B105" s="405" t="str">
        <f>_xlfn.XLOOKUP(C105,'Données SOMIDA'!$C$18:$C$28,'Données SOMIDA'!$B$18:$B$28)</f>
        <v>1 PF</v>
      </c>
      <c r="C105" s="198" t="str">
        <f t="shared" si="33"/>
        <v>TRA COUPE</v>
      </c>
      <c r="D105" s="198" t="str">
        <f t="shared" si="31"/>
        <v>Juin</v>
      </c>
      <c r="E105" s="198" t="str">
        <f t="shared" si="34"/>
        <v>NRK</v>
      </c>
      <c r="F105" s="405" t="str">
        <f>IF(C105="FP1",'Données SOMIDA'!$N$83,VLOOKUP(E105,'Données SOMIDA'!$C$79:$N$85,12,FALSE))</f>
        <v>Japon</v>
      </c>
      <c r="G105" s="245">
        <f>+H$5</f>
        <v>0</v>
      </c>
      <c r="H105" s="245">
        <f>IF(C105="FP1 COUPE",'Données SOMIDA'!$G$83,VLOOKUP(E105,'Données SOMIDA'!$C$79:$G$85,5,FALSE))</f>
        <v>1715000</v>
      </c>
      <c r="I105" s="245">
        <f t="shared" si="25"/>
        <v>0</v>
      </c>
      <c r="J105" s="245">
        <f>+I105/'Données SOMIDA'!$E$11</f>
        <v>0</v>
      </c>
      <c r="K105" s="245">
        <f>+I105/'Données SOMIDA'!$E$6</f>
        <v>0</v>
      </c>
      <c r="M105" s="198">
        <f t="shared" si="32"/>
        <v>0</v>
      </c>
    </row>
    <row r="106" spans="2:13">
      <c r="B106" s="405" t="str">
        <f>_xlfn.XLOOKUP(C106,'Données SOMIDA'!$C$18:$C$28,'Données SOMIDA'!$B$18:$B$28)</f>
        <v>1 PF</v>
      </c>
      <c r="C106" s="198" t="str">
        <f t="shared" si="33"/>
        <v>TRA COUPE</v>
      </c>
      <c r="D106" s="198" t="str">
        <f t="shared" si="31"/>
        <v>Juin</v>
      </c>
      <c r="E106" s="198" t="str">
        <f t="shared" si="34"/>
        <v>Goodies</v>
      </c>
      <c r="F106" s="405" t="str">
        <f>IF(C106="FP1",'Données SOMIDA'!$N$83,VLOOKUP(E106,'Données SOMIDA'!$C$79:$N$85,12,FALSE))</f>
        <v>Chine</v>
      </c>
      <c r="G106" s="245">
        <f>+H$6</f>
        <v>252</v>
      </c>
      <c r="H106" s="245">
        <f>IF(C106="FP1 COUPE",'Données SOMIDA'!$G$83,VLOOKUP(E106,'Données SOMIDA'!$C$79:$G$85,5,FALSE))</f>
        <v>1912500</v>
      </c>
      <c r="I106" s="245">
        <f t="shared" si="25"/>
        <v>481950000</v>
      </c>
      <c r="J106" s="245">
        <f>+I106/'Données SOMIDA'!$E$11</f>
        <v>107100</v>
      </c>
      <c r="K106" s="245">
        <f>+I106/'Données SOMIDA'!$E$6</f>
        <v>98357.142857142855</v>
      </c>
      <c r="M106" s="198">
        <f t="shared" si="32"/>
        <v>0</v>
      </c>
    </row>
    <row r="107" spans="2:13">
      <c r="B107" s="405" t="str">
        <f>_xlfn.XLOOKUP(C107,'Données SOMIDA'!$C$18:$C$28,'Données SOMIDA'!$B$18:$B$28)</f>
        <v>1 PF</v>
      </c>
      <c r="C107" s="198" t="str">
        <f t="shared" si="33"/>
        <v>TRA COUPE</v>
      </c>
      <c r="D107" s="198" t="str">
        <f t="shared" si="31"/>
        <v>Juin</v>
      </c>
      <c r="E107" s="198" t="str">
        <f t="shared" si="34"/>
        <v>Elinar</v>
      </c>
      <c r="F107" s="405" t="str">
        <f>IF(C107="FP1",'Données SOMIDA'!$N$83,VLOOKUP(E107,'Données SOMIDA'!$C$79:$N$85,12,FALSE))</f>
        <v>Russie</v>
      </c>
      <c r="G107" s="245">
        <f>+H$7</f>
        <v>75.599999999999994</v>
      </c>
      <c r="H107" s="245">
        <f>IF(C107="FP1 COUPE",'Données SOMIDA'!$G$83,VLOOKUP(E107,'Données SOMIDA'!$C$79:$G$85,5,FALSE))</f>
        <v>1470000</v>
      </c>
      <c r="I107" s="245">
        <f t="shared" si="25"/>
        <v>111131999.99999999</v>
      </c>
      <c r="J107" s="245">
        <f>+I107/'Données SOMIDA'!$E$11</f>
        <v>24695.999999999996</v>
      </c>
      <c r="K107" s="245">
        <f>+I107/'Données SOMIDA'!$E$6</f>
        <v>22679.999999999996</v>
      </c>
      <c r="M107" s="198">
        <f t="shared" si="32"/>
        <v>0</v>
      </c>
    </row>
    <row r="108" spans="2:13">
      <c r="B108" s="405" t="str">
        <f>_xlfn.XLOOKUP(C108,'Données SOMIDA'!$C$18:$C$28,'Données SOMIDA'!$B$18:$B$28)</f>
        <v>2 PF</v>
      </c>
      <c r="C108" s="198" t="str">
        <f t="shared" si="33"/>
        <v>ABR COUPE</v>
      </c>
      <c r="D108" s="198" t="str">
        <f t="shared" si="31"/>
        <v>Juin</v>
      </c>
      <c r="E108" s="198" t="str">
        <f t="shared" si="34"/>
        <v>Okabe</v>
      </c>
      <c r="F108" s="405" t="str">
        <f>IF(C108="FP1",'Données SOMIDA'!$N$83,VLOOKUP(E108,'Données SOMIDA'!$C$79:$N$85,12,FALSE))</f>
        <v>Japon</v>
      </c>
      <c r="G108" s="245">
        <f>+H$9</f>
        <v>0</v>
      </c>
      <c r="H108" s="245">
        <f>IF(C108="FP1 COUPE",'Données SOMIDA'!$G$83,VLOOKUP(E108,'Données SOMIDA'!$C$79:$G$85,5,FALSE))</f>
        <v>1715000</v>
      </c>
      <c r="I108" s="245">
        <f t="shared" si="25"/>
        <v>0</v>
      </c>
      <c r="J108" s="245">
        <f>+I108/'Données SOMIDA'!$E$11</f>
        <v>0</v>
      </c>
      <c r="K108" s="245">
        <f>+I108/'Données SOMIDA'!$E$6</f>
        <v>0</v>
      </c>
      <c r="M108" s="198">
        <f t="shared" si="32"/>
        <v>0</v>
      </c>
    </row>
    <row r="109" spans="2:13">
      <c r="B109" s="405" t="str">
        <f>_xlfn.XLOOKUP(C109,'Données SOMIDA'!$C$18:$C$28,'Données SOMIDA'!$B$18:$B$28)</f>
        <v>2 PF</v>
      </c>
      <c r="C109" s="198" t="str">
        <f t="shared" si="33"/>
        <v>ABR COUPE</v>
      </c>
      <c r="D109" s="198" t="str">
        <f t="shared" si="31"/>
        <v>Juin</v>
      </c>
      <c r="E109" s="198" t="str">
        <f t="shared" si="34"/>
        <v>NRK</v>
      </c>
      <c r="F109" s="405" t="str">
        <f>IF(C109="FP1",'Données SOMIDA'!$N$83,VLOOKUP(E109,'Données SOMIDA'!$C$79:$N$85,12,FALSE))</f>
        <v>Japon</v>
      </c>
      <c r="G109" s="245">
        <f>+H$10</f>
        <v>0</v>
      </c>
      <c r="H109" s="245">
        <f>IF(C109="FP1 COUPE",'Données SOMIDA'!$G$83,VLOOKUP(E109,'Données SOMIDA'!$C$79:$G$85,5,FALSE))</f>
        <v>1715000</v>
      </c>
      <c r="I109" s="245">
        <f t="shared" si="25"/>
        <v>0</v>
      </c>
      <c r="J109" s="245">
        <f>+I109/'Données SOMIDA'!$E$11</f>
        <v>0</v>
      </c>
      <c r="K109" s="245">
        <f>+I109/'Données SOMIDA'!$E$6</f>
        <v>0</v>
      </c>
      <c r="M109" s="198">
        <f t="shared" si="32"/>
        <v>0</v>
      </c>
    </row>
    <row r="110" spans="2:13">
      <c r="B110" s="405" t="str">
        <f>_xlfn.XLOOKUP(C110,'Données SOMIDA'!$C$18:$C$28,'Données SOMIDA'!$B$18:$B$28)</f>
        <v>2 PF</v>
      </c>
      <c r="C110" s="198" t="str">
        <f t="shared" si="33"/>
        <v>ABR COUPE</v>
      </c>
      <c r="D110" s="198" t="str">
        <f t="shared" si="31"/>
        <v>Juin</v>
      </c>
      <c r="E110" s="198" t="str">
        <f t="shared" si="34"/>
        <v>Goodies</v>
      </c>
      <c r="F110" s="405" t="str">
        <f>IF(C110="FP1",'Données SOMIDA'!$N$83,VLOOKUP(E110,'Données SOMIDA'!$C$79:$N$85,12,FALSE))</f>
        <v>Chine</v>
      </c>
      <c r="G110" s="245">
        <f>+H$11</f>
        <v>252</v>
      </c>
      <c r="H110" s="245">
        <f>IF(C110="FP1 COUPE",'Données SOMIDA'!$G$83,VLOOKUP(E110,'Données SOMIDA'!$C$79:$G$85,5,FALSE))</f>
        <v>1912500</v>
      </c>
      <c r="I110" s="245">
        <f t="shared" si="25"/>
        <v>481950000</v>
      </c>
      <c r="J110" s="245">
        <f>+I110/'Données SOMIDA'!$E$11</f>
        <v>107100</v>
      </c>
      <c r="K110" s="245">
        <f>+I110/'Données SOMIDA'!$E$6</f>
        <v>98357.142857142855</v>
      </c>
      <c r="M110" s="198">
        <f t="shared" si="32"/>
        <v>0</v>
      </c>
    </row>
    <row r="111" spans="2:13">
      <c r="B111" s="405" t="str">
        <f>_xlfn.XLOOKUP(C111,'Données SOMIDA'!$C$18:$C$28,'Données SOMIDA'!$B$18:$B$28)</f>
        <v>2 PF</v>
      </c>
      <c r="C111" s="198" t="str">
        <f t="shared" si="33"/>
        <v>ABR COUPE</v>
      </c>
      <c r="D111" s="198" t="str">
        <f t="shared" si="31"/>
        <v>Juin</v>
      </c>
      <c r="E111" s="198" t="str">
        <f t="shared" si="34"/>
        <v>Elinar</v>
      </c>
      <c r="F111" s="405" t="str">
        <f>IF(C111="FP1",'Données SOMIDA'!$N$83,VLOOKUP(E111,'Données SOMIDA'!$C$79:$N$85,12,FALSE))</f>
        <v>Russie</v>
      </c>
      <c r="G111" s="245">
        <f>+H$12</f>
        <v>75.599999999999994</v>
      </c>
      <c r="H111" s="245">
        <f>IF(C111="FP1 COUPE",'Données SOMIDA'!$G$83,VLOOKUP(E111,'Données SOMIDA'!$C$79:$G$85,5,FALSE))</f>
        <v>1470000</v>
      </c>
      <c r="I111" s="245">
        <f t="shared" si="25"/>
        <v>111131999.99999999</v>
      </c>
      <c r="J111" s="245">
        <f>+I111/'Données SOMIDA'!$E$11</f>
        <v>24695.999999999996</v>
      </c>
      <c r="K111" s="245">
        <f>+I111/'Données SOMIDA'!$E$6</f>
        <v>22679.999999999996</v>
      </c>
      <c r="M111" s="198">
        <f t="shared" si="32"/>
        <v>0</v>
      </c>
    </row>
    <row r="112" spans="2:13">
      <c r="B112" s="405" t="str">
        <f>_xlfn.XLOOKUP(C112,'Données SOMIDA'!$C$18:$C$28,'Données SOMIDA'!$B$18:$B$28)</f>
        <v>3 PF</v>
      </c>
      <c r="C112" s="198" t="str">
        <f t="shared" si="33"/>
        <v>FP1 COUPE</v>
      </c>
      <c r="D112" s="198" t="str">
        <f t="shared" si="31"/>
        <v>Juin</v>
      </c>
      <c r="E112" s="198" t="str">
        <f t="shared" si="34"/>
        <v>Okabe</v>
      </c>
      <c r="F112" s="405" t="str">
        <f>IF(C112="FP1",'Données SOMIDA'!$N$83,VLOOKUP(E112,'Données SOMIDA'!$C$79:$N$85,12,FALSE))</f>
        <v>Japon</v>
      </c>
      <c r="G112" s="245">
        <f>+H$14</f>
        <v>0</v>
      </c>
      <c r="H112" s="245">
        <f>IF(C112="FP1 COUPE",'Données SOMIDA'!$G$83,VLOOKUP(E112,'Données SOMIDA'!$C$79:$G$85,5,FALSE))</f>
        <v>2205000</v>
      </c>
      <c r="I112" s="245">
        <f t="shared" si="25"/>
        <v>0</v>
      </c>
      <c r="J112" s="245">
        <f>+I112/'Données SOMIDA'!$E$11</f>
        <v>0</v>
      </c>
      <c r="K112" s="245">
        <f>+I112/'Données SOMIDA'!$E$6</f>
        <v>0</v>
      </c>
      <c r="M112" s="198">
        <f t="shared" si="32"/>
        <v>0</v>
      </c>
    </row>
    <row r="113" spans="2:13">
      <c r="B113" s="405" t="str">
        <f>_xlfn.XLOOKUP(C113,'Données SOMIDA'!$C$18:$C$28,'Données SOMIDA'!$B$18:$B$28)</f>
        <v>1 PF</v>
      </c>
      <c r="C113" s="198" t="str">
        <f t="shared" si="33"/>
        <v>TRA COUPE</v>
      </c>
      <c r="D113" s="198" t="str">
        <f>+I52</f>
        <v>Juillet</v>
      </c>
      <c r="E113" s="198" t="str">
        <f t="shared" si="34"/>
        <v>Okabe</v>
      </c>
      <c r="F113" s="405" t="str">
        <f>IF(C113="FP1",'Données SOMIDA'!$N$83,VLOOKUP(E113,'Données SOMIDA'!$C$79:$N$85,12,FALSE))</f>
        <v>Japon</v>
      </c>
      <c r="G113" s="245">
        <f>+I$4</f>
        <v>0</v>
      </c>
      <c r="H113" s="245">
        <f>IF(C113="FP1 COUPE",'Données SOMIDA'!$G$83,VLOOKUP(E113,'Données SOMIDA'!$C$79:$G$85,5,FALSE))</f>
        <v>1715000</v>
      </c>
      <c r="I113" s="245">
        <f t="shared" si="25"/>
        <v>0</v>
      </c>
      <c r="J113" s="245">
        <f>+I113/'Données SOMIDA'!$E$11</f>
        <v>0</v>
      </c>
      <c r="K113" s="245">
        <f>+I113/'Données SOMIDA'!$E$6</f>
        <v>0</v>
      </c>
      <c r="M113" s="198">
        <f t="shared" si="32"/>
        <v>0</v>
      </c>
    </row>
    <row r="114" spans="2:13">
      <c r="B114" s="405" t="str">
        <f>_xlfn.XLOOKUP(C114,'Données SOMIDA'!$C$18:$C$28,'Données SOMIDA'!$B$18:$B$28)</f>
        <v>1 PF</v>
      </c>
      <c r="C114" s="198" t="str">
        <f t="shared" si="33"/>
        <v>TRA COUPE</v>
      </c>
      <c r="D114" s="198" t="str">
        <f t="shared" si="31"/>
        <v>Juillet</v>
      </c>
      <c r="E114" s="198" t="str">
        <f t="shared" si="34"/>
        <v>NRK</v>
      </c>
      <c r="F114" s="405" t="str">
        <f>IF(C114="FP1",'Données SOMIDA'!$N$83,VLOOKUP(E114,'Données SOMIDA'!$C$79:$N$85,12,FALSE))</f>
        <v>Japon</v>
      </c>
      <c r="G114" s="245">
        <f>+I$5</f>
        <v>17.8</v>
      </c>
      <c r="H114" s="245">
        <f>IF(C114="FP1 COUPE",'Données SOMIDA'!$G$83,VLOOKUP(E114,'Données SOMIDA'!$C$79:$G$85,5,FALSE))</f>
        <v>1715000</v>
      </c>
      <c r="I114" s="245">
        <f t="shared" si="25"/>
        <v>30527000</v>
      </c>
      <c r="J114" s="245">
        <f>+I114/'Données SOMIDA'!$E$11</f>
        <v>6783.7777777777774</v>
      </c>
      <c r="K114" s="245">
        <f>+I114/'Données SOMIDA'!$E$6</f>
        <v>6230</v>
      </c>
    </row>
    <row r="115" spans="2:13">
      <c r="B115" s="405" t="str">
        <f>_xlfn.XLOOKUP(C115,'Données SOMIDA'!$C$18:$C$28,'Données SOMIDA'!$B$18:$B$28)</f>
        <v>1 PF</v>
      </c>
      <c r="C115" s="198" t="str">
        <f t="shared" si="33"/>
        <v>TRA COUPE</v>
      </c>
      <c r="D115" s="198" t="str">
        <f t="shared" si="31"/>
        <v>Juillet</v>
      </c>
      <c r="E115" s="198" t="str">
        <f t="shared" si="34"/>
        <v>Goodies</v>
      </c>
      <c r="F115" s="405" t="str">
        <f>IF(C115="FP1",'Données SOMIDA'!$N$83,VLOOKUP(E115,'Données SOMIDA'!$C$79:$N$85,12,FALSE))</f>
        <v>Chine</v>
      </c>
      <c r="G115" s="245">
        <f>+I$6</f>
        <v>252</v>
      </c>
      <c r="H115" s="245">
        <f>IF(C115="FP1 COUPE",'Données SOMIDA'!$G$83,VLOOKUP(E115,'Données SOMIDA'!$C$79:$G$85,5,FALSE))</f>
        <v>1912500</v>
      </c>
      <c r="I115" s="245">
        <f t="shared" si="25"/>
        <v>481950000</v>
      </c>
      <c r="J115" s="245">
        <f>+I115/'Données SOMIDA'!$E$11</f>
        <v>107100</v>
      </c>
      <c r="K115" s="245">
        <f>+I115/'Données SOMIDA'!$E$6</f>
        <v>98357.142857142855</v>
      </c>
    </row>
    <row r="116" spans="2:13">
      <c r="B116" s="405" t="str">
        <f>_xlfn.XLOOKUP(C116,'Données SOMIDA'!$C$18:$C$28,'Données SOMIDA'!$B$18:$B$28)</f>
        <v>1 PF</v>
      </c>
      <c r="C116" s="198" t="str">
        <f t="shared" si="33"/>
        <v>TRA COUPE</v>
      </c>
      <c r="D116" s="198" t="str">
        <f t="shared" si="31"/>
        <v>Juillet</v>
      </c>
      <c r="E116" s="198" t="str">
        <f t="shared" si="34"/>
        <v>Elinar</v>
      </c>
      <c r="F116" s="405" t="str">
        <f>IF(C116="FP1",'Données SOMIDA'!$N$83,VLOOKUP(E116,'Données SOMIDA'!$C$79:$N$85,12,FALSE))</f>
        <v>Russie</v>
      </c>
      <c r="G116" s="245">
        <f>+I$7</f>
        <v>75.599999999999994</v>
      </c>
      <c r="H116" s="245">
        <f>IF(C116="FP1 COUPE",'Données SOMIDA'!$G$83,VLOOKUP(E116,'Données SOMIDA'!$C$79:$G$85,5,FALSE))</f>
        <v>1470000</v>
      </c>
      <c r="I116" s="245">
        <f t="shared" si="25"/>
        <v>111131999.99999999</v>
      </c>
      <c r="J116" s="245">
        <f>+I116/'Données SOMIDA'!$E$11</f>
        <v>24695.999999999996</v>
      </c>
      <c r="K116" s="245">
        <f>+I116/'Données SOMIDA'!$E$6</f>
        <v>22679.999999999996</v>
      </c>
    </row>
    <row r="117" spans="2:13">
      <c r="B117" s="405" t="str">
        <f>_xlfn.XLOOKUP(C117,'Données SOMIDA'!$C$18:$C$28,'Données SOMIDA'!$B$18:$B$28)</f>
        <v>2 PF</v>
      </c>
      <c r="C117" s="198" t="str">
        <f t="shared" si="33"/>
        <v>ABR COUPE</v>
      </c>
      <c r="D117" s="198" t="str">
        <f t="shared" si="31"/>
        <v>Juillet</v>
      </c>
      <c r="E117" s="198" t="str">
        <f t="shared" si="34"/>
        <v>Okabe</v>
      </c>
      <c r="F117" s="405" t="str">
        <f>IF(C117="FP1",'Données SOMIDA'!$N$83,VLOOKUP(E117,'Données SOMIDA'!$C$79:$N$85,12,FALSE))</f>
        <v>Japon</v>
      </c>
      <c r="G117" s="245">
        <f>+I$9</f>
        <v>0</v>
      </c>
      <c r="H117" s="245">
        <f>IF(C117="FP1 COUPE",'Données SOMIDA'!$G$83,VLOOKUP(E117,'Données SOMIDA'!$C$79:$G$85,5,FALSE))</f>
        <v>1715000</v>
      </c>
      <c r="I117" s="245">
        <f t="shared" si="25"/>
        <v>0</v>
      </c>
      <c r="J117" s="245">
        <f>+I117/'Données SOMIDA'!$E$11</f>
        <v>0</v>
      </c>
      <c r="K117" s="245">
        <f>+I117/'Données SOMIDA'!$E$6</f>
        <v>0</v>
      </c>
    </row>
    <row r="118" spans="2:13">
      <c r="B118" s="405" t="str">
        <f>_xlfn.XLOOKUP(C118,'Données SOMIDA'!$C$18:$C$28,'Données SOMIDA'!$B$18:$B$28)</f>
        <v>2 PF</v>
      </c>
      <c r="C118" s="198" t="str">
        <f t="shared" si="33"/>
        <v>ABR COUPE</v>
      </c>
      <c r="D118" s="198" t="str">
        <f t="shared" si="31"/>
        <v>Juillet</v>
      </c>
      <c r="E118" s="198" t="str">
        <f t="shared" si="34"/>
        <v>NRK</v>
      </c>
      <c r="F118" s="405" t="str">
        <f>IF(C118="FP1",'Données SOMIDA'!$N$83,VLOOKUP(E118,'Données SOMIDA'!$C$79:$N$85,12,FALSE))</f>
        <v>Japon</v>
      </c>
      <c r="G118" s="245">
        <f>+I$10</f>
        <v>0</v>
      </c>
      <c r="H118" s="245">
        <f>IF(C118="FP1 COUPE",'Données SOMIDA'!$G$83,VLOOKUP(E118,'Données SOMIDA'!$C$79:$G$85,5,FALSE))</f>
        <v>1715000</v>
      </c>
      <c r="I118" s="245">
        <f t="shared" si="25"/>
        <v>0</v>
      </c>
      <c r="J118" s="245">
        <f>+I118/'Données SOMIDA'!$E$11</f>
        <v>0</v>
      </c>
      <c r="K118" s="245">
        <f>+I118/'Données SOMIDA'!$E$6</f>
        <v>0</v>
      </c>
    </row>
    <row r="119" spans="2:13">
      <c r="B119" s="405" t="str">
        <f>_xlfn.XLOOKUP(C119,'Données SOMIDA'!$C$18:$C$28,'Données SOMIDA'!$B$18:$B$28)</f>
        <v>2 PF</v>
      </c>
      <c r="C119" s="198" t="str">
        <f t="shared" si="33"/>
        <v>ABR COUPE</v>
      </c>
      <c r="D119" s="198" t="str">
        <f t="shared" si="31"/>
        <v>Juillet</v>
      </c>
      <c r="E119" s="198" t="str">
        <f t="shared" si="34"/>
        <v>Goodies</v>
      </c>
      <c r="F119" s="405" t="str">
        <f>IF(C119="FP1",'Données SOMIDA'!$N$83,VLOOKUP(E119,'Données SOMIDA'!$C$79:$N$85,12,FALSE))</f>
        <v>Chine</v>
      </c>
      <c r="G119" s="245">
        <f>+I$11</f>
        <v>252</v>
      </c>
      <c r="H119" s="245">
        <f>IF(C119="FP1 COUPE",'Données SOMIDA'!$G$83,VLOOKUP(E119,'Données SOMIDA'!$C$79:$G$85,5,FALSE))</f>
        <v>1912500</v>
      </c>
      <c r="I119" s="245">
        <f t="shared" si="25"/>
        <v>481950000</v>
      </c>
      <c r="J119" s="245">
        <f>+I119/'Données SOMIDA'!$E$11</f>
        <v>107100</v>
      </c>
      <c r="K119" s="245">
        <f>+I119/'Données SOMIDA'!$E$6</f>
        <v>98357.142857142855</v>
      </c>
    </row>
    <row r="120" spans="2:13">
      <c r="B120" s="405" t="str">
        <f>_xlfn.XLOOKUP(C120,'Données SOMIDA'!$C$18:$C$28,'Données SOMIDA'!$B$18:$B$28)</f>
        <v>2 PF</v>
      </c>
      <c r="C120" s="198" t="str">
        <f t="shared" si="33"/>
        <v>ABR COUPE</v>
      </c>
      <c r="D120" s="198" t="str">
        <f t="shared" si="31"/>
        <v>Juillet</v>
      </c>
      <c r="E120" s="198" t="str">
        <f t="shared" si="34"/>
        <v>Elinar</v>
      </c>
      <c r="F120" s="405" t="str">
        <f>IF(C120="FP1",'Données SOMIDA'!$N$83,VLOOKUP(E120,'Données SOMIDA'!$C$79:$N$85,12,FALSE))</f>
        <v>Russie</v>
      </c>
      <c r="G120" s="245">
        <f>+I$12</f>
        <v>75.599999999999994</v>
      </c>
      <c r="H120" s="245">
        <f>IF(C120="FP1 COUPE",'Données SOMIDA'!$G$83,VLOOKUP(E120,'Données SOMIDA'!$C$79:$G$85,5,FALSE))</f>
        <v>1470000</v>
      </c>
      <c r="I120" s="245">
        <f t="shared" si="25"/>
        <v>111131999.99999999</v>
      </c>
      <c r="J120" s="245">
        <f>+I120/'Données SOMIDA'!$E$11</f>
        <v>24695.999999999996</v>
      </c>
      <c r="K120" s="245">
        <f>+I120/'Données SOMIDA'!$E$6</f>
        <v>22679.999999999996</v>
      </c>
    </row>
    <row r="121" spans="2:13">
      <c r="B121" s="405" t="str">
        <f>_xlfn.XLOOKUP(C121,'Données SOMIDA'!$C$18:$C$28,'Données SOMIDA'!$B$18:$B$28)</f>
        <v>3 PF</v>
      </c>
      <c r="C121" s="198" t="str">
        <f t="shared" si="33"/>
        <v>FP1 COUPE</v>
      </c>
      <c r="D121" s="198" t="str">
        <f t="shared" si="31"/>
        <v>Juillet</v>
      </c>
      <c r="E121" s="198" t="str">
        <f t="shared" si="34"/>
        <v>Okabe</v>
      </c>
      <c r="F121" s="405" t="str">
        <f>IF(C121="FP1",'Données SOMIDA'!$N$83,VLOOKUP(E121,'Données SOMIDA'!$C$79:$N$85,12,FALSE))</f>
        <v>Japon</v>
      </c>
      <c r="G121" s="245">
        <f>+I$14</f>
        <v>0</v>
      </c>
      <c r="H121" s="245">
        <f>IF(C121="FP1 COUPE",'Données SOMIDA'!$G$83,VLOOKUP(E121,'Données SOMIDA'!$C$79:$G$85,5,FALSE))</f>
        <v>2205000</v>
      </c>
      <c r="I121" s="245">
        <f t="shared" si="25"/>
        <v>0</v>
      </c>
      <c r="J121" s="245">
        <f>+I121/'Données SOMIDA'!$E$11</f>
        <v>0</v>
      </c>
      <c r="K121" s="245">
        <f>+I121/'Données SOMIDA'!$E$6</f>
        <v>0</v>
      </c>
    </row>
    <row r="122" spans="2:13">
      <c r="B122" s="405" t="str">
        <f>_xlfn.XLOOKUP(C122,'Données SOMIDA'!$C$18:$C$28,'Données SOMIDA'!$B$18:$B$28)</f>
        <v>1 PF</v>
      </c>
      <c r="C122" s="198" t="str">
        <f t="shared" si="33"/>
        <v>TRA COUPE</v>
      </c>
      <c r="D122" s="198" t="str">
        <f>+J52</f>
        <v>Août</v>
      </c>
      <c r="E122" s="198" t="str">
        <f t="shared" si="34"/>
        <v>Okabe</v>
      </c>
      <c r="F122" s="405" t="str">
        <f>IF(C122="FP1",'Données SOMIDA'!$N$83,VLOOKUP(E122,'Données SOMIDA'!$C$79:$N$85,12,FALSE))</f>
        <v>Japon</v>
      </c>
      <c r="G122" s="245">
        <f>+J$4</f>
        <v>20</v>
      </c>
      <c r="H122" s="245">
        <f>IF(C122="FP1 COUPE",'Données SOMIDA'!$G$83,VLOOKUP(E122,'Données SOMIDA'!$C$79:$G$85,5,FALSE))</f>
        <v>1715000</v>
      </c>
      <c r="I122" s="245">
        <f t="shared" si="25"/>
        <v>34300000</v>
      </c>
      <c r="J122" s="245">
        <f>+I122/'Données SOMIDA'!$E$11</f>
        <v>7622.2222222222226</v>
      </c>
      <c r="K122" s="245">
        <f>+I122/'Données SOMIDA'!$E$6</f>
        <v>7000</v>
      </c>
    </row>
    <row r="123" spans="2:13">
      <c r="B123" s="405" t="str">
        <f>_xlfn.XLOOKUP(C123,'Données SOMIDA'!$C$18:$C$28,'Données SOMIDA'!$B$18:$B$28)</f>
        <v>1 PF</v>
      </c>
      <c r="C123" s="198" t="str">
        <f t="shared" si="33"/>
        <v>TRA COUPE</v>
      </c>
      <c r="D123" s="198" t="str">
        <f t="shared" si="31"/>
        <v>Août</v>
      </c>
      <c r="E123" s="198" t="str">
        <f t="shared" si="34"/>
        <v>NRK</v>
      </c>
      <c r="F123" s="405" t="str">
        <f>IF(C123="FP1",'Données SOMIDA'!$N$83,VLOOKUP(E123,'Données SOMIDA'!$C$79:$N$85,12,FALSE))</f>
        <v>Japon</v>
      </c>
      <c r="G123" s="245">
        <f>+J$5</f>
        <v>0</v>
      </c>
      <c r="H123" s="245">
        <f>IF(C123="FP1 COUPE",'Données SOMIDA'!$G$83,VLOOKUP(E123,'Données SOMIDA'!$C$79:$G$85,5,FALSE))</f>
        <v>1715000</v>
      </c>
      <c r="I123" s="245">
        <f t="shared" si="25"/>
        <v>0</v>
      </c>
      <c r="J123" s="245">
        <f>+I123/'Données SOMIDA'!$E$11</f>
        <v>0</v>
      </c>
      <c r="K123" s="245">
        <f>+I123/'Données SOMIDA'!$E$6</f>
        <v>0</v>
      </c>
    </row>
    <row r="124" spans="2:13">
      <c r="B124" s="405" t="str">
        <f>_xlfn.XLOOKUP(C124,'Données SOMIDA'!$C$18:$C$28,'Données SOMIDA'!$B$18:$B$28)</f>
        <v>1 PF</v>
      </c>
      <c r="C124" s="198" t="str">
        <f t="shared" si="33"/>
        <v>TRA COUPE</v>
      </c>
      <c r="D124" s="198" t="str">
        <f t="shared" si="31"/>
        <v>Août</v>
      </c>
      <c r="E124" s="198" t="str">
        <f t="shared" si="34"/>
        <v>Goodies</v>
      </c>
      <c r="F124" s="405" t="str">
        <f>IF(C124="FP1",'Données SOMIDA'!$N$83,VLOOKUP(E124,'Données SOMIDA'!$C$79:$N$85,12,FALSE))</f>
        <v>Chine</v>
      </c>
      <c r="G124" s="245">
        <f>+J$6</f>
        <v>252</v>
      </c>
      <c r="H124" s="245">
        <f>IF(C124="FP1 COUPE",'Données SOMIDA'!$G$83,VLOOKUP(E124,'Données SOMIDA'!$C$79:$G$85,5,FALSE))</f>
        <v>1912500</v>
      </c>
      <c r="I124" s="245">
        <f t="shared" ref="I124:I166" si="35">+G124*H124</f>
        <v>481950000</v>
      </c>
      <c r="J124" s="245">
        <f>+I124/'Données SOMIDA'!$E$11</f>
        <v>107100</v>
      </c>
      <c r="K124" s="245">
        <f>+I124/'Données SOMIDA'!$E$6</f>
        <v>98357.142857142855</v>
      </c>
    </row>
    <row r="125" spans="2:13">
      <c r="B125" s="405" t="str">
        <f>_xlfn.XLOOKUP(C125,'Données SOMIDA'!$C$18:$C$28,'Données SOMIDA'!$B$18:$B$28)</f>
        <v>1 PF</v>
      </c>
      <c r="C125" s="198" t="str">
        <f t="shared" si="33"/>
        <v>TRA COUPE</v>
      </c>
      <c r="D125" s="198" t="str">
        <f t="shared" si="31"/>
        <v>Août</v>
      </c>
      <c r="E125" s="198" t="str">
        <f t="shared" si="34"/>
        <v>Elinar</v>
      </c>
      <c r="F125" s="405" t="str">
        <f>IF(C125="FP1",'Données SOMIDA'!$N$83,VLOOKUP(E125,'Données SOMIDA'!$C$79:$N$85,12,FALSE))</f>
        <v>Russie</v>
      </c>
      <c r="G125" s="245">
        <f>+J$7</f>
        <v>75.599999999999994</v>
      </c>
      <c r="H125" s="245">
        <f>IF(C125="FP1 COUPE",'Données SOMIDA'!$G$83,VLOOKUP(E125,'Données SOMIDA'!$C$79:$G$85,5,FALSE))</f>
        <v>1470000</v>
      </c>
      <c r="I125" s="245">
        <f t="shared" si="35"/>
        <v>111131999.99999999</v>
      </c>
      <c r="J125" s="245">
        <f>+I125/'Données SOMIDA'!$E$11</f>
        <v>24695.999999999996</v>
      </c>
      <c r="K125" s="245">
        <f>+I125/'Données SOMIDA'!$E$6</f>
        <v>22679.999999999996</v>
      </c>
    </row>
    <row r="126" spans="2:13">
      <c r="B126" s="405" t="str">
        <f>_xlfn.XLOOKUP(C126,'Données SOMIDA'!$C$18:$C$28,'Données SOMIDA'!$B$18:$B$28)</f>
        <v>2 PF</v>
      </c>
      <c r="C126" s="198" t="str">
        <f t="shared" si="33"/>
        <v>ABR COUPE</v>
      </c>
      <c r="D126" s="198" t="str">
        <f t="shared" si="31"/>
        <v>Août</v>
      </c>
      <c r="E126" s="198" t="str">
        <f t="shared" si="34"/>
        <v>Okabe</v>
      </c>
      <c r="F126" s="405" t="str">
        <f>IF(C126="FP1",'Données SOMIDA'!$N$83,VLOOKUP(E126,'Données SOMIDA'!$C$79:$N$85,12,FALSE))</f>
        <v>Japon</v>
      </c>
      <c r="G126" s="245">
        <f>+J$9</f>
        <v>0</v>
      </c>
      <c r="H126" s="245">
        <f>IF(C126="FP1 COUPE",'Données SOMIDA'!$G$83,VLOOKUP(E126,'Données SOMIDA'!$C$79:$G$85,5,FALSE))</f>
        <v>1715000</v>
      </c>
      <c r="I126" s="245">
        <f t="shared" si="35"/>
        <v>0</v>
      </c>
      <c r="J126" s="245">
        <f>+I126/'Données SOMIDA'!$E$11</f>
        <v>0</v>
      </c>
      <c r="K126" s="245">
        <f>+I126/'Données SOMIDA'!$E$6</f>
        <v>0</v>
      </c>
    </row>
    <row r="127" spans="2:13">
      <c r="B127" s="405" t="str">
        <f>_xlfn.XLOOKUP(C127,'Données SOMIDA'!$C$18:$C$28,'Données SOMIDA'!$B$18:$B$28)</f>
        <v>2 PF</v>
      </c>
      <c r="C127" s="198" t="str">
        <f t="shared" si="33"/>
        <v>ABR COUPE</v>
      </c>
      <c r="D127" s="198" t="str">
        <f t="shared" si="31"/>
        <v>Août</v>
      </c>
      <c r="E127" s="198" t="str">
        <f t="shared" si="34"/>
        <v>NRK</v>
      </c>
      <c r="F127" s="405" t="str">
        <f>IF(C127="FP1",'Données SOMIDA'!$N$83,VLOOKUP(E127,'Données SOMIDA'!$C$79:$N$85,12,FALSE))</f>
        <v>Japon</v>
      </c>
      <c r="G127" s="245">
        <f>+J$10</f>
        <v>0</v>
      </c>
      <c r="H127" s="245">
        <f>IF(C127="FP1 COUPE",'Données SOMIDA'!$G$83,VLOOKUP(E127,'Données SOMIDA'!$C$79:$G$85,5,FALSE))</f>
        <v>1715000</v>
      </c>
      <c r="I127" s="245">
        <f t="shared" si="35"/>
        <v>0</v>
      </c>
      <c r="J127" s="245">
        <f>+I127/'Données SOMIDA'!$E$11</f>
        <v>0</v>
      </c>
      <c r="K127" s="245">
        <f>+I127/'Données SOMIDA'!$E$6</f>
        <v>0</v>
      </c>
    </row>
    <row r="128" spans="2:13">
      <c r="B128" s="405" t="str">
        <f>_xlfn.XLOOKUP(C128,'Données SOMIDA'!$C$18:$C$28,'Données SOMIDA'!$B$18:$B$28)</f>
        <v>2 PF</v>
      </c>
      <c r="C128" s="198" t="str">
        <f t="shared" si="33"/>
        <v>ABR COUPE</v>
      </c>
      <c r="D128" s="198" t="str">
        <f t="shared" si="31"/>
        <v>Août</v>
      </c>
      <c r="E128" s="198" t="str">
        <f t="shared" si="34"/>
        <v>Goodies</v>
      </c>
      <c r="F128" s="405" t="str">
        <f>IF(C128="FP1",'Données SOMIDA'!$N$83,VLOOKUP(E128,'Données SOMIDA'!$C$79:$N$85,12,FALSE))</f>
        <v>Chine</v>
      </c>
      <c r="G128" s="245">
        <f>+J$11</f>
        <v>252</v>
      </c>
      <c r="H128" s="245">
        <f>IF(C128="FP1 COUPE",'Données SOMIDA'!$G$83,VLOOKUP(E128,'Données SOMIDA'!$C$79:$G$85,5,FALSE))</f>
        <v>1912500</v>
      </c>
      <c r="I128" s="245">
        <f t="shared" si="35"/>
        <v>481950000</v>
      </c>
      <c r="J128" s="245">
        <f>+I128/'Données SOMIDA'!$E$11</f>
        <v>107100</v>
      </c>
      <c r="K128" s="245">
        <f>+I128/'Données SOMIDA'!$E$6</f>
        <v>98357.142857142855</v>
      </c>
    </row>
    <row r="129" spans="2:11">
      <c r="B129" s="405" t="str">
        <f>_xlfn.XLOOKUP(C129,'Données SOMIDA'!$C$18:$C$28,'Données SOMIDA'!$B$18:$B$28)</f>
        <v>2 PF</v>
      </c>
      <c r="C129" s="198" t="str">
        <f t="shared" si="33"/>
        <v>ABR COUPE</v>
      </c>
      <c r="D129" s="198" t="str">
        <f t="shared" si="31"/>
        <v>Août</v>
      </c>
      <c r="E129" s="198" t="str">
        <f t="shared" si="34"/>
        <v>Elinar</v>
      </c>
      <c r="F129" s="405" t="str">
        <f>IF(C129="FP1",'Données SOMIDA'!$N$83,VLOOKUP(E129,'Données SOMIDA'!$C$79:$N$85,12,FALSE))</f>
        <v>Russie</v>
      </c>
      <c r="G129" s="245">
        <f>+J$12</f>
        <v>75.599999999999994</v>
      </c>
      <c r="H129" s="245">
        <f>IF(C129="FP1 COUPE",'Données SOMIDA'!$G$83,VLOOKUP(E129,'Données SOMIDA'!$C$79:$G$85,5,FALSE))</f>
        <v>1470000</v>
      </c>
      <c r="I129" s="245">
        <f t="shared" si="35"/>
        <v>111131999.99999999</v>
      </c>
      <c r="J129" s="245">
        <f>+I129/'Données SOMIDA'!$E$11</f>
        <v>24695.999999999996</v>
      </c>
      <c r="K129" s="245">
        <f>+I129/'Données SOMIDA'!$E$6</f>
        <v>22679.999999999996</v>
      </c>
    </row>
    <row r="130" spans="2:11">
      <c r="B130" s="405" t="str">
        <f>_xlfn.XLOOKUP(C130,'Données SOMIDA'!$C$18:$C$28,'Données SOMIDA'!$B$18:$B$28)</f>
        <v>3 PF</v>
      </c>
      <c r="C130" s="198" t="str">
        <f t="shared" si="33"/>
        <v>FP1 COUPE</v>
      </c>
      <c r="D130" s="198" t="str">
        <f t="shared" si="31"/>
        <v>Août</v>
      </c>
      <c r="E130" s="198" t="str">
        <f t="shared" si="34"/>
        <v>Okabe</v>
      </c>
      <c r="F130" s="405" t="str">
        <f>IF(C130="FP1",'Données SOMIDA'!$N$83,VLOOKUP(E130,'Données SOMIDA'!$C$79:$N$85,12,FALSE))</f>
        <v>Japon</v>
      </c>
      <c r="G130" s="245">
        <f>+J$14</f>
        <v>0</v>
      </c>
      <c r="H130" s="245">
        <f>IF(C130="FP1 COUPE",'Données SOMIDA'!$G$83,VLOOKUP(E130,'Données SOMIDA'!$C$79:$G$85,5,FALSE))</f>
        <v>2205000</v>
      </c>
      <c r="I130" s="245">
        <f t="shared" si="35"/>
        <v>0</v>
      </c>
      <c r="J130" s="245">
        <f>+I130/'Données SOMIDA'!$E$11</f>
        <v>0</v>
      </c>
      <c r="K130" s="245">
        <f>+I130/'Données SOMIDA'!$E$6</f>
        <v>0</v>
      </c>
    </row>
    <row r="131" spans="2:11">
      <c r="B131" s="405" t="str">
        <f>_xlfn.XLOOKUP(C131,'Données SOMIDA'!$C$18:$C$28,'Données SOMIDA'!$B$18:$B$28)</f>
        <v>1 PF</v>
      </c>
      <c r="C131" s="198" t="str">
        <f t="shared" si="33"/>
        <v>TRA COUPE</v>
      </c>
      <c r="D131" s="198" t="str">
        <f>+K52</f>
        <v>Septembre</v>
      </c>
      <c r="E131" s="198" t="str">
        <f t="shared" si="34"/>
        <v>Okabe</v>
      </c>
      <c r="F131" s="405" t="str">
        <f>IF(C131="FP1",'Données SOMIDA'!$N$83,VLOOKUP(E131,'Données SOMIDA'!$C$79:$N$85,12,FALSE))</f>
        <v>Japon</v>
      </c>
      <c r="G131" s="245">
        <f>+K$4</f>
        <v>0</v>
      </c>
      <c r="H131" s="245">
        <f>IF(C131="FP1 COUPE",'Données SOMIDA'!$G$83,VLOOKUP(E131,'Données SOMIDA'!$C$79:$G$85,5,FALSE))</f>
        <v>1715000</v>
      </c>
      <c r="I131" s="245">
        <f t="shared" si="35"/>
        <v>0</v>
      </c>
      <c r="J131" s="245">
        <f>+I131/'Données SOMIDA'!$E$11</f>
        <v>0</v>
      </c>
      <c r="K131" s="245">
        <f>+I131/'Données SOMIDA'!$E$6</f>
        <v>0</v>
      </c>
    </row>
    <row r="132" spans="2:11">
      <c r="B132" s="405" t="str">
        <f>_xlfn.XLOOKUP(C132,'Données SOMIDA'!$C$18:$C$28,'Données SOMIDA'!$B$18:$B$28)</f>
        <v>1 PF</v>
      </c>
      <c r="C132" s="198" t="str">
        <f t="shared" ref="C132:C163" si="36">+C123</f>
        <v>TRA COUPE</v>
      </c>
      <c r="D132" s="198" t="str">
        <f t="shared" si="31"/>
        <v>Septembre</v>
      </c>
      <c r="E132" s="198" t="str">
        <f t="shared" ref="E132:E163" si="37">+E123</f>
        <v>NRK</v>
      </c>
      <c r="F132" s="405" t="str">
        <f>IF(C132="FP1",'Données SOMIDA'!$N$83,VLOOKUP(E132,'Données SOMIDA'!$C$79:$N$85,12,FALSE))</f>
        <v>Japon</v>
      </c>
      <c r="G132" s="245">
        <f>+K$5</f>
        <v>17.8</v>
      </c>
      <c r="H132" s="245">
        <f>IF(C132="FP1 COUPE",'Données SOMIDA'!$G$83,VLOOKUP(E132,'Données SOMIDA'!$C$79:$G$85,5,FALSE))</f>
        <v>1715000</v>
      </c>
      <c r="I132" s="245">
        <f t="shared" si="35"/>
        <v>30527000</v>
      </c>
      <c r="J132" s="245">
        <f>+I132/'Données SOMIDA'!$E$11</f>
        <v>6783.7777777777774</v>
      </c>
      <c r="K132" s="245">
        <f>+I132/'Données SOMIDA'!$E$6</f>
        <v>6230</v>
      </c>
    </row>
    <row r="133" spans="2:11">
      <c r="B133" s="405" t="str">
        <f>_xlfn.XLOOKUP(C133,'Données SOMIDA'!$C$18:$C$28,'Données SOMIDA'!$B$18:$B$28)</f>
        <v>1 PF</v>
      </c>
      <c r="C133" s="198" t="str">
        <f t="shared" si="36"/>
        <v>TRA COUPE</v>
      </c>
      <c r="D133" s="198" t="str">
        <f t="shared" ref="D133:D139" si="38">+D132</f>
        <v>Septembre</v>
      </c>
      <c r="E133" s="198" t="str">
        <f t="shared" si="37"/>
        <v>Goodies</v>
      </c>
      <c r="F133" s="405" t="str">
        <f>IF(C133="FP1",'Données SOMIDA'!$N$83,VLOOKUP(E133,'Données SOMIDA'!$C$79:$N$85,12,FALSE))</f>
        <v>Chine</v>
      </c>
      <c r="G133" s="245">
        <f>+K$6</f>
        <v>252</v>
      </c>
      <c r="H133" s="245">
        <f>IF(C133="FP1 COUPE",'Données SOMIDA'!$G$83,VLOOKUP(E133,'Données SOMIDA'!$C$79:$G$85,5,FALSE))</f>
        <v>1912500</v>
      </c>
      <c r="I133" s="245">
        <f t="shared" si="35"/>
        <v>481950000</v>
      </c>
      <c r="J133" s="245">
        <f>+I133/'Données SOMIDA'!$E$11</f>
        <v>107100</v>
      </c>
      <c r="K133" s="245">
        <f>+I133/'Données SOMIDA'!$E$6</f>
        <v>98357.142857142855</v>
      </c>
    </row>
    <row r="134" spans="2:11">
      <c r="B134" s="405" t="str">
        <f>_xlfn.XLOOKUP(C134,'Données SOMIDA'!$C$18:$C$28,'Données SOMIDA'!$B$18:$B$28)</f>
        <v>1 PF</v>
      </c>
      <c r="C134" s="198" t="str">
        <f t="shared" si="36"/>
        <v>TRA COUPE</v>
      </c>
      <c r="D134" s="198" t="str">
        <f t="shared" si="38"/>
        <v>Septembre</v>
      </c>
      <c r="E134" s="198" t="str">
        <f t="shared" si="37"/>
        <v>Elinar</v>
      </c>
      <c r="F134" s="405" t="str">
        <f>IF(C134="FP1",'Données SOMIDA'!$N$83,VLOOKUP(E134,'Données SOMIDA'!$C$79:$N$85,12,FALSE))</f>
        <v>Russie</v>
      </c>
      <c r="G134" s="245">
        <f>+K$7</f>
        <v>75.599999999999994</v>
      </c>
      <c r="H134" s="245">
        <f>IF(C134="FP1 COUPE",'Données SOMIDA'!$G$83,VLOOKUP(E134,'Données SOMIDA'!$C$79:$G$85,5,FALSE))</f>
        <v>1470000</v>
      </c>
      <c r="I134" s="245">
        <f t="shared" si="35"/>
        <v>111131999.99999999</v>
      </c>
      <c r="J134" s="245">
        <f>+I134/'Données SOMIDA'!$E$11</f>
        <v>24695.999999999996</v>
      </c>
      <c r="K134" s="245">
        <f>+I134/'Données SOMIDA'!$E$6</f>
        <v>22679.999999999996</v>
      </c>
    </row>
    <row r="135" spans="2:11">
      <c r="B135" s="405" t="str">
        <f>_xlfn.XLOOKUP(C135,'Données SOMIDA'!$C$18:$C$28,'Données SOMIDA'!$B$18:$B$28)</f>
        <v>2 PF</v>
      </c>
      <c r="C135" s="198" t="str">
        <f t="shared" si="36"/>
        <v>ABR COUPE</v>
      </c>
      <c r="D135" s="198" t="str">
        <f t="shared" si="38"/>
        <v>Septembre</v>
      </c>
      <c r="E135" s="198" t="str">
        <f t="shared" si="37"/>
        <v>Okabe</v>
      </c>
      <c r="F135" s="405" t="str">
        <f>IF(C135="FP1",'Données SOMIDA'!$N$83,VLOOKUP(E135,'Données SOMIDA'!$C$79:$N$85,12,FALSE))</f>
        <v>Japon</v>
      </c>
      <c r="G135" s="245">
        <f>+K$9</f>
        <v>0</v>
      </c>
      <c r="H135" s="245">
        <f>IF(C135="FP1 COUPE",'Données SOMIDA'!$G$83,VLOOKUP(E135,'Données SOMIDA'!$C$79:$G$85,5,FALSE))</f>
        <v>1715000</v>
      </c>
      <c r="I135" s="245">
        <f t="shared" si="35"/>
        <v>0</v>
      </c>
      <c r="J135" s="245">
        <f>+I135/'Données SOMIDA'!$E$11</f>
        <v>0</v>
      </c>
      <c r="K135" s="245">
        <f>+I135/'Données SOMIDA'!$E$6</f>
        <v>0</v>
      </c>
    </row>
    <row r="136" spans="2:11">
      <c r="B136" s="405" t="str">
        <f>_xlfn.XLOOKUP(C136,'Données SOMIDA'!$C$18:$C$28,'Données SOMIDA'!$B$18:$B$28)</f>
        <v>2 PF</v>
      </c>
      <c r="C136" s="198" t="str">
        <f t="shared" si="36"/>
        <v>ABR COUPE</v>
      </c>
      <c r="D136" s="198" t="str">
        <f t="shared" si="38"/>
        <v>Septembre</v>
      </c>
      <c r="E136" s="198" t="str">
        <f t="shared" si="37"/>
        <v>NRK</v>
      </c>
      <c r="F136" s="405" t="str">
        <f>IF(C136="FP1",'Données SOMIDA'!$N$83,VLOOKUP(E136,'Données SOMIDA'!$C$79:$N$85,12,FALSE))</f>
        <v>Japon</v>
      </c>
      <c r="G136" s="245">
        <f>+K$10</f>
        <v>0</v>
      </c>
      <c r="H136" s="245">
        <f>IF(C136="FP1 COUPE",'Données SOMIDA'!$G$83,VLOOKUP(E136,'Données SOMIDA'!$C$79:$G$85,5,FALSE))</f>
        <v>1715000</v>
      </c>
      <c r="I136" s="245">
        <f t="shared" si="35"/>
        <v>0</v>
      </c>
      <c r="J136" s="245">
        <f>+I136/'Données SOMIDA'!$E$11</f>
        <v>0</v>
      </c>
      <c r="K136" s="245">
        <f>+I136/'Données SOMIDA'!$E$6</f>
        <v>0</v>
      </c>
    </row>
    <row r="137" spans="2:11">
      <c r="B137" s="405" t="str">
        <f>_xlfn.XLOOKUP(C137,'Données SOMIDA'!$C$18:$C$28,'Données SOMIDA'!$B$18:$B$28)</f>
        <v>2 PF</v>
      </c>
      <c r="C137" s="198" t="str">
        <f t="shared" si="36"/>
        <v>ABR COUPE</v>
      </c>
      <c r="D137" s="198" t="str">
        <f t="shared" si="38"/>
        <v>Septembre</v>
      </c>
      <c r="E137" s="198" t="str">
        <f t="shared" si="37"/>
        <v>Goodies</v>
      </c>
      <c r="F137" s="405" t="str">
        <f>IF(C137="FP1",'Données SOMIDA'!$N$83,VLOOKUP(E137,'Données SOMIDA'!$C$79:$N$85,12,FALSE))</f>
        <v>Chine</v>
      </c>
      <c r="G137" s="245">
        <f>+K$11</f>
        <v>252</v>
      </c>
      <c r="H137" s="245">
        <f>IF(C137="FP1 COUPE",'Données SOMIDA'!$G$83,VLOOKUP(E137,'Données SOMIDA'!$C$79:$G$85,5,FALSE))</f>
        <v>1912500</v>
      </c>
      <c r="I137" s="245">
        <f t="shared" si="35"/>
        <v>481950000</v>
      </c>
      <c r="J137" s="245">
        <f>+I137/'Données SOMIDA'!$E$11</f>
        <v>107100</v>
      </c>
      <c r="K137" s="245">
        <f>+I137/'Données SOMIDA'!$E$6</f>
        <v>98357.142857142855</v>
      </c>
    </row>
    <row r="138" spans="2:11">
      <c r="B138" s="405" t="str">
        <f>_xlfn.XLOOKUP(C138,'Données SOMIDA'!$C$18:$C$28,'Données SOMIDA'!$B$18:$B$28)</f>
        <v>2 PF</v>
      </c>
      <c r="C138" s="198" t="str">
        <f t="shared" si="36"/>
        <v>ABR COUPE</v>
      </c>
      <c r="D138" s="198" t="str">
        <f t="shared" si="38"/>
        <v>Septembre</v>
      </c>
      <c r="E138" s="198" t="str">
        <f t="shared" si="37"/>
        <v>Elinar</v>
      </c>
      <c r="F138" s="405" t="str">
        <f>IF(C138="FP1",'Données SOMIDA'!$N$83,VLOOKUP(E138,'Données SOMIDA'!$C$79:$N$85,12,FALSE))</f>
        <v>Russie</v>
      </c>
      <c r="G138" s="245">
        <f>+K$12</f>
        <v>75.599999999999994</v>
      </c>
      <c r="H138" s="245">
        <f>IF(C138="FP1 COUPE",'Données SOMIDA'!$G$83,VLOOKUP(E138,'Données SOMIDA'!$C$79:$G$85,5,FALSE))</f>
        <v>1470000</v>
      </c>
      <c r="I138" s="245">
        <f t="shared" si="35"/>
        <v>111131999.99999999</v>
      </c>
      <c r="J138" s="245">
        <f>+I138/'Données SOMIDA'!$E$11</f>
        <v>24695.999999999996</v>
      </c>
      <c r="K138" s="245">
        <f>+I138/'Données SOMIDA'!$E$6</f>
        <v>22679.999999999996</v>
      </c>
    </row>
    <row r="139" spans="2:11">
      <c r="B139" s="405" t="str">
        <f>_xlfn.XLOOKUP(C139,'Données SOMIDA'!$C$18:$C$28,'Données SOMIDA'!$B$18:$B$28)</f>
        <v>3 PF</v>
      </c>
      <c r="C139" s="198" t="str">
        <f t="shared" si="36"/>
        <v>FP1 COUPE</v>
      </c>
      <c r="D139" s="198" t="str">
        <f t="shared" si="38"/>
        <v>Septembre</v>
      </c>
      <c r="E139" s="198" t="str">
        <f t="shared" si="37"/>
        <v>Okabe</v>
      </c>
      <c r="F139" s="405" t="str">
        <f>IF(C139="FP1",'Données SOMIDA'!$N$83,VLOOKUP(E139,'Données SOMIDA'!$C$79:$N$85,12,FALSE))</f>
        <v>Japon</v>
      </c>
      <c r="G139" s="245">
        <f>+K$14</f>
        <v>0</v>
      </c>
      <c r="H139" s="245">
        <f>IF(C139="FP1 COUPE",'Données SOMIDA'!$G$83,VLOOKUP(E139,'Données SOMIDA'!$C$79:$G$85,5,FALSE))</f>
        <v>2205000</v>
      </c>
      <c r="I139" s="245">
        <f t="shared" si="35"/>
        <v>0</v>
      </c>
      <c r="J139" s="245">
        <f>+I139/'Données SOMIDA'!$E$11</f>
        <v>0</v>
      </c>
      <c r="K139" s="245">
        <f>+I139/'Données SOMIDA'!$E$6</f>
        <v>0</v>
      </c>
    </row>
    <row r="140" spans="2:11">
      <c r="B140" s="405" t="str">
        <f>_xlfn.XLOOKUP(C140,'Données SOMIDA'!$C$18:$C$28,'Données SOMIDA'!$B$18:$B$28)</f>
        <v>1 PF</v>
      </c>
      <c r="C140" s="198" t="str">
        <f t="shared" si="36"/>
        <v>TRA COUPE</v>
      </c>
      <c r="D140" s="198" t="str">
        <f>+L52</f>
        <v>Octobre</v>
      </c>
      <c r="E140" s="198" t="str">
        <f t="shared" si="37"/>
        <v>Okabe</v>
      </c>
      <c r="F140" s="405" t="str">
        <f>IF(C140="FP1",'Données SOMIDA'!$N$83,VLOOKUP(E140,'Données SOMIDA'!$C$79:$N$85,12,FALSE))</f>
        <v>Japon</v>
      </c>
      <c r="G140" s="245">
        <f>+L$4</f>
        <v>20</v>
      </c>
      <c r="H140" s="245">
        <f>IF(C140="FP1 COUPE",'Données SOMIDA'!$G$83,VLOOKUP(E140,'Données SOMIDA'!$C$79:$G$85,5,FALSE))</f>
        <v>1715000</v>
      </c>
      <c r="I140" s="245">
        <f t="shared" si="35"/>
        <v>34300000</v>
      </c>
      <c r="J140" s="245">
        <f>+I140/'Données SOMIDA'!$E$11</f>
        <v>7622.2222222222226</v>
      </c>
      <c r="K140" s="245">
        <f>+I140/'Données SOMIDA'!$E$6</f>
        <v>7000</v>
      </c>
    </row>
    <row r="141" spans="2:11">
      <c r="B141" s="405" t="str">
        <f>_xlfn.XLOOKUP(C141,'Données SOMIDA'!$C$18:$C$28,'Données SOMIDA'!$B$18:$B$28)</f>
        <v>1 PF</v>
      </c>
      <c r="C141" s="198" t="str">
        <f t="shared" si="36"/>
        <v>TRA COUPE</v>
      </c>
      <c r="D141" s="198" t="str">
        <f t="shared" ref="D141:D166" si="39">+D140</f>
        <v>Octobre</v>
      </c>
      <c r="E141" s="198" t="str">
        <f t="shared" si="37"/>
        <v>NRK</v>
      </c>
      <c r="F141" s="405" t="str">
        <f>IF(C141="FP1",'Données SOMIDA'!$N$83,VLOOKUP(E141,'Données SOMIDA'!$C$79:$N$85,12,FALSE))</f>
        <v>Japon</v>
      </c>
      <c r="G141" s="245">
        <f>+L$5</f>
        <v>0</v>
      </c>
      <c r="H141" s="245">
        <f>IF(C141="FP1 COUPE",'Données SOMIDA'!$G$83,VLOOKUP(E141,'Données SOMIDA'!$C$79:$G$85,5,FALSE))</f>
        <v>1715000</v>
      </c>
      <c r="I141" s="245">
        <f t="shared" si="35"/>
        <v>0</v>
      </c>
      <c r="J141" s="245">
        <f>+I141/'Données SOMIDA'!$E$11</f>
        <v>0</v>
      </c>
      <c r="K141" s="245">
        <f>+I141/'Données SOMIDA'!$E$6</f>
        <v>0</v>
      </c>
    </row>
    <row r="142" spans="2:11">
      <c r="B142" s="405" t="str">
        <f>_xlfn.XLOOKUP(C142,'Données SOMIDA'!$C$18:$C$28,'Données SOMIDA'!$B$18:$B$28)</f>
        <v>1 PF</v>
      </c>
      <c r="C142" s="198" t="str">
        <f t="shared" si="36"/>
        <v>TRA COUPE</v>
      </c>
      <c r="D142" s="198" t="str">
        <f t="shared" si="39"/>
        <v>Octobre</v>
      </c>
      <c r="E142" s="198" t="str">
        <f t="shared" si="37"/>
        <v>Goodies</v>
      </c>
      <c r="F142" s="405" t="str">
        <f>IF(C142="FP1",'Données SOMIDA'!$N$83,VLOOKUP(E142,'Données SOMIDA'!$C$79:$N$85,12,FALSE))</f>
        <v>Chine</v>
      </c>
      <c r="G142" s="245">
        <f>+L$6</f>
        <v>252</v>
      </c>
      <c r="H142" s="245">
        <f>IF(C142="FP1 COUPE",'Données SOMIDA'!$G$83,VLOOKUP(E142,'Données SOMIDA'!$C$79:$G$85,5,FALSE))</f>
        <v>1912500</v>
      </c>
      <c r="I142" s="245">
        <f t="shared" si="35"/>
        <v>481950000</v>
      </c>
      <c r="J142" s="245">
        <f>+I142/'Données SOMIDA'!$E$11</f>
        <v>107100</v>
      </c>
      <c r="K142" s="245">
        <f>+I142/'Données SOMIDA'!$E$6</f>
        <v>98357.142857142855</v>
      </c>
    </row>
    <row r="143" spans="2:11">
      <c r="B143" s="405" t="str">
        <f>_xlfn.XLOOKUP(C143,'Données SOMIDA'!$C$18:$C$28,'Données SOMIDA'!$B$18:$B$28)</f>
        <v>1 PF</v>
      </c>
      <c r="C143" s="198" t="str">
        <f t="shared" si="36"/>
        <v>TRA COUPE</v>
      </c>
      <c r="D143" s="198" t="str">
        <f t="shared" si="39"/>
        <v>Octobre</v>
      </c>
      <c r="E143" s="198" t="str">
        <f t="shared" si="37"/>
        <v>Elinar</v>
      </c>
      <c r="F143" s="405" t="str">
        <f>IF(C143="FP1",'Données SOMIDA'!$N$83,VLOOKUP(E143,'Données SOMIDA'!$C$79:$N$85,12,FALSE))</f>
        <v>Russie</v>
      </c>
      <c r="G143" s="245">
        <f>+L$7</f>
        <v>75.599999999999994</v>
      </c>
      <c r="H143" s="245">
        <f>IF(C143="FP1 COUPE",'Données SOMIDA'!$G$83,VLOOKUP(E143,'Données SOMIDA'!$C$79:$G$85,5,FALSE))</f>
        <v>1470000</v>
      </c>
      <c r="I143" s="245">
        <f t="shared" si="35"/>
        <v>111131999.99999999</v>
      </c>
      <c r="J143" s="245">
        <f>+I143/'Données SOMIDA'!$E$11</f>
        <v>24695.999999999996</v>
      </c>
      <c r="K143" s="245">
        <f>+I143/'Données SOMIDA'!$E$6</f>
        <v>22679.999999999996</v>
      </c>
    </row>
    <row r="144" spans="2:11">
      <c r="B144" s="405" t="str">
        <f>_xlfn.XLOOKUP(C144,'Données SOMIDA'!$C$18:$C$28,'Données SOMIDA'!$B$18:$B$28)</f>
        <v>2 PF</v>
      </c>
      <c r="C144" s="198" t="str">
        <f t="shared" si="36"/>
        <v>ABR COUPE</v>
      </c>
      <c r="D144" s="198" t="str">
        <f t="shared" si="39"/>
        <v>Octobre</v>
      </c>
      <c r="E144" s="198" t="str">
        <f t="shared" si="37"/>
        <v>Okabe</v>
      </c>
      <c r="F144" s="405" t="str">
        <f>IF(C144="FP1",'Données SOMIDA'!$N$83,VLOOKUP(E144,'Données SOMIDA'!$C$79:$N$85,12,FALSE))</f>
        <v>Japon</v>
      </c>
      <c r="G144" s="245">
        <f>+L$9</f>
        <v>0</v>
      </c>
      <c r="H144" s="245">
        <f>IF(C144="FP1 COUPE",'Données SOMIDA'!$G$83,VLOOKUP(E144,'Données SOMIDA'!$C$79:$G$85,5,FALSE))</f>
        <v>1715000</v>
      </c>
      <c r="I144" s="245">
        <f t="shared" si="35"/>
        <v>0</v>
      </c>
      <c r="J144" s="245">
        <f>+I144/'Données SOMIDA'!$E$11</f>
        <v>0</v>
      </c>
      <c r="K144" s="245">
        <f>+I144/'Données SOMIDA'!$E$6</f>
        <v>0</v>
      </c>
    </row>
    <row r="145" spans="2:11">
      <c r="B145" s="405" t="str">
        <f>_xlfn.XLOOKUP(C145,'Données SOMIDA'!$C$18:$C$28,'Données SOMIDA'!$B$18:$B$28)</f>
        <v>2 PF</v>
      </c>
      <c r="C145" s="198" t="str">
        <f t="shared" si="36"/>
        <v>ABR COUPE</v>
      </c>
      <c r="D145" s="198" t="str">
        <f t="shared" si="39"/>
        <v>Octobre</v>
      </c>
      <c r="E145" s="198" t="str">
        <f t="shared" si="37"/>
        <v>NRK</v>
      </c>
      <c r="F145" s="405" t="str">
        <f>IF(C145="FP1",'Données SOMIDA'!$N$83,VLOOKUP(E145,'Données SOMIDA'!$C$79:$N$85,12,FALSE))</f>
        <v>Japon</v>
      </c>
      <c r="G145" s="245">
        <f>+L$10</f>
        <v>0</v>
      </c>
      <c r="H145" s="245">
        <f>IF(C145="FP1 COUPE",'Données SOMIDA'!$G$83,VLOOKUP(E145,'Données SOMIDA'!$C$79:$G$85,5,FALSE))</f>
        <v>1715000</v>
      </c>
      <c r="I145" s="245">
        <f t="shared" si="35"/>
        <v>0</v>
      </c>
      <c r="J145" s="245">
        <f>+I145/'Données SOMIDA'!$E$11</f>
        <v>0</v>
      </c>
      <c r="K145" s="245">
        <f>+I145/'Données SOMIDA'!$E$6</f>
        <v>0</v>
      </c>
    </row>
    <row r="146" spans="2:11">
      <c r="B146" s="405" t="str">
        <f>_xlfn.XLOOKUP(C146,'Données SOMIDA'!$C$18:$C$28,'Données SOMIDA'!$B$18:$B$28)</f>
        <v>2 PF</v>
      </c>
      <c r="C146" s="198" t="str">
        <f t="shared" si="36"/>
        <v>ABR COUPE</v>
      </c>
      <c r="D146" s="198" t="str">
        <f t="shared" si="39"/>
        <v>Octobre</v>
      </c>
      <c r="E146" s="198" t="str">
        <f t="shared" si="37"/>
        <v>Goodies</v>
      </c>
      <c r="F146" s="405" t="str">
        <f>IF(C146="FP1",'Données SOMIDA'!$N$83,VLOOKUP(E146,'Données SOMIDA'!$C$79:$N$85,12,FALSE))</f>
        <v>Chine</v>
      </c>
      <c r="G146" s="245">
        <f>+L$11</f>
        <v>252</v>
      </c>
      <c r="H146" s="245">
        <f>IF(C146="FP1 COUPE",'Données SOMIDA'!$G$83,VLOOKUP(E146,'Données SOMIDA'!$C$79:$G$85,5,FALSE))</f>
        <v>1912500</v>
      </c>
      <c r="I146" s="245">
        <f t="shared" si="35"/>
        <v>481950000</v>
      </c>
      <c r="J146" s="245">
        <f>+I146/'Données SOMIDA'!$E$11</f>
        <v>107100</v>
      </c>
      <c r="K146" s="245">
        <f>+I146/'Données SOMIDA'!$E$6</f>
        <v>98357.142857142855</v>
      </c>
    </row>
    <row r="147" spans="2:11">
      <c r="B147" s="405" t="str">
        <f>_xlfn.XLOOKUP(C147,'Données SOMIDA'!$C$18:$C$28,'Données SOMIDA'!$B$18:$B$28)</f>
        <v>2 PF</v>
      </c>
      <c r="C147" s="198" t="str">
        <f t="shared" si="36"/>
        <v>ABR COUPE</v>
      </c>
      <c r="D147" s="198" t="str">
        <f t="shared" si="39"/>
        <v>Octobre</v>
      </c>
      <c r="E147" s="198" t="str">
        <f t="shared" si="37"/>
        <v>Elinar</v>
      </c>
      <c r="F147" s="405" t="str">
        <f>IF(C147="FP1",'Données SOMIDA'!$N$83,VLOOKUP(E147,'Données SOMIDA'!$C$79:$N$85,12,FALSE))</f>
        <v>Russie</v>
      </c>
      <c r="G147" s="245">
        <f>+L$12</f>
        <v>75.599999999999994</v>
      </c>
      <c r="H147" s="245">
        <f>IF(C147="FP1 COUPE",'Données SOMIDA'!$G$83,VLOOKUP(E147,'Données SOMIDA'!$C$79:$G$85,5,FALSE))</f>
        <v>1470000</v>
      </c>
      <c r="I147" s="245">
        <f t="shared" si="35"/>
        <v>111131999.99999999</v>
      </c>
      <c r="J147" s="245">
        <f>+I147/'Données SOMIDA'!$E$11</f>
        <v>24695.999999999996</v>
      </c>
      <c r="K147" s="245">
        <f>+I147/'Données SOMIDA'!$E$6</f>
        <v>22679.999999999996</v>
      </c>
    </row>
    <row r="148" spans="2:11">
      <c r="B148" s="405" t="str">
        <f>_xlfn.XLOOKUP(C148,'Données SOMIDA'!$C$18:$C$28,'Données SOMIDA'!$B$18:$B$28)</f>
        <v>3 PF</v>
      </c>
      <c r="C148" s="198" t="str">
        <f t="shared" si="36"/>
        <v>FP1 COUPE</v>
      </c>
      <c r="D148" s="198" t="str">
        <f t="shared" si="39"/>
        <v>Octobre</v>
      </c>
      <c r="E148" s="198" t="str">
        <f t="shared" si="37"/>
        <v>Okabe</v>
      </c>
      <c r="F148" s="405" t="str">
        <f>IF(C148="FP1",'Données SOMIDA'!$N$83,VLOOKUP(E148,'Données SOMIDA'!$C$79:$N$85,12,FALSE))</f>
        <v>Japon</v>
      </c>
      <c r="G148" s="245">
        <f>+L$14</f>
        <v>0</v>
      </c>
      <c r="H148" s="245">
        <f>IF(C148="FP1 COUPE",'Données SOMIDA'!$G$83,VLOOKUP(E148,'Données SOMIDA'!$C$79:$G$85,5,FALSE))</f>
        <v>2205000</v>
      </c>
      <c r="I148" s="245">
        <f t="shared" si="35"/>
        <v>0</v>
      </c>
      <c r="J148" s="245">
        <f>+I148/'Données SOMIDA'!$E$11</f>
        <v>0</v>
      </c>
      <c r="K148" s="245">
        <f>+I148/'Données SOMIDA'!$E$6</f>
        <v>0</v>
      </c>
    </row>
    <row r="149" spans="2:11">
      <c r="B149" s="405" t="str">
        <f>_xlfn.XLOOKUP(C149,'Données SOMIDA'!$C$18:$C$28,'Données SOMIDA'!$B$18:$B$28)</f>
        <v>1 PF</v>
      </c>
      <c r="C149" s="198" t="str">
        <f t="shared" si="36"/>
        <v>TRA COUPE</v>
      </c>
      <c r="D149" s="198" t="str">
        <f>+M52</f>
        <v>Novembre</v>
      </c>
      <c r="E149" s="198" t="str">
        <f t="shared" si="37"/>
        <v>Okabe</v>
      </c>
      <c r="F149" s="405" t="str">
        <f>IF(C149="FP1",'Données SOMIDA'!$N$83,VLOOKUP(E149,'Données SOMIDA'!$C$79:$N$85,12,FALSE))</f>
        <v>Japon</v>
      </c>
      <c r="G149" s="245">
        <f>+M$4</f>
        <v>0</v>
      </c>
      <c r="H149" s="245">
        <f>IF(C149="FP1 COUPE",'Données SOMIDA'!$G$83,VLOOKUP(E149,'Données SOMIDA'!$C$79:$G$85,5,FALSE))</f>
        <v>1715000</v>
      </c>
      <c r="I149" s="245">
        <f t="shared" si="35"/>
        <v>0</v>
      </c>
      <c r="J149" s="245">
        <f>+I149/'Données SOMIDA'!$E$11</f>
        <v>0</v>
      </c>
      <c r="K149" s="245">
        <f>+I149/'Données SOMIDA'!$E$6</f>
        <v>0</v>
      </c>
    </row>
    <row r="150" spans="2:11">
      <c r="B150" s="405" t="str">
        <f>_xlfn.XLOOKUP(C150,'Données SOMIDA'!$C$18:$C$28,'Données SOMIDA'!$B$18:$B$28)</f>
        <v>1 PF</v>
      </c>
      <c r="C150" s="198" t="str">
        <f t="shared" si="36"/>
        <v>TRA COUPE</v>
      </c>
      <c r="D150" s="198" t="str">
        <f t="shared" si="39"/>
        <v>Novembre</v>
      </c>
      <c r="E150" s="198" t="str">
        <f t="shared" si="37"/>
        <v>NRK</v>
      </c>
      <c r="F150" s="405" t="str">
        <f>IF(C150="FP1",'Données SOMIDA'!$N$83,VLOOKUP(E150,'Données SOMIDA'!$C$79:$N$85,12,FALSE))</f>
        <v>Japon</v>
      </c>
      <c r="G150" s="245">
        <f>+M$5</f>
        <v>17.8</v>
      </c>
      <c r="H150" s="245">
        <f>IF(C150="FP1 COUPE",'Données SOMIDA'!$G$83,VLOOKUP(E150,'Données SOMIDA'!$C$79:$G$85,5,FALSE))</f>
        <v>1715000</v>
      </c>
      <c r="I150" s="245">
        <f t="shared" si="35"/>
        <v>30527000</v>
      </c>
      <c r="J150" s="245">
        <f>+I150/'Données SOMIDA'!$E$11</f>
        <v>6783.7777777777774</v>
      </c>
      <c r="K150" s="245">
        <f>+I150/'Données SOMIDA'!$E$6</f>
        <v>6230</v>
      </c>
    </row>
    <row r="151" spans="2:11">
      <c r="B151" s="405" t="str">
        <f>_xlfn.XLOOKUP(C151,'Données SOMIDA'!$C$18:$C$28,'Données SOMIDA'!$B$18:$B$28)</f>
        <v>1 PF</v>
      </c>
      <c r="C151" s="198" t="str">
        <f t="shared" si="36"/>
        <v>TRA COUPE</v>
      </c>
      <c r="D151" s="198" t="str">
        <f t="shared" si="39"/>
        <v>Novembre</v>
      </c>
      <c r="E151" s="198" t="str">
        <f t="shared" si="37"/>
        <v>Goodies</v>
      </c>
      <c r="F151" s="405" t="str">
        <f>IF(C151="FP1",'Données SOMIDA'!$N$83,VLOOKUP(E151,'Données SOMIDA'!$C$79:$N$85,12,FALSE))</f>
        <v>Chine</v>
      </c>
      <c r="G151" s="245">
        <f>+M$6</f>
        <v>252</v>
      </c>
      <c r="H151" s="245">
        <f>IF(C151="FP1 COUPE",'Données SOMIDA'!$G$83,VLOOKUP(E151,'Données SOMIDA'!$C$79:$G$85,5,FALSE))</f>
        <v>1912500</v>
      </c>
      <c r="I151" s="245">
        <f t="shared" si="35"/>
        <v>481950000</v>
      </c>
      <c r="J151" s="245">
        <f>+I151/'Données SOMIDA'!$E$11</f>
        <v>107100</v>
      </c>
      <c r="K151" s="245">
        <f>+I151/'Données SOMIDA'!$E$6</f>
        <v>98357.142857142855</v>
      </c>
    </row>
    <row r="152" spans="2:11">
      <c r="B152" s="405" t="str">
        <f>_xlfn.XLOOKUP(C152,'Données SOMIDA'!$C$18:$C$28,'Données SOMIDA'!$B$18:$B$28)</f>
        <v>1 PF</v>
      </c>
      <c r="C152" s="198" t="str">
        <f t="shared" si="36"/>
        <v>TRA COUPE</v>
      </c>
      <c r="D152" s="198" t="str">
        <f t="shared" si="39"/>
        <v>Novembre</v>
      </c>
      <c r="E152" s="198" t="str">
        <f t="shared" si="37"/>
        <v>Elinar</v>
      </c>
      <c r="F152" s="405" t="str">
        <f>IF(C152="FP1",'Données SOMIDA'!$N$83,VLOOKUP(E152,'Données SOMIDA'!$C$79:$N$85,12,FALSE))</f>
        <v>Russie</v>
      </c>
      <c r="G152" s="245">
        <f>+M$7</f>
        <v>75.599999999999994</v>
      </c>
      <c r="H152" s="245">
        <f>IF(C152="FP1 COUPE",'Données SOMIDA'!$G$83,VLOOKUP(E152,'Données SOMIDA'!$C$79:$G$85,5,FALSE))</f>
        <v>1470000</v>
      </c>
      <c r="I152" s="245">
        <f t="shared" si="35"/>
        <v>111131999.99999999</v>
      </c>
      <c r="J152" s="245">
        <f>+I152/'Données SOMIDA'!$E$11</f>
        <v>24695.999999999996</v>
      </c>
      <c r="K152" s="245">
        <f>+I152/'Données SOMIDA'!$E$6</f>
        <v>22679.999999999996</v>
      </c>
    </row>
    <row r="153" spans="2:11">
      <c r="B153" s="405" t="str">
        <f>_xlfn.XLOOKUP(C153,'Données SOMIDA'!$C$18:$C$28,'Données SOMIDA'!$B$18:$B$28)</f>
        <v>2 PF</v>
      </c>
      <c r="C153" s="198" t="str">
        <f t="shared" si="36"/>
        <v>ABR COUPE</v>
      </c>
      <c r="D153" s="198" t="str">
        <f t="shared" si="39"/>
        <v>Novembre</v>
      </c>
      <c r="E153" s="198" t="str">
        <f t="shared" si="37"/>
        <v>Okabe</v>
      </c>
      <c r="F153" s="405" t="str">
        <f>IF(C153="FP1",'Données SOMIDA'!$N$83,VLOOKUP(E153,'Données SOMIDA'!$C$79:$N$85,12,FALSE))</f>
        <v>Japon</v>
      </c>
      <c r="G153" s="245">
        <f>+M$9</f>
        <v>0</v>
      </c>
      <c r="H153" s="245">
        <f>IF(C153="FP1 COUPE",'Données SOMIDA'!$G$83,VLOOKUP(E153,'Données SOMIDA'!$C$79:$G$85,5,FALSE))</f>
        <v>1715000</v>
      </c>
      <c r="I153" s="245">
        <f t="shared" si="35"/>
        <v>0</v>
      </c>
      <c r="J153" s="245">
        <f>+I153/'Données SOMIDA'!$E$11</f>
        <v>0</v>
      </c>
      <c r="K153" s="245">
        <f>+I153/'Données SOMIDA'!$E$6</f>
        <v>0</v>
      </c>
    </row>
    <row r="154" spans="2:11">
      <c r="B154" s="405" t="str">
        <f>_xlfn.XLOOKUP(C154,'Données SOMIDA'!$C$18:$C$28,'Données SOMIDA'!$B$18:$B$28)</f>
        <v>2 PF</v>
      </c>
      <c r="C154" s="198" t="str">
        <f t="shared" si="36"/>
        <v>ABR COUPE</v>
      </c>
      <c r="D154" s="198" t="str">
        <f t="shared" si="39"/>
        <v>Novembre</v>
      </c>
      <c r="E154" s="198" t="str">
        <f t="shared" si="37"/>
        <v>NRK</v>
      </c>
      <c r="F154" s="405" t="str">
        <f>IF(C154="FP1",'Données SOMIDA'!$N$83,VLOOKUP(E154,'Données SOMIDA'!$C$79:$N$85,12,FALSE))</f>
        <v>Japon</v>
      </c>
      <c r="G154" s="245">
        <f>+M$10</f>
        <v>0</v>
      </c>
      <c r="H154" s="245">
        <f>IF(C154="FP1 COUPE",'Données SOMIDA'!$G$83,VLOOKUP(E154,'Données SOMIDA'!$C$79:$G$85,5,FALSE))</f>
        <v>1715000</v>
      </c>
      <c r="I154" s="245">
        <f t="shared" si="35"/>
        <v>0</v>
      </c>
      <c r="J154" s="245">
        <f>+I154/'Données SOMIDA'!$E$11</f>
        <v>0</v>
      </c>
      <c r="K154" s="245">
        <f>+I154/'Données SOMIDA'!$E$6</f>
        <v>0</v>
      </c>
    </row>
    <row r="155" spans="2:11">
      <c r="B155" s="405" t="str">
        <f>_xlfn.XLOOKUP(C155,'Données SOMIDA'!$C$18:$C$28,'Données SOMIDA'!$B$18:$B$28)</f>
        <v>2 PF</v>
      </c>
      <c r="C155" s="198" t="str">
        <f t="shared" si="36"/>
        <v>ABR COUPE</v>
      </c>
      <c r="D155" s="198" t="str">
        <f t="shared" si="39"/>
        <v>Novembre</v>
      </c>
      <c r="E155" s="198" t="str">
        <f t="shared" si="37"/>
        <v>Goodies</v>
      </c>
      <c r="F155" s="405" t="str">
        <f>IF(C155="FP1",'Données SOMIDA'!$N$83,VLOOKUP(E155,'Données SOMIDA'!$C$79:$N$85,12,FALSE))</f>
        <v>Chine</v>
      </c>
      <c r="G155" s="245">
        <f>+M$11</f>
        <v>252</v>
      </c>
      <c r="H155" s="245">
        <f>IF(C155="FP1 COUPE",'Données SOMIDA'!$G$83,VLOOKUP(E155,'Données SOMIDA'!$C$79:$G$85,5,FALSE))</f>
        <v>1912500</v>
      </c>
      <c r="I155" s="245">
        <f t="shared" si="35"/>
        <v>481950000</v>
      </c>
      <c r="J155" s="245">
        <f>+I155/'Données SOMIDA'!$E$11</f>
        <v>107100</v>
      </c>
      <c r="K155" s="245">
        <f>+I155/'Données SOMIDA'!$E$6</f>
        <v>98357.142857142855</v>
      </c>
    </row>
    <row r="156" spans="2:11">
      <c r="B156" s="405" t="str">
        <f>_xlfn.XLOOKUP(C156,'Données SOMIDA'!$C$18:$C$28,'Données SOMIDA'!$B$18:$B$28)</f>
        <v>2 PF</v>
      </c>
      <c r="C156" s="198" t="str">
        <f t="shared" si="36"/>
        <v>ABR COUPE</v>
      </c>
      <c r="D156" s="198" t="str">
        <f t="shared" si="39"/>
        <v>Novembre</v>
      </c>
      <c r="E156" s="198" t="str">
        <f t="shared" si="37"/>
        <v>Elinar</v>
      </c>
      <c r="F156" s="405" t="str">
        <f>IF(C156="FP1",'Données SOMIDA'!$N$83,VLOOKUP(E156,'Données SOMIDA'!$C$79:$N$85,12,FALSE))</f>
        <v>Russie</v>
      </c>
      <c r="G156" s="245">
        <f>+M$12</f>
        <v>75.599999999999994</v>
      </c>
      <c r="H156" s="245">
        <f>IF(C156="FP1 COUPE",'Données SOMIDA'!$G$83,VLOOKUP(E156,'Données SOMIDA'!$C$79:$G$85,5,FALSE))</f>
        <v>1470000</v>
      </c>
      <c r="I156" s="245">
        <f t="shared" si="35"/>
        <v>111131999.99999999</v>
      </c>
      <c r="J156" s="245">
        <f>+I156/'Données SOMIDA'!$E$11</f>
        <v>24695.999999999996</v>
      </c>
      <c r="K156" s="245">
        <f>+I156/'Données SOMIDA'!$E$6</f>
        <v>22679.999999999996</v>
      </c>
    </row>
    <row r="157" spans="2:11">
      <c r="B157" s="405" t="str">
        <f>_xlfn.XLOOKUP(C157,'Données SOMIDA'!$C$18:$C$28,'Données SOMIDA'!$B$18:$B$28)</f>
        <v>3 PF</v>
      </c>
      <c r="C157" s="198" t="str">
        <f t="shared" si="36"/>
        <v>FP1 COUPE</v>
      </c>
      <c r="D157" s="198" t="str">
        <f t="shared" si="39"/>
        <v>Novembre</v>
      </c>
      <c r="E157" s="198" t="str">
        <f t="shared" si="37"/>
        <v>Okabe</v>
      </c>
      <c r="F157" s="405" t="str">
        <f>IF(C157="FP1",'Données SOMIDA'!$N$83,VLOOKUP(E157,'Données SOMIDA'!$C$79:$N$85,12,FALSE))</f>
        <v>Japon</v>
      </c>
      <c r="G157" s="245">
        <f>+M$14</f>
        <v>0</v>
      </c>
      <c r="H157" s="245">
        <f>IF(C157="FP1 COUPE",'Données SOMIDA'!$G$83,VLOOKUP(E157,'Données SOMIDA'!$C$79:$G$85,5,FALSE))</f>
        <v>2205000</v>
      </c>
      <c r="I157" s="245">
        <f t="shared" si="35"/>
        <v>0</v>
      </c>
      <c r="J157" s="245">
        <f>+I157/'Données SOMIDA'!$E$11</f>
        <v>0</v>
      </c>
      <c r="K157" s="245">
        <f>+I157/'Données SOMIDA'!$E$6</f>
        <v>0</v>
      </c>
    </row>
    <row r="158" spans="2:11">
      <c r="B158" s="405" t="str">
        <f>_xlfn.XLOOKUP(C158,'Données SOMIDA'!$C$18:$C$28,'Données SOMIDA'!$B$18:$B$28)</f>
        <v>1 PF</v>
      </c>
      <c r="C158" s="198" t="str">
        <f t="shared" si="36"/>
        <v>TRA COUPE</v>
      </c>
      <c r="D158" s="198" t="str">
        <f>+N52</f>
        <v>Décembre</v>
      </c>
      <c r="E158" s="198" t="str">
        <f t="shared" si="37"/>
        <v>Okabe</v>
      </c>
      <c r="F158" s="405" t="str">
        <f>IF(C158="FP1",'Données SOMIDA'!$N$83,VLOOKUP(E158,'Données SOMIDA'!$C$79:$N$85,12,FALSE))</f>
        <v>Japon</v>
      </c>
      <c r="G158" s="245">
        <f>+N$4</f>
        <v>20</v>
      </c>
      <c r="H158" s="245">
        <f>IF(C158="FP1 COUPE",'Données SOMIDA'!$G$83,VLOOKUP(E158,'Données SOMIDA'!$C$79:$G$85,5,FALSE))</f>
        <v>1715000</v>
      </c>
      <c r="I158" s="245">
        <f t="shared" si="35"/>
        <v>34300000</v>
      </c>
      <c r="J158" s="245">
        <f>+I158/'Données SOMIDA'!$E$11</f>
        <v>7622.2222222222226</v>
      </c>
      <c r="K158" s="245">
        <f>+I158/'Données SOMIDA'!$E$6</f>
        <v>7000</v>
      </c>
    </row>
    <row r="159" spans="2:11">
      <c r="B159" s="405" t="str">
        <f>_xlfn.XLOOKUP(C159,'Données SOMIDA'!$C$18:$C$28,'Données SOMIDA'!$B$18:$B$28)</f>
        <v>1 PF</v>
      </c>
      <c r="C159" s="198" t="str">
        <f t="shared" si="36"/>
        <v>TRA COUPE</v>
      </c>
      <c r="D159" s="198" t="str">
        <f t="shared" si="39"/>
        <v>Décembre</v>
      </c>
      <c r="E159" s="198" t="str">
        <f t="shared" si="37"/>
        <v>NRK</v>
      </c>
      <c r="F159" s="405" t="str">
        <f>IF(C159="FP1",'Données SOMIDA'!$N$83,VLOOKUP(E159,'Données SOMIDA'!$C$79:$N$85,12,FALSE))</f>
        <v>Japon</v>
      </c>
      <c r="G159" s="245">
        <f>+N$5</f>
        <v>0</v>
      </c>
      <c r="H159" s="245">
        <f>IF(C159="FP1 COUPE",'Données SOMIDA'!$G$83,VLOOKUP(E159,'Données SOMIDA'!$C$79:$G$85,5,FALSE))</f>
        <v>1715000</v>
      </c>
      <c r="I159" s="245">
        <f t="shared" si="35"/>
        <v>0</v>
      </c>
      <c r="J159" s="245">
        <f>+I159/'Données SOMIDA'!$E$11</f>
        <v>0</v>
      </c>
      <c r="K159" s="245">
        <f>+I159/'Données SOMIDA'!$E$6</f>
        <v>0</v>
      </c>
    </row>
    <row r="160" spans="2:11">
      <c r="B160" s="405" t="str">
        <f>_xlfn.XLOOKUP(C160,'Données SOMIDA'!$C$18:$C$28,'Données SOMIDA'!$B$18:$B$28)</f>
        <v>1 PF</v>
      </c>
      <c r="C160" s="198" t="str">
        <f t="shared" si="36"/>
        <v>TRA COUPE</v>
      </c>
      <c r="D160" s="198" t="str">
        <f t="shared" si="39"/>
        <v>Décembre</v>
      </c>
      <c r="E160" s="198" t="str">
        <f t="shared" si="37"/>
        <v>Goodies</v>
      </c>
      <c r="F160" s="405" t="str">
        <f>IF(C160="FP1",'Données SOMIDA'!$N$83,VLOOKUP(E160,'Données SOMIDA'!$C$79:$N$85,12,FALSE))</f>
        <v>Chine</v>
      </c>
      <c r="G160" s="245">
        <f>+N$6</f>
        <v>252</v>
      </c>
      <c r="H160" s="245">
        <f>IF(C160="FP1 COUPE",'Données SOMIDA'!$G$83,VLOOKUP(E160,'Données SOMIDA'!$C$79:$G$85,5,FALSE))</f>
        <v>1912500</v>
      </c>
      <c r="I160" s="245">
        <f t="shared" si="35"/>
        <v>481950000</v>
      </c>
      <c r="J160" s="245">
        <f>+I160/'Données SOMIDA'!$E$11</f>
        <v>107100</v>
      </c>
      <c r="K160" s="245">
        <f>+I160/'Données SOMIDA'!$E$6</f>
        <v>98357.142857142855</v>
      </c>
    </row>
    <row r="161" spans="2:11">
      <c r="B161" s="405" t="str">
        <f>_xlfn.XLOOKUP(C161,'Données SOMIDA'!$C$18:$C$28,'Données SOMIDA'!$B$18:$B$28)</f>
        <v>1 PF</v>
      </c>
      <c r="C161" s="198" t="str">
        <f t="shared" si="36"/>
        <v>TRA COUPE</v>
      </c>
      <c r="D161" s="198" t="str">
        <f t="shared" si="39"/>
        <v>Décembre</v>
      </c>
      <c r="E161" s="198" t="str">
        <f t="shared" si="37"/>
        <v>Elinar</v>
      </c>
      <c r="F161" s="405" t="str">
        <f>IF(C161="FP1",'Données SOMIDA'!$N$83,VLOOKUP(E161,'Données SOMIDA'!$C$79:$N$85,12,FALSE))</f>
        <v>Russie</v>
      </c>
      <c r="G161" s="245">
        <f>+N$7</f>
        <v>75.599999999999994</v>
      </c>
      <c r="H161" s="245">
        <f>IF(C161="FP1 COUPE",'Données SOMIDA'!$G$83,VLOOKUP(E161,'Données SOMIDA'!$C$79:$G$85,5,FALSE))</f>
        <v>1470000</v>
      </c>
      <c r="I161" s="245">
        <f t="shared" si="35"/>
        <v>111131999.99999999</v>
      </c>
      <c r="J161" s="245">
        <f>+I161/'Données SOMIDA'!$E$11</f>
        <v>24695.999999999996</v>
      </c>
      <c r="K161" s="245">
        <f>+I161/'Données SOMIDA'!$E$6</f>
        <v>22679.999999999996</v>
      </c>
    </row>
    <row r="162" spans="2:11">
      <c r="B162" s="405" t="str">
        <f>_xlfn.XLOOKUP(C162,'Données SOMIDA'!$C$18:$C$28,'Données SOMIDA'!$B$18:$B$28)</f>
        <v>2 PF</v>
      </c>
      <c r="C162" s="198" t="str">
        <f t="shared" si="36"/>
        <v>ABR COUPE</v>
      </c>
      <c r="D162" s="198" t="str">
        <f t="shared" si="39"/>
        <v>Décembre</v>
      </c>
      <c r="E162" s="198" t="str">
        <f t="shared" si="37"/>
        <v>Okabe</v>
      </c>
      <c r="F162" s="405" t="str">
        <f>IF(C162="FP1",'Données SOMIDA'!$N$83,VLOOKUP(E162,'Données SOMIDA'!$C$79:$N$85,12,FALSE))</f>
        <v>Japon</v>
      </c>
      <c r="G162" s="245">
        <f>+N$9</f>
        <v>0</v>
      </c>
      <c r="H162" s="245">
        <f>IF(C162="FP1 COUPE",'Données SOMIDA'!$G$83,VLOOKUP(E162,'Données SOMIDA'!$C$79:$G$85,5,FALSE))</f>
        <v>1715000</v>
      </c>
      <c r="I162" s="245">
        <f t="shared" si="35"/>
        <v>0</v>
      </c>
      <c r="J162" s="245">
        <f>+I162/'Données SOMIDA'!$E$11</f>
        <v>0</v>
      </c>
      <c r="K162" s="245">
        <f>+I162/'Données SOMIDA'!$E$6</f>
        <v>0</v>
      </c>
    </row>
    <row r="163" spans="2:11">
      <c r="B163" s="405" t="str">
        <f>_xlfn.XLOOKUP(C163,'Données SOMIDA'!$C$18:$C$28,'Données SOMIDA'!$B$18:$B$28)</f>
        <v>2 PF</v>
      </c>
      <c r="C163" s="198" t="str">
        <f t="shared" si="36"/>
        <v>ABR COUPE</v>
      </c>
      <c r="D163" s="198" t="str">
        <f t="shared" si="39"/>
        <v>Décembre</v>
      </c>
      <c r="E163" s="198" t="str">
        <f t="shared" si="37"/>
        <v>NRK</v>
      </c>
      <c r="F163" s="405" t="str">
        <f>IF(C163="FP1",'Données SOMIDA'!$N$83,VLOOKUP(E163,'Données SOMIDA'!$C$79:$N$85,12,FALSE))</f>
        <v>Japon</v>
      </c>
      <c r="G163" s="245">
        <f>+N$10</f>
        <v>0</v>
      </c>
      <c r="H163" s="245">
        <f>IF(C163="FP1 COUPE",'Données SOMIDA'!$G$83,VLOOKUP(E163,'Données SOMIDA'!$C$79:$G$85,5,FALSE))</f>
        <v>1715000</v>
      </c>
      <c r="I163" s="245">
        <f t="shared" si="35"/>
        <v>0</v>
      </c>
      <c r="J163" s="245">
        <f>+I163/'Données SOMIDA'!$E$11</f>
        <v>0</v>
      </c>
      <c r="K163" s="245">
        <f>+I163/'Données SOMIDA'!$E$6</f>
        <v>0</v>
      </c>
    </row>
    <row r="164" spans="2:11">
      <c r="B164" s="405" t="str">
        <f>_xlfn.XLOOKUP(C164,'Données SOMIDA'!$C$18:$C$28,'Données SOMIDA'!$B$18:$B$28)</f>
        <v>2 PF</v>
      </c>
      <c r="C164" s="198" t="str">
        <f t="shared" ref="C164:C166" si="40">+C155</f>
        <v>ABR COUPE</v>
      </c>
      <c r="D164" s="198" t="str">
        <f t="shared" si="39"/>
        <v>Décembre</v>
      </c>
      <c r="E164" s="198" t="str">
        <f t="shared" ref="E164:E166" si="41">+E155</f>
        <v>Goodies</v>
      </c>
      <c r="F164" s="405" t="str">
        <f>IF(C164="FP1",'Données SOMIDA'!$N$83,VLOOKUP(E164,'Données SOMIDA'!$C$79:$N$85,12,FALSE))</f>
        <v>Chine</v>
      </c>
      <c r="G164" s="245">
        <f>+N$11</f>
        <v>252</v>
      </c>
      <c r="H164" s="245">
        <f>IF(C164="FP1 COUPE",'Données SOMIDA'!$G$83,VLOOKUP(E164,'Données SOMIDA'!$C$79:$G$85,5,FALSE))</f>
        <v>1912500</v>
      </c>
      <c r="I164" s="245">
        <f t="shared" si="35"/>
        <v>481950000</v>
      </c>
      <c r="J164" s="245">
        <f>+I164/'Données SOMIDA'!$E$11</f>
        <v>107100</v>
      </c>
      <c r="K164" s="245">
        <f>+I164/'Données SOMIDA'!$E$6</f>
        <v>98357.142857142855</v>
      </c>
    </row>
    <row r="165" spans="2:11">
      <c r="B165" s="405" t="str">
        <f>_xlfn.XLOOKUP(C165,'Données SOMIDA'!$C$18:$C$28,'Données SOMIDA'!$B$18:$B$28)</f>
        <v>2 PF</v>
      </c>
      <c r="C165" s="198" t="str">
        <f t="shared" si="40"/>
        <v>ABR COUPE</v>
      </c>
      <c r="D165" s="198" t="str">
        <f t="shared" si="39"/>
        <v>Décembre</v>
      </c>
      <c r="E165" s="198" t="str">
        <f t="shared" si="41"/>
        <v>Elinar</v>
      </c>
      <c r="F165" s="405" t="str">
        <f>IF(C165="FP1",'Données SOMIDA'!$N$83,VLOOKUP(E165,'Données SOMIDA'!$C$79:$N$85,12,FALSE))</f>
        <v>Russie</v>
      </c>
      <c r="G165" s="245">
        <f>+N$12</f>
        <v>75.599999999999994</v>
      </c>
      <c r="H165" s="245">
        <f>IF(C165="FP1 COUPE",'Données SOMIDA'!$G$83,VLOOKUP(E165,'Données SOMIDA'!$C$79:$G$85,5,FALSE))</f>
        <v>1470000</v>
      </c>
      <c r="I165" s="245">
        <f t="shared" si="35"/>
        <v>111131999.99999999</v>
      </c>
      <c r="J165" s="245">
        <f>+I165/'Données SOMIDA'!$E$11</f>
        <v>24695.999999999996</v>
      </c>
      <c r="K165" s="245">
        <f>+I165/'Données SOMIDA'!$E$6</f>
        <v>22679.999999999996</v>
      </c>
    </row>
    <row r="166" spans="2:11">
      <c r="B166" s="405" t="str">
        <f>_xlfn.XLOOKUP(C166,'Données SOMIDA'!$C$18:$C$28,'Données SOMIDA'!$B$18:$B$28)</f>
        <v>3 PF</v>
      </c>
      <c r="C166" s="198" t="str">
        <f t="shared" si="40"/>
        <v>FP1 COUPE</v>
      </c>
      <c r="D166" s="198" t="str">
        <f t="shared" si="39"/>
        <v>Décembre</v>
      </c>
      <c r="E166" s="198" t="str">
        <f t="shared" si="41"/>
        <v>Okabe</v>
      </c>
      <c r="F166" s="405" t="str">
        <f>IF(C166="FP1",'Données SOMIDA'!$N$83,VLOOKUP(E166,'Données SOMIDA'!$C$79:$N$85,12,FALSE))</f>
        <v>Japon</v>
      </c>
      <c r="G166" s="245">
        <f>+N$14</f>
        <v>0</v>
      </c>
      <c r="H166" s="245">
        <f>IF(C166="FP1 COUPE",'Données SOMIDA'!$G$83,VLOOKUP(E166,'Données SOMIDA'!$C$79:$G$85,5,FALSE))</f>
        <v>2205000</v>
      </c>
      <c r="I166" s="245">
        <f t="shared" si="35"/>
        <v>0</v>
      </c>
      <c r="J166" s="245">
        <f>+I166/'Données SOMIDA'!$E$11</f>
        <v>0</v>
      </c>
      <c r="K166" s="245">
        <f>+I166/'Données SOMIDA'!$E$6</f>
        <v>0</v>
      </c>
    </row>
    <row r="167" spans="2:11" ht="17.25" thickBot="1">
      <c r="B167" s="939"/>
      <c r="C167" s="939"/>
      <c r="D167" s="939"/>
      <c r="E167" s="939"/>
      <c r="F167" s="939"/>
      <c r="G167" s="928">
        <f>SUM(G59:G166)</f>
        <v>8089.2000000000044</v>
      </c>
      <c r="H167" s="928">
        <f>IFERROR(+I167/G167,"")</f>
        <v>1807710.2803738308</v>
      </c>
      <c r="I167" s="928">
        <f>SUM(I59:I166)</f>
        <v>14622930000</v>
      </c>
      <c r="J167" s="928">
        <f>SUM(J59:J166)</f>
        <v>3249540</v>
      </c>
      <c r="K167" s="928">
        <f>SUM(K59:K166)</f>
        <v>2984271.4285714282</v>
      </c>
    </row>
    <row r="168" spans="2:11">
      <c r="G168" s="245"/>
      <c r="I168" s="938">
        <f>IFERROR(+I167/G167,"")</f>
        <v>1807710.2803738308</v>
      </c>
      <c r="J168" s="938">
        <f t="shared" ref="J168:K168" si="42">IFERROR(+J167/H167,"")</f>
        <v>1.797600000000001</v>
      </c>
      <c r="K168" s="938">
        <f t="shared" si="42"/>
        <v>2.040816326530612E-4</v>
      </c>
    </row>
    <row r="169" spans="2:11" ht="17.25" thickBot="1">
      <c r="B169" s="199" t="s">
        <v>1756</v>
      </c>
      <c r="I169" s="245"/>
    </row>
    <row r="170" spans="2:11">
      <c r="B170" s="942" t="str">
        <f>_xlfn.XLOOKUP(C170,'Données SOMIDA'!$C$18:$C$28,'Données SOMIDA'!$B$18:$B$28)</f>
        <v>10 LO</v>
      </c>
      <c r="C170" s="943" t="s">
        <v>1752</v>
      </c>
      <c r="D170" s="943" t="s">
        <v>92</v>
      </c>
      <c r="E170" s="943" t="s">
        <v>1754</v>
      </c>
      <c r="F170" s="942" t="str">
        <f>IF(C170="FP1",'Données SOMIDA'!$N$83,VLOOKUP(E170,'Données SOMIDA'!$C$79:$N$85,12,FALSE))</f>
        <v>Madagascar</v>
      </c>
      <c r="G170" s="943"/>
      <c r="H170" s="944">
        <f>+'Données SOMIDA'!$E$27</f>
        <v>1050000</v>
      </c>
      <c r="I170" s="944">
        <f>+'Données SOMIDA'!$E$27</f>
        <v>1050000</v>
      </c>
      <c r="J170" s="944">
        <f>+I170/'Données SOMIDA'!$E$11</f>
        <v>233.33333333333334</v>
      </c>
      <c r="K170" s="944">
        <f>+I170/'Données SOMIDA'!$E$6</f>
        <v>214.28571428571428</v>
      </c>
    </row>
    <row r="171" spans="2:11">
      <c r="B171" s="405" t="str">
        <f>_xlfn.XLOOKUP(C171,'Données SOMIDA'!$C$18:$C$28,'Données SOMIDA'!$B$18:$B$28)</f>
        <v>11 LO</v>
      </c>
      <c r="C171" s="198" t="s">
        <v>1753</v>
      </c>
      <c r="D171" s="198" t="s">
        <v>92</v>
      </c>
      <c r="E171" s="198" t="s">
        <v>1754</v>
      </c>
      <c r="F171" s="405" t="str">
        <f>IF(C171="FP1",'Données SOMIDA'!$N$83,VLOOKUP(E171,'Données SOMIDA'!$C$79:$N$85,12,FALSE))</f>
        <v>Madagascar</v>
      </c>
      <c r="H171" s="245">
        <f>+'Données SOMIDA'!$E$28</f>
        <v>918750</v>
      </c>
      <c r="I171" s="245">
        <f>+'Données SOMIDA'!$E$28</f>
        <v>918750</v>
      </c>
      <c r="J171" s="245">
        <f>+I171/'Données SOMIDA'!$E$11</f>
        <v>204.16666666666666</v>
      </c>
      <c r="K171" s="245">
        <f>+I171/'Données SOMIDA'!$E$6</f>
        <v>187.5</v>
      </c>
    </row>
    <row r="172" spans="2:11">
      <c r="B172" s="405" t="str">
        <f>_xlfn.XLOOKUP(C172,'Données SOMIDA'!$C$18:$C$28,'Données SOMIDA'!$B$18:$B$28)</f>
        <v>10 LO</v>
      </c>
      <c r="C172" s="198" t="s">
        <v>1752</v>
      </c>
      <c r="D172" s="198" t="s">
        <v>157</v>
      </c>
      <c r="E172" s="198" t="s">
        <v>1754</v>
      </c>
      <c r="F172" s="405" t="str">
        <f>IF(C172="FP1",'Données SOMIDA'!$N$83,VLOOKUP(E172,'Données SOMIDA'!$C$79:$N$85,12,FALSE))</f>
        <v>Madagascar</v>
      </c>
      <c r="H172" s="245">
        <f>+'Données SOMIDA'!$E$27</f>
        <v>1050000</v>
      </c>
      <c r="I172" s="245">
        <f>+'Données SOMIDA'!$E$27</f>
        <v>1050000</v>
      </c>
      <c r="J172" s="245">
        <f>+I172/'Données SOMIDA'!$E$11</f>
        <v>233.33333333333334</v>
      </c>
      <c r="K172" s="245">
        <f>+I172/'Données SOMIDA'!$E$6</f>
        <v>214.28571428571428</v>
      </c>
    </row>
    <row r="173" spans="2:11">
      <c r="B173" s="405" t="str">
        <f>_xlfn.XLOOKUP(C173,'Données SOMIDA'!$C$18:$C$28,'Données SOMIDA'!$B$18:$B$28)</f>
        <v>11 LO</v>
      </c>
      <c r="C173" s="198" t="s">
        <v>1753</v>
      </c>
      <c r="D173" s="198" t="s">
        <v>157</v>
      </c>
      <c r="E173" s="198" t="s">
        <v>1754</v>
      </c>
      <c r="F173" s="405" t="str">
        <f>IF(C173="FP1",'Données SOMIDA'!$N$83,VLOOKUP(E173,'Données SOMIDA'!$C$79:$N$85,12,FALSE))</f>
        <v>Madagascar</v>
      </c>
      <c r="H173" s="245">
        <f>+'Données SOMIDA'!$E$28</f>
        <v>918750</v>
      </c>
      <c r="I173" s="245">
        <f>+'Données SOMIDA'!$E$28</f>
        <v>918750</v>
      </c>
      <c r="J173" s="245">
        <f>+I173/'Données SOMIDA'!$E$11</f>
        <v>204.16666666666666</v>
      </c>
      <c r="K173" s="245">
        <f>+I173/'Données SOMIDA'!$E$6</f>
        <v>187.5</v>
      </c>
    </row>
    <row r="174" spans="2:11">
      <c r="B174" s="405" t="str">
        <f>_xlfn.XLOOKUP(C174,'Données SOMIDA'!$C$18:$C$28,'Données SOMIDA'!$B$18:$B$28)</f>
        <v>10 LO</v>
      </c>
      <c r="C174" s="198" t="s">
        <v>1752</v>
      </c>
      <c r="D174" s="198" t="s">
        <v>1138</v>
      </c>
      <c r="E174" s="198" t="s">
        <v>1754</v>
      </c>
      <c r="F174" s="405" t="str">
        <f>IF(C174="FP1",'Données SOMIDA'!$N$83,VLOOKUP(E174,'Données SOMIDA'!$C$79:$N$85,12,FALSE))</f>
        <v>Madagascar</v>
      </c>
      <c r="H174" s="245">
        <f>+'Données SOMIDA'!$E$27</f>
        <v>1050000</v>
      </c>
      <c r="I174" s="245">
        <f>+'Données SOMIDA'!$E$27</f>
        <v>1050000</v>
      </c>
      <c r="J174" s="245">
        <f>+I174/'Données SOMIDA'!$E$11</f>
        <v>233.33333333333334</v>
      </c>
      <c r="K174" s="245">
        <f>+I174/'Données SOMIDA'!$E$6</f>
        <v>214.28571428571428</v>
      </c>
    </row>
    <row r="175" spans="2:11">
      <c r="B175" s="405" t="str">
        <f>_xlfn.XLOOKUP(C175,'Données SOMIDA'!$C$18:$C$28,'Données SOMIDA'!$B$18:$B$28)</f>
        <v>11 LO</v>
      </c>
      <c r="C175" s="198" t="s">
        <v>1753</v>
      </c>
      <c r="D175" s="198" t="s">
        <v>1138</v>
      </c>
      <c r="E175" s="198" t="s">
        <v>1754</v>
      </c>
      <c r="F175" s="405" t="str">
        <f>IF(C175="FP1",'Données SOMIDA'!$N$83,VLOOKUP(E175,'Données SOMIDA'!$C$79:$N$85,12,FALSE))</f>
        <v>Madagascar</v>
      </c>
      <c r="H175" s="245">
        <f>+'Données SOMIDA'!$E$28</f>
        <v>918750</v>
      </c>
      <c r="I175" s="245">
        <f>+'Données SOMIDA'!$E$28</f>
        <v>918750</v>
      </c>
      <c r="J175" s="245">
        <f>+I175/'Données SOMIDA'!$E$11</f>
        <v>204.16666666666666</v>
      </c>
      <c r="K175" s="245">
        <f>+I175/'Données SOMIDA'!$E$6</f>
        <v>187.5</v>
      </c>
    </row>
    <row r="176" spans="2:11">
      <c r="B176" s="405" t="str">
        <f>_xlfn.XLOOKUP(C176,'Données SOMIDA'!$C$18:$C$28,'Données SOMIDA'!$B$18:$B$28)</f>
        <v>10 LO</v>
      </c>
      <c r="C176" s="198" t="s">
        <v>1752</v>
      </c>
      <c r="D176" s="198" t="s">
        <v>1139</v>
      </c>
      <c r="E176" s="198" t="s">
        <v>1754</v>
      </c>
      <c r="F176" s="405" t="str">
        <f>IF(C176="FP1",'Données SOMIDA'!$N$83,VLOOKUP(E176,'Données SOMIDA'!$C$79:$N$85,12,FALSE))</f>
        <v>Madagascar</v>
      </c>
      <c r="H176" s="245">
        <f>+'Données SOMIDA'!$E$27</f>
        <v>1050000</v>
      </c>
      <c r="I176" s="245">
        <f>+'Données SOMIDA'!$E$27</f>
        <v>1050000</v>
      </c>
      <c r="J176" s="245">
        <f>+I176/'Données SOMIDA'!$E$11</f>
        <v>233.33333333333334</v>
      </c>
      <c r="K176" s="245">
        <f>+I176/'Données SOMIDA'!$E$6</f>
        <v>214.28571428571428</v>
      </c>
    </row>
    <row r="177" spans="2:11">
      <c r="B177" s="405" t="str">
        <f>_xlfn.XLOOKUP(C177,'Données SOMIDA'!$C$18:$C$28,'Données SOMIDA'!$B$18:$B$28)</f>
        <v>11 LO</v>
      </c>
      <c r="C177" s="198" t="s">
        <v>1753</v>
      </c>
      <c r="D177" s="198" t="s">
        <v>1139</v>
      </c>
      <c r="E177" s="198" t="s">
        <v>1754</v>
      </c>
      <c r="F177" s="405" t="str">
        <f>IF(C177="FP1",'Données SOMIDA'!$N$83,VLOOKUP(E177,'Données SOMIDA'!$C$79:$N$85,12,FALSE))</f>
        <v>Madagascar</v>
      </c>
      <c r="H177" s="245">
        <f>+'Données SOMIDA'!$E$28</f>
        <v>918750</v>
      </c>
      <c r="I177" s="245">
        <f>+'Données SOMIDA'!$E$28</f>
        <v>918750</v>
      </c>
      <c r="J177" s="245">
        <f>+I177/'Données SOMIDA'!$E$11</f>
        <v>204.16666666666666</v>
      </c>
      <c r="K177" s="245">
        <f>+I177/'Données SOMIDA'!$E$6</f>
        <v>187.5</v>
      </c>
    </row>
    <row r="178" spans="2:11">
      <c r="B178" s="405" t="str">
        <f>_xlfn.XLOOKUP(C178,'Données SOMIDA'!$C$18:$C$28,'Données SOMIDA'!$B$18:$B$28)</f>
        <v>10 LO</v>
      </c>
      <c r="C178" s="198" t="s">
        <v>1752</v>
      </c>
      <c r="D178" s="198" t="s">
        <v>1140</v>
      </c>
      <c r="E178" s="198" t="s">
        <v>1754</v>
      </c>
      <c r="F178" s="405" t="str">
        <f>IF(C178="FP1",'Données SOMIDA'!$N$83,VLOOKUP(E178,'Données SOMIDA'!$C$79:$N$85,12,FALSE))</f>
        <v>Madagascar</v>
      </c>
      <c r="H178" s="245">
        <f>+'Données SOMIDA'!$E$27</f>
        <v>1050000</v>
      </c>
      <c r="I178" s="245">
        <f>+'Données SOMIDA'!$E$27</f>
        <v>1050000</v>
      </c>
      <c r="J178" s="245">
        <f>+I178/'Données SOMIDA'!$E$11</f>
        <v>233.33333333333334</v>
      </c>
      <c r="K178" s="245">
        <f>+I178/'Données SOMIDA'!$E$6</f>
        <v>214.28571428571428</v>
      </c>
    </row>
    <row r="179" spans="2:11">
      <c r="B179" s="405" t="str">
        <f>_xlfn.XLOOKUP(C179,'Données SOMIDA'!$C$18:$C$28,'Données SOMIDA'!$B$18:$B$28)</f>
        <v>11 LO</v>
      </c>
      <c r="C179" s="198" t="s">
        <v>1753</v>
      </c>
      <c r="D179" s="198" t="s">
        <v>1140</v>
      </c>
      <c r="E179" s="198" t="s">
        <v>1754</v>
      </c>
      <c r="F179" s="405" t="str">
        <f>IF(C179="FP1",'Données SOMIDA'!$N$83,VLOOKUP(E179,'Données SOMIDA'!$C$79:$N$85,12,FALSE))</f>
        <v>Madagascar</v>
      </c>
      <c r="H179" s="245">
        <f>+'Données SOMIDA'!$E$28</f>
        <v>918750</v>
      </c>
      <c r="I179" s="245">
        <f>+'Données SOMIDA'!$E$28</f>
        <v>918750</v>
      </c>
      <c r="J179" s="245">
        <f>+I179/'Données SOMIDA'!$E$11</f>
        <v>204.16666666666666</v>
      </c>
      <c r="K179" s="245">
        <f>+I179/'Données SOMIDA'!$E$6</f>
        <v>187.5</v>
      </c>
    </row>
    <row r="180" spans="2:11">
      <c r="B180" s="405" t="str">
        <f>_xlfn.XLOOKUP(C180,'Données SOMIDA'!$C$18:$C$28,'Données SOMIDA'!$B$18:$B$28)</f>
        <v>10 LO</v>
      </c>
      <c r="C180" s="198" t="s">
        <v>1752</v>
      </c>
      <c r="D180" s="198" t="s">
        <v>1141</v>
      </c>
      <c r="E180" s="198" t="s">
        <v>1754</v>
      </c>
      <c r="F180" s="405" t="str">
        <f>IF(C180="FP1",'Données SOMIDA'!$N$83,VLOOKUP(E180,'Données SOMIDA'!$C$79:$N$85,12,FALSE))</f>
        <v>Madagascar</v>
      </c>
      <c r="H180" s="245">
        <f>+'Données SOMIDA'!$E$27</f>
        <v>1050000</v>
      </c>
      <c r="I180" s="245">
        <f>+'Données SOMIDA'!$E$27</f>
        <v>1050000</v>
      </c>
      <c r="J180" s="245">
        <f>+I180/'Données SOMIDA'!$E$11</f>
        <v>233.33333333333334</v>
      </c>
      <c r="K180" s="245">
        <f>+I180/'Données SOMIDA'!$E$6</f>
        <v>214.28571428571428</v>
      </c>
    </row>
    <row r="181" spans="2:11">
      <c r="B181" s="405" t="str">
        <f>_xlfn.XLOOKUP(C181,'Données SOMIDA'!$C$18:$C$28,'Données SOMIDA'!$B$18:$B$28)</f>
        <v>11 LO</v>
      </c>
      <c r="C181" s="198" t="s">
        <v>1753</v>
      </c>
      <c r="D181" s="198" t="s">
        <v>1141</v>
      </c>
      <c r="E181" s="198" t="s">
        <v>1754</v>
      </c>
      <c r="F181" s="405" t="str">
        <f>IF(C181="FP1",'Données SOMIDA'!$N$83,VLOOKUP(E181,'Données SOMIDA'!$C$79:$N$85,12,FALSE))</f>
        <v>Madagascar</v>
      </c>
      <c r="H181" s="245">
        <f>+'Données SOMIDA'!$E$28</f>
        <v>918750</v>
      </c>
      <c r="I181" s="245">
        <f>+'Données SOMIDA'!$E$28</f>
        <v>918750</v>
      </c>
      <c r="J181" s="245">
        <f>+I181/'Données SOMIDA'!$E$11</f>
        <v>204.16666666666666</v>
      </c>
      <c r="K181" s="245">
        <f>+I181/'Données SOMIDA'!$E$6</f>
        <v>187.5</v>
      </c>
    </row>
    <row r="182" spans="2:11">
      <c r="B182" s="405" t="str">
        <f>_xlfn.XLOOKUP(C182,'Données SOMIDA'!$C$18:$C$28,'Données SOMIDA'!$B$18:$B$28)</f>
        <v>10 LO</v>
      </c>
      <c r="C182" s="198" t="s">
        <v>1752</v>
      </c>
      <c r="D182" s="198" t="s">
        <v>1142</v>
      </c>
      <c r="E182" s="198" t="s">
        <v>1754</v>
      </c>
      <c r="F182" s="405" t="str">
        <f>IF(C182="FP1",'Données SOMIDA'!$N$83,VLOOKUP(E182,'Données SOMIDA'!$C$79:$N$85,12,FALSE))</f>
        <v>Madagascar</v>
      </c>
      <c r="H182" s="245">
        <f>+'Données SOMIDA'!$E$27</f>
        <v>1050000</v>
      </c>
      <c r="I182" s="245">
        <f>+'Données SOMIDA'!$E$27</f>
        <v>1050000</v>
      </c>
      <c r="J182" s="245">
        <f>+I182/'Données SOMIDA'!$E$11</f>
        <v>233.33333333333334</v>
      </c>
      <c r="K182" s="245">
        <f>+I182/'Données SOMIDA'!$E$6</f>
        <v>214.28571428571428</v>
      </c>
    </row>
    <row r="183" spans="2:11">
      <c r="B183" s="405" t="str">
        <f>_xlfn.XLOOKUP(C183,'Données SOMIDA'!$C$18:$C$28,'Données SOMIDA'!$B$18:$B$28)</f>
        <v>11 LO</v>
      </c>
      <c r="C183" s="198" t="s">
        <v>1753</v>
      </c>
      <c r="D183" s="198" t="s">
        <v>1142</v>
      </c>
      <c r="E183" s="198" t="s">
        <v>1754</v>
      </c>
      <c r="F183" s="405" t="str">
        <f>IF(C183="FP1",'Données SOMIDA'!$N$83,VLOOKUP(E183,'Données SOMIDA'!$C$79:$N$85,12,FALSE))</f>
        <v>Madagascar</v>
      </c>
      <c r="H183" s="245">
        <f>+'Données SOMIDA'!$E$28</f>
        <v>918750</v>
      </c>
      <c r="I183" s="245">
        <f>+'Données SOMIDA'!$E$28</f>
        <v>918750</v>
      </c>
      <c r="J183" s="245">
        <f>+I183/'Données SOMIDA'!$E$11</f>
        <v>204.16666666666666</v>
      </c>
      <c r="K183" s="245">
        <f>+I183/'Données SOMIDA'!$E$6</f>
        <v>187.5</v>
      </c>
    </row>
    <row r="184" spans="2:11">
      <c r="B184" s="405" t="str">
        <f>_xlfn.XLOOKUP(C184,'Données SOMIDA'!$C$18:$C$28,'Données SOMIDA'!$B$18:$B$28)</f>
        <v>10 LO</v>
      </c>
      <c r="C184" s="198" t="s">
        <v>1752</v>
      </c>
      <c r="D184" s="198" t="s">
        <v>1143</v>
      </c>
      <c r="E184" s="198" t="s">
        <v>1754</v>
      </c>
      <c r="F184" s="405" t="str">
        <f>IF(C184="FP1",'Données SOMIDA'!$N$83,VLOOKUP(E184,'Données SOMIDA'!$C$79:$N$85,12,FALSE))</f>
        <v>Madagascar</v>
      </c>
      <c r="H184" s="245">
        <f>+'Données SOMIDA'!$E$27</f>
        <v>1050000</v>
      </c>
      <c r="I184" s="245">
        <f>+'Données SOMIDA'!$E$27</f>
        <v>1050000</v>
      </c>
      <c r="J184" s="245">
        <f>+I184/'Données SOMIDA'!$E$11</f>
        <v>233.33333333333334</v>
      </c>
      <c r="K184" s="245">
        <f>+I184/'Données SOMIDA'!$E$6</f>
        <v>214.28571428571428</v>
      </c>
    </row>
    <row r="185" spans="2:11">
      <c r="B185" s="405" t="str">
        <f>_xlfn.XLOOKUP(C185,'Données SOMIDA'!$C$18:$C$28,'Données SOMIDA'!$B$18:$B$28)</f>
        <v>11 LO</v>
      </c>
      <c r="C185" s="198" t="s">
        <v>1753</v>
      </c>
      <c r="D185" s="198" t="s">
        <v>1143</v>
      </c>
      <c r="E185" s="198" t="s">
        <v>1754</v>
      </c>
      <c r="F185" s="405" t="str">
        <f>IF(C185="FP1",'Données SOMIDA'!$N$83,VLOOKUP(E185,'Données SOMIDA'!$C$79:$N$85,12,FALSE))</f>
        <v>Madagascar</v>
      </c>
      <c r="H185" s="245">
        <f>+'Données SOMIDA'!$E$28</f>
        <v>918750</v>
      </c>
      <c r="I185" s="245">
        <f>+'Données SOMIDA'!$E$28</f>
        <v>918750</v>
      </c>
      <c r="J185" s="245">
        <f>+I185/'Données SOMIDA'!$E$11</f>
        <v>204.16666666666666</v>
      </c>
      <c r="K185" s="245">
        <f>+I185/'Données SOMIDA'!$E$6</f>
        <v>187.5</v>
      </c>
    </row>
    <row r="186" spans="2:11">
      <c r="B186" s="405" t="str">
        <f>_xlfn.XLOOKUP(C186,'Données SOMIDA'!$C$18:$C$28,'Données SOMIDA'!$B$18:$B$28)</f>
        <v>10 LO</v>
      </c>
      <c r="C186" s="198" t="s">
        <v>1752</v>
      </c>
      <c r="D186" s="198" t="s">
        <v>1144</v>
      </c>
      <c r="E186" s="198" t="s">
        <v>1754</v>
      </c>
      <c r="F186" s="405" t="str">
        <f>IF(C186="FP1",'Données SOMIDA'!$N$83,VLOOKUP(E186,'Données SOMIDA'!$C$79:$N$85,12,FALSE))</f>
        <v>Madagascar</v>
      </c>
      <c r="H186" s="245">
        <f>+'Données SOMIDA'!$E$27</f>
        <v>1050000</v>
      </c>
      <c r="I186" s="245">
        <f>+'Données SOMIDA'!$E$27</f>
        <v>1050000</v>
      </c>
      <c r="J186" s="245">
        <f>+I186/'Données SOMIDA'!$E$11</f>
        <v>233.33333333333334</v>
      </c>
      <c r="K186" s="245">
        <f>+I186/'Données SOMIDA'!$E$6</f>
        <v>214.28571428571428</v>
      </c>
    </row>
    <row r="187" spans="2:11">
      <c r="B187" s="405" t="str">
        <f>_xlfn.XLOOKUP(C187,'Données SOMIDA'!$C$18:$C$28,'Données SOMIDA'!$B$18:$B$28)</f>
        <v>11 LO</v>
      </c>
      <c r="C187" s="198" t="s">
        <v>1753</v>
      </c>
      <c r="D187" s="198" t="s">
        <v>1144</v>
      </c>
      <c r="E187" s="198" t="s">
        <v>1754</v>
      </c>
      <c r="F187" s="405" t="str">
        <f>IF(C187="FP1",'Données SOMIDA'!$N$83,VLOOKUP(E187,'Données SOMIDA'!$C$79:$N$85,12,FALSE))</f>
        <v>Madagascar</v>
      </c>
      <c r="H187" s="245">
        <f>+'Données SOMIDA'!$E$28</f>
        <v>918750</v>
      </c>
      <c r="I187" s="245">
        <f>+'Données SOMIDA'!$E$28</f>
        <v>918750</v>
      </c>
      <c r="J187" s="245">
        <f>+I187/'Données SOMIDA'!$E$11</f>
        <v>204.16666666666666</v>
      </c>
      <c r="K187" s="245">
        <f>+I187/'Données SOMIDA'!$E$6</f>
        <v>187.5</v>
      </c>
    </row>
    <row r="188" spans="2:11">
      <c r="B188" s="405" t="str">
        <f>_xlfn.XLOOKUP(C188,'Données SOMIDA'!$C$18:$C$28,'Données SOMIDA'!$B$18:$B$28)</f>
        <v>10 LO</v>
      </c>
      <c r="C188" s="198" t="s">
        <v>1752</v>
      </c>
      <c r="D188" s="198" t="s">
        <v>1145</v>
      </c>
      <c r="E188" s="198" t="s">
        <v>1754</v>
      </c>
      <c r="F188" s="405" t="str">
        <f>IF(C188="FP1",'Données SOMIDA'!$N$83,VLOOKUP(E188,'Données SOMIDA'!$C$79:$N$85,12,FALSE))</f>
        <v>Madagascar</v>
      </c>
      <c r="H188" s="245">
        <f>+'Données SOMIDA'!$E$27</f>
        <v>1050000</v>
      </c>
      <c r="I188" s="245">
        <f>+'Données SOMIDA'!$E$27</f>
        <v>1050000</v>
      </c>
      <c r="J188" s="245">
        <f>+I188/'Données SOMIDA'!$E$11</f>
        <v>233.33333333333334</v>
      </c>
      <c r="K188" s="245">
        <f>+I188/'Données SOMIDA'!$E$6</f>
        <v>214.28571428571428</v>
      </c>
    </row>
    <row r="189" spans="2:11">
      <c r="B189" s="405" t="str">
        <f>_xlfn.XLOOKUP(C189,'Données SOMIDA'!$C$18:$C$28,'Données SOMIDA'!$B$18:$B$28)</f>
        <v>11 LO</v>
      </c>
      <c r="C189" s="198" t="s">
        <v>1753</v>
      </c>
      <c r="D189" s="198" t="s">
        <v>1145</v>
      </c>
      <c r="E189" s="198" t="s">
        <v>1754</v>
      </c>
      <c r="F189" s="405" t="str">
        <f>IF(C189="FP1",'Données SOMIDA'!$N$83,VLOOKUP(E189,'Données SOMIDA'!$C$79:$N$85,12,FALSE))</f>
        <v>Madagascar</v>
      </c>
      <c r="H189" s="245">
        <f>+'Données SOMIDA'!$E$28</f>
        <v>918750</v>
      </c>
      <c r="I189" s="245">
        <f>+'Données SOMIDA'!$E$28</f>
        <v>918750</v>
      </c>
      <c r="J189" s="245">
        <f>+I189/'Données SOMIDA'!$E$11</f>
        <v>204.16666666666666</v>
      </c>
      <c r="K189" s="245">
        <f>+I189/'Données SOMIDA'!$E$6</f>
        <v>187.5</v>
      </c>
    </row>
    <row r="190" spans="2:11">
      <c r="B190" s="405" t="str">
        <f>_xlfn.XLOOKUP(C190,'Données SOMIDA'!$C$18:$C$28,'Données SOMIDA'!$B$18:$B$28)</f>
        <v>10 LO</v>
      </c>
      <c r="C190" s="198" t="s">
        <v>1752</v>
      </c>
      <c r="D190" s="198" t="s">
        <v>1269</v>
      </c>
      <c r="E190" s="198" t="s">
        <v>1754</v>
      </c>
      <c r="F190" s="405" t="str">
        <f>IF(C190="FP1",'Données SOMIDA'!$N$83,VLOOKUP(E190,'Données SOMIDA'!$C$79:$N$85,12,FALSE))</f>
        <v>Madagascar</v>
      </c>
      <c r="H190" s="245">
        <f>+'Données SOMIDA'!$E$27</f>
        <v>1050000</v>
      </c>
      <c r="I190" s="245">
        <f>+'Données SOMIDA'!$E$27</f>
        <v>1050000</v>
      </c>
      <c r="J190" s="245">
        <f>+I190/'Données SOMIDA'!$E$11</f>
        <v>233.33333333333334</v>
      </c>
      <c r="K190" s="245">
        <f>+I190/'Données SOMIDA'!$E$6</f>
        <v>214.28571428571428</v>
      </c>
    </row>
    <row r="191" spans="2:11">
      <c r="B191" s="405" t="str">
        <f>_xlfn.XLOOKUP(C191,'Données SOMIDA'!$C$18:$C$28,'Données SOMIDA'!$B$18:$B$28)</f>
        <v>11 LO</v>
      </c>
      <c r="C191" s="198" t="s">
        <v>1753</v>
      </c>
      <c r="D191" s="198" t="s">
        <v>1269</v>
      </c>
      <c r="E191" s="198" t="s">
        <v>1754</v>
      </c>
      <c r="F191" s="405" t="str">
        <f>IF(C191="FP1",'Données SOMIDA'!$N$83,VLOOKUP(E191,'Données SOMIDA'!$C$79:$N$85,12,FALSE))</f>
        <v>Madagascar</v>
      </c>
      <c r="H191" s="245">
        <f>+'Données SOMIDA'!$E$28</f>
        <v>918750</v>
      </c>
      <c r="I191" s="245">
        <f>+'Données SOMIDA'!$E$28</f>
        <v>918750</v>
      </c>
      <c r="J191" s="245">
        <f>+I191/'Données SOMIDA'!$E$11</f>
        <v>204.16666666666666</v>
      </c>
      <c r="K191" s="245">
        <f>+I191/'Données SOMIDA'!$E$6</f>
        <v>187.5</v>
      </c>
    </row>
    <row r="192" spans="2:11">
      <c r="B192" s="405" t="str">
        <f>_xlfn.XLOOKUP(C192,'Données SOMIDA'!$C$18:$C$28,'Données SOMIDA'!$B$18:$B$28)</f>
        <v>10 LO</v>
      </c>
      <c r="C192" s="198" t="s">
        <v>1752</v>
      </c>
      <c r="D192" s="198" t="s">
        <v>1270</v>
      </c>
      <c r="E192" s="198" t="s">
        <v>1754</v>
      </c>
      <c r="F192" s="405" t="str">
        <f>IF(C192="FP1",'Données SOMIDA'!$N$83,VLOOKUP(E192,'Données SOMIDA'!$C$79:$N$85,12,FALSE))</f>
        <v>Madagascar</v>
      </c>
      <c r="H192" s="245">
        <f>+'Données SOMIDA'!$E$27</f>
        <v>1050000</v>
      </c>
      <c r="I192" s="245">
        <f>+'Données SOMIDA'!$E$27</f>
        <v>1050000</v>
      </c>
      <c r="J192" s="245">
        <f>+I192/'Données SOMIDA'!$E$11</f>
        <v>233.33333333333334</v>
      </c>
      <c r="K192" s="245">
        <f>+I192/'Données SOMIDA'!$E$6</f>
        <v>214.28571428571428</v>
      </c>
    </row>
    <row r="193" spans="2:11">
      <c r="B193" s="405" t="str">
        <f>_xlfn.XLOOKUP(C193,'Données SOMIDA'!$C$18:$C$28,'Données SOMIDA'!$B$18:$B$28)</f>
        <v>11 LO</v>
      </c>
      <c r="C193" s="198" t="s">
        <v>1753</v>
      </c>
      <c r="D193" s="198" t="s">
        <v>1270</v>
      </c>
      <c r="E193" s="198" t="s">
        <v>1754</v>
      </c>
      <c r="F193" s="405" t="str">
        <f>IF(C193="FP1",'Données SOMIDA'!$N$83,VLOOKUP(E193,'Données SOMIDA'!$C$79:$N$85,12,FALSE))</f>
        <v>Madagascar</v>
      </c>
      <c r="H193" s="245">
        <f>+'Données SOMIDA'!$E$28</f>
        <v>918750</v>
      </c>
      <c r="I193" s="245">
        <f>+'Données SOMIDA'!$E$28</f>
        <v>918750</v>
      </c>
      <c r="J193" s="245">
        <f>+I193/'Données SOMIDA'!$E$11</f>
        <v>204.16666666666666</v>
      </c>
      <c r="K193" s="245">
        <f>+I193/'Données SOMIDA'!$E$6</f>
        <v>187.5</v>
      </c>
    </row>
    <row r="194" spans="2:11">
      <c r="B194" s="940"/>
      <c r="C194" s="940"/>
      <c r="D194" s="940"/>
      <c r="E194" s="940"/>
      <c r="F194" s="940"/>
      <c r="G194" s="941"/>
      <c r="H194" s="941"/>
      <c r="I194" s="941">
        <f>SUM(I170:I193)</f>
        <v>23625000</v>
      </c>
      <c r="J194" s="941">
        <f t="shared" ref="J194:K194" si="43">SUM(J170:J193)</f>
        <v>5250</v>
      </c>
      <c r="K194" s="941">
        <f t="shared" si="43"/>
        <v>4821.4285714285716</v>
      </c>
    </row>
    <row r="195" spans="2:11">
      <c r="B195" s="964" t="s">
        <v>1763</v>
      </c>
      <c r="C195" s="962"/>
      <c r="E195" s="962"/>
      <c r="F195" s="962"/>
      <c r="G195" s="963"/>
      <c r="H195" s="963"/>
      <c r="I195" s="963"/>
      <c r="J195" s="963"/>
      <c r="K195" s="963"/>
    </row>
    <row r="196" spans="2:11">
      <c r="B196" s="199"/>
      <c r="G196" s="926"/>
      <c r="H196" s="926"/>
      <c r="I196" s="926"/>
      <c r="J196" s="926"/>
      <c r="K196" s="926"/>
    </row>
    <row r="197" spans="2:11">
      <c r="B197" s="405">
        <v>6</v>
      </c>
      <c r="C197" s="405" t="s">
        <v>1762</v>
      </c>
      <c r="D197" s="405" t="s">
        <v>92</v>
      </c>
      <c r="E197" s="405"/>
      <c r="F197" s="405"/>
      <c r="G197" s="405"/>
      <c r="H197" s="405"/>
      <c r="I197" s="965">
        <f t="array" ref="I197:I208">TRANSPOSE(Production!D65:O65)</f>
        <v>19009890.279635184</v>
      </c>
      <c r="J197" s="245">
        <f>+I197/'Données SOMIDA'!$E$11</f>
        <v>4224.4200621411519</v>
      </c>
      <c r="K197" s="245">
        <f>+I197/'Données SOMIDA'!$E$6</f>
        <v>3879.5694448235067</v>
      </c>
    </row>
    <row r="198" spans="2:11">
      <c r="B198" s="405">
        <v>6</v>
      </c>
      <c r="C198" s="405" t="s">
        <v>1762</v>
      </c>
      <c r="D198" s="405" t="s">
        <v>157</v>
      </c>
      <c r="E198" s="405"/>
      <c r="F198" s="405"/>
      <c r="G198" s="405"/>
      <c r="H198" s="405"/>
      <c r="I198" s="965">
        <v>18717430.429179259</v>
      </c>
      <c r="J198" s="245">
        <f>+I198/'Données SOMIDA'!$E$11</f>
        <v>4159.4289842620574</v>
      </c>
      <c r="K198" s="245">
        <f>+I198/'Données SOMIDA'!$E$6</f>
        <v>3819.8837610569917</v>
      </c>
    </row>
    <row r="199" spans="2:11">
      <c r="B199" s="405">
        <v>6</v>
      </c>
      <c r="C199" s="405" t="s">
        <v>1762</v>
      </c>
      <c r="D199" s="405" t="s">
        <v>1138</v>
      </c>
      <c r="E199" s="405"/>
      <c r="F199" s="405"/>
      <c r="G199" s="405"/>
      <c r="H199" s="405"/>
      <c r="I199" s="965">
        <v>19009890.279635191</v>
      </c>
      <c r="J199" s="245">
        <f>+I199/'Données SOMIDA'!$E$11</f>
        <v>4224.4200621411537</v>
      </c>
      <c r="K199" s="245">
        <f>+I199/'Données SOMIDA'!$E$6</f>
        <v>3879.5694448235085</v>
      </c>
    </row>
    <row r="200" spans="2:11">
      <c r="B200" s="405">
        <v>6</v>
      </c>
      <c r="C200" s="405" t="s">
        <v>1762</v>
      </c>
      <c r="D200" s="405" t="s">
        <v>1139</v>
      </c>
      <c r="E200" s="405"/>
      <c r="F200" s="405"/>
      <c r="G200" s="405"/>
      <c r="H200" s="405"/>
      <c r="I200" s="965">
        <v>18717430.429179251</v>
      </c>
      <c r="J200" s="245">
        <f>+I200/'Données SOMIDA'!$E$11</f>
        <v>4159.4289842620556</v>
      </c>
      <c r="K200" s="245">
        <f>+I200/'Données SOMIDA'!$E$6</f>
        <v>3819.8837610569899</v>
      </c>
    </row>
    <row r="201" spans="2:11">
      <c r="B201" s="405">
        <v>6</v>
      </c>
      <c r="C201" s="405" t="s">
        <v>1762</v>
      </c>
      <c r="D201" s="405" t="s">
        <v>1140</v>
      </c>
      <c r="E201" s="405"/>
      <c r="F201" s="405"/>
      <c r="G201" s="405"/>
      <c r="H201" s="405"/>
      <c r="I201" s="965">
        <v>19009890.279635191</v>
      </c>
      <c r="J201" s="245">
        <f>+I201/'Données SOMIDA'!$E$11</f>
        <v>4224.4200621411537</v>
      </c>
      <c r="K201" s="245">
        <f>+I201/'Données SOMIDA'!$E$6</f>
        <v>3879.5694448235085</v>
      </c>
    </row>
    <row r="202" spans="2:11">
      <c r="B202" s="405">
        <v>6</v>
      </c>
      <c r="C202" s="405" t="s">
        <v>1762</v>
      </c>
      <c r="D202" s="405" t="s">
        <v>1141</v>
      </c>
      <c r="E202" s="405"/>
      <c r="F202" s="405"/>
      <c r="G202" s="405"/>
      <c r="H202" s="405"/>
      <c r="I202" s="965">
        <v>18717430.429179251</v>
      </c>
      <c r="J202" s="245">
        <f>+I202/'Données SOMIDA'!$E$11</f>
        <v>4159.4289842620556</v>
      </c>
      <c r="K202" s="245">
        <f>+I202/'Données SOMIDA'!$E$6</f>
        <v>3819.8837610569899</v>
      </c>
    </row>
    <row r="203" spans="2:11">
      <c r="B203" s="405">
        <v>6</v>
      </c>
      <c r="C203" s="405" t="s">
        <v>1762</v>
      </c>
      <c r="D203" s="405" t="s">
        <v>1142</v>
      </c>
      <c r="E203" s="405"/>
      <c r="F203" s="405"/>
      <c r="G203" s="405"/>
      <c r="H203" s="405"/>
      <c r="I203" s="965">
        <v>19009890.279635191</v>
      </c>
      <c r="J203" s="245">
        <f>+I203/'Données SOMIDA'!$E$11</f>
        <v>4224.4200621411537</v>
      </c>
      <c r="K203" s="245">
        <f>+I203/'Données SOMIDA'!$E$6</f>
        <v>3879.5694448235085</v>
      </c>
    </row>
    <row r="204" spans="2:11">
      <c r="B204" s="405">
        <v>6</v>
      </c>
      <c r="C204" s="405" t="s">
        <v>1762</v>
      </c>
      <c r="D204" s="405" t="s">
        <v>1143</v>
      </c>
      <c r="E204" s="405"/>
      <c r="F204" s="405"/>
      <c r="G204" s="405"/>
      <c r="H204" s="405"/>
      <c r="I204" s="965">
        <v>18717430.429179251</v>
      </c>
      <c r="J204" s="245">
        <f>+I204/'Données SOMIDA'!$E$11</f>
        <v>4159.4289842620556</v>
      </c>
      <c r="K204" s="245">
        <f>+I204/'Données SOMIDA'!$E$6</f>
        <v>3819.8837610569899</v>
      </c>
    </row>
    <row r="205" spans="2:11">
      <c r="B205" s="405">
        <v>6</v>
      </c>
      <c r="C205" s="405" t="s">
        <v>1762</v>
      </c>
      <c r="D205" s="405" t="s">
        <v>1144</v>
      </c>
      <c r="E205" s="405"/>
      <c r="F205" s="405"/>
      <c r="G205" s="405"/>
      <c r="H205" s="405"/>
      <c r="I205" s="965">
        <v>-20472189.5319148</v>
      </c>
      <c r="J205" s="245">
        <f>+I205/'Données SOMIDA'!$E$11</f>
        <v>-4549.3754515366227</v>
      </c>
      <c r="K205" s="245">
        <f>+I205/'Données SOMIDA'!$E$6</f>
        <v>-4177.9978636560818</v>
      </c>
    </row>
    <row r="206" spans="2:11">
      <c r="B206" s="405">
        <v>6</v>
      </c>
      <c r="C206" s="405" t="s">
        <v>1762</v>
      </c>
      <c r="D206" s="405" t="s">
        <v>1145</v>
      </c>
      <c r="E206" s="405"/>
      <c r="F206" s="405"/>
      <c r="G206" s="405"/>
      <c r="H206" s="405"/>
      <c r="I206" s="965">
        <v>-19302350.130091116</v>
      </c>
      <c r="J206" s="245">
        <f>+I206/'Données SOMIDA'!$E$11</f>
        <v>-4289.4111400202482</v>
      </c>
      <c r="K206" s="245">
        <f>+I206/'Données SOMIDA'!$E$6</f>
        <v>-3939.2551285900236</v>
      </c>
    </row>
    <row r="207" spans="2:11">
      <c r="B207" s="405">
        <v>6</v>
      </c>
      <c r="C207" s="405" t="s">
        <v>1762</v>
      </c>
      <c r="D207" s="405" t="s">
        <v>1269</v>
      </c>
      <c r="E207" s="405"/>
      <c r="F207" s="405"/>
      <c r="G207" s="405"/>
      <c r="H207" s="405"/>
      <c r="I207" s="965">
        <v>-20472189.531914815</v>
      </c>
      <c r="J207" s="245">
        <f>+I207/'Données SOMIDA'!$E$11</f>
        <v>-4549.3754515366254</v>
      </c>
      <c r="K207" s="245">
        <f>+I207/'Données SOMIDA'!$E$6</f>
        <v>-4177.9978636560845</v>
      </c>
    </row>
    <row r="208" spans="2:11">
      <c r="B208" s="405">
        <v>6</v>
      </c>
      <c r="C208" s="405" t="s">
        <v>1762</v>
      </c>
      <c r="D208" s="405" t="s">
        <v>1270</v>
      </c>
      <c r="E208" s="405"/>
      <c r="F208" s="405"/>
      <c r="G208" s="405"/>
      <c r="H208" s="405"/>
      <c r="I208" s="965">
        <v>-19302350.130091116</v>
      </c>
      <c r="J208" s="245">
        <f>+I208/'Données SOMIDA'!$E$11</f>
        <v>-4289.4111400202482</v>
      </c>
      <c r="K208" s="245">
        <f>+I208/'Données SOMIDA'!$E$6</f>
        <v>-3939.2551285900236</v>
      </c>
    </row>
    <row r="209" spans="2:11" ht="17.25" thickBot="1">
      <c r="B209" s="939"/>
      <c r="C209" s="939"/>
      <c r="D209" s="939"/>
      <c r="E209" s="939"/>
      <c r="F209" s="939"/>
      <c r="G209" s="928"/>
      <c r="H209" s="928"/>
      <c r="I209" s="928">
        <f>SUM(I197:I208)</f>
        <v>71360203.511245921</v>
      </c>
      <c r="J209" s="928">
        <f t="shared" ref="J209:K209" si="44">SUM(J197:J208)</f>
        <v>15857.823002499088</v>
      </c>
      <c r="K209" s="928">
        <f t="shared" si="44"/>
        <v>14563.306839029781</v>
      </c>
    </row>
    <row r="211" spans="2:11">
      <c r="I211" s="245"/>
    </row>
    <row r="212" spans="2:11">
      <c r="I212" s="245"/>
    </row>
  </sheetData>
  <autoFilter ref="B58:K195" xr:uid="{00000000-0001-0000-0800-000000000000}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5"/>
  <dimension ref="A1:S213"/>
  <sheetViews>
    <sheetView showGridLines="0" topLeftCell="A106" zoomScale="85" zoomScaleNormal="85" workbookViewId="0">
      <selection activeCell="C123" sqref="C123"/>
    </sheetView>
  </sheetViews>
  <sheetFormatPr baseColWidth="10" defaultRowHeight="12.75"/>
  <cols>
    <col min="1" max="1" width="4.42578125" style="143" customWidth="1"/>
    <col min="2" max="2" width="23.7109375" style="143" customWidth="1"/>
    <col min="3" max="3" width="11.5703125" style="150" bestFit="1" customWidth="1"/>
    <col min="4" max="4" width="16.5703125" style="143" bestFit="1" customWidth="1"/>
    <col min="5" max="9" width="16.140625" style="143" bestFit="1" customWidth="1"/>
    <col min="10" max="10" width="16.5703125" style="143" bestFit="1" customWidth="1"/>
    <col min="11" max="11" width="16.140625" style="143" bestFit="1" customWidth="1"/>
    <col min="12" max="12" width="16.5703125" style="143" bestFit="1" customWidth="1"/>
    <col min="13" max="13" width="16.140625" style="143" bestFit="1" customWidth="1"/>
    <col min="14" max="14" width="16.5703125" style="143" bestFit="1" customWidth="1"/>
    <col min="15" max="15" width="16.140625" style="143" bestFit="1" customWidth="1"/>
    <col min="16" max="16" width="17.85546875" style="143" bestFit="1" customWidth="1"/>
    <col min="17" max="17" width="2.42578125" style="143" customWidth="1"/>
    <col min="18" max="16384" width="11.42578125" style="143"/>
  </cols>
  <sheetData>
    <row r="1" spans="1:18" s="144" customFormat="1" ht="13.5" thickBot="1">
      <c r="A1" s="143"/>
      <c r="B1" s="143"/>
      <c r="C1" s="150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</row>
    <row r="2" spans="1:18" s="814" customFormat="1">
      <c r="A2" s="145"/>
      <c r="B2" s="787" t="s">
        <v>518</v>
      </c>
      <c r="C2" s="820"/>
      <c r="D2" s="790" t="s">
        <v>92</v>
      </c>
      <c r="E2" s="790" t="s">
        <v>157</v>
      </c>
      <c r="F2" s="790" t="s">
        <v>1138</v>
      </c>
      <c r="G2" s="790" t="s">
        <v>1139</v>
      </c>
      <c r="H2" s="790" t="s">
        <v>1140</v>
      </c>
      <c r="I2" s="790" t="s">
        <v>1141</v>
      </c>
      <c r="J2" s="790" t="s">
        <v>1142</v>
      </c>
      <c r="K2" s="790" t="s">
        <v>1143</v>
      </c>
      <c r="L2" s="790" t="s">
        <v>1144</v>
      </c>
      <c r="M2" s="790" t="s">
        <v>1145</v>
      </c>
      <c r="N2" s="790" t="s">
        <v>1269</v>
      </c>
      <c r="O2" s="790" t="s">
        <v>1270</v>
      </c>
      <c r="P2" s="790" t="s">
        <v>362</v>
      </c>
      <c r="R2" s="790" t="s">
        <v>1830</v>
      </c>
    </row>
    <row r="3" spans="1:18" s="814" customFormat="1">
      <c r="A3" s="145"/>
      <c r="B3" s="818" t="str">
        <f>+'Besoins en micas'!B82</f>
        <v>Tranomaro</v>
      </c>
      <c r="C3" s="668"/>
      <c r="D3" s="819">
        <f>+'Besoins en micas'!C82</f>
        <v>98398125</v>
      </c>
      <c r="E3" s="819">
        <f>+'Besoins en micas'!D82</f>
        <v>98685000</v>
      </c>
      <c r="F3" s="819">
        <f>+'Besoins en micas'!E82</f>
        <v>98398125</v>
      </c>
      <c r="G3" s="819">
        <f>+'Besoins en micas'!F82</f>
        <v>98685000</v>
      </c>
      <c r="H3" s="819">
        <f>+'Besoins en micas'!G82</f>
        <v>98398125</v>
      </c>
      <c r="I3" s="819">
        <f>+'Besoins en micas'!H82</f>
        <v>98685000</v>
      </c>
      <c r="J3" s="819">
        <f>+'Besoins en micas'!I82</f>
        <v>98398125</v>
      </c>
      <c r="K3" s="819">
        <f>+'Besoins en micas'!J82</f>
        <v>98685000</v>
      </c>
      <c r="L3" s="819">
        <f>+'Besoins en micas'!K82</f>
        <v>90818437.5</v>
      </c>
      <c r="M3" s="819">
        <f>+'Besoins en micas'!L82</f>
        <v>91231875</v>
      </c>
      <c r="N3" s="819">
        <f>+'Besoins en micas'!M82</f>
        <v>90818437.5</v>
      </c>
      <c r="O3" s="819">
        <f>+'Besoins en micas'!N82</f>
        <v>91231875</v>
      </c>
      <c r="P3" s="819">
        <f>+'Besoins en micas'!O82</f>
        <v>1152433125</v>
      </c>
      <c r="R3" s="1108">
        <f>+P3/$P$7</f>
        <v>0.26011560693641617</v>
      </c>
    </row>
    <row r="4" spans="1:18" s="814" customFormat="1">
      <c r="A4" s="145"/>
      <c r="B4" s="818" t="str">
        <f>+'Besoins en micas'!B83</f>
        <v>Ampandrandava</v>
      </c>
      <c r="C4" s="668"/>
      <c r="D4" s="819">
        <f>+'Besoins en micas'!C83</f>
        <v>122451000</v>
      </c>
      <c r="E4" s="819">
        <f>+'Besoins en micas'!D83</f>
        <v>122808000</v>
      </c>
      <c r="F4" s="819">
        <f>+'Besoins en micas'!E83</f>
        <v>122451000</v>
      </c>
      <c r="G4" s="819">
        <f>+'Besoins en micas'!F83</f>
        <v>122808000</v>
      </c>
      <c r="H4" s="819">
        <f>+'Besoins en micas'!G83</f>
        <v>122451000</v>
      </c>
      <c r="I4" s="819">
        <f>+'Besoins en micas'!H83</f>
        <v>122808000</v>
      </c>
      <c r="J4" s="819">
        <f>+'Besoins en micas'!I83</f>
        <v>122451000</v>
      </c>
      <c r="K4" s="819">
        <f>+'Besoins en micas'!J83</f>
        <v>122808000</v>
      </c>
      <c r="L4" s="819">
        <f>+'Besoins en micas'!K83</f>
        <v>113018500</v>
      </c>
      <c r="M4" s="819">
        <f>+'Besoins en micas'!L83</f>
        <v>113533000</v>
      </c>
      <c r="N4" s="819">
        <f>+'Besoins en micas'!M83</f>
        <v>113018500</v>
      </c>
      <c r="O4" s="819">
        <f>+'Besoins en micas'!N83</f>
        <v>113533000</v>
      </c>
      <c r="P4" s="819">
        <f>+'Besoins en micas'!O83</f>
        <v>1434139000</v>
      </c>
      <c r="R4" s="1108">
        <f t="shared" ref="R4:R6" si="0">+P4/$P$7</f>
        <v>0.32369942196531792</v>
      </c>
    </row>
    <row r="5" spans="1:18" s="814" customFormat="1">
      <c r="A5" s="145"/>
      <c r="B5" s="818" t="str">
        <f>+'Besoins en micas'!B84</f>
        <v>Fort dauphin</v>
      </c>
      <c r="C5" s="668"/>
      <c r="D5" s="819">
        <f>+'Besoins en micas'!C84</f>
        <v>78718500</v>
      </c>
      <c r="E5" s="819">
        <f>+'Besoins en micas'!D84</f>
        <v>78948000</v>
      </c>
      <c r="F5" s="819">
        <f>+'Besoins en micas'!E84</f>
        <v>78718500</v>
      </c>
      <c r="G5" s="819">
        <f>+'Besoins en micas'!F84</f>
        <v>78948000</v>
      </c>
      <c r="H5" s="819">
        <f>+'Besoins en micas'!G84</f>
        <v>78718500</v>
      </c>
      <c r="I5" s="819">
        <f>+'Besoins en micas'!H84</f>
        <v>78948000</v>
      </c>
      <c r="J5" s="819">
        <f>+'Besoins en micas'!I84</f>
        <v>78718500</v>
      </c>
      <c r="K5" s="819">
        <f>+'Besoins en micas'!J84</f>
        <v>78948000</v>
      </c>
      <c r="L5" s="819">
        <f>+'Besoins en micas'!K84</f>
        <v>72654750</v>
      </c>
      <c r="M5" s="819">
        <f>+'Besoins en micas'!L84</f>
        <v>72985500</v>
      </c>
      <c r="N5" s="819">
        <f>+'Besoins en micas'!M84</f>
        <v>72654750</v>
      </c>
      <c r="O5" s="819">
        <f>+'Besoins en micas'!N84</f>
        <v>72985500</v>
      </c>
      <c r="P5" s="819">
        <f>+'Besoins en micas'!O84</f>
        <v>921946500</v>
      </c>
      <c r="R5" s="1108">
        <f t="shared" si="0"/>
        <v>0.20809248554913296</v>
      </c>
    </row>
    <row r="6" spans="1:18" s="814" customFormat="1">
      <c r="A6" s="145"/>
      <c r="B6" s="818" t="str">
        <f>+'Besoins en micas'!B85</f>
        <v>Autres</v>
      </c>
      <c r="C6" s="668"/>
      <c r="D6" s="819">
        <f>+'Besoins en micas'!C85</f>
        <v>78718500</v>
      </c>
      <c r="E6" s="819">
        <f>+'Besoins en micas'!D85</f>
        <v>78948000</v>
      </c>
      <c r="F6" s="819">
        <f>+'Besoins en micas'!E85</f>
        <v>78718500</v>
      </c>
      <c r="G6" s="819">
        <f>+'Besoins en micas'!F85</f>
        <v>78948000</v>
      </c>
      <c r="H6" s="819">
        <f>+'Besoins en micas'!G85</f>
        <v>78718500</v>
      </c>
      <c r="I6" s="819">
        <f>+'Besoins en micas'!H85</f>
        <v>78948000</v>
      </c>
      <c r="J6" s="819">
        <f>+'Besoins en micas'!I85</f>
        <v>78718500</v>
      </c>
      <c r="K6" s="819">
        <f>+'Besoins en micas'!J85</f>
        <v>78948000</v>
      </c>
      <c r="L6" s="819">
        <f>+'Besoins en micas'!K85</f>
        <v>72654750</v>
      </c>
      <c r="M6" s="819">
        <f>+'Besoins en micas'!L85</f>
        <v>72985500</v>
      </c>
      <c r="N6" s="819">
        <f>+'Besoins en micas'!M85</f>
        <v>72654750</v>
      </c>
      <c r="O6" s="819">
        <f>+'Besoins en micas'!N85</f>
        <v>72985500</v>
      </c>
      <c r="P6" s="819">
        <f>+'Besoins en micas'!O85</f>
        <v>921946500</v>
      </c>
      <c r="R6" s="1108">
        <f t="shared" si="0"/>
        <v>0.20809248554913296</v>
      </c>
    </row>
    <row r="7" spans="1:18" s="814" customFormat="1">
      <c r="A7" s="145"/>
      <c r="B7" s="799" t="s">
        <v>362</v>
      </c>
      <c r="C7" s="821"/>
      <c r="D7" s="822">
        <f>SUM(D3:D6)</f>
        <v>378286125</v>
      </c>
      <c r="E7" s="822">
        <f t="shared" ref="E7:R7" si="1">SUM(E3:E6)</f>
        <v>379389000</v>
      </c>
      <c r="F7" s="822">
        <f t="shared" si="1"/>
        <v>378286125</v>
      </c>
      <c r="G7" s="822">
        <f t="shared" si="1"/>
        <v>379389000</v>
      </c>
      <c r="H7" s="822">
        <f t="shared" si="1"/>
        <v>378286125</v>
      </c>
      <c r="I7" s="822">
        <f t="shared" si="1"/>
        <v>379389000</v>
      </c>
      <c r="J7" s="822">
        <f t="shared" si="1"/>
        <v>378286125</v>
      </c>
      <c r="K7" s="822">
        <f t="shared" si="1"/>
        <v>379389000</v>
      </c>
      <c r="L7" s="822">
        <f t="shared" si="1"/>
        <v>349146437.5</v>
      </c>
      <c r="M7" s="822">
        <f t="shared" si="1"/>
        <v>350735875</v>
      </c>
      <c r="N7" s="822">
        <f t="shared" si="1"/>
        <v>349146437.5</v>
      </c>
      <c r="O7" s="822">
        <f t="shared" si="1"/>
        <v>350735875</v>
      </c>
      <c r="P7" s="822">
        <f t="shared" si="1"/>
        <v>4430465125</v>
      </c>
      <c r="R7" s="1109">
        <f t="shared" si="1"/>
        <v>1</v>
      </c>
    </row>
    <row r="8" spans="1:18" s="814" customFormat="1" ht="13.5" thickBot="1">
      <c r="A8" s="145"/>
      <c r="B8" s="823" t="s">
        <v>852</v>
      </c>
      <c r="C8" s="824"/>
      <c r="D8" s="825">
        <v>25</v>
      </c>
      <c r="E8" s="825">
        <v>25</v>
      </c>
      <c r="F8" s="825">
        <v>25</v>
      </c>
      <c r="G8" s="825">
        <v>25</v>
      </c>
      <c r="H8" s="825">
        <v>25</v>
      </c>
      <c r="I8" s="825">
        <v>25</v>
      </c>
      <c r="J8" s="825">
        <v>25</v>
      </c>
      <c r="K8" s="825">
        <v>25</v>
      </c>
      <c r="L8" s="825">
        <v>25</v>
      </c>
      <c r="M8" s="825">
        <v>25</v>
      </c>
      <c r="N8" s="825">
        <v>25</v>
      </c>
      <c r="O8" s="825">
        <v>25</v>
      </c>
      <c r="P8" s="825">
        <f>SUM(D8:O8)</f>
        <v>300</v>
      </c>
    </row>
    <row r="9" spans="1:18" s="144" customFormat="1" ht="3.75" customHeight="1">
      <c r="A9" s="143"/>
      <c r="B9" s="201"/>
      <c r="C9" s="668"/>
      <c r="D9" s="202"/>
      <c r="E9" s="202"/>
      <c r="F9" s="202"/>
      <c r="G9" s="202"/>
      <c r="H9" s="202"/>
      <c r="I9" s="202"/>
      <c r="J9" s="202"/>
      <c r="K9" s="202"/>
      <c r="L9" s="202"/>
      <c r="M9" s="202"/>
      <c r="N9" s="202"/>
      <c r="O9" s="202"/>
      <c r="P9" s="202"/>
    </row>
    <row r="10" spans="1:18" s="144" customFormat="1">
      <c r="A10" s="143"/>
      <c r="B10" s="146" t="s">
        <v>485</v>
      </c>
      <c r="C10" s="669">
        <v>8500</v>
      </c>
      <c r="D10" s="143"/>
      <c r="E10" s="143"/>
      <c r="F10" s="143"/>
      <c r="G10" s="143"/>
      <c r="H10" s="143"/>
      <c r="I10" s="143"/>
      <c r="J10" s="143"/>
      <c r="K10" s="143"/>
      <c r="L10" s="143"/>
      <c r="M10" s="143"/>
      <c r="N10" s="143"/>
      <c r="O10" s="143"/>
      <c r="P10" s="143"/>
    </row>
    <row r="11" spans="1:18" s="144" customFormat="1" ht="4.5" customHeight="1">
      <c r="A11" s="143"/>
      <c r="B11" s="143"/>
      <c r="C11" s="150"/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</row>
    <row r="12" spans="1:18" s="144" customFormat="1" ht="13.5" thickBot="1">
      <c r="A12" s="147" t="s">
        <v>486</v>
      </c>
      <c r="B12" s="143"/>
      <c r="C12" s="154"/>
      <c r="D12" s="143"/>
      <c r="E12" s="143"/>
      <c r="F12" s="143"/>
      <c r="G12" s="143"/>
      <c r="H12" s="143"/>
      <c r="I12" s="143"/>
      <c r="J12" s="143"/>
      <c r="K12" s="143"/>
      <c r="L12" s="143"/>
      <c r="M12" s="143"/>
      <c r="N12" s="143"/>
      <c r="O12" s="143"/>
      <c r="P12" s="143"/>
    </row>
    <row r="13" spans="1:18" s="144" customFormat="1">
      <c r="A13" s="787" t="s">
        <v>1291</v>
      </c>
      <c r="B13" s="788"/>
      <c r="C13" s="789" t="s">
        <v>487</v>
      </c>
      <c r="D13" s="790" t="str">
        <f t="shared" ref="D13:P13" si="2">+D2</f>
        <v>M1</v>
      </c>
      <c r="E13" s="790" t="str">
        <f t="shared" si="2"/>
        <v>M2</v>
      </c>
      <c r="F13" s="790" t="str">
        <f t="shared" si="2"/>
        <v>M3</v>
      </c>
      <c r="G13" s="790" t="str">
        <f t="shared" si="2"/>
        <v>M4</v>
      </c>
      <c r="H13" s="790" t="str">
        <f t="shared" si="2"/>
        <v>M5</v>
      </c>
      <c r="I13" s="790" t="str">
        <f t="shared" si="2"/>
        <v>M6</v>
      </c>
      <c r="J13" s="790" t="str">
        <f t="shared" si="2"/>
        <v>M7</v>
      </c>
      <c r="K13" s="790" t="str">
        <f t="shared" si="2"/>
        <v>M8</v>
      </c>
      <c r="L13" s="790" t="str">
        <f t="shared" si="2"/>
        <v>M9</v>
      </c>
      <c r="M13" s="790" t="str">
        <f t="shared" si="2"/>
        <v>M10</v>
      </c>
      <c r="N13" s="790" t="str">
        <f t="shared" si="2"/>
        <v>M11</v>
      </c>
      <c r="O13" s="790" t="str">
        <f t="shared" si="2"/>
        <v>M12</v>
      </c>
      <c r="P13" s="790" t="str">
        <f t="shared" si="2"/>
        <v>Total</v>
      </c>
    </row>
    <row r="14" spans="1:18" s="144" customFormat="1">
      <c r="A14" s="143"/>
      <c r="B14" s="148" t="s">
        <v>490</v>
      </c>
      <c r="C14" s="154"/>
      <c r="D14" s="143"/>
      <c r="E14" s="143"/>
      <c r="F14" s="143"/>
      <c r="G14" s="143"/>
      <c r="H14" s="143"/>
      <c r="I14" s="143"/>
      <c r="J14" s="143"/>
      <c r="K14" s="143"/>
      <c r="L14" s="143"/>
      <c r="M14" s="143"/>
      <c r="N14" s="143"/>
      <c r="O14" s="143"/>
      <c r="P14" s="143"/>
    </row>
    <row r="15" spans="1:18" s="144" customFormat="1">
      <c r="A15" s="143"/>
      <c r="B15" s="149" t="s">
        <v>491</v>
      </c>
      <c r="C15" s="150">
        <v>1</v>
      </c>
      <c r="D15" s="151">
        <f>+$C$15*D8*$C$10</f>
        <v>212500</v>
      </c>
      <c r="E15" s="151">
        <f t="shared" ref="E15:O15" si="3">+$C$15*E8*$C$10</f>
        <v>212500</v>
      </c>
      <c r="F15" s="151">
        <f t="shared" si="3"/>
        <v>212500</v>
      </c>
      <c r="G15" s="151">
        <f t="shared" si="3"/>
        <v>212500</v>
      </c>
      <c r="H15" s="151">
        <f t="shared" si="3"/>
        <v>212500</v>
      </c>
      <c r="I15" s="151">
        <f t="shared" si="3"/>
        <v>212500</v>
      </c>
      <c r="J15" s="151">
        <f t="shared" si="3"/>
        <v>212500</v>
      </c>
      <c r="K15" s="151">
        <f t="shared" si="3"/>
        <v>212500</v>
      </c>
      <c r="L15" s="151">
        <f t="shared" si="3"/>
        <v>212500</v>
      </c>
      <c r="M15" s="151">
        <f t="shared" si="3"/>
        <v>212500</v>
      </c>
      <c r="N15" s="151">
        <f t="shared" si="3"/>
        <v>212500</v>
      </c>
      <c r="O15" s="151">
        <f t="shared" si="3"/>
        <v>212500</v>
      </c>
      <c r="P15" s="151">
        <f>SUM(D15:O15)</f>
        <v>2550000</v>
      </c>
    </row>
    <row r="16" spans="1:18" s="144" customFormat="1">
      <c r="A16" s="143"/>
      <c r="B16" s="148" t="s">
        <v>348</v>
      </c>
      <c r="C16" s="150"/>
      <c r="D16" s="143"/>
      <c r="E16" s="143"/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43"/>
    </row>
    <row r="17" spans="1:18" s="144" customFormat="1">
      <c r="A17" s="143"/>
      <c r="B17" s="149" t="s">
        <v>53</v>
      </c>
      <c r="C17" s="150">
        <v>6</v>
      </c>
      <c r="D17" s="151">
        <f>+$C$17*D8*$C$10</f>
        <v>1275000</v>
      </c>
      <c r="E17" s="151">
        <f t="shared" ref="E17:O17" si="4">+$C$17*E8*$C$10</f>
        <v>1275000</v>
      </c>
      <c r="F17" s="151">
        <f t="shared" si="4"/>
        <v>1275000</v>
      </c>
      <c r="G17" s="151">
        <f t="shared" si="4"/>
        <v>1275000</v>
      </c>
      <c r="H17" s="151">
        <f t="shared" si="4"/>
        <v>1275000</v>
      </c>
      <c r="I17" s="151">
        <f t="shared" si="4"/>
        <v>1275000</v>
      </c>
      <c r="J17" s="151">
        <f t="shared" si="4"/>
        <v>1275000</v>
      </c>
      <c r="K17" s="151">
        <f t="shared" si="4"/>
        <v>1275000</v>
      </c>
      <c r="L17" s="151">
        <f t="shared" si="4"/>
        <v>1275000</v>
      </c>
      <c r="M17" s="151">
        <f t="shared" si="4"/>
        <v>1275000</v>
      </c>
      <c r="N17" s="151">
        <f t="shared" si="4"/>
        <v>1275000</v>
      </c>
      <c r="O17" s="151">
        <f t="shared" si="4"/>
        <v>1275000</v>
      </c>
      <c r="P17" s="151">
        <f t="shared" ref="P17:P23" si="5">SUM(D17:O17)</f>
        <v>15300000</v>
      </c>
    </row>
    <row r="18" spans="1:18" s="144" customFormat="1" ht="15.75" customHeight="1">
      <c r="A18" s="143"/>
      <c r="B18" s="149" t="s">
        <v>492</v>
      </c>
      <c r="C18" s="150">
        <v>2</v>
      </c>
      <c r="D18" s="151">
        <f>+$C$18*$C$10*D8/2</f>
        <v>212500</v>
      </c>
      <c r="E18" s="151">
        <f>+$C$18*$C$10*E8/2</f>
        <v>212500</v>
      </c>
      <c r="F18" s="151">
        <f t="shared" ref="F18:O18" si="6">+$C$18*$C$10*F8/2</f>
        <v>212500</v>
      </c>
      <c r="G18" s="151">
        <f t="shared" si="6"/>
        <v>212500</v>
      </c>
      <c r="H18" s="151">
        <f t="shared" si="6"/>
        <v>212500</v>
      </c>
      <c r="I18" s="151">
        <f t="shared" si="6"/>
        <v>212500</v>
      </c>
      <c r="J18" s="151">
        <f t="shared" si="6"/>
        <v>212500</v>
      </c>
      <c r="K18" s="151">
        <f t="shared" si="6"/>
        <v>212500</v>
      </c>
      <c r="L18" s="151">
        <f t="shared" si="6"/>
        <v>212500</v>
      </c>
      <c r="M18" s="151">
        <f t="shared" si="6"/>
        <v>212500</v>
      </c>
      <c r="N18" s="151">
        <f t="shared" si="6"/>
        <v>212500</v>
      </c>
      <c r="O18" s="151">
        <f t="shared" si="6"/>
        <v>212500</v>
      </c>
      <c r="P18" s="151">
        <f t="shared" si="5"/>
        <v>2550000</v>
      </c>
    </row>
    <row r="19" spans="1:18" s="144" customFormat="1">
      <c r="A19" s="143"/>
      <c r="B19" s="148" t="s">
        <v>488</v>
      </c>
      <c r="C19" s="150"/>
      <c r="D19" s="152"/>
      <c r="E19" s="153"/>
      <c r="F19" s="153"/>
      <c r="G19" s="153"/>
      <c r="H19" s="152"/>
      <c r="I19" s="1301"/>
      <c r="J19" s="1301"/>
      <c r="K19" s="1301"/>
      <c r="L19" s="1301"/>
      <c r="M19" s="153"/>
      <c r="N19" s="153"/>
      <c r="O19" s="143"/>
      <c r="P19" s="143"/>
    </row>
    <row r="20" spans="1:18" s="144" customFormat="1">
      <c r="A20" s="143"/>
      <c r="B20" s="149" t="s">
        <v>489</v>
      </c>
      <c r="C20" s="150">
        <v>1</v>
      </c>
      <c r="D20" s="151">
        <f>+$C$20*$C$10*25</f>
        <v>212500</v>
      </c>
      <c r="E20" s="151">
        <f t="shared" ref="E20:O20" si="7">+$C$20*$C$10*25</f>
        <v>212500</v>
      </c>
      <c r="F20" s="151">
        <f t="shared" si="7"/>
        <v>212500</v>
      </c>
      <c r="G20" s="151">
        <f t="shared" si="7"/>
        <v>212500</v>
      </c>
      <c r="H20" s="151">
        <f t="shared" si="7"/>
        <v>212500</v>
      </c>
      <c r="I20" s="151">
        <f t="shared" si="7"/>
        <v>212500</v>
      </c>
      <c r="J20" s="151">
        <f t="shared" si="7"/>
        <v>212500</v>
      </c>
      <c r="K20" s="151">
        <f t="shared" si="7"/>
        <v>212500</v>
      </c>
      <c r="L20" s="151">
        <f t="shared" si="7"/>
        <v>212500</v>
      </c>
      <c r="M20" s="151">
        <f t="shared" si="7"/>
        <v>212500</v>
      </c>
      <c r="N20" s="151">
        <f t="shared" si="7"/>
        <v>212500</v>
      </c>
      <c r="O20" s="151">
        <f t="shared" si="7"/>
        <v>212500</v>
      </c>
      <c r="P20" s="151">
        <f t="shared" si="5"/>
        <v>2550000</v>
      </c>
    </row>
    <row r="21" spans="1:18" s="144" customFormat="1">
      <c r="A21" s="143"/>
      <c r="B21" s="148" t="s">
        <v>493</v>
      </c>
      <c r="C21" s="150"/>
      <c r="D21" s="153"/>
      <c r="E21" s="153"/>
      <c r="F21" s="153"/>
      <c r="G21" s="153"/>
      <c r="H21" s="153"/>
      <c r="I21" s="153"/>
      <c r="J21" s="153"/>
      <c r="K21" s="153"/>
      <c r="L21" s="153"/>
      <c r="M21" s="153"/>
      <c r="N21" s="153"/>
      <c r="O21" s="143"/>
      <c r="P21" s="143"/>
    </row>
    <row r="22" spans="1:18" s="144" customFormat="1" ht="14.25" customHeight="1">
      <c r="A22" s="143"/>
      <c r="B22" s="149" t="s">
        <v>495</v>
      </c>
      <c r="C22" s="150">
        <v>1</v>
      </c>
      <c r="D22" s="151">
        <f>+$C$22*$C$10*25</f>
        <v>212500</v>
      </c>
      <c r="E22" s="151">
        <f t="shared" ref="E22:O22" si="8">+$C$22*$C$10*25</f>
        <v>212500</v>
      </c>
      <c r="F22" s="151">
        <f t="shared" si="8"/>
        <v>212500</v>
      </c>
      <c r="G22" s="151">
        <f t="shared" si="8"/>
        <v>212500</v>
      </c>
      <c r="H22" s="151">
        <f>+$C$22*$C$10*25</f>
        <v>212500</v>
      </c>
      <c r="I22" s="151">
        <f t="shared" si="8"/>
        <v>212500</v>
      </c>
      <c r="J22" s="151">
        <f t="shared" si="8"/>
        <v>212500</v>
      </c>
      <c r="K22" s="151">
        <f t="shared" si="8"/>
        <v>212500</v>
      </c>
      <c r="L22" s="151">
        <f t="shared" si="8"/>
        <v>212500</v>
      </c>
      <c r="M22" s="151">
        <f t="shared" si="8"/>
        <v>212500</v>
      </c>
      <c r="N22" s="151">
        <f t="shared" si="8"/>
        <v>212500</v>
      </c>
      <c r="O22" s="151">
        <f t="shared" si="8"/>
        <v>212500</v>
      </c>
      <c r="P22" s="151">
        <f t="shared" si="5"/>
        <v>2550000</v>
      </c>
    </row>
    <row r="23" spans="1:18" s="144" customFormat="1">
      <c r="A23" s="143"/>
      <c r="B23" s="149" t="s">
        <v>496</v>
      </c>
      <c r="C23" s="150">
        <v>1</v>
      </c>
      <c r="D23" s="151">
        <f>+$C$23*$C$10*25</f>
        <v>212500</v>
      </c>
      <c r="E23" s="151">
        <f t="shared" ref="E23:O23" si="9">+$C$23*$C$10*25</f>
        <v>212500</v>
      </c>
      <c r="F23" s="151">
        <f t="shared" si="9"/>
        <v>212500</v>
      </c>
      <c r="G23" s="151">
        <f t="shared" si="9"/>
        <v>212500</v>
      </c>
      <c r="H23" s="151">
        <f t="shared" si="9"/>
        <v>212500</v>
      </c>
      <c r="I23" s="151">
        <f t="shared" si="9"/>
        <v>212500</v>
      </c>
      <c r="J23" s="151">
        <f t="shared" si="9"/>
        <v>212500</v>
      </c>
      <c r="K23" s="151">
        <f t="shared" si="9"/>
        <v>212500</v>
      </c>
      <c r="L23" s="151">
        <f t="shared" si="9"/>
        <v>212500</v>
      </c>
      <c r="M23" s="151">
        <f t="shared" si="9"/>
        <v>212500</v>
      </c>
      <c r="N23" s="151">
        <f t="shared" si="9"/>
        <v>212500</v>
      </c>
      <c r="O23" s="151">
        <f t="shared" si="9"/>
        <v>212500</v>
      </c>
      <c r="P23" s="151">
        <f t="shared" si="5"/>
        <v>2550000</v>
      </c>
    </row>
    <row r="24" spans="1:18" s="144" customFormat="1">
      <c r="A24" s="791" t="s">
        <v>1288</v>
      </c>
      <c r="B24" s="791"/>
      <c r="C24" s="792">
        <f>SUM(C15:C23)</f>
        <v>12</v>
      </c>
      <c r="D24" s="793">
        <f t="shared" ref="D24:P24" si="10">SUM(D15:D23)</f>
        <v>2337500</v>
      </c>
      <c r="E24" s="793">
        <f t="shared" si="10"/>
        <v>2337500</v>
      </c>
      <c r="F24" s="793">
        <f t="shared" si="10"/>
        <v>2337500</v>
      </c>
      <c r="G24" s="793">
        <f t="shared" si="10"/>
        <v>2337500</v>
      </c>
      <c r="H24" s="793">
        <f t="shared" si="10"/>
        <v>2337500</v>
      </c>
      <c r="I24" s="793">
        <f t="shared" si="10"/>
        <v>2337500</v>
      </c>
      <c r="J24" s="793">
        <f t="shared" si="10"/>
        <v>2337500</v>
      </c>
      <c r="K24" s="793">
        <f t="shared" si="10"/>
        <v>2337500</v>
      </c>
      <c r="L24" s="793">
        <f t="shared" si="10"/>
        <v>2337500</v>
      </c>
      <c r="M24" s="793">
        <f t="shared" si="10"/>
        <v>2337500</v>
      </c>
      <c r="N24" s="793">
        <f t="shared" si="10"/>
        <v>2337500</v>
      </c>
      <c r="O24" s="793">
        <f t="shared" si="10"/>
        <v>2337500</v>
      </c>
      <c r="P24" s="793">
        <f t="shared" si="10"/>
        <v>28050000</v>
      </c>
      <c r="Q24" s="144" t="s">
        <v>1299</v>
      </c>
    </row>
    <row r="25" spans="1:18" s="144" customFormat="1">
      <c r="A25" s="791" t="s">
        <v>1289</v>
      </c>
      <c r="B25" s="791"/>
      <c r="C25" s="792">
        <f>+C24</f>
        <v>12</v>
      </c>
      <c r="D25" s="793">
        <f>+D24*1%</f>
        <v>23375</v>
      </c>
      <c r="E25" s="793">
        <f t="shared" ref="E25:O25" si="11">+E24*1%</f>
        <v>23375</v>
      </c>
      <c r="F25" s="793">
        <f t="shared" si="11"/>
        <v>23375</v>
      </c>
      <c r="G25" s="793">
        <f t="shared" si="11"/>
        <v>23375</v>
      </c>
      <c r="H25" s="793">
        <f t="shared" si="11"/>
        <v>23375</v>
      </c>
      <c r="I25" s="793">
        <f t="shared" si="11"/>
        <v>23375</v>
      </c>
      <c r="J25" s="793">
        <f t="shared" si="11"/>
        <v>23375</v>
      </c>
      <c r="K25" s="793">
        <f t="shared" si="11"/>
        <v>23375</v>
      </c>
      <c r="L25" s="793">
        <f t="shared" si="11"/>
        <v>23375</v>
      </c>
      <c r="M25" s="793">
        <f t="shared" si="11"/>
        <v>23375</v>
      </c>
      <c r="N25" s="793">
        <f t="shared" si="11"/>
        <v>23375</v>
      </c>
      <c r="O25" s="793">
        <f t="shared" si="11"/>
        <v>23375</v>
      </c>
      <c r="P25" s="793">
        <f>+SUM(D25:O25)</f>
        <v>280500</v>
      </c>
    </row>
    <row r="26" spans="1:18" s="144" customFormat="1" ht="13.5" thickBot="1">
      <c r="A26" s="794" t="s">
        <v>1290</v>
      </c>
      <c r="B26" s="795"/>
      <c r="C26" s="796">
        <f>+C25</f>
        <v>12</v>
      </c>
      <c r="D26" s="797">
        <f>+D24+D25</f>
        <v>2360875</v>
      </c>
      <c r="E26" s="797">
        <f t="shared" ref="E26:P26" si="12">+E24+E25</f>
        <v>2360875</v>
      </c>
      <c r="F26" s="797">
        <f t="shared" si="12"/>
        <v>2360875</v>
      </c>
      <c r="G26" s="797">
        <f t="shared" si="12"/>
        <v>2360875</v>
      </c>
      <c r="H26" s="797">
        <f t="shared" si="12"/>
        <v>2360875</v>
      </c>
      <c r="I26" s="797">
        <f t="shared" si="12"/>
        <v>2360875</v>
      </c>
      <c r="J26" s="797">
        <f t="shared" si="12"/>
        <v>2360875</v>
      </c>
      <c r="K26" s="797">
        <f t="shared" si="12"/>
        <v>2360875</v>
      </c>
      <c r="L26" s="797">
        <f t="shared" si="12"/>
        <v>2360875</v>
      </c>
      <c r="M26" s="797">
        <f t="shared" si="12"/>
        <v>2360875</v>
      </c>
      <c r="N26" s="797">
        <f t="shared" si="12"/>
        <v>2360875</v>
      </c>
      <c r="O26" s="797">
        <f t="shared" si="12"/>
        <v>2360875</v>
      </c>
      <c r="P26" s="797">
        <f t="shared" si="12"/>
        <v>28330500</v>
      </c>
    </row>
    <row r="27" spans="1:18" s="144" customFormat="1" ht="13.5" thickBot="1">
      <c r="A27" s="143"/>
      <c r="B27" s="143"/>
      <c r="C27" s="150"/>
      <c r="D27" s="143"/>
      <c r="E27" s="143"/>
      <c r="F27" s="143"/>
      <c r="G27" s="143"/>
      <c r="H27" s="143"/>
      <c r="I27" s="143"/>
      <c r="J27" s="143"/>
      <c r="K27" s="143"/>
      <c r="L27" s="143"/>
      <c r="M27" s="143"/>
      <c r="N27" s="143"/>
      <c r="O27" s="143"/>
      <c r="P27" s="143"/>
    </row>
    <row r="28" spans="1:18" s="144" customFormat="1">
      <c r="A28" s="787" t="s">
        <v>1294</v>
      </c>
      <c r="B28" s="788"/>
      <c r="C28" s="789" t="str">
        <f>+C13</f>
        <v>Nombres</v>
      </c>
      <c r="D28" s="790" t="str">
        <f t="shared" ref="D28:P28" si="13">+D13</f>
        <v>M1</v>
      </c>
      <c r="E28" s="790" t="str">
        <f t="shared" si="13"/>
        <v>M2</v>
      </c>
      <c r="F28" s="790" t="str">
        <f t="shared" si="13"/>
        <v>M3</v>
      </c>
      <c r="G28" s="790" t="str">
        <f t="shared" si="13"/>
        <v>M4</v>
      </c>
      <c r="H28" s="790" t="str">
        <f t="shared" si="13"/>
        <v>M5</v>
      </c>
      <c r="I28" s="790" t="str">
        <f t="shared" si="13"/>
        <v>M6</v>
      </c>
      <c r="J28" s="790" t="str">
        <f t="shared" si="13"/>
        <v>M7</v>
      </c>
      <c r="K28" s="790" t="str">
        <f t="shared" si="13"/>
        <v>M8</v>
      </c>
      <c r="L28" s="790" t="str">
        <f t="shared" si="13"/>
        <v>M9</v>
      </c>
      <c r="M28" s="790" t="str">
        <f t="shared" si="13"/>
        <v>M10</v>
      </c>
      <c r="N28" s="790" t="str">
        <f t="shared" si="13"/>
        <v>M11</v>
      </c>
      <c r="O28" s="790" t="str">
        <f t="shared" si="13"/>
        <v>M12</v>
      </c>
      <c r="P28" s="790" t="str">
        <f t="shared" si="13"/>
        <v>Total</v>
      </c>
    </row>
    <row r="29" spans="1:18" s="144" customFormat="1">
      <c r="A29" s="156" t="s">
        <v>353</v>
      </c>
      <c r="B29" s="143"/>
      <c r="C29" s="150"/>
      <c r="D29" s="143"/>
      <c r="E29" s="143"/>
      <c r="F29" s="143"/>
      <c r="G29" s="143"/>
      <c r="H29" s="143"/>
      <c r="I29" s="143"/>
      <c r="J29" s="143"/>
      <c r="K29" s="143"/>
      <c r="L29" s="143"/>
      <c r="M29" s="143"/>
      <c r="N29" s="143"/>
      <c r="O29" s="143"/>
      <c r="P29" s="143"/>
    </row>
    <row r="30" spans="1:18" s="144" customFormat="1">
      <c r="A30" s="143" t="s">
        <v>1274</v>
      </c>
      <c r="B30" s="149" t="str">
        <f>+Feuil3!B38</f>
        <v>Directeur de site</v>
      </c>
      <c r="C30" s="150">
        <f>+Feuil3!C38</f>
        <v>1</v>
      </c>
      <c r="D30" s="155">
        <f>+Feuil3!H38</f>
        <v>2000000</v>
      </c>
      <c r="E30" s="155">
        <f t="shared" ref="E30:O35" si="14">+D30</f>
        <v>2000000</v>
      </c>
      <c r="F30" s="155">
        <f t="shared" si="14"/>
        <v>2000000</v>
      </c>
      <c r="G30" s="155">
        <f t="shared" si="14"/>
        <v>2000000</v>
      </c>
      <c r="H30" s="155">
        <f t="shared" si="14"/>
        <v>2000000</v>
      </c>
      <c r="I30" s="155">
        <f t="shared" si="14"/>
        <v>2000000</v>
      </c>
      <c r="J30" s="155">
        <f t="shared" si="14"/>
        <v>2000000</v>
      </c>
      <c r="K30" s="155">
        <f t="shared" si="14"/>
        <v>2000000</v>
      </c>
      <c r="L30" s="155">
        <f t="shared" si="14"/>
        <v>2000000</v>
      </c>
      <c r="M30" s="155">
        <f t="shared" si="14"/>
        <v>2000000</v>
      </c>
      <c r="N30" s="155">
        <f t="shared" si="14"/>
        <v>2000000</v>
      </c>
      <c r="O30" s="155">
        <f t="shared" si="14"/>
        <v>2000000</v>
      </c>
      <c r="P30" s="151">
        <f t="shared" ref="P30:P35" si="15">SUM(D30:O30)</f>
        <v>24000000</v>
      </c>
      <c r="Q30" s="144" t="s">
        <v>1298</v>
      </c>
      <c r="R30" s="1107">
        <f>+D30/C30</f>
        <v>2000000</v>
      </c>
    </row>
    <row r="31" spans="1:18" s="144" customFormat="1">
      <c r="A31" s="143" t="s">
        <v>1274</v>
      </c>
      <c r="B31" s="149" t="str">
        <f>+Feuil3!B39</f>
        <v>Collecteurs</v>
      </c>
      <c r="C31" s="150">
        <f>+Feuil3!C39</f>
        <v>6</v>
      </c>
      <c r="D31" s="155">
        <f>+Feuil3!H39</f>
        <v>1500000</v>
      </c>
      <c r="E31" s="155">
        <f t="shared" si="14"/>
        <v>1500000</v>
      </c>
      <c r="F31" s="155">
        <f t="shared" si="14"/>
        <v>1500000</v>
      </c>
      <c r="G31" s="155">
        <f t="shared" si="14"/>
        <v>1500000</v>
      </c>
      <c r="H31" s="155">
        <f t="shared" si="14"/>
        <v>1500000</v>
      </c>
      <c r="I31" s="155">
        <f t="shared" si="14"/>
        <v>1500000</v>
      </c>
      <c r="J31" s="155">
        <f t="shared" si="14"/>
        <v>1500000</v>
      </c>
      <c r="K31" s="155">
        <f t="shared" si="14"/>
        <v>1500000</v>
      </c>
      <c r="L31" s="155">
        <f t="shared" si="14"/>
        <v>1500000</v>
      </c>
      <c r="M31" s="155">
        <f t="shared" si="14"/>
        <v>1500000</v>
      </c>
      <c r="N31" s="155">
        <f t="shared" si="14"/>
        <v>1500000</v>
      </c>
      <c r="O31" s="155">
        <f t="shared" si="14"/>
        <v>1500000</v>
      </c>
      <c r="P31" s="151">
        <f t="shared" si="15"/>
        <v>18000000</v>
      </c>
      <c r="Q31" s="144" t="s">
        <v>1298</v>
      </c>
      <c r="R31" s="1107">
        <f t="shared" ref="R31:R45" si="16">+D31/C31</f>
        <v>250000</v>
      </c>
    </row>
    <row r="32" spans="1:18" s="144" customFormat="1">
      <c r="A32" s="143" t="s">
        <v>1274</v>
      </c>
      <c r="B32" s="149" t="str">
        <f>+Feuil3!B40</f>
        <v>Aide colleceturs</v>
      </c>
      <c r="C32" s="150">
        <f>+Feuil3!C40</f>
        <v>6</v>
      </c>
      <c r="D32" s="155">
        <f>+Feuil3!H40</f>
        <v>900000</v>
      </c>
      <c r="E32" s="155">
        <f t="shared" si="14"/>
        <v>900000</v>
      </c>
      <c r="F32" s="155">
        <f t="shared" si="14"/>
        <v>900000</v>
      </c>
      <c r="G32" s="155">
        <f t="shared" si="14"/>
        <v>900000</v>
      </c>
      <c r="H32" s="155">
        <f t="shared" si="14"/>
        <v>900000</v>
      </c>
      <c r="I32" s="155">
        <f t="shared" si="14"/>
        <v>900000</v>
      </c>
      <c r="J32" s="155">
        <f t="shared" si="14"/>
        <v>900000</v>
      </c>
      <c r="K32" s="155">
        <f t="shared" si="14"/>
        <v>900000</v>
      </c>
      <c r="L32" s="155">
        <f t="shared" si="14"/>
        <v>900000</v>
      </c>
      <c r="M32" s="155">
        <f t="shared" si="14"/>
        <v>900000</v>
      </c>
      <c r="N32" s="155">
        <f t="shared" si="14"/>
        <v>900000</v>
      </c>
      <c r="O32" s="155">
        <f t="shared" si="14"/>
        <v>900000</v>
      </c>
      <c r="P32" s="151">
        <f t="shared" si="15"/>
        <v>10800000</v>
      </c>
      <c r="Q32" s="144" t="s">
        <v>1298</v>
      </c>
      <c r="R32" s="1107">
        <f t="shared" si="16"/>
        <v>150000</v>
      </c>
    </row>
    <row r="33" spans="1:18" s="144" customFormat="1">
      <c r="A33" s="143" t="s">
        <v>1275</v>
      </c>
      <c r="B33" s="149" t="str">
        <f>+Feuil3!B41</f>
        <v>RAF</v>
      </c>
      <c r="C33" s="150">
        <f>+Feuil3!C41</f>
        <v>1</v>
      </c>
      <c r="D33" s="155">
        <f>+Feuil3!H41</f>
        <v>500000</v>
      </c>
      <c r="E33" s="155">
        <f t="shared" si="14"/>
        <v>500000</v>
      </c>
      <c r="F33" s="155">
        <f t="shared" si="14"/>
        <v>500000</v>
      </c>
      <c r="G33" s="155">
        <f t="shared" si="14"/>
        <v>500000</v>
      </c>
      <c r="H33" s="155">
        <f t="shared" si="14"/>
        <v>500000</v>
      </c>
      <c r="I33" s="155">
        <f t="shared" si="14"/>
        <v>500000</v>
      </c>
      <c r="J33" s="155">
        <f t="shared" si="14"/>
        <v>500000</v>
      </c>
      <c r="K33" s="155">
        <f t="shared" si="14"/>
        <v>500000</v>
      </c>
      <c r="L33" s="155">
        <f t="shared" si="14"/>
        <v>500000</v>
      </c>
      <c r="M33" s="155">
        <f t="shared" si="14"/>
        <v>500000</v>
      </c>
      <c r="N33" s="155">
        <f t="shared" si="14"/>
        <v>500000</v>
      </c>
      <c r="O33" s="155">
        <f t="shared" si="14"/>
        <v>500000</v>
      </c>
      <c r="P33" s="151">
        <f t="shared" si="15"/>
        <v>6000000</v>
      </c>
      <c r="Q33" s="144" t="s">
        <v>1298</v>
      </c>
      <c r="R33" s="1107">
        <f t="shared" si="16"/>
        <v>500000</v>
      </c>
    </row>
    <row r="34" spans="1:18" s="144" customFormat="1">
      <c r="A34" s="143" t="s">
        <v>1275</v>
      </c>
      <c r="B34" s="149" t="str">
        <f>+Feuil3!B42</f>
        <v>Resp Transit</v>
      </c>
      <c r="C34" s="150">
        <f>+Feuil3!C42</f>
        <v>1</v>
      </c>
      <c r="D34" s="155">
        <f>+Feuil3!H42</f>
        <v>500000</v>
      </c>
      <c r="E34" s="155">
        <f t="shared" si="14"/>
        <v>500000</v>
      </c>
      <c r="F34" s="155">
        <f t="shared" si="14"/>
        <v>500000</v>
      </c>
      <c r="G34" s="155">
        <f t="shared" si="14"/>
        <v>500000</v>
      </c>
      <c r="H34" s="155">
        <f t="shared" si="14"/>
        <v>500000</v>
      </c>
      <c r="I34" s="155">
        <f t="shared" si="14"/>
        <v>500000</v>
      </c>
      <c r="J34" s="155">
        <f t="shared" si="14"/>
        <v>500000</v>
      </c>
      <c r="K34" s="155">
        <f t="shared" si="14"/>
        <v>500000</v>
      </c>
      <c r="L34" s="155">
        <f t="shared" si="14"/>
        <v>500000</v>
      </c>
      <c r="M34" s="155">
        <f t="shared" si="14"/>
        <v>500000</v>
      </c>
      <c r="N34" s="155">
        <f t="shared" si="14"/>
        <v>500000</v>
      </c>
      <c r="O34" s="155">
        <f t="shared" si="14"/>
        <v>500000</v>
      </c>
      <c r="P34" s="151">
        <f t="shared" si="15"/>
        <v>6000000</v>
      </c>
      <c r="Q34" s="144" t="s">
        <v>1298</v>
      </c>
      <c r="R34" s="1107">
        <f t="shared" si="16"/>
        <v>500000</v>
      </c>
    </row>
    <row r="35" spans="1:18" s="144" customFormat="1">
      <c r="A35" s="143" t="s">
        <v>1275</v>
      </c>
      <c r="B35" s="149" t="str">
        <f>+Feuil3!B43</f>
        <v>Resp Mica</v>
      </c>
      <c r="C35" s="150">
        <f>+Feuil3!C43</f>
        <v>3</v>
      </c>
      <c r="D35" s="155">
        <f>+Feuil3!H43</f>
        <v>1500000</v>
      </c>
      <c r="E35" s="155">
        <f t="shared" si="14"/>
        <v>1500000</v>
      </c>
      <c r="F35" s="155">
        <f t="shared" si="14"/>
        <v>1500000</v>
      </c>
      <c r="G35" s="155">
        <f t="shared" si="14"/>
        <v>1500000</v>
      </c>
      <c r="H35" s="155">
        <f t="shared" si="14"/>
        <v>1500000</v>
      </c>
      <c r="I35" s="155">
        <f t="shared" si="14"/>
        <v>1500000</v>
      </c>
      <c r="J35" s="155">
        <f t="shared" si="14"/>
        <v>1500000</v>
      </c>
      <c r="K35" s="155">
        <f t="shared" si="14"/>
        <v>1500000</v>
      </c>
      <c r="L35" s="155">
        <f t="shared" si="14"/>
        <v>1500000</v>
      </c>
      <c r="M35" s="155">
        <f t="shared" si="14"/>
        <v>1500000</v>
      </c>
      <c r="N35" s="155">
        <f t="shared" si="14"/>
        <v>1500000</v>
      </c>
      <c r="O35" s="155">
        <f t="shared" si="14"/>
        <v>1500000</v>
      </c>
      <c r="P35" s="151">
        <f t="shared" si="15"/>
        <v>18000000</v>
      </c>
      <c r="Q35" s="144" t="s">
        <v>1298</v>
      </c>
      <c r="R35" s="1107">
        <f t="shared" si="16"/>
        <v>500000</v>
      </c>
    </row>
    <row r="36" spans="1:18" s="144" customFormat="1">
      <c r="A36" s="143" t="s">
        <v>1275</v>
      </c>
      <c r="B36" s="149" t="str">
        <f>+Feuil3!B44</f>
        <v>Resp Entretien</v>
      </c>
      <c r="C36" s="150">
        <f>+Feuil3!C44</f>
        <v>0</v>
      </c>
      <c r="D36" s="155">
        <f>+Feuil3!H44</f>
        <v>0</v>
      </c>
      <c r="E36" s="155">
        <f t="shared" ref="E36" si="17">+D36</f>
        <v>0</v>
      </c>
      <c r="F36" s="155">
        <f t="shared" ref="F36" si="18">+E36</f>
        <v>0</v>
      </c>
      <c r="G36" s="155">
        <f t="shared" ref="G36" si="19">+F36</f>
        <v>0</v>
      </c>
      <c r="H36" s="155">
        <f t="shared" ref="H36" si="20">+G36</f>
        <v>0</v>
      </c>
      <c r="I36" s="155">
        <f t="shared" ref="I36" si="21">+H36</f>
        <v>0</v>
      </c>
      <c r="J36" s="155">
        <f t="shared" ref="J36" si="22">+I36</f>
        <v>0</v>
      </c>
      <c r="K36" s="155">
        <f t="shared" ref="K36" si="23">+J36</f>
        <v>0</v>
      </c>
      <c r="L36" s="155">
        <f t="shared" ref="L36" si="24">+K36</f>
        <v>0</v>
      </c>
      <c r="M36" s="155">
        <f t="shared" ref="M36" si="25">+L36</f>
        <v>0</v>
      </c>
      <c r="N36" s="155">
        <f t="shared" ref="N36" si="26">+M36</f>
        <v>0</v>
      </c>
      <c r="O36" s="155">
        <f t="shared" ref="O36" si="27">+N36</f>
        <v>0</v>
      </c>
      <c r="P36" s="151">
        <f t="shared" ref="P36" si="28">SUM(D36:O36)</f>
        <v>0</v>
      </c>
      <c r="Q36" s="144" t="s">
        <v>1298</v>
      </c>
      <c r="R36" s="1107" t="e">
        <f t="shared" si="16"/>
        <v>#DIV/0!</v>
      </c>
    </row>
    <row r="37" spans="1:18" s="144" customFormat="1">
      <c r="A37" s="143" t="s">
        <v>1275</v>
      </c>
      <c r="B37" s="149" t="str">
        <f>+Feuil3!B45</f>
        <v>Transitaire</v>
      </c>
      <c r="C37" s="150">
        <f>+Feuil3!C45</f>
        <v>2</v>
      </c>
      <c r="D37" s="155">
        <f>+Feuil3!H45</f>
        <v>1000000</v>
      </c>
      <c r="E37" s="155">
        <f t="shared" ref="E37:O44" si="29">+D37</f>
        <v>1000000</v>
      </c>
      <c r="F37" s="155">
        <f t="shared" si="29"/>
        <v>1000000</v>
      </c>
      <c r="G37" s="155">
        <f t="shared" si="29"/>
        <v>1000000</v>
      </c>
      <c r="H37" s="155">
        <f t="shared" si="29"/>
        <v>1000000</v>
      </c>
      <c r="I37" s="155">
        <f t="shared" si="29"/>
        <v>1000000</v>
      </c>
      <c r="J37" s="155">
        <f t="shared" si="29"/>
        <v>1000000</v>
      </c>
      <c r="K37" s="155">
        <f t="shared" si="29"/>
        <v>1000000</v>
      </c>
      <c r="L37" s="155">
        <f t="shared" si="29"/>
        <v>1000000</v>
      </c>
      <c r="M37" s="155">
        <f t="shared" si="29"/>
        <v>1000000</v>
      </c>
      <c r="N37" s="155">
        <f t="shared" si="29"/>
        <v>1000000</v>
      </c>
      <c r="O37" s="155">
        <f t="shared" si="29"/>
        <v>1000000</v>
      </c>
      <c r="P37" s="151">
        <f t="shared" ref="P37:P44" si="30">SUM(D37:O37)</f>
        <v>12000000</v>
      </c>
      <c r="Q37" s="144" t="s">
        <v>1298</v>
      </c>
      <c r="R37" s="1107">
        <f t="shared" si="16"/>
        <v>500000</v>
      </c>
    </row>
    <row r="38" spans="1:18" s="144" customFormat="1">
      <c r="A38" s="143" t="s">
        <v>1275</v>
      </c>
      <c r="B38" s="149" t="str">
        <f>+Feuil3!B46</f>
        <v>Cliveuse</v>
      </c>
      <c r="C38" s="150">
        <f>+Feuil3!C46</f>
        <v>3</v>
      </c>
      <c r="D38" s="155">
        <f>+Feuil3!H46</f>
        <v>750000</v>
      </c>
      <c r="E38" s="155">
        <f t="shared" si="29"/>
        <v>750000</v>
      </c>
      <c r="F38" s="155">
        <f t="shared" si="29"/>
        <v>750000</v>
      </c>
      <c r="G38" s="155">
        <f t="shared" si="29"/>
        <v>750000</v>
      </c>
      <c r="H38" s="155">
        <f t="shared" si="29"/>
        <v>750000</v>
      </c>
      <c r="I38" s="155">
        <f t="shared" si="29"/>
        <v>750000</v>
      </c>
      <c r="J38" s="155">
        <f t="shared" si="29"/>
        <v>750000</v>
      </c>
      <c r="K38" s="155">
        <f t="shared" si="29"/>
        <v>750000</v>
      </c>
      <c r="L38" s="155">
        <f t="shared" si="29"/>
        <v>750000</v>
      </c>
      <c r="M38" s="155">
        <f t="shared" si="29"/>
        <v>750000</v>
      </c>
      <c r="N38" s="155">
        <f t="shared" si="29"/>
        <v>750000</v>
      </c>
      <c r="O38" s="155">
        <f t="shared" si="29"/>
        <v>750000</v>
      </c>
      <c r="P38" s="151">
        <f t="shared" si="30"/>
        <v>9000000</v>
      </c>
      <c r="Q38" s="144" t="s">
        <v>1298</v>
      </c>
      <c r="R38" s="1107">
        <f t="shared" si="16"/>
        <v>250000</v>
      </c>
    </row>
    <row r="39" spans="1:18" s="144" customFormat="1">
      <c r="A39" s="143" t="s">
        <v>1275</v>
      </c>
      <c r="B39" s="149" t="str">
        <f>+Feuil3!B47</f>
        <v>Aide Entretien</v>
      </c>
      <c r="C39" s="150">
        <f>+Feuil3!C47</f>
        <v>0</v>
      </c>
      <c r="D39" s="155">
        <f>+Feuil3!H47</f>
        <v>0</v>
      </c>
      <c r="E39" s="155">
        <f t="shared" ref="E39:O42" si="31">+D39</f>
        <v>0</v>
      </c>
      <c r="F39" s="155">
        <f t="shared" si="31"/>
        <v>0</v>
      </c>
      <c r="G39" s="155">
        <f t="shared" si="31"/>
        <v>0</v>
      </c>
      <c r="H39" s="155">
        <f t="shared" si="31"/>
        <v>0</v>
      </c>
      <c r="I39" s="155">
        <f t="shared" si="31"/>
        <v>0</v>
      </c>
      <c r="J39" s="155">
        <f t="shared" si="31"/>
        <v>0</v>
      </c>
      <c r="K39" s="155">
        <f t="shared" si="31"/>
        <v>0</v>
      </c>
      <c r="L39" s="155">
        <f t="shared" si="31"/>
        <v>0</v>
      </c>
      <c r="M39" s="155">
        <f t="shared" si="31"/>
        <v>0</v>
      </c>
      <c r="N39" s="155">
        <f t="shared" si="31"/>
        <v>0</v>
      </c>
      <c r="O39" s="155">
        <f t="shared" si="31"/>
        <v>0</v>
      </c>
      <c r="P39" s="151">
        <f t="shared" ref="P39:P41" si="32">SUM(D39:O39)</f>
        <v>0</v>
      </c>
      <c r="Q39" s="144" t="s">
        <v>1298</v>
      </c>
      <c r="R39" s="1107" t="e">
        <f t="shared" si="16"/>
        <v>#DIV/0!</v>
      </c>
    </row>
    <row r="40" spans="1:18" s="144" customFormat="1">
      <c r="A40" s="143" t="s">
        <v>1275</v>
      </c>
      <c r="B40" s="149" t="str">
        <f>+Feuil3!B48</f>
        <v>Chauffeur</v>
      </c>
      <c r="C40" s="150">
        <f>+Feuil3!C48</f>
        <v>1</v>
      </c>
      <c r="D40" s="155">
        <f>+Feuil3!H48</f>
        <v>275000</v>
      </c>
      <c r="E40" s="155">
        <f t="shared" si="31"/>
        <v>275000</v>
      </c>
      <c r="F40" s="155">
        <f t="shared" si="31"/>
        <v>275000</v>
      </c>
      <c r="G40" s="155">
        <f t="shared" si="31"/>
        <v>275000</v>
      </c>
      <c r="H40" s="155">
        <f t="shared" si="31"/>
        <v>275000</v>
      </c>
      <c r="I40" s="155">
        <f t="shared" si="31"/>
        <v>275000</v>
      </c>
      <c r="J40" s="155">
        <f t="shared" si="31"/>
        <v>275000</v>
      </c>
      <c r="K40" s="155">
        <f t="shared" si="31"/>
        <v>275000</v>
      </c>
      <c r="L40" s="155">
        <f t="shared" si="31"/>
        <v>275000</v>
      </c>
      <c r="M40" s="155">
        <f t="shared" si="31"/>
        <v>275000</v>
      </c>
      <c r="N40" s="155">
        <f t="shared" si="31"/>
        <v>275000</v>
      </c>
      <c r="O40" s="155">
        <f t="shared" si="31"/>
        <v>275000</v>
      </c>
      <c r="P40" s="151">
        <f t="shared" si="32"/>
        <v>3300000</v>
      </c>
      <c r="Q40" s="144" t="s">
        <v>1298</v>
      </c>
      <c r="R40" s="1107">
        <f t="shared" si="16"/>
        <v>275000</v>
      </c>
    </row>
    <row r="41" spans="1:18" s="144" customFormat="1">
      <c r="A41" s="143" t="s">
        <v>1275</v>
      </c>
      <c r="B41" s="149" t="str">
        <f>+Feuil3!B49</f>
        <v>Aide Chauffeur</v>
      </c>
      <c r="C41" s="150">
        <f>+Feuil3!C49</f>
        <v>1</v>
      </c>
      <c r="D41" s="155">
        <f>+Feuil3!H49</f>
        <v>250000</v>
      </c>
      <c r="E41" s="155">
        <f t="shared" si="31"/>
        <v>250000</v>
      </c>
      <c r="F41" s="155">
        <f t="shared" si="31"/>
        <v>250000</v>
      </c>
      <c r="G41" s="155">
        <f t="shared" si="31"/>
        <v>250000</v>
      </c>
      <c r="H41" s="155">
        <f t="shared" si="31"/>
        <v>250000</v>
      </c>
      <c r="I41" s="155">
        <f t="shared" si="31"/>
        <v>250000</v>
      </c>
      <c r="J41" s="155">
        <f t="shared" si="31"/>
        <v>250000</v>
      </c>
      <c r="K41" s="155">
        <f t="shared" si="31"/>
        <v>250000</v>
      </c>
      <c r="L41" s="155">
        <f t="shared" si="31"/>
        <v>250000</v>
      </c>
      <c r="M41" s="155">
        <f t="shared" si="31"/>
        <v>250000</v>
      </c>
      <c r="N41" s="155">
        <f t="shared" si="31"/>
        <v>250000</v>
      </c>
      <c r="O41" s="155">
        <f t="shared" si="31"/>
        <v>250000</v>
      </c>
      <c r="P41" s="151">
        <f t="shared" si="32"/>
        <v>3000000</v>
      </c>
      <c r="Q41" s="144" t="s">
        <v>1298</v>
      </c>
      <c r="R41" s="1107">
        <f t="shared" si="16"/>
        <v>250000</v>
      </c>
    </row>
    <row r="42" spans="1:18" s="144" customFormat="1">
      <c r="A42" s="143" t="s">
        <v>1275</v>
      </c>
      <c r="B42" s="149" t="str">
        <f>+Feuil3!B50</f>
        <v>Caissiere</v>
      </c>
      <c r="C42" s="150">
        <f>+Feuil3!C50</f>
        <v>1</v>
      </c>
      <c r="D42" s="155">
        <f>+Feuil3!H50</f>
        <v>250000</v>
      </c>
      <c r="E42" s="155">
        <f t="shared" si="31"/>
        <v>250000</v>
      </c>
      <c r="F42" s="155">
        <f t="shared" si="31"/>
        <v>250000</v>
      </c>
      <c r="G42" s="155">
        <f t="shared" si="31"/>
        <v>250000</v>
      </c>
      <c r="H42" s="155">
        <f t="shared" si="31"/>
        <v>250000</v>
      </c>
      <c r="I42" s="155">
        <f t="shared" si="31"/>
        <v>250000</v>
      </c>
      <c r="J42" s="155">
        <f t="shared" si="31"/>
        <v>250000</v>
      </c>
      <c r="K42" s="155">
        <f t="shared" si="31"/>
        <v>250000</v>
      </c>
      <c r="L42" s="155">
        <f t="shared" si="31"/>
        <v>250000</v>
      </c>
      <c r="M42" s="155">
        <f t="shared" si="31"/>
        <v>250000</v>
      </c>
      <c r="N42" s="155">
        <f t="shared" si="31"/>
        <v>250000</v>
      </c>
      <c r="O42" s="155">
        <f t="shared" si="31"/>
        <v>250000</v>
      </c>
      <c r="P42" s="151">
        <f t="shared" ref="P42" si="33">SUM(D42:O42)</f>
        <v>3000000</v>
      </c>
      <c r="Q42" s="144" t="s">
        <v>1298</v>
      </c>
      <c r="R42" s="1107">
        <f t="shared" si="16"/>
        <v>250000</v>
      </c>
    </row>
    <row r="43" spans="1:18" s="144" customFormat="1">
      <c r="A43" s="143" t="s">
        <v>1274</v>
      </c>
      <c r="B43" s="149" t="str">
        <f>+Feuil3!B51</f>
        <v>Controleur de gestion</v>
      </c>
      <c r="C43" s="150">
        <f>+Feuil3!C51</f>
        <v>1</v>
      </c>
      <c r="D43" s="155">
        <f>+Feuil3!H51</f>
        <v>1500000</v>
      </c>
      <c r="E43" s="155">
        <f t="shared" si="29"/>
        <v>1500000</v>
      </c>
      <c r="F43" s="155">
        <f t="shared" si="29"/>
        <v>1500000</v>
      </c>
      <c r="G43" s="155">
        <f t="shared" si="29"/>
        <v>1500000</v>
      </c>
      <c r="H43" s="155">
        <f t="shared" si="29"/>
        <v>1500000</v>
      </c>
      <c r="I43" s="155">
        <f t="shared" si="29"/>
        <v>1500000</v>
      </c>
      <c r="J43" s="155">
        <f t="shared" si="29"/>
        <v>1500000</v>
      </c>
      <c r="K43" s="155">
        <f t="shared" si="29"/>
        <v>1500000</v>
      </c>
      <c r="L43" s="155">
        <f t="shared" si="29"/>
        <v>1500000</v>
      </c>
      <c r="M43" s="155">
        <f t="shared" si="29"/>
        <v>1500000</v>
      </c>
      <c r="N43" s="155">
        <f t="shared" si="29"/>
        <v>1500000</v>
      </c>
      <c r="O43" s="155">
        <f t="shared" si="29"/>
        <v>1500000</v>
      </c>
      <c r="P43" s="151">
        <f t="shared" si="30"/>
        <v>18000000</v>
      </c>
      <c r="Q43" s="144" t="s">
        <v>1298</v>
      </c>
      <c r="R43" s="1107">
        <f t="shared" si="16"/>
        <v>1500000</v>
      </c>
    </row>
    <row r="44" spans="1:18" s="144" customFormat="1">
      <c r="A44" s="143" t="s">
        <v>1274</v>
      </c>
      <c r="B44" s="149" t="str">
        <f>+Feuil3!B52</f>
        <v>Assistant controleur</v>
      </c>
      <c r="C44" s="150">
        <f>+Feuil3!C52</f>
        <v>1</v>
      </c>
      <c r="D44" s="155">
        <f>+Feuil3!H52</f>
        <v>500000</v>
      </c>
      <c r="E44" s="155">
        <f t="shared" si="29"/>
        <v>500000</v>
      </c>
      <c r="F44" s="155">
        <f t="shared" si="29"/>
        <v>500000</v>
      </c>
      <c r="G44" s="155">
        <f t="shared" si="29"/>
        <v>500000</v>
      </c>
      <c r="H44" s="155">
        <f t="shared" si="29"/>
        <v>500000</v>
      </c>
      <c r="I44" s="155">
        <f t="shared" si="29"/>
        <v>500000</v>
      </c>
      <c r="J44" s="155">
        <f t="shared" si="29"/>
        <v>500000</v>
      </c>
      <c r="K44" s="155">
        <f t="shared" si="29"/>
        <v>500000</v>
      </c>
      <c r="L44" s="155">
        <f t="shared" si="29"/>
        <v>500000</v>
      </c>
      <c r="M44" s="155">
        <f t="shared" si="29"/>
        <v>500000</v>
      </c>
      <c r="N44" s="155">
        <f t="shared" si="29"/>
        <v>500000</v>
      </c>
      <c r="O44" s="155">
        <f t="shared" si="29"/>
        <v>500000</v>
      </c>
      <c r="P44" s="151">
        <f t="shared" si="30"/>
        <v>6000000</v>
      </c>
      <c r="Q44" s="144" t="s">
        <v>1298</v>
      </c>
      <c r="R44" s="1107">
        <f t="shared" si="16"/>
        <v>500000</v>
      </c>
    </row>
    <row r="45" spans="1:18" s="144" customFormat="1">
      <c r="A45" s="143" t="s">
        <v>1274</v>
      </c>
      <c r="B45" s="149" t="str">
        <f>+Feuil3!B53</f>
        <v>Controleur autre site</v>
      </c>
      <c r="C45" s="150">
        <f>+Feuil3!C53</f>
        <v>2</v>
      </c>
      <c r="D45" s="155">
        <f>+Feuil3!H53</f>
        <v>600000</v>
      </c>
      <c r="E45" s="155">
        <f t="shared" ref="E45:O65" si="34">+D45</f>
        <v>600000</v>
      </c>
      <c r="F45" s="155">
        <f t="shared" si="34"/>
        <v>600000</v>
      </c>
      <c r="G45" s="155">
        <f t="shared" si="34"/>
        <v>600000</v>
      </c>
      <c r="H45" s="155">
        <f t="shared" si="34"/>
        <v>600000</v>
      </c>
      <c r="I45" s="155">
        <f t="shared" si="34"/>
        <v>600000</v>
      </c>
      <c r="J45" s="155">
        <f t="shared" si="34"/>
        <v>600000</v>
      </c>
      <c r="K45" s="155">
        <f t="shared" si="34"/>
        <v>600000</v>
      </c>
      <c r="L45" s="155">
        <f t="shared" si="34"/>
        <v>600000</v>
      </c>
      <c r="M45" s="155">
        <f t="shared" si="34"/>
        <v>600000</v>
      </c>
      <c r="N45" s="155">
        <f t="shared" si="34"/>
        <v>600000</v>
      </c>
      <c r="O45" s="155">
        <f t="shared" si="34"/>
        <v>600000</v>
      </c>
      <c r="P45" s="151">
        <f t="shared" ref="P45:P65" si="35">SUM(D45:O45)</f>
        <v>7200000</v>
      </c>
      <c r="Q45" s="144" t="s">
        <v>1298</v>
      </c>
      <c r="R45" s="1107">
        <f t="shared" si="16"/>
        <v>300000</v>
      </c>
    </row>
    <row r="46" spans="1:18" s="144" customFormat="1">
      <c r="A46" s="798"/>
      <c r="B46" s="799" t="s">
        <v>33</v>
      </c>
      <c r="C46" s="800">
        <f t="shared" ref="C46:P46" si="36">SUM(C30:C45)</f>
        <v>30</v>
      </c>
      <c r="D46" s="801">
        <f t="shared" si="36"/>
        <v>12025000</v>
      </c>
      <c r="E46" s="801">
        <f t="shared" si="36"/>
        <v>12025000</v>
      </c>
      <c r="F46" s="801">
        <f t="shared" si="36"/>
        <v>12025000</v>
      </c>
      <c r="G46" s="801">
        <f t="shared" si="36"/>
        <v>12025000</v>
      </c>
      <c r="H46" s="801">
        <f t="shared" si="36"/>
        <v>12025000</v>
      </c>
      <c r="I46" s="801">
        <f t="shared" si="36"/>
        <v>12025000</v>
      </c>
      <c r="J46" s="801">
        <f t="shared" si="36"/>
        <v>12025000</v>
      </c>
      <c r="K46" s="801">
        <f t="shared" si="36"/>
        <v>12025000</v>
      </c>
      <c r="L46" s="801">
        <f t="shared" si="36"/>
        <v>12025000</v>
      </c>
      <c r="M46" s="801">
        <f t="shared" si="36"/>
        <v>12025000</v>
      </c>
      <c r="N46" s="801">
        <f t="shared" si="36"/>
        <v>12025000</v>
      </c>
      <c r="O46" s="801">
        <f t="shared" si="36"/>
        <v>12025000</v>
      </c>
      <c r="P46" s="801">
        <f t="shared" si="36"/>
        <v>144300000</v>
      </c>
    </row>
    <row r="47" spans="1:18" s="144" customFormat="1">
      <c r="A47" s="156" t="str">
        <f>+Feuil3!A3</f>
        <v>AMPANDRANDAVA</v>
      </c>
      <c r="C47" s="150"/>
      <c r="D47" s="155"/>
      <c r="E47" s="155"/>
      <c r="F47" s="155"/>
      <c r="G47" s="155"/>
      <c r="H47" s="155"/>
      <c r="I47" s="155"/>
      <c r="J47" s="155"/>
      <c r="K47" s="155"/>
      <c r="L47" s="155"/>
      <c r="M47" s="155"/>
      <c r="N47" s="155"/>
      <c r="O47" s="155"/>
      <c r="P47" s="151"/>
    </row>
    <row r="48" spans="1:18" s="144" customFormat="1">
      <c r="A48" s="143" t="s">
        <v>1274</v>
      </c>
      <c r="B48" s="149" t="str">
        <f>+Feuil3!B5</f>
        <v>Resp Site</v>
      </c>
      <c r="C48" s="150">
        <f>+Feuil3!C5</f>
        <v>1</v>
      </c>
      <c r="D48" s="155">
        <f>+Feuil3!H5</f>
        <v>350000</v>
      </c>
      <c r="E48" s="155">
        <f t="shared" si="34"/>
        <v>350000</v>
      </c>
      <c r="F48" s="155">
        <f t="shared" si="34"/>
        <v>350000</v>
      </c>
      <c r="G48" s="155">
        <f t="shared" si="34"/>
        <v>350000</v>
      </c>
      <c r="H48" s="155">
        <f t="shared" si="34"/>
        <v>350000</v>
      </c>
      <c r="I48" s="155">
        <f t="shared" si="34"/>
        <v>350000</v>
      </c>
      <c r="J48" s="155">
        <f t="shared" si="34"/>
        <v>350000</v>
      </c>
      <c r="K48" s="155">
        <f t="shared" si="34"/>
        <v>350000</v>
      </c>
      <c r="L48" s="155">
        <f t="shared" si="34"/>
        <v>350000</v>
      </c>
      <c r="M48" s="155">
        <f t="shared" si="34"/>
        <v>350000</v>
      </c>
      <c r="N48" s="155">
        <f t="shared" si="34"/>
        <v>350000</v>
      </c>
      <c r="O48" s="155">
        <f t="shared" si="34"/>
        <v>350000</v>
      </c>
      <c r="P48" s="151">
        <f t="shared" si="35"/>
        <v>4200000</v>
      </c>
      <c r="Q48" s="144" t="s">
        <v>1298</v>
      </c>
      <c r="R48" s="1107">
        <f t="shared" ref="R48:R54" si="37">+D48/C48</f>
        <v>350000</v>
      </c>
    </row>
    <row r="49" spans="1:18" s="144" customFormat="1">
      <c r="A49" s="143" t="s">
        <v>1274</v>
      </c>
      <c r="B49" s="149" t="str">
        <f>+Feuil3!B6</f>
        <v>Collecteurs</v>
      </c>
      <c r="C49" s="150">
        <f>+Feuil3!C6</f>
        <v>6</v>
      </c>
      <c r="D49" s="155">
        <f>+Feuil3!H6</f>
        <v>1500000</v>
      </c>
      <c r="E49" s="155">
        <f t="shared" si="34"/>
        <v>1500000</v>
      </c>
      <c r="F49" s="155">
        <f t="shared" si="34"/>
        <v>1500000</v>
      </c>
      <c r="G49" s="155">
        <f t="shared" si="34"/>
        <v>1500000</v>
      </c>
      <c r="H49" s="155">
        <f t="shared" si="34"/>
        <v>1500000</v>
      </c>
      <c r="I49" s="155">
        <f t="shared" si="34"/>
        <v>1500000</v>
      </c>
      <c r="J49" s="155">
        <f t="shared" si="34"/>
        <v>1500000</v>
      </c>
      <c r="K49" s="155">
        <f t="shared" si="34"/>
        <v>1500000</v>
      </c>
      <c r="L49" s="155">
        <f t="shared" si="34"/>
        <v>1500000</v>
      </c>
      <c r="M49" s="155">
        <f t="shared" si="34"/>
        <v>1500000</v>
      </c>
      <c r="N49" s="155">
        <f t="shared" si="34"/>
        <v>1500000</v>
      </c>
      <c r="O49" s="155">
        <f t="shared" si="34"/>
        <v>1500000</v>
      </c>
      <c r="P49" s="151">
        <f t="shared" si="35"/>
        <v>18000000</v>
      </c>
      <c r="Q49" s="144" t="s">
        <v>1298</v>
      </c>
      <c r="R49" s="1107">
        <f t="shared" si="37"/>
        <v>250000</v>
      </c>
    </row>
    <row r="50" spans="1:18" s="144" customFormat="1">
      <c r="A50" s="143" t="s">
        <v>1274</v>
      </c>
      <c r="B50" s="149" t="str">
        <f>+Feuil3!B7</f>
        <v>Aides Collecteurs</v>
      </c>
      <c r="C50" s="150">
        <f>+Feuil3!C7</f>
        <v>6</v>
      </c>
      <c r="D50" s="155">
        <f>+Feuil3!H7</f>
        <v>900000</v>
      </c>
      <c r="E50" s="155">
        <f t="shared" si="34"/>
        <v>900000</v>
      </c>
      <c r="F50" s="155">
        <f t="shared" si="34"/>
        <v>900000</v>
      </c>
      <c r="G50" s="155">
        <f t="shared" si="34"/>
        <v>900000</v>
      </c>
      <c r="H50" s="155">
        <f t="shared" si="34"/>
        <v>900000</v>
      </c>
      <c r="I50" s="155">
        <f t="shared" si="34"/>
        <v>900000</v>
      </c>
      <c r="J50" s="155">
        <f t="shared" si="34"/>
        <v>900000</v>
      </c>
      <c r="K50" s="155">
        <f t="shared" si="34"/>
        <v>900000</v>
      </c>
      <c r="L50" s="155">
        <f t="shared" si="34"/>
        <v>900000</v>
      </c>
      <c r="M50" s="155">
        <f t="shared" si="34"/>
        <v>900000</v>
      </c>
      <c r="N50" s="155">
        <f t="shared" si="34"/>
        <v>900000</v>
      </c>
      <c r="O50" s="155">
        <f t="shared" si="34"/>
        <v>900000</v>
      </c>
      <c r="P50" s="151">
        <f t="shared" si="35"/>
        <v>10800000</v>
      </c>
      <c r="Q50" s="144" t="s">
        <v>1298</v>
      </c>
      <c r="R50" s="1107">
        <f t="shared" si="37"/>
        <v>150000</v>
      </c>
    </row>
    <row r="51" spans="1:18" s="144" customFormat="1">
      <c r="A51" s="143" t="s">
        <v>1274</v>
      </c>
      <c r="B51" s="149" t="str">
        <f>+Feuil3!B8</f>
        <v>Controleurs</v>
      </c>
      <c r="C51" s="150">
        <f>+Feuil3!C8</f>
        <v>3</v>
      </c>
      <c r="D51" s="155">
        <f>+Feuil3!H8</f>
        <v>900000</v>
      </c>
      <c r="E51" s="155">
        <f t="shared" si="34"/>
        <v>900000</v>
      </c>
      <c r="F51" s="155">
        <f t="shared" si="34"/>
        <v>900000</v>
      </c>
      <c r="G51" s="155">
        <f t="shared" si="34"/>
        <v>900000</v>
      </c>
      <c r="H51" s="155">
        <f t="shared" si="34"/>
        <v>900000</v>
      </c>
      <c r="I51" s="155">
        <f t="shared" si="34"/>
        <v>900000</v>
      </c>
      <c r="J51" s="155">
        <f t="shared" si="34"/>
        <v>900000</v>
      </c>
      <c r="K51" s="155">
        <f t="shared" si="34"/>
        <v>900000</v>
      </c>
      <c r="L51" s="155">
        <f t="shared" si="34"/>
        <v>900000</v>
      </c>
      <c r="M51" s="155">
        <f t="shared" si="34"/>
        <v>900000</v>
      </c>
      <c r="N51" s="155">
        <f t="shared" si="34"/>
        <v>900000</v>
      </c>
      <c r="O51" s="155">
        <f t="shared" si="34"/>
        <v>900000</v>
      </c>
      <c r="P51" s="151">
        <f t="shared" si="35"/>
        <v>10800000</v>
      </c>
      <c r="Q51" s="144" t="s">
        <v>1298</v>
      </c>
      <c r="R51" s="1107">
        <f t="shared" si="37"/>
        <v>300000</v>
      </c>
    </row>
    <row r="52" spans="1:18" s="144" customFormat="1">
      <c r="A52" s="143" t="s">
        <v>1275</v>
      </c>
      <c r="B52" s="149" t="str">
        <f>+Feuil3!B9</f>
        <v>Agents entretiens</v>
      </c>
      <c r="C52" s="150">
        <f>+Feuil3!C9</f>
        <v>2</v>
      </c>
      <c r="D52" s="155">
        <f>+Feuil3!H9</f>
        <v>550000</v>
      </c>
      <c r="E52" s="155">
        <f t="shared" si="34"/>
        <v>550000</v>
      </c>
      <c r="F52" s="155">
        <f t="shared" si="34"/>
        <v>550000</v>
      </c>
      <c r="G52" s="155">
        <f t="shared" si="34"/>
        <v>550000</v>
      </c>
      <c r="H52" s="155">
        <f t="shared" si="34"/>
        <v>550000</v>
      </c>
      <c r="I52" s="155">
        <f t="shared" si="34"/>
        <v>550000</v>
      </c>
      <c r="J52" s="155">
        <f t="shared" si="34"/>
        <v>550000</v>
      </c>
      <c r="K52" s="155">
        <f t="shared" si="34"/>
        <v>550000</v>
      </c>
      <c r="L52" s="155">
        <f t="shared" si="34"/>
        <v>550000</v>
      </c>
      <c r="M52" s="155">
        <f t="shared" si="34"/>
        <v>550000</v>
      </c>
      <c r="N52" s="155">
        <f t="shared" si="34"/>
        <v>550000</v>
      </c>
      <c r="O52" s="155">
        <f t="shared" si="34"/>
        <v>550000</v>
      </c>
      <c r="P52" s="151">
        <f t="shared" si="35"/>
        <v>6600000</v>
      </c>
      <c r="Q52" s="144" t="s">
        <v>1298</v>
      </c>
      <c r="R52" s="1107">
        <f t="shared" si="37"/>
        <v>275000</v>
      </c>
    </row>
    <row r="53" spans="1:18" s="144" customFormat="1">
      <c r="A53" s="143" t="s">
        <v>1275</v>
      </c>
      <c r="B53" s="149" t="str">
        <f>+Feuil3!B10</f>
        <v>Agents securités</v>
      </c>
      <c r="C53" s="150">
        <f>+Feuil3!C10</f>
        <v>3</v>
      </c>
      <c r="D53" s="155">
        <f>+Feuil3!H10</f>
        <v>825000</v>
      </c>
      <c r="E53" s="155">
        <f t="shared" si="34"/>
        <v>825000</v>
      </c>
      <c r="F53" s="155">
        <f t="shared" si="34"/>
        <v>825000</v>
      </c>
      <c r="G53" s="155">
        <f t="shared" si="34"/>
        <v>825000</v>
      </c>
      <c r="H53" s="155">
        <f t="shared" si="34"/>
        <v>825000</v>
      </c>
      <c r="I53" s="155">
        <f t="shared" si="34"/>
        <v>825000</v>
      </c>
      <c r="J53" s="155">
        <f t="shared" si="34"/>
        <v>825000</v>
      </c>
      <c r="K53" s="155">
        <f t="shared" si="34"/>
        <v>825000</v>
      </c>
      <c r="L53" s="155">
        <f t="shared" si="34"/>
        <v>825000</v>
      </c>
      <c r="M53" s="155">
        <f t="shared" si="34"/>
        <v>825000</v>
      </c>
      <c r="N53" s="155">
        <f t="shared" si="34"/>
        <v>825000</v>
      </c>
      <c r="O53" s="155">
        <f t="shared" si="34"/>
        <v>825000</v>
      </c>
      <c r="P53" s="151">
        <f t="shared" si="35"/>
        <v>9900000</v>
      </c>
      <c r="Q53" s="144" t="s">
        <v>1298</v>
      </c>
      <c r="R53" s="1107">
        <f t="shared" si="37"/>
        <v>275000</v>
      </c>
    </row>
    <row r="54" spans="1:18" s="144" customFormat="1">
      <c r="A54" s="143" t="s">
        <v>1275</v>
      </c>
      <c r="B54" s="149" t="str">
        <f>+Feuil3!B11</f>
        <v>Gestionnaire</v>
      </c>
      <c r="C54" s="150">
        <f>+Feuil3!C11</f>
        <v>1</v>
      </c>
      <c r="D54" s="155">
        <f>+Feuil3!H11</f>
        <v>275000</v>
      </c>
      <c r="E54" s="155">
        <f t="shared" si="34"/>
        <v>275000</v>
      </c>
      <c r="F54" s="155">
        <f t="shared" si="34"/>
        <v>275000</v>
      </c>
      <c r="G54" s="155">
        <f t="shared" si="34"/>
        <v>275000</v>
      </c>
      <c r="H54" s="155">
        <f t="shared" si="34"/>
        <v>275000</v>
      </c>
      <c r="I54" s="155">
        <f t="shared" si="34"/>
        <v>275000</v>
      </c>
      <c r="J54" s="155">
        <f t="shared" si="34"/>
        <v>275000</v>
      </c>
      <c r="K54" s="155">
        <f t="shared" si="34"/>
        <v>275000</v>
      </c>
      <c r="L54" s="155">
        <f t="shared" si="34"/>
        <v>275000</v>
      </c>
      <c r="M54" s="155">
        <f t="shared" si="34"/>
        <v>275000</v>
      </c>
      <c r="N54" s="155">
        <f t="shared" si="34"/>
        <v>275000</v>
      </c>
      <c r="O54" s="155">
        <f t="shared" si="34"/>
        <v>275000</v>
      </c>
      <c r="P54" s="151">
        <f t="shared" si="35"/>
        <v>3300000</v>
      </c>
      <c r="Q54" s="144" t="s">
        <v>1298</v>
      </c>
      <c r="R54" s="1107">
        <f t="shared" si="37"/>
        <v>275000</v>
      </c>
    </row>
    <row r="55" spans="1:18" s="144" customFormat="1">
      <c r="A55" s="156" t="str">
        <f>+Feuil3!A14</f>
        <v>ANIVORANO</v>
      </c>
      <c r="B55" s="149"/>
      <c r="C55" s="150"/>
      <c r="D55" s="155"/>
      <c r="E55" s="155"/>
      <c r="F55" s="155"/>
      <c r="G55" s="155"/>
      <c r="H55" s="155"/>
      <c r="I55" s="155"/>
      <c r="J55" s="155"/>
      <c r="K55" s="155"/>
      <c r="L55" s="155"/>
      <c r="M55" s="155"/>
      <c r="N55" s="155"/>
      <c r="O55" s="155"/>
      <c r="P55" s="151"/>
    </row>
    <row r="56" spans="1:18" s="144" customFormat="1">
      <c r="A56" s="143"/>
      <c r="B56" s="149" t="str">
        <f>+Feuil3!B16</f>
        <v>Machiniste</v>
      </c>
      <c r="C56" s="150">
        <f>+Feuil3!C16</f>
        <v>1</v>
      </c>
      <c r="D56" s="155">
        <f>+Feuil3!H16</f>
        <v>250000</v>
      </c>
      <c r="E56" s="155">
        <f t="shared" si="34"/>
        <v>250000</v>
      </c>
      <c r="F56" s="155">
        <f t="shared" si="34"/>
        <v>250000</v>
      </c>
      <c r="G56" s="155">
        <f t="shared" si="34"/>
        <v>250000</v>
      </c>
      <c r="H56" s="155">
        <f t="shared" si="34"/>
        <v>250000</v>
      </c>
      <c r="I56" s="155">
        <f t="shared" si="34"/>
        <v>250000</v>
      </c>
      <c r="J56" s="155">
        <f t="shared" si="34"/>
        <v>250000</v>
      </c>
      <c r="K56" s="155">
        <f t="shared" si="34"/>
        <v>250000</v>
      </c>
      <c r="L56" s="155">
        <f t="shared" si="34"/>
        <v>250000</v>
      </c>
      <c r="M56" s="155">
        <f t="shared" si="34"/>
        <v>250000</v>
      </c>
      <c r="N56" s="155">
        <f t="shared" si="34"/>
        <v>250000</v>
      </c>
      <c r="O56" s="155">
        <f t="shared" si="34"/>
        <v>250000</v>
      </c>
      <c r="P56" s="151">
        <f t="shared" si="35"/>
        <v>3000000</v>
      </c>
      <c r="Q56" s="144" t="s">
        <v>1298</v>
      </c>
      <c r="R56" s="1107">
        <f t="shared" ref="R56:R59" si="38">+D56/C56</f>
        <v>250000</v>
      </c>
    </row>
    <row r="57" spans="1:18" s="144" customFormat="1">
      <c r="A57" s="143"/>
      <c r="B57" s="149" t="str">
        <f>+Feuil3!B17</f>
        <v>Aide Machiniste</v>
      </c>
      <c r="C57" s="150">
        <f>+Feuil3!C17</f>
        <v>1</v>
      </c>
      <c r="D57" s="155">
        <f>+Feuil3!H17</f>
        <v>210000</v>
      </c>
      <c r="E57" s="155">
        <f t="shared" si="34"/>
        <v>210000</v>
      </c>
      <c r="F57" s="155">
        <f t="shared" si="34"/>
        <v>210000</v>
      </c>
      <c r="G57" s="155">
        <f t="shared" si="34"/>
        <v>210000</v>
      </c>
      <c r="H57" s="155">
        <f t="shared" si="34"/>
        <v>210000</v>
      </c>
      <c r="I57" s="155">
        <f t="shared" si="34"/>
        <v>210000</v>
      </c>
      <c r="J57" s="155">
        <f t="shared" si="34"/>
        <v>210000</v>
      </c>
      <c r="K57" s="155">
        <f t="shared" si="34"/>
        <v>210000</v>
      </c>
      <c r="L57" s="155">
        <f t="shared" si="34"/>
        <v>210000</v>
      </c>
      <c r="M57" s="155">
        <f t="shared" si="34"/>
        <v>210000</v>
      </c>
      <c r="N57" s="155">
        <f t="shared" si="34"/>
        <v>210000</v>
      </c>
      <c r="O57" s="155">
        <f t="shared" si="34"/>
        <v>210000</v>
      </c>
      <c r="P57" s="151">
        <f t="shared" si="35"/>
        <v>2520000</v>
      </c>
      <c r="Q57" s="144" t="s">
        <v>1298</v>
      </c>
      <c r="R57" s="1107">
        <f t="shared" si="38"/>
        <v>210000</v>
      </c>
    </row>
    <row r="58" spans="1:18" s="144" customFormat="1">
      <c r="A58" s="143"/>
      <c r="B58" s="149" t="str">
        <f>+Feuil3!B18</f>
        <v>Gardiens</v>
      </c>
      <c r="C58" s="150">
        <f>+Feuil3!C18</f>
        <v>2</v>
      </c>
      <c r="D58" s="155">
        <v>400000</v>
      </c>
      <c r="E58" s="155">
        <f t="shared" si="34"/>
        <v>400000</v>
      </c>
      <c r="F58" s="155">
        <f t="shared" si="34"/>
        <v>400000</v>
      </c>
      <c r="G58" s="155">
        <f t="shared" si="34"/>
        <v>400000</v>
      </c>
      <c r="H58" s="155">
        <f t="shared" si="34"/>
        <v>400000</v>
      </c>
      <c r="I58" s="155">
        <f t="shared" si="34"/>
        <v>400000</v>
      </c>
      <c r="J58" s="155">
        <f t="shared" si="34"/>
        <v>400000</v>
      </c>
      <c r="K58" s="155">
        <f t="shared" si="34"/>
        <v>400000</v>
      </c>
      <c r="L58" s="155">
        <f t="shared" si="34"/>
        <v>400000</v>
      </c>
      <c r="M58" s="155">
        <f t="shared" si="34"/>
        <v>400000</v>
      </c>
      <c r="N58" s="155">
        <f t="shared" si="34"/>
        <v>400000</v>
      </c>
      <c r="O58" s="155">
        <f t="shared" si="34"/>
        <v>400000</v>
      </c>
      <c r="P58" s="151">
        <f t="shared" si="35"/>
        <v>4800000</v>
      </c>
      <c r="Q58" s="144" t="s">
        <v>1298</v>
      </c>
      <c r="R58" s="1107">
        <f t="shared" si="38"/>
        <v>200000</v>
      </c>
    </row>
    <row r="59" spans="1:18" s="144" customFormat="1">
      <c r="A59" s="143"/>
      <c r="B59" s="149" t="str">
        <f>+Feuil3!B19</f>
        <v>Temp Central</v>
      </c>
      <c r="C59" s="150">
        <f>+Feuil3!C19</f>
        <v>1</v>
      </c>
      <c r="D59" s="155">
        <f>+Feuil3!H19</f>
        <v>200000</v>
      </c>
      <c r="E59" s="155">
        <f t="shared" si="34"/>
        <v>200000</v>
      </c>
      <c r="F59" s="155">
        <f t="shared" si="34"/>
        <v>200000</v>
      </c>
      <c r="G59" s="155">
        <f t="shared" si="34"/>
        <v>200000</v>
      </c>
      <c r="H59" s="155">
        <f t="shared" si="34"/>
        <v>200000</v>
      </c>
      <c r="I59" s="155">
        <f t="shared" si="34"/>
        <v>200000</v>
      </c>
      <c r="J59" s="155">
        <f t="shared" si="34"/>
        <v>200000</v>
      </c>
      <c r="K59" s="155">
        <f t="shared" si="34"/>
        <v>200000</v>
      </c>
      <c r="L59" s="155">
        <f t="shared" si="34"/>
        <v>200000</v>
      </c>
      <c r="M59" s="155">
        <f t="shared" si="34"/>
        <v>200000</v>
      </c>
      <c r="N59" s="155">
        <f t="shared" si="34"/>
        <v>200000</v>
      </c>
      <c r="O59" s="155">
        <f t="shared" si="34"/>
        <v>200000</v>
      </c>
      <c r="P59" s="151">
        <f t="shared" si="35"/>
        <v>2400000</v>
      </c>
      <c r="Q59" s="144" t="s">
        <v>1298</v>
      </c>
      <c r="R59" s="1107">
        <f t="shared" si="38"/>
        <v>200000</v>
      </c>
    </row>
    <row r="60" spans="1:18" s="144" customFormat="1">
      <c r="A60" s="798"/>
      <c r="B60" s="799" t="s">
        <v>33</v>
      </c>
      <c r="C60" s="800">
        <f>SUM(C48:C59)</f>
        <v>27</v>
      </c>
      <c r="D60" s="800">
        <f t="shared" ref="D60:P60" si="39">SUM(D48:D59)</f>
        <v>6360000</v>
      </c>
      <c r="E60" s="800">
        <f t="shared" si="39"/>
        <v>6360000</v>
      </c>
      <c r="F60" s="800">
        <f t="shared" si="39"/>
        <v>6360000</v>
      </c>
      <c r="G60" s="800">
        <f t="shared" si="39"/>
        <v>6360000</v>
      </c>
      <c r="H60" s="800">
        <f t="shared" si="39"/>
        <v>6360000</v>
      </c>
      <c r="I60" s="800">
        <f t="shared" si="39"/>
        <v>6360000</v>
      </c>
      <c r="J60" s="800">
        <f t="shared" si="39"/>
        <v>6360000</v>
      </c>
      <c r="K60" s="800">
        <f t="shared" si="39"/>
        <v>6360000</v>
      </c>
      <c r="L60" s="800">
        <f t="shared" si="39"/>
        <v>6360000</v>
      </c>
      <c r="M60" s="800">
        <f t="shared" si="39"/>
        <v>6360000</v>
      </c>
      <c r="N60" s="800">
        <f t="shared" si="39"/>
        <v>6360000</v>
      </c>
      <c r="O60" s="800">
        <f t="shared" si="39"/>
        <v>6360000</v>
      </c>
      <c r="P60" s="800">
        <f t="shared" si="39"/>
        <v>76320000</v>
      </c>
    </row>
    <row r="61" spans="1:18" s="144" customFormat="1">
      <c r="A61" s="156" t="str">
        <f>+Feuil3!A21</f>
        <v>TRANOMARO</v>
      </c>
      <c r="B61" s="149"/>
      <c r="C61" s="150"/>
      <c r="D61" s="155"/>
      <c r="E61" s="155"/>
      <c r="F61" s="155"/>
      <c r="G61" s="155"/>
      <c r="H61" s="155"/>
      <c r="I61" s="155"/>
      <c r="J61" s="155"/>
      <c r="K61" s="155"/>
      <c r="L61" s="155"/>
      <c r="M61" s="155"/>
      <c r="N61" s="155"/>
      <c r="O61" s="155"/>
      <c r="P61" s="151"/>
    </row>
    <row r="62" spans="1:18" s="144" customFormat="1">
      <c r="A62" s="143" t="s">
        <v>1274</v>
      </c>
      <c r="B62" s="149" t="str">
        <f>+Feuil3!B23</f>
        <v>Resp Site</v>
      </c>
      <c r="C62" s="150">
        <f>+Feuil3!C23</f>
        <v>1</v>
      </c>
      <c r="D62" s="155">
        <f>+Feuil3!H23</f>
        <v>350000</v>
      </c>
      <c r="E62" s="155">
        <f t="shared" si="34"/>
        <v>350000</v>
      </c>
      <c r="F62" s="155">
        <f t="shared" si="34"/>
        <v>350000</v>
      </c>
      <c r="G62" s="155">
        <f t="shared" si="34"/>
        <v>350000</v>
      </c>
      <c r="H62" s="155">
        <f t="shared" si="34"/>
        <v>350000</v>
      </c>
      <c r="I62" s="155">
        <f t="shared" si="34"/>
        <v>350000</v>
      </c>
      <c r="J62" s="155">
        <f t="shared" si="34"/>
        <v>350000</v>
      </c>
      <c r="K62" s="155">
        <f t="shared" si="34"/>
        <v>350000</v>
      </c>
      <c r="L62" s="155">
        <f t="shared" si="34"/>
        <v>350000</v>
      </c>
      <c r="M62" s="155">
        <f t="shared" si="34"/>
        <v>350000</v>
      </c>
      <c r="N62" s="155">
        <f t="shared" si="34"/>
        <v>350000</v>
      </c>
      <c r="O62" s="155">
        <f t="shared" si="34"/>
        <v>350000</v>
      </c>
      <c r="P62" s="151">
        <f t="shared" si="35"/>
        <v>4200000</v>
      </c>
      <c r="Q62" s="144" t="s">
        <v>1298</v>
      </c>
      <c r="R62" s="1107">
        <f t="shared" ref="R62:R65" si="40">+D62/C62</f>
        <v>350000</v>
      </c>
    </row>
    <row r="63" spans="1:18" s="144" customFormat="1">
      <c r="A63" s="143" t="s">
        <v>1274</v>
      </c>
      <c r="B63" s="149" t="str">
        <f>+Feuil3!B24</f>
        <v>Collecteurs</v>
      </c>
      <c r="C63" s="150">
        <f>+Feuil3!C24</f>
        <v>6</v>
      </c>
      <c r="D63" s="155">
        <f>+Feuil3!H24</f>
        <v>1500000</v>
      </c>
      <c r="E63" s="155">
        <f t="shared" si="34"/>
        <v>1500000</v>
      </c>
      <c r="F63" s="155">
        <f t="shared" si="34"/>
        <v>1500000</v>
      </c>
      <c r="G63" s="155">
        <f t="shared" si="34"/>
        <v>1500000</v>
      </c>
      <c r="H63" s="155">
        <f t="shared" si="34"/>
        <v>1500000</v>
      </c>
      <c r="I63" s="155">
        <f t="shared" si="34"/>
        <v>1500000</v>
      </c>
      <c r="J63" s="155">
        <f t="shared" si="34"/>
        <v>1500000</v>
      </c>
      <c r="K63" s="155">
        <f t="shared" si="34"/>
        <v>1500000</v>
      </c>
      <c r="L63" s="155">
        <f t="shared" si="34"/>
        <v>1500000</v>
      </c>
      <c r="M63" s="155">
        <f t="shared" si="34"/>
        <v>1500000</v>
      </c>
      <c r="N63" s="155">
        <f t="shared" si="34"/>
        <v>1500000</v>
      </c>
      <c r="O63" s="155">
        <f t="shared" si="34"/>
        <v>1500000</v>
      </c>
      <c r="P63" s="151">
        <f t="shared" si="35"/>
        <v>18000000</v>
      </c>
      <c r="Q63" s="144" t="s">
        <v>1298</v>
      </c>
      <c r="R63" s="1107">
        <f t="shared" si="40"/>
        <v>250000</v>
      </c>
    </row>
    <row r="64" spans="1:18" s="144" customFormat="1">
      <c r="A64" s="143" t="s">
        <v>1274</v>
      </c>
      <c r="B64" s="149" t="str">
        <f>+Feuil3!B25</f>
        <v>Aide colleceturs</v>
      </c>
      <c r="C64" s="150">
        <f>+Feuil3!C25</f>
        <v>6</v>
      </c>
      <c r="D64" s="155">
        <f>+Feuil3!H25</f>
        <v>900000</v>
      </c>
      <c r="E64" s="155">
        <f t="shared" si="34"/>
        <v>900000</v>
      </c>
      <c r="F64" s="155">
        <f t="shared" si="34"/>
        <v>900000</v>
      </c>
      <c r="G64" s="155">
        <f t="shared" si="34"/>
        <v>900000</v>
      </c>
      <c r="H64" s="155">
        <f t="shared" si="34"/>
        <v>900000</v>
      </c>
      <c r="I64" s="155">
        <f t="shared" si="34"/>
        <v>900000</v>
      </c>
      <c r="J64" s="155">
        <f t="shared" si="34"/>
        <v>900000</v>
      </c>
      <c r="K64" s="155">
        <f t="shared" si="34"/>
        <v>900000</v>
      </c>
      <c r="L64" s="155">
        <f t="shared" si="34"/>
        <v>900000</v>
      </c>
      <c r="M64" s="155">
        <f t="shared" si="34"/>
        <v>900000</v>
      </c>
      <c r="N64" s="155">
        <f t="shared" si="34"/>
        <v>900000</v>
      </c>
      <c r="O64" s="155">
        <f t="shared" si="34"/>
        <v>900000</v>
      </c>
      <c r="P64" s="151">
        <f t="shared" si="35"/>
        <v>10800000</v>
      </c>
      <c r="Q64" s="144" t="s">
        <v>1298</v>
      </c>
      <c r="R64" s="1107">
        <f t="shared" si="40"/>
        <v>150000</v>
      </c>
    </row>
    <row r="65" spans="1:18" s="144" customFormat="1">
      <c r="A65" s="143" t="s">
        <v>1274</v>
      </c>
      <c r="B65" s="149" t="str">
        <f>+Feuil3!B26</f>
        <v>Controleurs</v>
      </c>
      <c r="C65" s="150">
        <f>+Feuil3!C26</f>
        <v>3</v>
      </c>
      <c r="D65" s="155">
        <f>+Feuil3!H26</f>
        <v>900000</v>
      </c>
      <c r="E65" s="155">
        <f t="shared" si="34"/>
        <v>900000</v>
      </c>
      <c r="F65" s="155">
        <f t="shared" si="34"/>
        <v>900000</v>
      </c>
      <c r="G65" s="155">
        <f t="shared" si="34"/>
        <v>900000</v>
      </c>
      <c r="H65" s="155">
        <f t="shared" si="34"/>
        <v>900000</v>
      </c>
      <c r="I65" s="155">
        <f t="shared" si="34"/>
        <v>900000</v>
      </c>
      <c r="J65" s="155">
        <f t="shared" si="34"/>
        <v>900000</v>
      </c>
      <c r="K65" s="155">
        <f t="shared" si="34"/>
        <v>900000</v>
      </c>
      <c r="L65" s="155">
        <f t="shared" si="34"/>
        <v>900000</v>
      </c>
      <c r="M65" s="155">
        <f t="shared" si="34"/>
        <v>900000</v>
      </c>
      <c r="N65" s="155">
        <f t="shared" si="34"/>
        <v>900000</v>
      </c>
      <c r="O65" s="155">
        <f t="shared" si="34"/>
        <v>900000</v>
      </c>
      <c r="P65" s="151">
        <f t="shared" si="35"/>
        <v>10800000</v>
      </c>
      <c r="Q65" s="144" t="s">
        <v>1298</v>
      </c>
      <c r="R65" s="1107">
        <f t="shared" si="40"/>
        <v>300000</v>
      </c>
    </row>
    <row r="66" spans="1:18" s="144" customFormat="1">
      <c r="A66" s="798"/>
      <c r="B66" s="799" t="s">
        <v>33</v>
      </c>
      <c r="C66" s="800">
        <f>SUM(C62:C65)</f>
        <v>16</v>
      </c>
      <c r="D66" s="800">
        <f>SUM(D62:D65)</f>
        <v>3650000</v>
      </c>
      <c r="E66" s="800">
        <f t="shared" ref="E66:P66" si="41">SUM(E62:E65)</f>
        <v>3650000</v>
      </c>
      <c r="F66" s="800">
        <f t="shared" si="41"/>
        <v>3650000</v>
      </c>
      <c r="G66" s="800">
        <f t="shared" si="41"/>
        <v>3650000</v>
      </c>
      <c r="H66" s="800">
        <f t="shared" si="41"/>
        <v>3650000</v>
      </c>
      <c r="I66" s="800">
        <f t="shared" si="41"/>
        <v>3650000</v>
      </c>
      <c r="J66" s="800">
        <f t="shared" si="41"/>
        <v>3650000</v>
      </c>
      <c r="K66" s="800">
        <f t="shared" si="41"/>
        <v>3650000</v>
      </c>
      <c r="L66" s="800">
        <f t="shared" si="41"/>
        <v>3650000</v>
      </c>
      <c r="M66" s="800">
        <f t="shared" si="41"/>
        <v>3650000</v>
      </c>
      <c r="N66" s="800">
        <f t="shared" si="41"/>
        <v>3650000</v>
      </c>
      <c r="O66" s="800">
        <f t="shared" si="41"/>
        <v>3650000</v>
      </c>
      <c r="P66" s="800">
        <f t="shared" si="41"/>
        <v>43800000</v>
      </c>
    </row>
    <row r="67" spans="1:18" s="144" customFormat="1">
      <c r="A67" s="156" t="str">
        <f>+Feuil3!A29</f>
        <v>TOAMASINA</v>
      </c>
      <c r="B67" s="149"/>
      <c r="C67" s="150"/>
      <c r="D67" s="155"/>
      <c r="E67" s="155"/>
      <c r="F67" s="155"/>
      <c r="G67" s="155"/>
      <c r="H67" s="155"/>
      <c r="I67" s="155"/>
      <c r="J67" s="155"/>
      <c r="K67" s="155"/>
      <c r="L67" s="155"/>
      <c r="M67" s="155"/>
      <c r="N67" s="155"/>
      <c r="O67" s="155"/>
      <c r="P67" s="151"/>
    </row>
    <row r="68" spans="1:18" s="144" customFormat="1">
      <c r="A68" s="143"/>
      <c r="B68" s="149" t="str">
        <f>+Feuil3!B31</f>
        <v>Resp Site</v>
      </c>
      <c r="C68" s="150">
        <f>+Feuil3!C31</f>
        <v>1</v>
      </c>
      <c r="D68" s="155">
        <f>+Feuil3!H31</f>
        <v>400000</v>
      </c>
      <c r="E68" s="155">
        <f t="shared" ref="E68" si="42">+D68</f>
        <v>400000</v>
      </c>
      <c r="F68" s="155">
        <f t="shared" ref="F68" si="43">+E68</f>
        <v>400000</v>
      </c>
      <c r="G68" s="155">
        <f t="shared" ref="G68" si="44">+F68</f>
        <v>400000</v>
      </c>
      <c r="H68" s="155">
        <f t="shared" ref="H68" si="45">+G68</f>
        <v>400000</v>
      </c>
      <c r="I68" s="155">
        <f t="shared" ref="I68" si="46">+H68</f>
        <v>400000</v>
      </c>
      <c r="J68" s="155">
        <f t="shared" ref="J68" si="47">+I68</f>
        <v>400000</v>
      </c>
      <c r="K68" s="155">
        <f t="shared" ref="K68" si="48">+J68</f>
        <v>400000</v>
      </c>
      <c r="L68" s="155">
        <f t="shared" ref="L68" si="49">+K68</f>
        <v>400000</v>
      </c>
      <c r="M68" s="155">
        <f t="shared" ref="M68" si="50">+L68</f>
        <v>400000</v>
      </c>
      <c r="N68" s="155">
        <f t="shared" ref="N68" si="51">+M68</f>
        <v>400000</v>
      </c>
      <c r="O68" s="155">
        <f t="shared" ref="O68" si="52">+N68</f>
        <v>400000</v>
      </c>
      <c r="P68" s="151">
        <f t="shared" ref="P68" si="53">SUM(D68:O68)</f>
        <v>4800000</v>
      </c>
      <c r="Q68" s="144" t="s">
        <v>1298</v>
      </c>
      <c r="R68" s="1107">
        <f t="shared" ref="R68:R69" si="54">+D68/C68</f>
        <v>400000</v>
      </c>
    </row>
    <row r="69" spans="1:18" s="144" customFormat="1">
      <c r="A69" s="143"/>
      <c r="B69" s="149" t="str">
        <f>+Feuil3!B32</f>
        <v>Assistants</v>
      </c>
      <c r="C69" s="150">
        <f>+Feuil3!C32</f>
        <v>2</v>
      </c>
      <c r="D69" s="155">
        <f>+Feuil3!H32</f>
        <v>500000</v>
      </c>
      <c r="E69" s="155">
        <f t="shared" ref="E69" si="55">+D69</f>
        <v>500000</v>
      </c>
      <c r="F69" s="155">
        <f t="shared" ref="F69" si="56">+E69</f>
        <v>500000</v>
      </c>
      <c r="G69" s="155">
        <f t="shared" ref="G69" si="57">+F69</f>
        <v>500000</v>
      </c>
      <c r="H69" s="155">
        <f t="shared" ref="H69" si="58">+G69</f>
        <v>500000</v>
      </c>
      <c r="I69" s="155">
        <f t="shared" ref="I69" si="59">+H69</f>
        <v>500000</v>
      </c>
      <c r="J69" s="155">
        <f t="shared" ref="J69" si="60">+I69</f>
        <v>500000</v>
      </c>
      <c r="K69" s="155">
        <f t="shared" ref="K69" si="61">+J69</f>
        <v>500000</v>
      </c>
      <c r="L69" s="155">
        <f t="shared" ref="L69" si="62">+K69</f>
        <v>500000</v>
      </c>
      <c r="M69" s="155">
        <f t="shared" ref="M69" si="63">+L69</f>
        <v>500000</v>
      </c>
      <c r="N69" s="155">
        <f t="shared" ref="N69" si="64">+M69</f>
        <v>500000</v>
      </c>
      <c r="O69" s="155">
        <f t="shared" ref="O69" si="65">+N69</f>
        <v>500000</v>
      </c>
      <c r="P69" s="151">
        <f t="shared" ref="P69" si="66">SUM(D69:O69)</f>
        <v>6000000</v>
      </c>
      <c r="Q69" s="144" t="s">
        <v>1298</v>
      </c>
      <c r="R69" s="1107">
        <f t="shared" si="54"/>
        <v>250000</v>
      </c>
    </row>
    <row r="70" spans="1:18" s="144" customFormat="1">
      <c r="A70" s="798"/>
      <c r="B70" s="799" t="s">
        <v>33</v>
      </c>
      <c r="C70" s="800">
        <f>SUM(C68:C69)</f>
        <v>3</v>
      </c>
      <c r="D70" s="800">
        <f>SUM(D68:D69)</f>
        <v>900000</v>
      </c>
      <c r="E70" s="800">
        <f t="shared" ref="E70:P70" si="67">SUM(E68:E69)</f>
        <v>900000</v>
      </c>
      <c r="F70" s="800">
        <f t="shared" si="67"/>
        <v>900000</v>
      </c>
      <c r="G70" s="800">
        <f t="shared" si="67"/>
        <v>900000</v>
      </c>
      <c r="H70" s="800">
        <f t="shared" si="67"/>
        <v>900000</v>
      </c>
      <c r="I70" s="800">
        <f t="shared" si="67"/>
        <v>900000</v>
      </c>
      <c r="J70" s="800">
        <f t="shared" si="67"/>
        <v>900000</v>
      </c>
      <c r="K70" s="800">
        <f t="shared" si="67"/>
        <v>900000</v>
      </c>
      <c r="L70" s="800">
        <f t="shared" si="67"/>
        <v>900000</v>
      </c>
      <c r="M70" s="800">
        <f t="shared" si="67"/>
        <v>900000</v>
      </c>
      <c r="N70" s="800">
        <f t="shared" si="67"/>
        <v>900000</v>
      </c>
      <c r="O70" s="800">
        <f t="shared" si="67"/>
        <v>900000</v>
      </c>
      <c r="P70" s="800">
        <f t="shared" si="67"/>
        <v>10800000</v>
      </c>
    </row>
    <row r="71" spans="1:18" ht="13.5" thickBot="1">
      <c r="A71" s="832" t="s">
        <v>1322</v>
      </c>
      <c r="B71" s="823"/>
      <c r="C71" s="834">
        <f>+C70+C66+C60+C46</f>
        <v>76</v>
      </c>
      <c r="D71" s="833">
        <f>+D70+D66+D60+D46</f>
        <v>22935000</v>
      </c>
      <c r="E71" s="833">
        <f t="shared" ref="E71:P71" si="68">+E70+E66+E60+E46</f>
        <v>22935000</v>
      </c>
      <c r="F71" s="833">
        <f t="shared" si="68"/>
        <v>22935000</v>
      </c>
      <c r="G71" s="833">
        <f t="shared" si="68"/>
        <v>22935000</v>
      </c>
      <c r="H71" s="833">
        <f t="shared" si="68"/>
        <v>22935000</v>
      </c>
      <c r="I71" s="833">
        <f t="shared" si="68"/>
        <v>22935000</v>
      </c>
      <c r="J71" s="833">
        <f t="shared" si="68"/>
        <v>22935000</v>
      </c>
      <c r="K71" s="833">
        <f t="shared" si="68"/>
        <v>22935000</v>
      </c>
      <c r="L71" s="833">
        <f t="shared" si="68"/>
        <v>22935000</v>
      </c>
      <c r="M71" s="833">
        <f t="shared" si="68"/>
        <v>22935000</v>
      </c>
      <c r="N71" s="833">
        <f t="shared" si="68"/>
        <v>22935000</v>
      </c>
      <c r="O71" s="833">
        <f t="shared" si="68"/>
        <v>22935000</v>
      </c>
      <c r="P71" s="833">
        <f t="shared" si="68"/>
        <v>275220000</v>
      </c>
    </row>
    <row r="72" spans="1:18" s="144" customFormat="1" ht="13.5" thickBot="1">
      <c r="A72" s="814"/>
      <c r="B72" s="201"/>
      <c r="C72" s="815"/>
      <c r="D72" s="815"/>
      <c r="E72" s="815"/>
      <c r="F72" s="815"/>
      <c r="G72" s="815"/>
      <c r="H72" s="815"/>
      <c r="I72" s="815"/>
      <c r="J72" s="815"/>
      <c r="K72" s="815"/>
      <c r="L72" s="815"/>
      <c r="M72" s="815"/>
      <c r="N72" s="815"/>
      <c r="O72" s="815"/>
      <c r="P72" s="815"/>
    </row>
    <row r="73" spans="1:18" s="144" customFormat="1">
      <c r="A73" s="787" t="s">
        <v>1295</v>
      </c>
      <c r="B73" s="788"/>
      <c r="C73" s="789" t="s">
        <v>1002</v>
      </c>
      <c r="D73" s="790" t="str">
        <f t="shared" ref="D73:P73" si="69">+D28</f>
        <v>M1</v>
      </c>
      <c r="E73" s="790" t="str">
        <f t="shared" si="69"/>
        <v>M2</v>
      </c>
      <c r="F73" s="790" t="str">
        <f t="shared" si="69"/>
        <v>M3</v>
      </c>
      <c r="G73" s="790" t="str">
        <f t="shared" si="69"/>
        <v>M4</v>
      </c>
      <c r="H73" s="790" t="str">
        <f t="shared" si="69"/>
        <v>M5</v>
      </c>
      <c r="I73" s="790" t="str">
        <f t="shared" si="69"/>
        <v>M6</v>
      </c>
      <c r="J73" s="790" t="str">
        <f t="shared" si="69"/>
        <v>M7</v>
      </c>
      <c r="K73" s="790" t="str">
        <f t="shared" si="69"/>
        <v>M8</v>
      </c>
      <c r="L73" s="790" t="str">
        <f t="shared" si="69"/>
        <v>M9</v>
      </c>
      <c r="M73" s="790" t="str">
        <f t="shared" si="69"/>
        <v>M10</v>
      </c>
      <c r="N73" s="790" t="str">
        <f t="shared" si="69"/>
        <v>M11</v>
      </c>
      <c r="O73" s="790" t="str">
        <f t="shared" si="69"/>
        <v>M12</v>
      </c>
      <c r="P73" s="790" t="str">
        <f t="shared" si="69"/>
        <v>Total</v>
      </c>
    </row>
    <row r="74" spans="1:18">
      <c r="A74" s="148" t="str">
        <f t="shared" ref="A74:A90" si="70">+A29</f>
        <v>FORT DAUPHIN</v>
      </c>
      <c r="B74" s="148"/>
      <c r="C74" s="143"/>
    </row>
    <row r="75" spans="1:18" ht="13.5">
      <c r="A75" s="143" t="str">
        <f t="shared" si="70"/>
        <v>FO</v>
      </c>
      <c r="B75" s="143" t="str">
        <f t="shared" ref="B75:C90" si="71">+B30</f>
        <v>Directeur de site</v>
      </c>
      <c r="C75" s="150">
        <f t="shared" si="71"/>
        <v>1</v>
      </c>
      <c r="D75" s="212">
        <f>+Primes!D48</f>
        <v>1500600</v>
      </c>
      <c r="E75" s="212">
        <f>+Primes!E48</f>
        <v>1505000</v>
      </c>
      <c r="F75" s="212">
        <f>+Primes!F48</f>
        <v>1500600</v>
      </c>
      <c r="G75" s="212">
        <f>+Primes!G48</f>
        <v>1505000</v>
      </c>
      <c r="H75" s="212">
        <f>+Primes!H48</f>
        <v>1500600</v>
      </c>
      <c r="I75" s="212">
        <f>+Primes!I48</f>
        <v>1505000</v>
      </c>
      <c r="J75" s="212">
        <f>+Primes!J48</f>
        <v>1500600</v>
      </c>
      <c r="K75" s="212">
        <f>+Primes!K48</f>
        <v>1505000</v>
      </c>
      <c r="L75" s="212">
        <f>+Primes!L48</f>
        <v>1441600</v>
      </c>
      <c r="M75" s="212">
        <f>+Primes!M48</f>
        <v>1448100</v>
      </c>
      <c r="N75" s="212">
        <f>+Primes!N48</f>
        <v>1441600</v>
      </c>
      <c r="O75" s="212">
        <f>+Primes!O48</f>
        <v>1448100</v>
      </c>
      <c r="P75" s="212">
        <f t="shared" ref="P75:P90" si="72">SUM(D75:O75)</f>
        <v>17801800</v>
      </c>
      <c r="Q75" s="143" t="s">
        <v>1299</v>
      </c>
      <c r="R75" s="1107">
        <f t="shared" ref="R75:R90" si="73">+D75/C75</f>
        <v>1500600</v>
      </c>
    </row>
    <row r="76" spans="1:18" ht="13.5">
      <c r="A76" s="143" t="str">
        <f t="shared" si="70"/>
        <v>FO</v>
      </c>
      <c r="B76" s="143" t="str">
        <f t="shared" si="71"/>
        <v>Collecteurs</v>
      </c>
      <c r="C76" s="150">
        <f t="shared" si="71"/>
        <v>6</v>
      </c>
      <c r="D76" s="212">
        <f>+Primes!D49</f>
        <v>1029000</v>
      </c>
      <c r="E76" s="212">
        <f>+Primes!E49</f>
        <v>1032000</v>
      </c>
      <c r="F76" s="212">
        <f>+Primes!F49</f>
        <v>1029000</v>
      </c>
      <c r="G76" s="212">
        <f>+Primes!G49</f>
        <v>1032000</v>
      </c>
      <c r="H76" s="212">
        <f>+Primes!H49</f>
        <v>1029000</v>
      </c>
      <c r="I76" s="212">
        <f>+Primes!I49</f>
        <v>1032000</v>
      </c>
      <c r="J76" s="212">
        <f>+Primes!J49</f>
        <v>1029000</v>
      </c>
      <c r="K76" s="212">
        <f>+Primes!K49</f>
        <v>1032000</v>
      </c>
      <c r="L76" s="212">
        <f>+Primes!L49</f>
        <v>988800</v>
      </c>
      <c r="M76" s="212">
        <f>+Primes!M49</f>
        <v>993000</v>
      </c>
      <c r="N76" s="212">
        <f>+Primes!N49</f>
        <v>988800</v>
      </c>
      <c r="O76" s="212">
        <f>+Primes!O49</f>
        <v>993000</v>
      </c>
      <c r="P76" s="212">
        <f t="shared" si="72"/>
        <v>12207600</v>
      </c>
      <c r="Q76" s="143" t="s">
        <v>1299</v>
      </c>
      <c r="R76" s="1107">
        <f t="shared" si="73"/>
        <v>171500</v>
      </c>
    </row>
    <row r="77" spans="1:18" ht="13.5">
      <c r="A77" s="143" t="str">
        <f t="shared" si="70"/>
        <v>FO</v>
      </c>
      <c r="B77" s="143" t="str">
        <f t="shared" si="71"/>
        <v>Aide colleceturs</v>
      </c>
      <c r="C77" s="150">
        <f t="shared" si="71"/>
        <v>6</v>
      </c>
      <c r="D77" s="212">
        <f>+Primes!D50</f>
        <v>1029000</v>
      </c>
      <c r="E77" s="212">
        <f>+Primes!E50</f>
        <v>1032000</v>
      </c>
      <c r="F77" s="212">
        <f>+Primes!F50</f>
        <v>1029000</v>
      </c>
      <c r="G77" s="212">
        <f>+Primes!G50</f>
        <v>1032000</v>
      </c>
      <c r="H77" s="212">
        <f>+Primes!H50</f>
        <v>1029000</v>
      </c>
      <c r="I77" s="212">
        <f>+Primes!I50</f>
        <v>1032000</v>
      </c>
      <c r="J77" s="212">
        <f>+Primes!J50</f>
        <v>1029000</v>
      </c>
      <c r="K77" s="212">
        <f>+Primes!K50</f>
        <v>1032000</v>
      </c>
      <c r="L77" s="212">
        <f>+Primes!L50</f>
        <v>988800</v>
      </c>
      <c r="M77" s="212">
        <f>+Primes!M50</f>
        <v>993000</v>
      </c>
      <c r="N77" s="212">
        <f>+Primes!N50</f>
        <v>988800</v>
      </c>
      <c r="O77" s="212">
        <f>+Primes!O50</f>
        <v>993000</v>
      </c>
      <c r="P77" s="212">
        <f t="shared" si="72"/>
        <v>12207600</v>
      </c>
      <c r="Q77" s="143" t="s">
        <v>1299</v>
      </c>
      <c r="R77" s="1107">
        <f t="shared" si="73"/>
        <v>171500</v>
      </c>
    </row>
    <row r="78" spans="1:18" ht="13.5">
      <c r="A78" s="143" t="str">
        <f t="shared" si="70"/>
        <v>BO</v>
      </c>
      <c r="B78" s="143" t="str">
        <f t="shared" si="71"/>
        <v>RAF</v>
      </c>
      <c r="C78" s="150">
        <f t="shared" si="71"/>
        <v>1</v>
      </c>
      <c r="D78" s="212">
        <f>+Primes!D99</f>
        <v>41666.666666666664</v>
      </c>
      <c r="E78" s="212">
        <f>+Primes!E99</f>
        <v>41666.666666666664</v>
      </c>
      <c r="F78" s="212">
        <f>+Primes!F99</f>
        <v>41666.666666666664</v>
      </c>
      <c r="G78" s="212">
        <f>+Primes!G99</f>
        <v>41666.666666666664</v>
      </c>
      <c r="H78" s="212">
        <f>+Primes!H99</f>
        <v>41666.666666666664</v>
      </c>
      <c r="I78" s="212">
        <f>+Primes!I99</f>
        <v>41666.666666666664</v>
      </c>
      <c r="J78" s="212">
        <f>+Primes!J99</f>
        <v>41666.666666666664</v>
      </c>
      <c r="K78" s="212">
        <f>+Primes!K99</f>
        <v>41666.666666666664</v>
      </c>
      <c r="L78" s="212">
        <f>+Primes!L99</f>
        <v>41666.666666666664</v>
      </c>
      <c r="M78" s="212">
        <f>+Primes!M99</f>
        <v>41666.666666666664</v>
      </c>
      <c r="N78" s="212">
        <f>+Primes!N99</f>
        <v>41666.666666666664</v>
      </c>
      <c r="O78" s="212">
        <f>+Primes!O99</f>
        <v>41666.666666666664</v>
      </c>
      <c r="P78" s="212">
        <f t="shared" si="72"/>
        <v>500000.00000000006</v>
      </c>
      <c r="Q78" s="143" t="s">
        <v>1299</v>
      </c>
      <c r="R78" s="1107">
        <f t="shared" si="73"/>
        <v>41666.666666666664</v>
      </c>
    </row>
    <row r="79" spans="1:18" ht="13.5">
      <c r="A79" s="143" t="str">
        <f t="shared" si="70"/>
        <v>BO</v>
      </c>
      <c r="B79" s="143" t="str">
        <f t="shared" si="71"/>
        <v>Resp Transit</v>
      </c>
      <c r="C79" s="150">
        <f t="shared" si="71"/>
        <v>1</v>
      </c>
      <c r="D79" s="212">
        <f>+Primes!D100</f>
        <v>41666.666666666664</v>
      </c>
      <c r="E79" s="212">
        <f>+Primes!E100</f>
        <v>41666.666666666664</v>
      </c>
      <c r="F79" s="212">
        <f>+Primes!F100</f>
        <v>41666.666666666664</v>
      </c>
      <c r="G79" s="212">
        <f>+Primes!G100</f>
        <v>41666.666666666664</v>
      </c>
      <c r="H79" s="212">
        <f>+Primes!H100</f>
        <v>41666.666666666664</v>
      </c>
      <c r="I79" s="212">
        <f>+Primes!I100</f>
        <v>41666.666666666664</v>
      </c>
      <c r="J79" s="212">
        <f>+Primes!J100</f>
        <v>41666.666666666664</v>
      </c>
      <c r="K79" s="212">
        <f>+Primes!K100</f>
        <v>41666.666666666664</v>
      </c>
      <c r="L79" s="212">
        <f>+Primes!L100</f>
        <v>41666.666666666664</v>
      </c>
      <c r="M79" s="212">
        <f>+Primes!M100</f>
        <v>41666.666666666664</v>
      </c>
      <c r="N79" s="212">
        <f>+Primes!N100</f>
        <v>41666.666666666664</v>
      </c>
      <c r="O79" s="212">
        <f>+Primes!O100</f>
        <v>41666.666666666664</v>
      </c>
      <c r="P79" s="212">
        <f t="shared" si="72"/>
        <v>500000.00000000006</v>
      </c>
      <c r="Q79" s="143" t="s">
        <v>1299</v>
      </c>
      <c r="R79" s="1107">
        <f t="shared" si="73"/>
        <v>41666.666666666664</v>
      </c>
    </row>
    <row r="80" spans="1:18" ht="13.5">
      <c r="A80" s="143" t="str">
        <f t="shared" si="70"/>
        <v>BO</v>
      </c>
      <c r="B80" s="143" t="str">
        <f t="shared" si="71"/>
        <v>Resp Mica</v>
      </c>
      <c r="C80" s="150">
        <f t="shared" si="71"/>
        <v>3</v>
      </c>
      <c r="D80" s="212">
        <f>+Primes!D51</f>
        <v>514500</v>
      </c>
      <c r="E80" s="212">
        <f>+Primes!E51</f>
        <v>516000</v>
      </c>
      <c r="F80" s="212">
        <f>+Primes!F51</f>
        <v>514500</v>
      </c>
      <c r="G80" s="212">
        <f>+Primes!G51</f>
        <v>516000</v>
      </c>
      <c r="H80" s="212">
        <f>+Primes!H51</f>
        <v>514500</v>
      </c>
      <c r="I80" s="212">
        <f>+Primes!I51</f>
        <v>516000</v>
      </c>
      <c r="J80" s="212">
        <f>+Primes!J51</f>
        <v>514500</v>
      </c>
      <c r="K80" s="212">
        <f>+Primes!K51</f>
        <v>516000</v>
      </c>
      <c r="L80" s="212">
        <f>+Primes!L51</f>
        <v>494400</v>
      </c>
      <c r="M80" s="212">
        <f>+Primes!M51</f>
        <v>496500</v>
      </c>
      <c r="N80" s="212">
        <f>+Primes!N51</f>
        <v>494400</v>
      </c>
      <c r="O80" s="212">
        <f>+Primes!O51</f>
        <v>496500</v>
      </c>
      <c r="P80" s="212">
        <f t="shared" si="72"/>
        <v>6103800</v>
      </c>
      <c r="Q80" s="143" t="s">
        <v>1299</v>
      </c>
      <c r="R80" s="1107">
        <f t="shared" si="73"/>
        <v>171500</v>
      </c>
    </row>
    <row r="81" spans="1:18" ht="13.5">
      <c r="A81" s="143" t="str">
        <f t="shared" si="70"/>
        <v>BO</v>
      </c>
      <c r="B81" s="143" t="str">
        <f t="shared" si="71"/>
        <v>Resp Entretien</v>
      </c>
      <c r="C81" s="150">
        <f t="shared" si="71"/>
        <v>0</v>
      </c>
      <c r="D81" s="212">
        <f>+Primes!D101</f>
        <v>0</v>
      </c>
      <c r="E81" s="212">
        <f>+Primes!E101</f>
        <v>0</v>
      </c>
      <c r="F81" s="212">
        <f>+Primes!F101</f>
        <v>0</v>
      </c>
      <c r="G81" s="212">
        <f>+Primes!G101</f>
        <v>0</v>
      </c>
      <c r="H81" s="212">
        <f>+Primes!H101</f>
        <v>0</v>
      </c>
      <c r="I81" s="212">
        <f>+Primes!I101</f>
        <v>0</v>
      </c>
      <c r="J81" s="212">
        <f>+Primes!J101</f>
        <v>0</v>
      </c>
      <c r="K81" s="212">
        <f>+Primes!K101</f>
        <v>0</v>
      </c>
      <c r="L81" s="212">
        <f>+Primes!L101</f>
        <v>0</v>
      </c>
      <c r="M81" s="212">
        <f>+Primes!M101</f>
        <v>0</v>
      </c>
      <c r="N81" s="212">
        <f>+Primes!N101</f>
        <v>0</v>
      </c>
      <c r="O81" s="212">
        <f>+Primes!O101</f>
        <v>0</v>
      </c>
      <c r="P81" s="212">
        <f t="shared" si="72"/>
        <v>0</v>
      </c>
      <c r="Q81" s="143" t="s">
        <v>1299</v>
      </c>
      <c r="R81" s="1107" t="e">
        <f t="shared" si="73"/>
        <v>#DIV/0!</v>
      </c>
    </row>
    <row r="82" spans="1:18" ht="13.5">
      <c r="A82" s="143" t="str">
        <f t="shared" si="70"/>
        <v>BO</v>
      </c>
      <c r="B82" s="143" t="str">
        <f t="shared" si="71"/>
        <v>Transitaire</v>
      </c>
      <c r="C82" s="150">
        <f t="shared" si="71"/>
        <v>2</v>
      </c>
      <c r="D82" s="212">
        <f>+Primes!D102</f>
        <v>83333.333333333328</v>
      </c>
      <c r="E82" s="212">
        <f>+Primes!E102</f>
        <v>83333.333333333328</v>
      </c>
      <c r="F82" s="212">
        <f>+Primes!F102</f>
        <v>83333.333333333328</v>
      </c>
      <c r="G82" s="212">
        <f>+Primes!G102</f>
        <v>83333.333333333328</v>
      </c>
      <c r="H82" s="212">
        <f>+Primes!H102</f>
        <v>83333.333333333328</v>
      </c>
      <c r="I82" s="212">
        <f>+Primes!I102</f>
        <v>83333.333333333328</v>
      </c>
      <c r="J82" s="212">
        <f>+Primes!J102</f>
        <v>83333.333333333328</v>
      </c>
      <c r="K82" s="212">
        <f>+Primes!K102</f>
        <v>83333.333333333328</v>
      </c>
      <c r="L82" s="212">
        <f>+Primes!L102</f>
        <v>83333.333333333328</v>
      </c>
      <c r="M82" s="212">
        <f>+Primes!M102</f>
        <v>83333.333333333328</v>
      </c>
      <c r="N82" s="212">
        <f>+Primes!N102</f>
        <v>83333.333333333328</v>
      </c>
      <c r="O82" s="212">
        <f>+Primes!O102</f>
        <v>83333.333333333328</v>
      </c>
      <c r="P82" s="212">
        <f t="shared" si="72"/>
        <v>1000000.0000000001</v>
      </c>
      <c r="Q82" s="143" t="s">
        <v>1299</v>
      </c>
      <c r="R82" s="1107">
        <f t="shared" si="73"/>
        <v>41666.666666666664</v>
      </c>
    </row>
    <row r="83" spans="1:18" ht="13.5">
      <c r="A83" s="143" t="str">
        <f t="shared" si="70"/>
        <v>BO</v>
      </c>
      <c r="B83" s="143" t="str">
        <f t="shared" si="71"/>
        <v>Cliveuse</v>
      </c>
      <c r="C83" s="150">
        <f t="shared" si="71"/>
        <v>3</v>
      </c>
      <c r="D83" s="212">
        <f>+Primes!D52</f>
        <v>514500</v>
      </c>
      <c r="E83" s="212">
        <f>+Primes!E52</f>
        <v>516000</v>
      </c>
      <c r="F83" s="212">
        <f>+Primes!F52</f>
        <v>514500</v>
      </c>
      <c r="G83" s="212">
        <f>+Primes!G52</f>
        <v>516000</v>
      </c>
      <c r="H83" s="212">
        <f>+Primes!H52</f>
        <v>514500</v>
      </c>
      <c r="I83" s="212">
        <f>+Primes!I52</f>
        <v>516000</v>
      </c>
      <c r="J83" s="212">
        <f>+Primes!J52</f>
        <v>514500</v>
      </c>
      <c r="K83" s="212">
        <f>+Primes!K52</f>
        <v>516000</v>
      </c>
      <c r="L83" s="212">
        <f>+Primes!L52</f>
        <v>494400</v>
      </c>
      <c r="M83" s="212">
        <f>+Primes!M52</f>
        <v>496500</v>
      </c>
      <c r="N83" s="212">
        <f>+Primes!N52</f>
        <v>494400</v>
      </c>
      <c r="O83" s="212">
        <f>+Primes!O52</f>
        <v>496500</v>
      </c>
      <c r="P83" s="212">
        <f t="shared" si="72"/>
        <v>6103800</v>
      </c>
      <c r="Q83" s="143" t="s">
        <v>1299</v>
      </c>
      <c r="R83" s="1107">
        <f t="shared" si="73"/>
        <v>171500</v>
      </c>
    </row>
    <row r="84" spans="1:18" ht="13.5">
      <c r="A84" s="143" t="str">
        <f t="shared" si="70"/>
        <v>BO</v>
      </c>
      <c r="B84" s="143" t="str">
        <f t="shared" si="71"/>
        <v>Aide Entretien</v>
      </c>
      <c r="C84" s="150">
        <f t="shared" si="71"/>
        <v>0</v>
      </c>
      <c r="D84" s="212">
        <f>+Primes!D103</f>
        <v>0</v>
      </c>
      <c r="E84" s="212">
        <f>+Primes!E103</f>
        <v>0</v>
      </c>
      <c r="F84" s="212">
        <f>+Primes!F103</f>
        <v>0</v>
      </c>
      <c r="G84" s="212">
        <f>+Primes!G103</f>
        <v>0</v>
      </c>
      <c r="H84" s="212">
        <f>+Primes!H103</f>
        <v>0</v>
      </c>
      <c r="I84" s="212">
        <f>+Primes!I103</f>
        <v>0</v>
      </c>
      <c r="J84" s="212">
        <f>+Primes!J103</f>
        <v>0</v>
      </c>
      <c r="K84" s="212">
        <f>+Primes!K103</f>
        <v>0</v>
      </c>
      <c r="L84" s="212">
        <f>+Primes!L103</f>
        <v>0</v>
      </c>
      <c r="M84" s="212">
        <f>+Primes!M103</f>
        <v>0</v>
      </c>
      <c r="N84" s="212">
        <f>+Primes!N103</f>
        <v>0</v>
      </c>
      <c r="O84" s="212">
        <f>+Primes!O103</f>
        <v>0</v>
      </c>
      <c r="P84" s="212">
        <f t="shared" si="72"/>
        <v>0</v>
      </c>
      <c r="Q84" s="143" t="s">
        <v>1299</v>
      </c>
      <c r="R84" s="1107" t="e">
        <f t="shared" si="73"/>
        <v>#DIV/0!</v>
      </c>
    </row>
    <row r="85" spans="1:18" ht="13.5">
      <c r="A85" s="143" t="str">
        <f t="shared" si="70"/>
        <v>BO</v>
      </c>
      <c r="B85" s="143" t="str">
        <f t="shared" si="71"/>
        <v>Chauffeur</v>
      </c>
      <c r="C85" s="150">
        <f t="shared" si="71"/>
        <v>1</v>
      </c>
      <c r="D85" s="212">
        <f>+Primes!D104</f>
        <v>22916.666666666668</v>
      </c>
      <c r="E85" s="212">
        <f>+Primes!E104</f>
        <v>22916.666666666668</v>
      </c>
      <c r="F85" s="212">
        <f>+Primes!F104</f>
        <v>22916.666666666668</v>
      </c>
      <c r="G85" s="212">
        <f>+Primes!G104</f>
        <v>22916.666666666668</v>
      </c>
      <c r="H85" s="212">
        <f>+Primes!H104</f>
        <v>22916.666666666668</v>
      </c>
      <c r="I85" s="212">
        <f>+Primes!I104</f>
        <v>22916.666666666668</v>
      </c>
      <c r="J85" s="212">
        <f>+Primes!J104</f>
        <v>22916.666666666668</v>
      </c>
      <c r="K85" s="212">
        <f>+Primes!K104</f>
        <v>22916.666666666668</v>
      </c>
      <c r="L85" s="212">
        <f>+Primes!L104</f>
        <v>22916.666666666668</v>
      </c>
      <c r="M85" s="212">
        <f>+Primes!M104</f>
        <v>22916.666666666668</v>
      </c>
      <c r="N85" s="212">
        <f>+Primes!N104</f>
        <v>22916.666666666668</v>
      </c>
      <c r="O85" s="212">
        <f>+Primes!O104</f>
        <v>22916.666666666668</v>
      </c>
      <c r="P85" s="212">
        <f t="shared" si="72"/>
        <v>274999.99999999994</v>
      </c>
      <c r="Q85" s="143" t="s">
        <v>1299</v>
      </c>
      <c r="R85" s="1107">
        <f t="shared" si="73"/>
        <v>22916.666666666668</v>
      </c>
    </row>
    <row r="86" spans="1:18" ht="13.5">
      <c r="A86" s="143" t="str">
        <f t="shared" si="70"/>
        <v>BO</v>
      </c>
      <c r="B86" s="143" t="str">
        <f t="shared" si="71"/>
        <v>Aide Chauffeur</v>
      </c>
      <c r="C86" s="150">
        <f t="shared" si="71"/>
        <v>1</v>
      </c>
      <c r="D86" s="212">
        <f>+Primes!D105</f>
        <v>20833.333333333332</v>
      </c>
      <c r="E86" s="212">
        <f>+Primes!E105</f>
        <v>20833.333333333332</v>
      </c>
      <c r="F86" s="212">
        <f>+Primes!F105</f>
        <v>20833.333333333332</v>
      </c>
      <c r="G86" s="212">
        <f>+Primes!G105</f>
        <v>20833.333333333332</v>
      </c>
      <c r="H86" s="212">
        <f>+Primes!H105</f>
        <v>20833.333333333332</v>
      </c>
      <c r="I86" s="212">
        <f>+Primes!I105</f>
        <v>20833.333333333332</v>
      </c>
      <c r="J86" s="212">
        <f>+Primes!J105</f>
        <v>20833.333333333332</v>
      </c>
      <c r="K86" s="212">
        <f>+Primes!K105</f>
        <v>20833.333333333332</v>
      </c>
      <c r="L86" s="212">
        <f>+Primes!L105</f>
        <v>20833.333333333332</v>
      </c>
      <c r="M86" s="212">
        <f>+Primes!M105</f>
        <v>20833.333333333332</v>
      </c>
      <c r="N86" s="212">
        <f>+Primes!N105</f>
        <v>20833.333333333332</v>
      </c>
      <c r="O86" s="212">
        <f>+Primes!O105</f>
        <v>20833.333333333332</v>
      </c>
      <c r="P86" s="212">
        <f t="shared" si="72"/>
        <v>250000.00000000003</v>
      </c>
      <c r="Q86" s="143" t="s">
        <v>1299</v>
      </c>
      <c r="R86" s="1107">
        <f t="shared" si="73"/>
        <v>20833.333333333332</v>
      </c>
    </row>
    <row r="87" spans="1:18" ht="13.5">
      <c r="A87" s="143" t="str">
        <f t="shared" si="70"/>
        <v>BO</v>
      </c>
      <c r="B87" s="143" t="str">
        <f t="shared" si="71"/>
        <v>Caissiere</v>
      </c>
      <c r="C87" s="150">
        <f t="shared" si="71"/>
        <v>1</v>
      </c>
      <c r="D87" s="212">
        <f>+Primes!D106</f>
        <v>20833.333333333332</v>
      </c>
      <c r="E87" s="212">
        <f>+Primes!E106</f>
        <v>20833.333333333332</v>
      </c>
      <c r="F87" s="212">
        <f>+Primes!F106</f>
        <v>20833.333333333332</v>
      </c>
      <c r="G87" s="212">
        <f>+Primes!G106</f>
        <v>20833.333333333332</v>
      </c>
      <c r="H87" s="212">
        <f>+Primes!H106</f>
        <v>20833.333333333332</v>
      </c>
      <c r="I87" s="212">
        <f>+Primes!I106</f>
        <v>20833.333333333332</v>
      </c>
      <c r="J87" s="212">
        <f>+Primes!J106</f>
        <v>20833.333333333332</v>
      </c>
      <c r="K87" s="212">
        <f>+Primes!K106</f>
        <v>20833.333333333332</v>
      </c>
      <c r="L87" s="212">
        <f>+Primes!L106</f>
        <v>20833.333333333332</v>
      </c>
      <c r="M87" s="212">
        <f>+Primes!M106</f>
        <v>20833.333333333332</v>
      </c>
      <c r="N87" s="212">
        <f>+Primes!N106</f>
        <v>20833.333333333332</v>
      </c>
      <c r="O87" s="212">
        <f>+Primes!O106</f>
        <v>20833.333333333332</v>
      </c>
      <c r="P87" s="212">
        <f t="shared" si="72"/>
        <v>250000.00000000003</v>
      </c>
      <c r="Q87" s="143" t="s">
        <v>1299</v>
      </c>
      <c r="R87" s="1107">
        <f t="shared" si="73"/>
        <v>20833.333333333332</v>
      </c>
    </row>
    <row r="88" spans="1:18" ht="13.5">
      <c r="A88" s="143" t="str">
        <f t="shared" si="70"/>
        <v>FO</v>
      </c>
      <c r="B88" s="143" t="str">
        <f t="shared" si="71"/>
        <v>Controleur de gestion</v>
      </c>
      <c r="C88" s="150">
        <f t="shared" si="71"/>
        <v>1</v>
      </c>
      <c r="D88" s="212">
        <f>+Primes!D53</f>
        <v>171500</v>
      </c>
      <c r="E88" s="212">
        <f>+Primes!E53</f>
        <v>172000</v>
      </c>
      <c r="F88" s="212">
        <f>+Primes!F53</f>
        <v>171500</v>
      </c>
      <c r="G88" s="212">
        <f>+Primes!G53</f>
        <v>172000</v>
      </c>
      <c r="H88" s="212">
        <f>+Primes!H53</f>
        <v>171500</v>
      </c>
      <c r="I88" s="212">
        <f>+Primes!I53</f>
        <v>172000</v>
      </c>
      <c r="J88" s="212">
        <f>+Primes!J53</f>
        <v>171500</v>
      </c>
      <c r="K88" s="212">
        <f>+Primes!K53</f>
        <v>172000</v>
      </c>
      <c r="L88" s="212">
        <f>+Primes!L53</f>
        <v>164800</v>
      </c>
      <c r="M88" s="212">
        <f>+Primes!M53</f>
        <v>165500</v>
      </c>
      <c r="N88" s="212">
        <f>+Primes!N53</f>
        <v>164800</v>
      </c>
      <c r="O88" s="212">
        <f>+Primes!O53</f>
        <v>165500</v>
      </c>
      <c r="P88" s="212">
        <f t="shared" si="72"/>
        <v>2034600</v>
      </c>
      <c r="Q88" s="143" t="s">
        <v>1299</v>
      </c>
      <c r="R88" s="1107">
        <f t="shared" si="73"/>
        <v>171500</v>
      </c>
    </row>
    <row r="89" spans="1:18" ht="13.5">
      <c r="A89" s="143" t="str">
        <f t="shared" si="70"/>
        <v>FO</v>
      </c>
      <c r="B89" s="143" t="str">
        <f t="shared" si="71"/>
        <v>Assistant controleur</v>
      </c>
      <c r="C89" s="150">
        <f t="shared" si="71"/>
        <v>1</v>
      </c>
      <c r="D89" s="212">
        <f>+Primes!D54</f>
        <v>171500</v>
      </c>
      <c r="E89" s="212">
        <f>+Primes!E54</f>
        <v>172000</v>
      </c>
      <c r="F89" s="212">
        <f>+Primes!F54</f>
        <v>171500</v>
      </c>
      <c r="G89" s="212">
        <f>+Primes!G54</f>
        <v>172000</v>
      </c>
      <c r="H89" s="212">
        <f>+Primes!H54</f>
        <v>171500</v>
      </c>
      <c r="I89" s="212">
        <f>+Primes!I54</f>
        <v>172000</v>
      </c>
      <c r="J89" s="212">
        <f>+Primes!J54</f>
        <v>171500</v>
      </c>
      <c r="K89" s="212">
        <f>+Primes!K54</f>
        <v>172000</v>
      </c>
      <c r="L89" s="212">
        <f>+Primes!L54</f>
        <v>164800</v>
      </c>
      <c r="M89" s="212">
        <f>+Primes!M54</f>
        <v>165500</v>
      </c>
      <c r="N89" s="212">
        <f>+Primes!N54</f>
        <v>164800</v>
      </c>
      <c r="O89" s="212">
        <f>+Primes!O54</f>
        <v>165500</v>
      </c>
      <c r="P89" s="212">
        <f t="shared" si="72"/>
        <v>2034600</v>
      </c>
      <c r="Q89" s="143" t="s">
        <v>1299</v>
      </c>
      <c r="R89" s="1107">
        <f t="shared" si="73"/>
        <v>171500</v>
      </c>
    </row>
    <row r="90" spans="1:18" ht="13.5">
      <c r="A90" s="143" t="str">
        <f t="shared" si="70"/>
        <v>FO</v>
      </c>
      <c r="B90" s="143" t="str">
        <f t="shared" si="71"/>
        <v>Controleur autre site</v>
      </c>
      <c r="C90" s="150">
        <f t="shared" si="71"/>
        <v>2</v>
      </c>
      <c r="D90" s="212">
        <f>+Primes!D55</f>
        <v>343000</v>
      </c>
      <c r="E90" s="212">
        <f>+Primes!E55</f>
        <v>344000</v>
      </c>
      <c r="F90" s="212">
        <f>+Primes!F55</f>
        <v>343000</v>
      </c>
      <c r="G90" s="212">
        <f>+Primes!G55</f>
        <v>344000</v>
      </c>
      <c r="H90" s="212">
        <f>+Primes!H55</f>
        <v>343000</v>
      </c>
      <c r="I90" s="212">
        <f>+Primes!I55</f>
        <v>344000</v>
      </c>
      <c r="J90" s="212">
        <f>+Primes!J55</f>
        <v>343000</v>
      </c>
      <c r="K90" s="212">
        <f>+Primes!K55</f>
        <v>344000</v>
      </c>
      <c r="L90" s="212">
        <f>+Primes!L55</f>
        <v>329600</v>
      </c>
      <c r="M90" s="212">
        <f>+Primes!M55</f>
        <v>331000</v>
      </c>
      <c r="N90" s="212">
        <f>+Primes!N55</f>
        <v>329600</v>
      </c>
      <c r="O90" s="212">
        <f>+Primes!O55</f>
        <v>331000</v>
      </c>
      <c r="P90" s="212">
        <f t="shared" si="72"/>
        <v>4069200</v>
      </c>
      <c r="Q90" s="143" t="s">
        <v>1299</v>
      </c>
      <c r="R90" s="1107">
        <f t="shared" si="73"/>
        <v>171500</v>
      </c>
    </row>
    <row r="91" spans="1:18" s="144" customFormat="1">
      <c r="A91" s="798"/>
      <c r="B91" s="799" t="s">
        <v>33</v>
      </c>
      <c r="C91" s="800">
        <f>SUM(C75:C90)</f>
        <v>30</v>
      </c>
      <c r="D91" s="801">
        <f>SUM(D75:D90)</f>
        <v>5504849.9999999991</v>
      </c>
      <c r="E91" s="801">
        <f t="shared" ref="E91:P91" si="74">SUM(E75:E90)</f>
        <v>5520249.9999999991</v>
      </c>
      <c r="F91" s="801">
        <f t="shared" si="74"/>
        <v>5504849.9999999991</v>
      </c>
      <c r="G91" s="801">
        <f t="shared" si="74"/>
        <v>5520249.9999999991</v>
      </c>
      <c r="H91" s="801">
        <f t="shared" si="74"/>
        <v>5504849.9999999991</v>
      </c>
      <c r="I91" s="801">
        <f t="shared" si="74"/>
        <v>5520249.9999999991</v>
      </c>
      <c r="J91" s="801">
        <f t="shared" si="74"/>
        <v>5504849.9999999991</v>
      </c>
      <c r="K91" s="801">
        <f t="shared" si="74"/>
        <v>5520249.9999999991</v>
      </c>
      <c r="L91" s="801">
        <f t="shared" si="74"/>
        <v>5298449.9999999991</v>
      </c>
      <c r="M91" s="801">
        <f t="shared" si="74"/>
        <v>5320349.9999999991</v>
      </c>
      <c r="N91" s="801">
        <f t="shared" si="74"/>
        <v>5298449.9999999991</v>
      </c>
      <c r="O91" s="801">
        <f t="shared" si="74"/>
        <v>5320349.9999999991</v>
      </c>
      <c r="P91" s="801">
        <f t="shared" si="74"/>
        <v>65338000</v>
      </c>
    </row>
    <row r="92" spans="1:18">
      <c r="A92" s="148" t="str">
        <f t="shared" ref="A92:A100" si="75">+A47</f>
        <v>AMPANDRANDAVA</v>
      </c>
      <c r="B92" s="148"/>
      <c r="C92" s="813"/>
      <c r="D92" s="154"/>
      <c r="E92" s="154"/>
      <c r="F92" s="154"/>
      <c r="G92" s="154"/>
      <c r="H92" s="154"/>
      <c r="I92" s="154"/>
      <c r="J92" s="154"/>
      <c r="K92" s="154"/>
      <c r="L92" s="154"/>
      <c r="M92" s="154"/>
      <c r="N92" s="154"/>
      <c r="O92" s="154"/>
      <c r="P92" s="154"/>
    </row>
    <row r="93" spans="1:18" ht="13.5">
      <c r="A93" s="143" t="str">
        <f t="shared" si="75"/>
        <v>FO</v>
      </c>
      <c r="B93" s="143" t="str">
        <f t="shared" ref="B93:C99" si="76">+B48</f>
        <v>Resp Site</v>
      </c>
      <c r="C93" s="150">
        <f t="shared" si="76"/>
        <v>1</v>
      </c>
      <c r="D93" s="212">
        <f>+Primes!D42</f>
        <v>900400</v>
      </c>
      <c r="E93" s="212">
        <f>+Primes!E42</f>
        <v>903000</v>
      </c>
      <c r="F93" s="212">
        <f>+Primes!F42</f>
        <v>900400</v>
      </c>
      <c r="G93" s="212">
        <f>+Primes!G42</f>
        <v>903000</v>
      </c>
      <c r="H93" s="212">
        <f>+Primes!H42</f>
        <v>900400</v>
      </c>
      <c r="I93" s="212">
        <f>+Primes!I42</f>
        <v>903000</v>
      </c>
      <c r="J93" s="212">
        <f>+Primes!J42</f>
        <v>900400</v>
      </c>
      <c r="K93" s="212">
        <f>+Primes!K42</f>
        <v>903000</v>
      </c>
      <c r="L93" s="212">
        <f>+Primes!L42</f>
        <v>865000</v>
      </c>
      <c r="M93" s="212">
        <f>+Primes!M42</f>
        <v>868900</v>
      </c>
      <c r="N93" s="212">
        <f>+Primes!N42</f>
        <v>865000</v>
      </c>
      <c r="O93" s="212">
        <f>+Primes!O42</f>
        <v>868900</v>
      </c>
      <c r="P93" s="211">
        <f>SUM(D93:O93)</f>
        <v>10681400</v>
      </c>
      <c r="Q93" s="143" t="s">
        <v>1299</v>
      </c>
      <c r="R93" s="1107">
        <f t="shared" ref="R93:R104" si="77">+D93/C93</f>
        <v>900400</v>
      </c>
    </row>
    <row r="94" spans="1:18" ht="13.5">
      <c r="A94" s="143" t="str">
        <f t="shared" si="75"/>
        <v>FO</v>
      </c>
      <c r="B94" s="143" t="str">
        <f t="shared" si="76"/>
        <v>Collecteurs</v>
      </c>
      <c r="C94" s="150">
        <f t="shared" si="76"/>
        <v>6</v>
      </c>
      <c r="D94" s="212">
        <f>+Primes!D43</f>
        <v>5402400</v>
      </c>
      <c r="E94" s="212">
        <f>+Primes!E43</f>
        <v>5418000</v>
      </c>
      <c r="F94" s="212">
        <f>+Primes!F43</f>
        <v>5402400</v>
      </c>
      <c r="G94" s="212">
        <f>+Primes!G43</f>
        <v>5418000</v>
      </c>
      <c r="H94" s="212">
        <f>+Primes!H43</f>
        <v>5402400</v>
      </c>
      <c r="I94" s="212">
        <f>+Primes!I43</f>
        <v>5418000</v>
      </c>
      <c r="J94" s="212">
        <f>+Primes!J43</f>
        <v>5402400</v>
      </c>
      <c r="K94" s="212">
        <f>+Primes!K43</f>
        <v>5418000</v>
      </c>
      <c r="L94" s="212">
        <f>+Primes!L43</f>
        <v>5190000</v>
      </c>
      <c r="M94" s="212">
        <f>+Primes!M43</f>
        <v>5213400</v>
      </c>
      <c r="N94" s="212">
        <f>+Primes!N43</f>
        <v>5190000</v>
      </c>
      <c r="O94" s="212">
        <f>+Primes!O43</f>
        <v>5213400</v>
      </c>
      <c r="P94" s="211">
        <f t="shared" ref="P94:P99" si="78">SUM(D94:O94)</f>
        <v>64088400</v>
      </c>
      <c r="Q94" s="143" t="s">
        <v>1299</v>
      </c>
      <c r="R94" s="1107">
        <f t="shared" si="77"/>
        <v>900400</v>
      </c>
    </row>
    <row r="95" spans="1:18" ht="13.5">
      <c r="A95" s="143" t="str">
        <f t="shared" si="75"/>
        <v>FO</v>
      </c>
      <c r="B95" s="143" t="str">
        <f t="shared" si="76"/>
        <v>Aides Collecteurs</v>
      </c>
      <c r="C95" s="150">
        <f t="shared" si="76"/>
        <v>6</v>
      </c>
      <c r="D95" s="212">
        <f>+Primes!D44</f>
        <v>5402400</v>
      </c>
      <c r="E95" s="212">
        <f>+Primes!E44</f>
        <v>5418000</v>
      </c>
      <c r="F95" s="212">
        <f>+Primes!F44</f>
        <v>5402400</v>
      </c>
      <c r="G95" s="212">
        <f>+Primes!G44</f>
        <v>5418000</v>
      </c>
      <c r="H95" s="212">
        <f>+Primes!H44</f>
        <v>5402400</v>
      </c>
      <c r="I95" s="212">
        <f>+Primes!I44</f>
        <v>5418000</v>
      </c>
      <c r="J95" s="212">
        <f>+Primes!J44</f>
        <v>5402400</v>
      </c>
      <c r="K95" s="212">
        <f>+Primes!K44</f>
        <v>5418000</v>
      </c>
      <c r="L95" s="212">
        <f>+Primes!L44</f>
        <v>5190000</v>
      </c>
      <c r="M95" s="212">
        <f>+Primes!M44</f>
        <v>5213400</v>
      </c>
      <c r="N95" s="212">
        <f>+Primes!N44</f>
        <v>5190000</v>
      </c>
      <c r="O95" s="212">
        <f>+Primes!O44</f>
        <v>5213400</v>
      </c>
      <c r="P95" s="211">
        <f t="shared" si="78"/>
        <v>64088400</v>
      </c>
      <c r="Q95" s="143" t="s">
        <v>1299</v>
      </c>
      <c r="R95" s="1107">
        <f t="shared" si="77"/>
        <v>900400</v>
      </c>
    </row>
    <row r="96" spans="1:18" ht="13.5">
      <c r="A96" s="143" t="str">
        <f t="shared" si="75"/>
        <v>FO</v>
      </c>
      <c r="B96" s="143" t="str">
        <f t="shared" si="76"/>
        <v>Controleurs</v>
      </c>
      <c r="C96" s="150">
        <f t="shared" si="76"/>
        <v>3</v>
      </c>
      <c r="D96" s="212">
        <f>+Primes!D45</f>
        <v>2701200</v>
      </c>
      <c r="E96" s="212">
        <f>+Primes!E45</f>
        <v>2709000</v>
      </c>
      <c r="F96" s="212">
        <f>+Primes!F45</f>
        <v>2701200</v>
      </c>
      <c r="G96" s="212">
        <f>+Primes!G45</f>
        <v>2709000</v>
      </c>
      <c r="H96" s="212">
        <f>+Primes!H45</f>
        <v>2701200</v>
      </c>
      <c r="I96" s="212">
        <f>+Primes!I45</f>
        <v>2709000</v>
      </c>
      <c r="J96" s="212">
        <f>+Primes!J45</f>
        <v>2701200</v>
      </c>
      <c r="K96" s="212">
        <f>+Primes!K45</f>
        <v>2709000</v>
      </c>
      <c r="L96" s="212">
        <f>+Primes!L45</f>
        <v>2595000</v>
      </c>
      <c r="M96" s="212">
        <f>+Primes!M45</f>
        <v>2606700</v>
      </c>
      <c r="N96" s="212">
        <f>+Primes!N45</f>
        <v>2595000</v>
      </c>
      <c r="O96" s="212">
        <f>+Primes!O45</f>
        <v>2606700</v>
      </c>
      <c r="P96" s="211">
        <f t="shared" si="78"/>
        <v>32044200</v>
      </c>
      <c r="Q96" s="143" t="s">
        <v>1299</v>
      </c>
      <c r="R96" s="1107">
        <f t="shared" si="77"/>
        <v>900400</v>
      </c>
    </row>
    <row r="97" spans="1:18" ht="13.5">
      <c r="A97" s="143" t="str">
        <f t="shared" si="75"/>
        <v>BO</v>
      </c>
      <c r="B97" s="143" t="str">
        <f t="shared" si="76"/>
        <v>Agents entretiens</v>
      </c>
      <c r="C97" s="150">
        <f t="shared" si="76"/>
        <v>2</v>
      </c>
      <c r="D97" s="212">
        <f>+Primes!D74</f>
        <v>137500</v>
      </c>
      <c r="E97" s="212">
        <f>+Primes!E74</f>
        <v>137500</v>
      </c>
      <c r="F97" s="212">
        <f>+Primes!F74</f>
        <v>137500</v>
      </c>
      <c r="G97" s="212">
        <f>+Primes!G74</f>
        <v>137500</v>
      </c>
      <c r="H97" s="212">
        <f>+Primes!H74</f>
        <v>137500</v>
      </c>
      <c r="I97" s="212">
        <f>+Primes!I74</f>
        <v>137500</v>
      </c>
      <c r="J97" s="212">
        <f>+Primes!J74</f>
        <v>137500</v>
      </c>
      <c r="K97" s="212">
        <f>+Primes!K74</f>
        <v>137500</v>
      </c>
      <c r="L97" s="212">
        <f>+Primes!L74</f>
        <v>137500</v>
      </c>
      <c r="M97" s="212">
        <f>+Primes!M74</f>
        <v>137500</v>
      </c>
      <c r="N97" s="212">
        <f>+Primes!N74</f>
        <v>137500</v>
      </c>
      <c r="O97" s="212">
        <f>+Primes!O74</f>
        <v>137500</v>
      </c>
      <c r="P97" s="211">
        <f t="shared" si="78"/>
        <v>1650000</v>
      </c>
      <c r="Q97" s="143" t="s">
        <v>1299</v>
      </c>
      <c r="R97" s="1107">
        <f t="shared" si="77"/>
        <v>68750</v>
      </c>
    </row>
    <row r="98" spans="1:18" ht="13.5">
      <c r="A98" s="143" t="str">
        <f t="shared" si="75"/>
        <v>BO</v>
      </c>
      <c r="B98" s="143" t="str">
        <f t="shared" si="76"/>
        <v>Agents securités</v>
      </c>
      <c r="C98" s="150">
        <f t="shared" si="76"/>
        <v>3</v>
      </c>
      <c r="D98" s="212">
        <f>+Primes!D75</f>
        <v>206250</v>
      </c>
      <c r="E98" s="212">
        <f>+Primes!E75</f>
        <v>206250</v>
      </c>
      <c r="F98" s="212">
        <f>+Primes!F75</f>
        <v>206250</v>
      </c>
      <c r="G98" s="212">
        <f>+Primes!G75</f>
        <v>206250</v>
      </c>
      <c r="H98" s="212">
        <f>+Primes!H75</f>
        <v>206250</v>
      </c>
      <c r="I98" s="212">
        <f>+Primes!I75</f>
        <v>206250</v>
      </c>
      <c r="J98" s="212">
        <f>+Primes!J75</f>
        <v>206250</v>
      </c>
      <c r="K98" s="212">
        <f>+Primes!K75</f>
        <v>206250</v>
      </c>
      <c r="L98" s="212">
        <f>+Primes!L75</f>
        <v>206250</v>
      </c>
      <c r="M98" s="212">
        <f>+Primes!M75</f>
        <v>206250</v>
      </c>
      <c r="N98" s="212">
        <f>+Primes!N75</f>
        <v>206250</v>
      </c>
      <c r="O98" s="212">
        <f>+Primes!O75</f>
        <v>206250</v>
      </c>
      <c r="P98" s="211">
        <f t="shared" si="78"/>
        <v>2475000</v>
      </c>
      <c r="Q98" s="143" t="s">
        <v>1299</v>
      </c>
      <c r="R98" s="1107">
        <f t="shared" si="77"/>
        <v>68750</v>
      </c>
    </row>
    <row r="99" spans="1:18" ht="13.5">
      <c r="A99" s="143" t="str">
        <f t="shared" si="75"/>
        <v>BO</v>
      </c>
      <c r="B99" s="143" t="str">
        <f t="shared" si="76"/>
        <v>Gestionnaire</v>
      </c>
      <c r="C99" s="150">
        <f t="shared" si="76"/>
        <v>1</v>
      </c>
      <c r="D99" s="212">
        <f>+Primes!D76</f>
        <v>68750</v>
      </c>
      <c r="E99" s="212">
        <f>+Primes!E76</f>
        <v>68750</v>
      </c>
      <c r="F99" s="212">
        <f>+Primes!F76</f>
        <v>68750</v>
      </c>
      <c r="G99" s="212">
        <f>+Primes!G76</f>
        <v>68750</v>
      </c>
      <c r="H99" s="212">
        <f>+Primes!H76</f>
        <v>68750</v>
      </c>
      <c r="I99" s="212">
        <f>+Primes!I76</f>
        <v>68750</v>
      </c>
      <c r="J99" s="212">
        <f>+Primes!J76</f>
        <v>68750</v>
      </c>
      <c r="K99" s="212">
        <f>+Primes!K76</f>
        <v>68750</v>
      </c>
      <c r="L99" s="212">
        <f>+Primes!L76</f>
        <v>68750</v>
      </c>
      <c r="M99" s="212">
        <f>+Primes!M76</f>
        <v>68750</v>
      </c>
      <c r="N99" s="212">
        <f>+Primes!N76</f>
        <v>68750</v>
      </c>
      <c r="O99" s="212">
        <f>+Primes!O76</f>
        <v>68750</v>
      </c>
      <c r="P99" s="211">
        <f t="shared" si="78"/>
        <v>825000</v>
      </c>
      <c r="Q99" s="143" t="s">
        <v>1299</v>
      </c>
      <c r="R99" s="1107">
        <f t="shared" si="77"/>
        <v>68750</v>
      </c>
    </row>
    <row r="100" spans="1:18" ht="13.5">
      <c r="A100" s="148" t="str">
        <f t="shared" si="75"/>
        <v>ANIVORANO</v>
      </c>
      <c r="D100" s="212"/>
    </row>
    <row r="101" spans="1:18" ht="13.5">
      <c r="B101" s="143" t="str">
        <f t="shared" ref="B101:C104" si="79">+B56</f>
        <v>Machiniste</v>
      </c>
      <c r="C101" s="150">
        <f t="shared" si="79"/>
        <v>1</v>
      </c>
      <c r="D101" s="212">
        <v>0</v>
      </c>
      <c r="E101" s="212">
        <v>0</v>
      </c>
      <c r="F101" s="212">
        <v>0</v>
      </c>
      <c r="G101" s="212">
        <v>0</v>
      </c>
      <c r="H101" s="212">
        <v>0</v>
      </c>
      <c r="I101" s="212">
        <v>0</v>
      </c>
      <c r="J101" s="212">
        <v>0</v>
      </c>
      <c r="K101" s="212">
        <v>0</v>
      </c>
      <c r="L101" s="212">
        <v>0</v>
      </c>
      <c r="M101" s="212">
        <v>0</v>
      </c>
      <c r="N101" s="212">
        <v>0</v>
      </c>
      <c r="O101" s="212">
        <v>0</v>
      </c>
      <c r="P101" s="211">
        <f t="shared" ref="P101:P114" si="80">SUM(D101:O101)</f>
        <v>0</v>
      </c>
      <c r="Q101" s="143" t="s">
        <v>1299</v>
      </c>
      <c r="R101" s="1107">
        <f t="shared" si="77"/>
        <v>0</v>
      </c>
    </row>
    <row r="102" spans="1:18" ht="13.5">
      <c r="B102" s="143" t="str">
        <f t="shared" si="79"/>
        <v>Aide Machiniste</v>
      </c>
      <c r="C102" s="150">
        <f t="shared" si="79"/>
        <v>1</v>
      </c>
      <c r="D102" s="212">
        <v>0</v>
      </c>
      <c r="E102" s="212">
        <v>0</v>
      </c>
      <c r="F102" s="212">
        <v>0</v>
      </c>
      <c r="G102" s="212">
        <v>0</v>
      </c>
      <c r="H102" s="212">
        <v>0</v>
      </c>
      <c r="I102" s="212">
        <v>0</v>
      </c>
      <c r="J102" s="212">
        <v>0</v>
      </c>
      <c r="K102" s="212">
        <v>0</v>
      </c>
      <c r="L102" s="212">
        <v>0</v>
      </c>
      <c r="M102" s="212">
        <v>0</v>
      </c>
      <c r="N102" s="212">
        <v>0</v>
      </c>
      <c r="O102" s="212">
        <v>0</v>
      </c>
      <c r="P102" s="211">
        <f t="shared" si="80"/>
        <v>0</v>
      </c>
      <c r="Q102" s="143" t="s">
        <v>1299</v>
      </c>
      <c r="R102" s="1107">
        <f t="shared" si="77"/>
        <v>0</v>
      </c>
    </row>
    <row r="103" spans="1:18" ht="13.5">
      <c r="B103" s="143" t="str">
        <f t="shared" si="79"/>
        <v>Gardiens</v>
      </c>
      <c r="C103" s="150">
        <f t="shared" si="79"/>
        <v>2</v>
      </c>
      <c r="D103" s="212">
        <v>0</v>
      </c>
      <c r="E103" s="212">
        <v>0</v>
      </c>
      <c r="F103" s="212">
        <v>0</v>
      </c>
      <c r="G103" s="212">
        <v>0</v>
      </c>
      <c r="H103" s="212">
        <v>0</v>
      </c>
      <c r="I103" s="212">
        <v>0</v>
      </c>
      <c r="J103" s="212">
        <v>0</v>
      </c>
      <c r="K103" s="212">
        <v>0</v>
      </c>
      <c r="L103" s="212">
        <v>0</v>
      </c>
      <c r="M103" s="212">
        <v>0</v>
      </c>
      <c r="N103" s="212">
        <v>0</v>
      </c>
      <c r="O103" s="212">
        <v>0</v>
      </c>
      <c r="P103" s="211">
        <f t="shared" si="80"/>
        <v>0</v>
      </c>
      <c r="Q103" s="143" t="s">
        <v>1299</v>
      </c>
      <c r="R103" s="1107">
        <f t="shared" si="77"/>
        <v>0</v>
      </c>
    </row>
    <row r="104" spans="1:18" ht="13.5">
      <c r="B104" s="143" t="str">
        <f t="shared" si="79"/>
        <v>Temp Central</v>
      </c>
      <c r="C104" s="150">
        <f t="shared" si="79"/>
        <v>1</v>
      </c>
      <c r="D104" s="212">
        <v>0</v>
      </c>
      <c r="E104" s="212">
        <v>0</v>
      </c>
      <c r="F104" s="212">
        <v>0</v>
      </c>
      <c r="G104" s="212">
        <v>0</v>
      </c>
      <c r="H104" s="212">
        <v>0</v>
      </c>
      <c r="I104" s="212">
        <v>0</v>
      </c>
      <c r="J104" s="212">
        <v>0</v>
      </c>
      <c r="K104" s="212">
        <v>0</v>
      </c>
      <c r="L104" s="212">
        <v>0</v>
      </c>
      <c r="M104" s="212">
        <v>0</v>
      </c>
      <c r="N104" s="212">
        <v>0</v>
      </c>
      <c r="O104" s="212">
        <v>0</v>
      </c>
      <c r="P104" s="211">
        <f t="shared" si="80"/>
        <v>0</v>
      </c>
      <c r="Q104" s="143" t="s">
        <v>1299</v>
      </c>
      <c r="R104" s="1107">
        <f t="shared" si="77"/>
        <v>0</v>
      </c>
    </row>
    <row r="105" spans="1:18" s="144" customFormat="1">
      <c r="A105" s="798"/>
      <c r="B105" s="799" t="s">
        <v>33</v>
      </c>
      <c r="C105" s="800">
        <f>SUM(C93:C104)</f>
        <v>27</v>
      </c>
      <c r="D105" s="800">
        <f t="shared" ref="D105:P105" si="81">SUM(D93:D104)</f>
        <v>14818900</v>
      </c>
      <c r="E105" s="800">
        <f t="shared" si="81"/>
        <v>14860500</v>
      </c>
      <c r="F105" s="800">
        <f t="shared" si="81"/>
        <v>14818900</v>
      </c>
      <c r="G105" s="800">
        <f t="shared" si="81"/>
        <v>14860500</v>
      </c>
      <c r="H105" s="800">
        <f t="shared" si="81"/>
        <v>14818900</v>
      </c>
      <c r="I105" s="800">
        <f t="shared" si="81"/>
        <v>14860500</v>
      </c>
      <c r="J105" s="800">
        <f t="shared" si="81"/>
        <v>14818900</v>
      </c>
      <c r="K105" s="800">
        <f t="shared" si="81"/>
        <v>14860500</v>
      </c>
      <c r="L105" s="800">
        <f t="shared" si="81"/>
        <v>14252500</v>
      </c>
      <c r="M105" s="800">
        <f t="shared" si="81"/>
        <v>14314900</v>
      </c>
      <c r="N105" s="800">
        <f t="shared" si="81"/>
        <v>14252500</v>
      </c>
      <c r="O105" s="800">
        <f t="shared" si="81"/>
        <v>14314900</v>
      </c>
      <c r="P105" s="800">
        <f t="shared" si="81"/>
        <v>175852400</v>
      </c>
    </row>
    <row r="106" spans="1:18">
      <c r="A106" s="148" t="str">
        <f>+A61</f>
        <v>TRANOMARO</v>
      </c>
      <c r="C106" s="143"/>
    </row>
    <row r="107" spans="1:18" ht="13.5">
      <c r="A107" s="143" t="str">
        <f>+A62</f>
        <v>FO</v>
      </c>
      <c r="B107" s="143" t="str">
        <f>+B62</f>
        <v>Resp Site</v>
      </c>
      <c r="C107" s="150">
        <f>+Primes!B36</f>
        <v>1</v>
      </c>
      <c r="D107" s="212">
        <f>+Primes!D36</f>
        <v>428700</v>
      </c>
      <c r="E107" s="212">
        <f>+Primes!E36</f>
        <v>430000</v>
      </c>
      <c r="F107" s="212">
        <f>+Primes!F36</f>
        <v>428700</v>
      </c>
      <c r="G107" s="212">
        <f>+Primes!G36</f>
        <v>430000</v>
      </c>
      <c r="H107" s="212">
        <f>+Primes!H36</f>
        <v>428700</v>
      </c>
      <c r="I107" s="212">
        <f>+Primes!I36</f>
        <v>430000</v>
      </c>
      <c r="J107" s="212">
        <f>+Primes!J36</f>
        <v>428700</v>
      </c>
      <c r="K107" s="212">
        <f>+Primes!K36</f>
        <v>430000</v>
      </c>
      <c r="L107" s="212">
        <f>+Primes!L36</f>
        <v>411800</v>
      </c>
      <c r="M107" s="212">
        <f>+Primes!M36</f>
        <v>413700</v>
      </c>
      <c r="N107" s="212">
        <f>+Primes!N36</f>
        <v>411800</v>
      </c>
      <c r="O107" s="212">
        <f>+Primes!O36</f>
        <v>413700</v>
      </c>
      <c r="P107" s="211">
        <f t="shared" si="80"/>
        <v>5085800</v>
      </c>
      <c r="Q107" s="143" t="s">
        <v>1299</v>
      </c>
    </row>
    <row r="108" spans="1:18" ht="13.5">
      <c r="A108" s="143" t="str">
        <f>+A63</f>
        <v>FO</v>
      </c>
      <c r="B108" s="143" t="str">
        <f>+B63</f>
        <v>Collecteurs</v>
      </c>
      <c r="C108" s="150">
        <f>+Primes!B37</f>
        <v>6</v>
      </c>
      <c r="D108" s="212">
        <f>+Primes!D37</f>
        <v>2572200</v>
      </c>
      <c r="E108" s="212">
        <f>+Primes!E37</f>
        <v>2580000</v>
      </c>
      <c r="F108" s="212">
        <f>+Primes!F37</f>
        <v>2572200</v>
      </c>
      <c r="G108" s="212">
        <f>+Primes!G37</f>
        <v>2580000</v>
      </c>
      <c r="H108" s="212">
        <f>+Primes!H37</f>
        <v>2572200</v>
      </c>
      <c r="I108" s="212">
        <f>+Primes!I37</f>
        <v>2580000</v>
      </c>
      <c r="J108" s="212">
        <f>+Primes!J37</f>
        <v>2572200</v>
      </c>
      <c r="K108" s="212">
        <f>+Primes!K37</f>
        <v>2580000</v>
      </c>
      <c r="L108" s="212">
        <f>+Primes!L37</f>
        <v>2470800</v>
      </c>
      <c r="M108" s="212">
        <f>+Primes!M37</f>
        <v>2482200</v>
      </c>
      <c r="N108" s="212">
        <f>+Primes!N37</f>
        <v>2470800</v>
      </c>
      <c r="O108" s="212">
        <f>+Primes!O37</f>
        <v>2482200</v>
      </c>
      <c r="P108" s="211">
        <f t="shared" si="80"/>
        <v>30514800</v>
      </c>
      <c r="Q108" s="143" t="s">
        <v>1299</v>
      </c>
    </row>
    <row r="109" spans="1:18" ht="13.5">
      <c r="A109" s="143" t="str">
        <f>+A64</f>
        <v>FO</v>
      </c>
      <c r="B109" s="143" t="str">
        <f>+B64</f>
        <v>Aide colleceturs</v>
      </c>
      <c r="C109" s="150">
        <f>+Primes!B38</f>
        <v>6</v>
      </c>
      <c r="D109" s="212">
        <f>+Primes!D38</f>
        <v>2572200</v>
      </c>
      <c r="E109" s="212">
        <f>+Primes!E38</f>
        <v>2580000</v>
      </c>
      <c r="F109" s="212">
        <f>+Primes!F38</f>
        <v>2572200</v>
      </c>
      <c r="G109" s="212">
        <f>+Primes!G38</f>
        <v>2580000</v>
      </c>
      <c r="H109" s="212">
        <f>+Primes!H38</f>
        <v>2572200</v>
      </c>
      <c r="I109" s="212">
        <f>+Primes!I38</f>
        <v>2580000</v>
      </c>
      <c r="J109" s="212">
        <f>+Primes!J38</f>
        <v>2572200</v>
      </c>
      <c r="K109" s="212">
        <f>+Primes!K38</f>
        <v>2580000</v>
      </c>
      <c r="L109" s="212">
        <f>+Primes!L38</f>
        <v>2470800</v>
      </c>
      <c r="M109" s="212">
        <f>+Primes!M38</f>
        <v>2482200</v>
      </c>
      <c r="N109" s="212">
        <f>+Primes!N38</f>
        <v>2470800</v>
      </c>
      <c r="O109" s="212">
        <f>+Primes!O38</f>
        <v>2482200</v>
      </c>
      <c r="P109" s="211">
        <f t="shared" si="80"/>
        <v>30514800</v>
      </c>
      <c r="Q109" s="143" t="s">
        <v>1299</v>
      </c>
    </row>
    <row r="110" spans="1:18" ht="13.5">
      <c r="A110" s="143" t="str">
        <f>+A65</f>
        <v>FO</v>
      </c>
      <c r="B110" s="143" t="str">
        <f>+B65</f>
        <v>Controleurs</v>
      </c>
      <c r="C110" s="150">
        <f>+Primes!B39</f>
        <v>3</v>
      </c>
      <c r="D110" s="212">
        <f>+Primes!D39</f>
        <v>1286100</v>
      </c>
      <c r="E110" s="212">
        <f>+Primes!E39</f>
        <v>1290000</v>
      </c>
      <c r="F110" s="212">
        <f>+Primes!F39</f>
        <v>1286100</v>
      </c>
      <c r="G110" s="212">
        <f>+Primes!G39</f>
        <v>1290000</v>
      </c>
      <c r="H110" s="212">
        <f>+Primes!H39</f>
        <v>1286100</v>
      </c>
      <c r="I110" s="212">
        <f>+Primes!I39</f>
        <v>1290000</v>
      </c>
      <c r="J110" s="212">
        <f>+Primes!J39</f>
        <v>1286100</v>
      </c>
      <c r="K110" s="212">
        <f>+Primes!K39</f>
        <v>1290000</v>
      </c>
      <c r="L110" s="212">
        <f>+Primes!L39</f>
        <v>1235400</v>
      </c>
      <c r="M110" s="212">
        <f>+Primes!M39</f>
        <v>1241100</v>
      </c>
      <c r="N110" s="212">
        <f>+Primes!N39</f>
        <v>1235400</v>
      </c>
      <c r="O110" s="212">
        <f>+Primes!O39</f>
        <v>1241100</v>
      </c>
      <c r="P110" s="211">
        <f t="shared" si="80"/>
        <v>15257400</v>
      </c>
      <c r="Q110" s="143" t="s">
        <v>1299</v>
      </c>
    </row>
    <row r="111" spans="1:18" s="144" customFormat="1">
      <c r="A111" s="798"/>
      <c r="B111" s="799" t="s">
        <v>33</v>
      </c>
      <c r="C111" s="800">
        <f>SUM(C107:C110)</f>
        <v>16</v>
      </c>
      <c r="D111" s="800">
        <f>SUM(D107:D110)</f>
        <v>6859200</v>
      </c>
      <c r="E111" s="800">
        <f t="shared" ref="E111:P111" si="82">SUM(E107:E110)</f>
        <v>6880000</v>
      </c>
      <c r="F111" s="800">
        <f t="shared" si="82"/>
        <v>6859200</v>
      </c>
      <c r="G111" s="800">
        <f t="shared" si="82"/>
        <v>6880000</v>
      </c>
      <c r="H111" s="800">
        <f t="shared" si="82"/>
        <v>6859200</v>
      </c>
      <c r="I111" s="800">
        <f t="shared" si="82"/>
        <v>6880000</v>
      </c>
      <c r="J111" s="800">
        <f t="shared" si="82"/>
        <v>6859200</v>
      </c>
      <c r="K111" s="800">
        <f t="shared" si="82"/>
        <v>6880000</v>
      </c>
      <c r="L111" s="800">
        <f t="shared" si="82"/>
        <v>6588800</v>
      </c>
      <c r="M111" s="800">
        <f t="shared" si="82"/>
        <v>6619200</v>
      </c>
      <c r="N111" s="800">
        <f t="shared" si="82"/>
        <v>6588800</v>
      </c>
      <c r="O111" s="800">
        <f t="shared" si="82"/>
        <v>6619200</v>
      </c>
      <c r="P111" s="800">
        <f t="shared" si="82"/>
        <v>81372800</v>
      </c>
    </row>
    <row r="112" spans="1:18">
      <c r="A112" s="148" t="str">
        <f>+A67</f>
        <v>TOAMASINA</v>
      </c>
      <c r="C112" s="143"/>
    </row>
    <row r="113" spans="1:18" ht="13.5">
      <c r="B113" s="143" t="str">
        <f>+B68</f>
        <v>Resp Site</v>
      </c>
      <c r="C113" s="150">
        <f>+C68</f>
        <v>1</v>
      </c>
      <c r="D113" s="212">
        <v>0</v>
      </c>
      <c r="E113" s="212">
        <v>0</v>
      </c>
      <c r="F113" s="212">
        <v>0</v>
      </c>
      <c r="G113" s="212">
        <v>0</v>
      </c>
      <c r="H113" s="212">
        <v>0</v>
      </c>
      <c r="I113" s="212">
        <v>0</v>
      </c>
      <c r="J113" s="212">
        <v>0</v>
      </c>
      <c r="K113" s="212">
        <v>0</v>
      </c>
      <c r="L113" s="212">
        <v>0</v>
      </c>
      <c r="M113" s="212">
        <v>0</v>
      </c>
      <c r="N113" s="212">
        <v>0</v>
      </c>
      <c r="O113" s="212">
        <v>0</v>
      </c>
      <c r="P113" s="211">
        <f>SUM(D113:O113)</f>
        <v>0</v>
      </c>
      <c r="Q113" s="143" t="s">
        <v>1299</v>
      </c>
    </row>
    <row r="114" spans="1:18" ht="13.5">
      <c r="B114" s="143" t="str">
        <f>+B69</f>
        <v>Assistants</v>
      </c>
      <c r="C114" s="150">
        <f>+C69</f>
        <v>2</v>
      </c>
      <c r="D114" s="212">
        <v>0</v>
      </c>
      <c r="E114" s="212">
        <v>0</v>
      </c>
      <c r="F114" s="212">
        <v>0</v>
      </c>
      <c r="G114" s="212">
        <v>0</v>
      </c>
      <c r="H114" s="212">
        <v>0</v>
      </c>
      <c r="I114" s="212">
        <v>0</v>
      </c>
      <c r="J114" s="212">
        <v>0</v>
      </c>
      <c r="K114" s="212">
        <v>0</v>
      </c>
      <c r="L114" s="212">
        <v>0</v>
      </c>
      <c r="M114" s="212">
        <v>0</v>
      </c>
      <c r="N114" s="212">
        <v>0</v>
      </c>
      <c r="O114" s="212">
        <v>0</v>
      </c>
      <c r="P114" s="211">
        <f t="shared" si="80"/>
        <v>0</v>
      </c>
      <c r="Q114" s="143" t="s">
        <v>1299</v>
      </c>
    </row>
    <row r="115" spans="1:18" s="144" customFormat="1">
      <c r="A115" s="798"/>
      <c r="B115" s="799" t="s">
        <v>33</v>
      </c>
      <c r="C115" s="800">
        <f>SUM(C113:C114)</f>
        <v>3</v>
      </c>
      <c r="D115" s="800">
        <f>SUM(D113:D114)</f>
        <v>0</v>
      </c>
      <c r="E115" s="800">
        <f t="shared" ref="E115:P115" si="83">SUM(E113:E114)</f>
        <v>0</v>
      </c>
      <c r="F115" s="800">
        <f t="shared" si="83"/>
        <v>0</v>
      </c>
      <c r="G115" s="800">
        <f t="shared" si="83"/>
        <v>0</v>
      </c>
      <c r="H115" s="800">
        <f t="shared" si="83"/>
        <v>0</v>
      </c>
      <c r="I115" s="800">
        <f t="shared" si="83"/>
        <v>0</v>
      </c>
      <c r="J115" s="800">
        <f t="shared" si="83"/>
        <v>0</v>
      </c>
      <c r="K115" s="800">
        <f t="shared" si="83"/>
        <v>0</v>
      </c>
      <c r="L115" s="800">
        <f t="shared" si="83"/>
        <v>0</v>
      </c>
      <c r="M115" s="800">
        <f t="shared" si="83"/>
        <v>0</v>
      </c>
      <c r="N115" s="800">
        <f t="shared" si="83"/>
        <v>0</v>
      </c>
      <c r="O115" s="800">
        <f t="shared" si="83"/>
        <v>0</v>
      </c>
      <c r="P115" s="800">
        <f t="shared" si="83"/>
        <v>0</v>
      </c>
    </row>
    <row r="116" spans="1:18" ht="13.5" thickBot="1">
      <c r="A116" s="832" t="s">
        <v>1322</v>
      </c>
      <c r="B116" s="823"/>
      <c r="C116" s="823">
        <f>+C115+C111+C105+C91</f>
        <v>76</v>
      </c>
      <c r="D116" s="833">
        <f>+D115+D111+D105+D91</f>
        <v>27182950</v>
      </c>
      <c r="E116" s="833">
        <f t="shared" ref="E116" si="84">+E115+E111+E105+E91</f>
        <v>27260750</v>
      </c>
      <c r="F116" s="833">
        <f t="shared" ref="F116" si="85">+F115+F111+F105+F91</f>
        <v>27182950</v>
      </c>
      <c r="G116" s="833">
        <f t="shared" ref="G116" si="86">+G115+G111+G105+G91</f>
        <v>27260750</v>
      </c>
      <c r="H116" s="833">
        <f t="shared" ref="H116" si="87">+H115+H111+H105+H91</f>
        <v>27182950</v>
      </c>
      <c r="I116" s="833">
        <f t="shared" ref="I116" si="88">+I115+I111+I105+I91</f>
        <v>27260750</v>
      </c>
      <c r="J116" s="833">
        <f t="shared" ref="J116" si="89">+J115+J111+J105+J91</f>
        <v>27182950</v>
      </c>
      <c r="K116" s="833">
        <f t="shared" ref="K116" si="90">+K115+K111+K105+K91</f>
        <v>27260750</v>
      </c>
      <c r="L116" s="833">
        <f t="shared" ref="L116" si="91">+L115+L111+L105+L91</f>
        <v>26139750</v>
      </c>
      <c r="M116" s="833">
        <f t="shared" ref="M116" si="92">+M115+M111+M105+M91</f>
        <v>26254450</v>
      </c>
      <c r="N116" s="833">
        <f t="shared" ref="N116" si="93">+N115+N111+N105+N91</f>
        <v>26139750</v>
      </c>
      <c r="O116" s="833">
        <f t="shared" ref="O116" si="94">+O115+O111+O105+O91</f>
        <v>26254450</v>
      </c>
      <c r="P116" s="833">
        <f t="shared" ref="P116" si="95">+P115+P111+P105+P91</f>
        <v>322563200</v>
      </c>
    </row>
    <row r="117" spans="1:18">
      <c r="D117" s="211"/>
    </row>
    <row r="118" spans="1:18" ht="13.5" thickBot="1">
      <c r="D118" s="211"/>
    </row>
    <row r="119" spans="1:18" s="144" customFormat="1">
      <c r="A119" s="787" t="s">
        <v>1296</v>
      </c>
      <c r="B119" s="788"/>
      <c r="C119" s="789" t="str">
        <f>+C73</f>
        <v>Nbre</v>
      </c>
      <c r="D119" s="790" t="str">
        <f t="shared" ref="D119:P119" si="96">+D73</f>
        <v>M1</v>
      </c>
      <c r="E119" s="790" t="str">
        <f t="shared" si="96"/>
        <v>M2</v>
      </c>
      <c r="F119" s="790" t="str">
        <f t="shared" si="96"/>
        <v>M3</v>
      </c>
      <c r="G119" s="790" t="str">
        <f t="shared" si="96"/>
        <v>M4</v>
      </c>
      <c r="H119" s="790" t="str">
        <f t="shared" si="96"/>
        <v>M5</v>
      </c>
      <c r="I119" s="790" t="str">
        <f t="shared" si="96"/>
        <v>M6</v>
      </c>
      <c r="J119" s="790" t="str">
        <f t="shared" si="96"/>
        <v>M7</v>
      </c>
      <c r="K119" s="790" t="str">
        <f t="shared" si="96"/>
        <v>M8</v>
      </c>
      <c r="L119" s="790" t="str">
        <f t="shared" si="96"/>
        <v>M9</v>
      </c>
      <c r="M119" s="790" t="str">
        <f t="shared" si="96"/>
        <v>M10</v>
      </c>
      <c r="N119" s="790" t="str">
        <f t="shared" si="96"/>
        <v>M11</v>
      </c>
      <c r="O119" s="790" t="str">
        <f t="shared" si="96"/>
        <v>M12</v>
      </c>
      <c r="P119" s="790" t="str">
        <f t="shared" si="96"/>
        <v>Total</v>
      </c>
    </row>
    <row r="120" spans="1:18">
      <c r="A120" s="156" t="str">
        <f>+A29</f>
        <v>FORT DAUPHIN</v>
      </c>
      <c r="R120" s="817" t="s">
        <v>1297</v>
      </c>
    </row>
    <row r="121" spans="1:18">
      <c r="A121" s="149"/>
      <c r="B121" s="143" t="str">
        <f>+B30</f>
        <v>Directeur de site</v>
      </c>
      <c r="C121" s="143">
        <f>+C30</f>
        <v>1</v>
      </c>
      <c r="D121" s="211">
        <f>+D30+D75</f>
        <v>3500600</v>
      </c>
      <c r="E121" s="211">
        <f t="shared" ref="E121:O121" si="97">+E30+E75</f>
        <v>3505000</v>
      </c>
      <c r="F121" s="211">
        <f t="shared" si="97"/>
        <v>3500600</v>
      </c>
      <c r="G121" s="211">
        <f t="shared" si="97"/>
        <v>3505000</v>
      </c>
      <c r="H121" s="211">
        <f t="shared" si="97"/>
        <v>3500600</v>
      </c>
      <c r="I121" s="211">
        <f t="shared" si="97"/>
        <v>3505000</v>
      </c>
      <c r="J121" s="211">
        <f t="shared" si="97"/>
        <v>3500600</v>
      </c>
      <c r="K121" s="211">
        <f t="shared" si="97"/>
        <v>3505000</v>
      </c>
      <c r="L121" s="211">
        <f t="shared" si="97"/>
        <v>3441600</v>
      </c>
      <c r="M121" s="211">
        <f t="shared" si="97"/>
        <v>3448100</v>
      </c>
      <c r="N121" s="211">
        <f t="shared" si="97"/>
        <v>3441600</v>
      </c>
      <c r="O121" s="211">
        <f t="shared" si="97"/>
        <v>3448100</v>
      </c>
      <c r="P121" s="211">
        <f>SUM(D121:O121)</f>
        <v>41801800</v>
      </c>
      <c r="R121" s="816">
        <f>+E121/C121</f>
        <v>3505000</v>
      </c>
    </row>
    <row r="122" spans="1:18">
      <c r="A122" s="149"/>
      <c r="B122" s="143" t="str">
        <f t="shared" ref="B122:C122" si="98">+B31</f>
        <v>Collecteurs</v>
      </c>
      <c r="C122" s="143">
        <f t="shared" si="98"/>
        <v>6</v>
      </c>
      <c r="D122" s="211">
        <f t="shared" ref="D122:O122" si="99">+D31+D76</f>
        <v>2529000</v>
      </c>
      <c r="E122" s="211">
        <f t="shared" si="99"/>
        <v>2532000</v>
      </c>
      <c r="F122" s="211">
        <f t="shared" si="99"/>
        <v>2529000</v>
      </c>
      <c r="G122" s="211">
        <f t="shared" si="99"/>
        <v>2532000</v>
      </c>
      <c r="H122" s="211">
        <f t="shared" si="99"/>
        <v>2529000</v>
      </c>
      <c r="I122" s="211">
        <f t="shared" si="99"/>
        <v>2532000</v>
      </c>
      <c r="J122" s="211">
        <f t="shared" si="99"/>
        <v>2529000</v>
      </c>
      <c r="K122" s="211">
        <f t="shared" si="99"/>
        <v>2532000</v>
      </c>
      <c r="L122" s="211">
        <f t="shared" si="99"/>
        <v>2488800</v>
      </c>
      <c r="M122" s="211">
        <f t="shared" si="99"/>
        <v>2493000</v>
      </c>
      <c r="N122" s="211">
        <f t="shared" si="99"/>
        <v>2488800</v>
      </c>
      <c r="O122" s="211">
        <f t="shared" si="99"/>
        <v>2493000</v>
      </c>
      <c r="P122" s="211">
        <f t="shared" ref="P122:P157" si="100">SUM(D122:O122)</f>
        <v>30207600</v>
      </c>
      <c r="R122" s="816">
        <f t="shared" ref="R122:R136" si="101">+E122/C122</f>
        <v>422000</v>
      </c>
    </row>
    <row r="123" spans="1:18">
      <c r="A123" s="149"/>
      <c r="B123" s="143" t="str">
        <f t="shared" ref="B123:C123" si="102">+B32</f>
        <v>Aide colleceturs</v>
      </c>
      <c r="C123" s="143">
        <f t="shared" si="102"/>
        <v>6</v>
      </c>
      <c r="D123" s="211">
        <f t="shared" ref="D123:O123" si="103">+D32+D77</f>
        <v>1929000</v>
      </c>
      <c r="E123" s="211">
        <f t="shared" si="103"/>
        <v>1932000</v>
      </c>
      <c r="F123" s="211">
        <f t="shared" si="103"/>
        <v>1929000</v>
      </c>
      <c r="G123" s="211">
        <f t="shared" si="103"/>
        <v>1932000</v>
      </c>
      <c r="H123" s="211">
        <f t="shared" si="103"/>
        <v>1929000</v>
      </c>
      <c r="I123" s="211">
        <f t="shared" si="103"/>
        <v>1932000</v>
      </c>
      <c r="J123" s="211">
        <f t="shared" si="103"/>
        <v>1929000</v>
      </c>
      <c r="K123" s="211">
        <f t="shared" si="103"/>
        <v>1932000</v>
      </c>
      <c r="L123" s="211">
        <f t="shared" si="103"/>
        <v>1888800</v>
      </c>
      <c r="M123" s="211">
        <f t="shared" si="103"/>
        <v>1893000</v>
      </c>
      <c r="N123" s="211">
        <f t="shared" si="103"/>
        <v>1888800</v>
      </c>
      <c r="O123" s="211">
        <f t="shared" si="103"/>
        <v>1893000</v>
      </c>
      <c r="P123" s="211">
        <f t="shared" si="100"/>
        <v>23007600</v>
      </c>
      <c r="R123" s="816">
        <f t="shared" si="101"/>
        <v>322000</v>
      </c>
    </row>
    <row r="124" spans="1:18">
      <c r="A124" s="149"/>
      <c r="B124" s="143" t="str">
        <f t="shared" ref="B124:C124" si="104">+B33</f>
        <v>RAF</v>
      </c>
      <c r="C124" s="143">
        <f t="shared" si="104"/>
        <v>1</v>
      </c>
      <c r="D124" s="211">
        <f t="shared" ref="D124:O124" si="105">+D33+D78</f>
        <v>541666.66666666663</v>
      </c>
      <c r="E124" s="211">
        <f t="shared" si="105"/>
        <v>541666.66666666663</v>
      </c>
      <c r="F124" s="211">
        <f t="shared" si="105"/>
        <v>541666.66666666663</v>
      </c>
      <c r="G124" s="211">
        <f t="shared" si="105"/>
        <v>541666.66666666663</v>
      </c>
      <c r="H124" s="211">
        <f t="shared" si="105"/>
        <v>541666.66666666663</v>
      </c>
      <c r="I124" s="211">
        <f t="shared" si="105"/>
        <v>541666.66666666663</v>
      </c>
      <c r="J124" s="211">
        <f t="shared" si="105"/>
        <v>541666.66666666663</v>
      </c>
      <c r="K124" s="211">
        <f t="shared" si="105"/>
        <v>541666.66666666663</v>
      </c>
      <c r="L124" s="211">
        <f t="shared" si="105"/>
        <v>541666.66666666663</v>
      </c>
      <c r="M124" s="211">
        <f t="shared" si="105"/>
        <v>541666.66666666663</v>
      </c>
      <c r="N124" s="211">
        <f t="shared" si="105"/>
        <v>541666.66666666663</v>
      </c>
      <c r="O124" s="211">
        <f t="shared" si="105"/>
        <v>541666.66666666663</v>
      </c>
      <c r="P124" s="211">
        <f t="shared" si="100"/>
        <v>6500000.0000000009</v>
      </c>
      <c r="R124" s="816">
        <f t="shared" si="101"/>
        <v>541666.66666666663</v>
      </c>
    </row>
    <row r="125" spans="1:18">
      <c r="A125" s="149"/>
      <c r="B125" s="143" t="str">
        <f t="shared" ref="B125:C125" si="106">+B34</f>
        <v>Resp Transit</v>
      </c>
      <c r="C125" s="143">
        <f t="shared" si="106"/>
        <v>1</v>
      </c>
      <c r="D125" s="211">
        <f t="shared" ref="D125:O125" si="107">+D34+D79</f>
        <v>541666.66666666663</v>
      </c>
      <c r="E125" s="211">
        <f t="shared" si="107"/>
        <v>541666.66666666663</v>
      </c>
      <c r="F125" s="211">
        <f t="shared" si="107"/>
        <v>541666.66666666663</v>
      </c>
      <c r="G125" s="211">
        <f t="shared" si="107"/>
        <v>541666.66666666663</v>
      </c>
      <c r="H125" s="211">
        <f t="shared" si="107"/>
        <v>541666.66666666663</v>
      </c>
      <c r="I125" s="211">
        <f t="shared" si="107"/>
        <v>541666.66666666663</v>
      </c>
      <c r="J125" s="211">
        <f t="shared" si="107"/>
        <v>541666.66666666663</v>
      </c>
      <c r="K125" s="211">
        <f t="shared" si="107"/>
        <v>541666.66666666663</v>
      </c>
      <c r="L125" s="211">
        <f t="shared" si="107"/>
        <v>541666.66666666663</v>
      </c>
      <c r="M125" s="211">
        <f t="shared" si="107"/>
        <v>541666.66666666663</v>
      </c>
      <c r="N125" s="211">
        <f t="shared" si="107"/>
        <v>541666.66666666663</v>
      </c>
      <c r="O125" s="211">
        <f t="shared" si="107"/>
        <v>541666.66666666663</v>
      </c>
      <c r="P125" s="211">
        <f t="shared" si="100"/>
        <v>6500000.0000000009</v>
      </c>
      <c r="R125" s="816">
        <f t="shared" si="101"/>
        <v>541666.66666666663</v>
      </c>
    </row>
    <row r="126" spans="1:18">
      <c r="A126" s="149"/>
      <c r="B126" s="143" t="str">
        <f t="shared" ref="B126:C126" si="108">+B35</f>
        <v>Resp Mica</v>
      </c>
      <c r="C126" s="143">
        <f t="shared" si="108"/>
        <v>3</v>
      </c>
      <c r="D126" s="211">
        <f t="shared" ref="D126:O126" si="109">+D35+D80</f>
        <v>2014500</v>
      </c>
      <c r="E126" s="211">
        <f t="shared" si="109"/>
        <v>2016000</v>
      </c>
      <c r="F126" s="211">
        <f t="shared" si="109"/>
        <v>2014500</v>
      </c>
      <c r="G126" s="211">
        <f t="shared" si="109"/>
        <v>2016000</v>
      </c>
      <c r="H126" s="211">
        <f t="shared" si="109"/>
        <v>2014500</v>
      </c>
      <c r="I126" s="211">
        <f t="shared" si="109"/>
        <v>2016000</v>
      </c>
      <c r="J126" s="211">
        <f t="shared" si="109"/>
        <v>2014500</v>
      </c>
      <c r="K126" s="211">
        <f t="shared" si="109"/>
        <v>2016000</v>
      </c>
      <c r="L126" s="211">
        <f t="shared" si="109"/>
        <v>1994400</v>
      </c>
      <c r="M126" s="211">
        <f t="shared" si="109"/>
        <v>1996500</v>
      </c>
      <c r="N126" s="211">
        <f t="shared" si="109"/>
        <v>1994400</v>
      </c>
      <c r="O126" s="211">
        <f t="shared" si="109"/>
        <v>1996500</v>
      </c>
      <c r="P126" s="211">
        <f t="shared" si="100"/>
        <v>24103800</v>
      </c>
      <c r="R126" s="816">
        <f t="shared" si="101"/>
        <v>672000</v>
      </c>
    </row>
    <row r="127" spans="1:18" s="148" customFormat="1">
      <c r="A127" s="156"/>
      <c r="B127" s="143" t="str">
        <f t="shared" ref="B127:C127" si="110">+B36</f>
        <v>Resp Entretien</v>
      </c>
      <c r="C127" s="143">
        <f t="shared" si="110"/>
        <v>0</v>
      </c>
      <c r="D127" s="211">
        <f t="shared" ref="D127:O127" si="111">+D36+D81</f>
        <v>0</v>
      </c>
      <c r="E127" s="211">
        <f t="shared" si="111"/>
        <v>0</v>
      </c>
      <c r="F127" s="211">
        <f t="shared" si="111"/>
        <v>0</v>
      </c>
      <c r="G127" s="211">
        <f t="shared" si="111"/>
        <v>0</v>
      </c>
      <c r="H127" s="211">
        <f t="shared" si="111"/>
        <v>0</v>
      </c>
      <c r="I127" s="211">
        <f t="shared" si="111"/>
        <v>0</v>
      </c>
      <c r="J127" s="211">
        <f t="shared" si="111"/>
        <v>0</v>
      </c>
      <c r="K127" s="211">
        <f t="shared" si="111"/>
        <v>0</v>
      </c>
      <c r="L127" s="211">
        <f t="shared" si="111"/>
        <v>0</v>
      </c>
      <c r="M127" s="211">
        <f t="shared" si="111"/>
        <v>0</v>
      </c>
      <c r="N127" s="211">
        <f t="shared" si="111"/>
        <v>0</v>
      </c>
      <c r="O127" s="211">
        <f t="shared" si="111"/>
        <v>0</v>
      </c>
      <c r="P127" s="211">
        <f t="shared" si="100"/>
        <v>0</v>
      </c>
      <c r="R127" s="816" t="e">
        <f t="shared" si="101"/>
        <v>#DIV/0!</v>
      </c>
    </row>
    <row r="128" spans="1:18">
      <c r="A128" s="149"/>
      <c r="B128" s="143" t="str">
        <f t="shared" ref="B128:C128" si="112">+B37</f>
        <v>Transitaire</v>
      </c>
      <c r="C128" s="143">
        <f t="shared" si="112"/>
        <v>2</v>
      </c>
      <c r="D128" s="211">
        <f t="shared" ref="D128:O128" si="113">+D37+D82</f>
        <v>1083333.3333333333</v>
      </c>
      <c r="E128" s="211">
        <f t="shared" si="113"/>
        <v>1083333.3333333333</v>
      </c>
      <c r="F128" s="211">
        <f t="shared" si="113"/>
        <v>1083333.3333333333</v>
      </c>
      <c r="G128" s="211">
        <f t="shared" si="113"/>
        <v>1083333.3333333333</v>
      </c>
      <c r="H128" s="211">
        <f t="shared" si="113"/>
        <v>1083333.3333333333</v>
      </c>
      <c r="I128" s="211">
        <f t="shared" si="113"/>
        <v>1083333.3333333333</v>
      </c>
      <c r="J128" s="211">
        <f t="shared" si="113"/>
        <v>1083333.3333333333</v>
      </c>
      <c r="K128" s="211">
        <f t="shared" si="113"/>
        <v>1083333.3333333333</v>
      </c>
      <c r="L128" s="211">
        <f t="shared" si="113"/>
        <v>1083333.3333333333</v>
      </c>
      <c r="M128" s="211">
        <f t="shared" si="113"/>
        <v>1083333.3333333333</v>
      </c>
      <c r="N128" s="211">
        <f t="shared" si="113"/>
        <v>1083333.3333333333</v>
      </c>
      <c r="O128" s="211">
        <f t="shared" si="113"/>
        <v>1083333.3333333333</v>
      </c>
      <c r="P128" s="211">
        <f t="shared" si="100"/>
        <v>13000000.000000002</v>
      </c>
      <c r="R128" s="816">
        <f t="shared" si="101"/>
        <v>541666.66666666663</v>
      </c>
    </row>
    <row r="129" spans="1:18">
      <c r="A129" s="149"/>
      <c r="B129" s="143" t="str">
        <f t="shared" ref="B129:C129" si="114">+B38</f>
        <v>Cliveuse</v>
      </c>
      <c r="C129" s="143">
        <f t="shared" si="114"/>
        <v>3</v>
      </c>
      <c r="D129" s="211">
        <f t="shared" ref="D129:O129" si="115">+D38+D83</f>
        <v>1264500</v>
      </c>
      <c r="E129" s="211">
        <f t="shared" si="115"/>
        <v>1266000</v>
      </c>
      <c r="F129" s="211">
        <f t="shared" si="115"/>
        <v>1264500</v>
      </c>
      <c r="G129" s="211">
        <f t="shared" si="115"/>
        <v>1266000</v>
      </c>
      <c r="H129" s="211">
        <f t="shared" si="115"/>
        <v>1264500</v>
      </c>
      <c r="I129" s="211">
        <f t="shared" si="115"/>
        <v>1266000</v>
      </c>
      <c r="J129" s="211">
        <f t="shared" si="115"/>
        <v>1264500</v>
      </c>
      <c r="K129" s="211">
        <f t="shared" si="115"/>
        <v>1266000</v>
      </c>
      <c r="L129" s="211">
        <f t="shared" si="115"/>
        <v>1244400</v>
      </c>
      <c r="M129" s="211">
        <f t="shared" si="115"/>
        <v>1246500</v>
      </c>
      <c r="N129" s="211">
        <f t="shared" si="115"/>
        <v>1244400</v>
      </c>
      <c r="O129" s="211">
        <f t="shared" si="115"/>
        <v>1246500</v>
      </c>
      <c r="P129" s="211">
        <f t="shared" si="100"/>
        <v>15103800</v>
      </c>
      <c r="R129" s="816">
        <f t="shared" si="101"/>
        <v>422000</v>
      </c>
    </row>
    <row r="130" spans="1:18">
      <c r="A130" s="149"/>
      <c r="B130" s="143" t="str">
        <f t="shared" ref="B130:C130" si="116">+B39</f>
        <v>Aide Entretien</v>
      </c>
      <c r="C130" s="143">
        <f t="shared" si="116"/>
        <v>0</v>
      </c>
      <c r="D130" s="211">
        <f t="shared" ref="D130:O130" si="117">+D39+D84</f>
        <v>0</v>
      </c>
      <c r="E130" s="211">
        <f t="shared" si="117"/>
        <v>0</v>
      </c>
      <c r="F130" s="211">
        <f t="shared" si="117"/>
        <v>0</v>
      </c>
      <c r="G130" s="211">
        <f t="shared" si="117"/>
        <v>0</v>
      </c>
      <c r="H130" s="211">
        <f t="shared" si="117"/>
        <v>0</v>
      </c>
      <c r="I130" s="211">
        <f t="shared" si="117"/>
        <v>0</v>
      </c>
      <c r="J130" s="211">
        <f t="shared" si="117"/>
        <v>0</v>
      </c>
      <c r="K130" s="211">
        <f t="shared" si="117"/>
        <v>0</v>
      </c>
      <c r="L130" s="211">
        <f t="shared" si="117"/>
        <v>0</v>
      </c>
      <c r="M130" s="211">
        <f t="shared" si="117"/>
        <v>0</v>
      </c>
      <c r="N130" s="211">
        <f t="shared" si="117"/>
        <v>0</v>
      </c>
      <c r="O130" s="211">
        <f t="shared" si="117"/>
        <v>0</v>
      </c>
      <c r="P130" s="211">
        <f t="shared" si="100"/>
        <v>0</v>
      </c>
      <c r="R130" s="816" t="e">
        <f t="shared" si="101"/>
        <v>#DIV/0!</v>
      </c>
    </row>
    <row r="131" spans="1:18">
      <c r="A131" s="149"/>
      <c r="B131" s="143" t="str">
        <f t="shared" ref="B131:C131" si="118">+B40</f>
        <v>Chauffeur</v>
      </c>
      <c r="C131" s="143">
        <f t="shared" si="118"/>
        <v>1</v>
      </c>
      <c r="D131" s="211">
        <f t="shared" ref="D131:O131" si="119">+D40+D85</f>
        <v>297916.66666666669</v>
      </c>
      <c r="E131" s="211">
        <f t="shared" si="119"/>
        <v>297916.66666666669</v>
      </c>
      <c r="F131" s="211">
        <f t="shared" si="119"/>
        <v>297916.66666666669</v>
      </c>
      <c r="G131" s="211">
        <f t="shared" si="119"/>
        <v>297916.66666666669</v>
      </c>
      <c r="H131" s="211">
        <f t="shared" si="119"/>
        <v>297916.66666666669</v>
      </c>
      <c r="I131" s="211">
        <f t="shared" si="119"/>
        <v>297916.66666666669</v>
      </c>
      <c r="J131" s="211">
        <f t="shared" si="119"/>
        <v>297916.66666666669</v>
      </c>
      <c r="K131" s="211">
        <f t="shared" si="119"/>
        <v>297916.66666666669</v>
      </c>
      <c r="L131" s="211">
        <f t="shared" si="119"/>
        <v>297916.66666666669</v>
      </c>
      <c r="M131" s="211">
        <f t="shared" si="119"/>
        <v>297916.66666666669</v>
      </c>
      <c r="N131" s="211">
        <f t="shared" si="119"/>
        <v>297916.66666666669</v>
      </c>
      <c r="O131" s="211">
        <f t="shared" si="119"/>
        <v>297916.66666666669</v>
      </c>
      <c r="P131" s="211">
        <f t="shared" si="100"/>
        <v>3574999.9999999995</v>
      </c>
      <c r="R131" s="816">
        <f t="shared" si="101"/>
        <v>297916.66666666669</v>
      </c>
    </row>
    <row r="132" spans="1:18">
      <c r="A132" s="149"/>
      <c r="B132" s="143" t="str">
        <f t="shared" ref="B132:C132" si="120">+B41</f>
        <v>Aide Chauffeur</v>
      </c>
      <c r="C132" s="143">
        <f t="shared" si="120"/>
        <v>1</v>
      </c>
      <c r="D132" s="211">
        <f t="shared" ref="D132:O132" si="121">+D41+D86</f>
        <v>270833.33333333331</v>
      </c>
      <c r="E132" s="211">
        <f t="shared" si="121"/>
        <v>270833.33333333331</v>
      </c>
      <c r="F132" s="211">
        <f t="shared" si="121"/>
        <v>270833.33333333331</v>
      </c>
      <c r="G132" s="211">
        <f t="shared" si="121"/>
        <v>270833.33333333331</v>
      </c>
      <c r="H132" s="211">
        <f t="shared" si="121"/>
        <v>270833.33333333331</v>
      </c>
      <c r="I132" s="211">
        <f t="shared" si="121"/>
        <v>270833.33333333331</v>
      </c>
      <c r="J132" s="211">
        <f t="shared" si="121"/>
        <v>270833.33333333331</v>
      </c>
      <c r="K132" s="211">
        <f t="shared" si="121"/>
        <v>270833.33333333331</v>
      </c>
      <c r="L132" s="211">
        <f t="shared" si="121"/>
        <v>270833.33333333331</v>
      </c>
      <c r="M132" s="211">
        <f t="shared" si="121"/>
        <v>270833.33333333331</v>
      </c>
      <c r="N132" s="211">
        <f t="shared" si="121"/>
        <v>270833.33333333331</v>
      </c>
      <c r="O132" s="211">
        <f t="shared" si="121"/>
        <v>270833.33333333331</v>
      </c>
      <c r="P132" s="211">
        <f t="shared" si="100"/>
        <v>3250000.0000000005</v>
      </c>
      <c r="R132" s="816">
        <f t="shared" si="101"/>
        <v>270833.33333333331</v>
      </c>
    </row>
    <row r="133" spans="1:18">
      <c r="A133" s="149"/>
      <c r="B133" s="143" t="str">
        <f t="shared" ref="B133:C133" si="122">+B42</f>
        <v>Caissiere</v>
      </c>
      <c r="C133" s="143">
        <f t="shared" si="122"/>
        <v>1</v>
      </c>
      <c r="D133" s="211">
        <f t="shared" ref="D133:O133" si="123">+D42+D87</f>
        <v>270833.33333333331</v>
      </c>
      <c r="E133" s="211">
        <f t="shared" si="123"/>
        <v>270833.33333333331</v>
      </c>
      <c r="F133" s="211">
        <f t="shared" si="123"/>
        <v>270833.33333333331</v>
      </c>
      <c r="G133" s="211">
        <f t="shared" si="123"/>
        <v>270833.33333333331</v>
      </c>
      <c r="H133" s="211">
        <f t="shared" si="123"/>
        <v>270833.33333333331</v>
      </c>
      <c r="I133" s="211">
        <f t="shared" si="123"/>
        <v>270833.33333333331</v>
      </c>
      <c r="J133" s="211">
        <f t="shared" si="123"/>
        <v>270833.33333333331</v>
      </c>
      <c r="K133" s="211">
        <f t="shared" si="123"/>
        <v>270833.33333333331</v>
      </c>
      <c r="L133" s="211">
        <f t="shared" si="123"/>
        <v>270833.33333333331</v>
      </c>
      <c r="M133" s="211">
        <f t="shared" si="123"/>
        <v>270833.33333333331</v>
      </c>
      <c r="N133" s="211">
        <f t="shared" si="123"/>
        <v>270833.33333333331</v>
      </c>
      <c r="O133" s="211">
        <f t="shared" si="123"/>
        <v>270833.33333333331</v>
      </c>
      <c r="P133" s="211">
        <f t="shared" si="100"/>
        <v>3250000.0000000005</v>
      </c>
      <c r="R133" s="816">
        <f t="shared" si="101"/>
        <v>270833.33333333331</v>
      </c>
    </row>
    <row r="134" spans="1:18">
      <c r="A134" s="149"/>
      <c r="B134" s="143" t="str">
        <f t="shared" ref="B134:C134" si="124">+B43</f>
        <v>Controleur de gestion</v>
      </c>
      <c r="C134" s="143">
        <f t="shared" si="124"/>
        <v>1</v>
      </c>
      <c r="D134" s="211">
        <f t="shared" ref="D134:O134" si="125">+D43+D88</f>
        <v>1671500</v>
      </c>
      <c r="E134" s="211">
        <f t="shared" si="125"/>
        <v>1672000</v>
      </c>
      <c r="F134" s="211">
        <f t="shared" si="125"/>
        <v>1671500</v>
      </c>
      <c r="G134" s="211">
        <f t="shared" si="125"/>
        <v>1672000</v>
      </c>
      <c r="H134" s="211">
        <f t="shared" si="125"/>
        <v>1671500</v>
      </c>
      <c r="I134" s="211">
        <f t="shared" si="125"/>
        <v>1672000</v>
      </c>
      <c r="J134" s="211">
        <f t="shared" si="125"/>
        <v>1671500</v>
      </c>
      <c r="K134" s="211">
        <f t="shared" si="125"/>
        <v>1672000</v>
      </c>
      <c r="L134" s="211">
        <f t="shared" si="125"/>
        <v>1664800</v>
      </c>
      <c r="M134" s="211">
        <f t="shared" si="125"/>
        <v>1665500</v>
      </c>
      <c r="N134" s="211">
        <f t="shared" si="125"/>
        <v>1664800</v>
      </c>
      <c r="O134" s="211">
        <f t="shared" si="125"/>
        <v>1665500</v>
      </c>
      <c r="P134" s="211">
        <f t="shared" si="100"/>
        <v>20034600</v>
      </c>
      <c r="R134" s="816">
        <f t="shared" si="101"/>
        <v>1672000</v>
      </c>
    </row>
    <row r="135" spans="1:18">
      <c r="A135" s="149"/>
      <c r="B135" s="143" t="str">
        <f t="shared" ref="B135:C135" si="126">+B44</f>
        <v>Assistant controleur</v>
      </c>
      <c r="C135" s="143">
        <f t="shared" si="126"/>
        <v>1</v>
      </c>
      <c r="D135" s="211">
        <f t="shared" ref="D135:O135" si="127">+D44+D89</f>
        <v>671500</v>
      </c>
      <c r="E135" s="211">
        <f t="shared" si="127"/>
        <v>672000</v>
      </c>
      <c r="F135" s="211">
        <f t="shared" si="127"/>
        <v>671500</v>
      </c>
      <c r="G135" s="211">
        <f t="shared" si="127"/>
        <v>672000</v>
      </c>
      <c r="H135" s="211">
        <f t="shared" si="127"/>
        <v>671500</v>
      </c>
      <c r="I135" s="211">
        <f t="shared" si="127"/>
        <v>672000</v>
      </c>
      <c r="J135" s="211">
        <f t="shared" si="127"/>
        <v>671500</v>
      </c>
      <c r="K135" s="211">
        <f t="shared" si="127"/>
        <v>672000</v>
      </c>
      <c r="L135" s="211">
        <f t="shared" si="127"/>
        <v>664800</v>
      </c>
      <c r="M135" s="211">
        <f t="shared" si="127"/>
        <v>665500</v>
      </c>
      <c r="N135" s="211">
        <f t="shared" si="127"/>
        <v>664800</v>
      </c>
      <c r="O135" s="211">
        <f t="shared" si="127"/>
        <v>665500</v>
      </c>
      <c r="P135" s="211">
        <f t="shared" si="100"/>
        <v>8034600</v>
      </c>
      <c r="R135" s="816">
        <f t="shared" si="101"/>
        <v>672000</v>
      </c>
    </row>
    <row r="136" spans="1:18">
      <c r="A136" s="149"/>
      <c r="B136" s="143" t="str">
        <f t="shared" ref="B136:C136" si="128">+B45</f>
        <v>Controleur autre site</v>
      </c>
      <c r="C136" s="143">
        <f t="shared" si="128"/>
        <v>2</v>
      </c>
      <c r="D136" s="211">
        <f t="shared" ref="D136:O136" si="129">+D45+D90</f>
        <v>943000</v>
      </c>
      <c r="E136" s="211">
        <f t="shared" si="129"/>
        <v>944000</v>
      </c>
      <c r="F136" s="211">
        <f t="shared" si="129"/>
        <v>943000</v>
      </c>
      <c r="G136" s="211">
        <f t="shared" si="129"/>
        <v>944000</v>
      </c>
      <c r="H136" s="211">
        <f t="shared" si="129"/>
        <v>943000</v>
      </c>
      <c r="I136" s="211">
        <f t="shared" si="129"/>
        <v>944000</v>
      </c>
      <c r="J136" s="211">
        <f t="shared" si="129"/>
        <v>943000</v>
      </c>
      <c r="K136" s="211">
        <f t="shared" si="129"/>
        <v>944000</v>
      </c>
      <c r="L136" s="211">
        <f t="shared" si="129"/>
        <v>929600</v>
      </c>
      <c r="M136" s="211">
        <f t="shared" si="129"/>
        <v>931000</v>
      </c>
      <c r="N136" s="211">
        <f t="shared" si="129"/>
        <v>929600</v>
      </c>
      <c r="O136" s="211">
        <f t="shared" si="129"/>
        <v>931000</v>
      </c>
      <c r="P136" s="211">
        <f t="shared" si="100"/>
        <v>11269200</v>
      </c>
      <c r="R136" s="816">
        <f t="shared" si="101"/>
        <v>472000</v>
      </c>
    </row>
    <row r="137" spans="1:18">
      <c r="A137" s="156" t="str">
        <f>+A47</f>
        <v>AMPANDRANDAVA</v>
      </c>
      <c r="C137" s="143"/>
      <c r="D137" s="211"/>
      <c r="E137" s="211"/>
      <c r="F137" s="211"/>
      <c r="G137" s="211"/>
      <c r="H137" s="211"/>
      <c r="I137" s="211"/>
      <c r="J137" s="211"/>
      <c r="K137" s="211"/>
      <c r="L137" s="211"/>
      <c r="M137" s="211"/>
      <c r="N137" s="211"/>
      <c r="O137" s="211"/>
      <c r="R137" s="151"/>
    </row>
    <row r="138" spans="1:18">
      <c r="A138" s="149"/>
      <c r="B138" s="143" t="str">
        <f>+B48</f>
        <v>Resp Site</v>
      </c>
      <c r="C138" s="143">
        <f>+C48</f>
        <v>1</v>
      </c>
      <c r="D138" s="211">
        <f t="shared" ref="D138:D144" si="130">+D48+D93</f>
        <v>1250400</v>
      </c>
      <c r="E138" s="211">
        <f t="shared" ref="E138:O138" si="131">+E48+E93</f>
        <v>1253000</v>
      </c>
      <c r="F138" s="211">
        <f t="shared" si="131"/>
        <v>1250400</v>
      </c>
      <c r="G138" s="211">
        <f t="shared" si="131"/>
        <v>1253000</v>
      </c>
      <c r="H138" s="211">
        <f t="shared" si="131"/>
        <v>1250400</v>
      </c>
      <c r="I138" s="211">
        <f t="shared" si="131"/>
        <v>1253000</v>
      </c>
      <c r="J138" s="211">
        <f t="shared" si="131"/>
        <v>1250400</v>
      </c>
      <c r="K138" s="211">
        <f t="shared" si="131"/>
        <v>1253000</v>
      </c>
      <c r="L138" s="211">
        <f t="shared" si="131"/>
        <v>1215000</v>
      </c>
      <c r="M138" s="211">
        <f t="shared" si="131"/>
        <v>1218900</v>
      </c>
      <c r="N138" s="211">
        <f t="shared" si="131"/>
        <v>1215000</v>
      </c>
      <c r="O138" s="211">
        <f t="shared" si="131"/>
        <v>1218900</v>
      </c>
      <c r="P138" s="211">
        <f t="shared" si="100"/>
        <v>14881400</v>
      </c>
      <c r="R138" s="816">
        <f t="shared" ref="R138:R144" si="132">+E138/C138</f>
        <v>1253000</v>
      </c>
    </row>
    <row r="139" spans="1:18">
      <c r="A139" s="149"/>
      <c r="B139" s="143" t="str">
        <f t="shared" ref="B139:C139" si="133">+B49</f>
        <v>Collecteurs</v>
      </c>
      <c r="C139" s="143">
        <f t="shared" si="133"/>
        <v>6</v>
      </c>
      <c r="D139" s="211">
        <f t="shared" si="130"/>
        <v>6902400</v>
      </c>
      <c r="E139" s="211">
        <f t="shared" ref="E139:O139" si="134">+E49+E94</f>
        <v>6918000</v>
      </c>
      <c r="F139" s="211">
        <f t="shared" si="134"/>
        <v>6902400</v>
      </c>
      <c r="G139" s="211">
        <f t="shared" si="134"/>
        <v>6918000</v>
      </c>
      <c r="H139" s="211">
        <f t="shared" si="134"/>
        <v>6902400</v>
      </c>
      <c r="I139" s="211">
        <f t="shared" si="134"/>
        <v>6918000</v>
      </c>
      <c r="J139" s="211">
        <f t="shared" si="134"/>
        <v>6902400</v>
      </c>
      <c r="K139" s="211">
        <f t="shared" si="134"/>
        <v>6918000</v>
      </c>
      <c r="L139" s="211">
        <f t="shared" si="134"/>
        <v>6690000</v>
      </c>
      <c r="M139" s="211">
        <f t="shared" si="134"/>
        <v>6713400</v>
      </c>
      <c r="N139" s="211">
        <f t="shared" si="134"/>
        <v>6690000</v>
      </c>
      <c r="O139" s="211">
        <f t="shared" si="134"/>
        <v>6713400</v>
      </c>
      <c r="P139" s="211">
        <f t="shared" si="100"/>
        <v>82088400</v>
      </c>
      <c r="R139" s="816">
        <f t="shared" si="132"/>
        <v>1153000</v>
      </c>
    </row>
    <row r="140" spans="1:18">
      <c r="A140" s="149"/>
      <c r="B140" s="143" t="str">
        <f t="shared" ref="B140:C140" si="135">+B50</f>
        <v>Aides Collecteurs</v>
      </c>
      <c r="C140" s="143">
        <f t="shared" si="135"/>
        <v>6</v>
      </c>
      <c r="D140" s="211">
        <f t="shared" si="130"/>
        <v>6302400</v>
      </c>
      <c r="E140" s="211">
        <f t="shared" ref="E140:O140" si="136">+E50+E95</f>
        <v>6318000</v>
      </c>
      <c r="F140" s="211">
        <f t="shared" si="136"/>
        <v>6302400</v>
      </c>
      <c r="G140" s="211">
        <f t="shared" si="136"/>
        <v>6318000</v>
      </c>
      <c r="H140" s="211">
        <f t="shared" si="136"/>
        <v>6302400</v>
      </c>
      <c r="I140" s="211">
        <f t="shared" si="136"/>
        <v>6318000</v>
      </c>
      <c r="J140" s="211">
        <f t="shared" si="136"/>
        <v>6302400</v>
      </c>
      <c r="K140" s="211">
        <f t="shared" si="136"/>
        <v>6318000</v>
      </c>
      <c r="L140" s="211">
        <f t="shared" si="136"/>
        <v>6090000</v>
      </c>
      <c r="M140" s="211">
        <f t="shared" si="136"/>
        <v>6113400</v>
      </c>
      <c r="N140" s="211">
        <f t="shared" si="136"/>
        <v>6090000</v>
      </c>
      <c r="O140" s="211">
        <f t="shared" si="136"/>
        <v>6113400</v>
      </c>
      <c r="P140" s="211">
        <f t="shared" si="100"/>
        <v>74888400</v>
      </c>
      <c r="R140" s="816">
        <f t="shared" si="132"/>
        <v>1053000</v>
      </c>
    </row>
    <row r="141" spans="1:18">
      <c r="A141" s="149"/>
      <c r="B141" s="143" t="str">
        <f t="shared" ref="B141:C141" si="137">+B51</f>
        <v>Controleurs</v>
      </c>
      <c r="C141" s="143">
        <f t="shared" si="137"/>
        <v>3</v>
      </c>
      <c r="D141" s="211">
        <f t="shared" si="130"/>
        <v>3601200</v>
      </c>
      <c r="E141" s="211">
        <f t="shared" ref="E141:O141" si="138">+E51+E96</f>
        <v>3609000</v>
      </c>
      <c r="F141" s="211">
        <f t="shared" si="138"/>
        <v>3601200</v>
      </c>
      <c r="G141" s="211">
        <f t="shared" si="138"/>
        <v>3609000</v>
      </c>
      <c r="H141" s="211">
        <f t="shared" si="138"/>
        <v>3601200</v>
      </c>
      <c r="I141" s="211">
        <f t="shared" si="138"/>
        <v>3609000</v>
      </c>
      <c r="J141" s="211">
        <f t="shared" si="138"/>
        <v>3601200</v>
      </c>
      <c r="K141" s="211">
        <f t="shared" si="138"/>
        <v>3609000</v>
      </c>
      <c r="L141" s="211">
        <f t="shared" si="138"/>
        <v>3495000</v>
      </c>
      <c r="M141" s="211">
        <f t="shared" si="138"/>
        <v>3506700</v>
      </c>
      <c r="N141" s="211">
        <f t="shared" si="138"/>
        <v>3495000</v>
      </c>
      <c r="O141" s="211">
        <f t="shared" si="138"/>
        <v>3506700</v>
      </c>
      <c r="P141" s="211">
        <f t="shared" si="100"/>
        <v>42844200</v>
      </c>
      <c r="R141" s="816">
        <f t="shared" si="132"/>
        <v>1203000</v>
      </c>
    </row>
    <row r="142" spans="1:18">
      <c r="A142" s="149"/>
      <c r="B142" s="143" t="str">
        <f t="shared" ref="B142:C142" si="139">+B52</f>
        <v>Agents entretiens</v>
      </c>
      <c r="C142" s="143">
        <f t="shared" si="139"/>
        <v>2</v>
      </c>
      <c r="D142" s="211">
        <f t="shared" si="130"/>
        <v>687500</v>
      </c>
      <c r="E142" s="211">
        <f t="shared" ref="E142:O142" si="140">+E52+E97</f>
        <v>687500</v>
      </c>
      <c r="F142" s="211">
        <f t="shared" si="140"/>
        <v>687500</v>
      </c>
      <c r="G142" s="211">
        <f t="shared" si="140"/>
        <v>687500</v>
      </c>
      <c r="H142" s="211">
        <f t="shared" si="140"/>
        <v>687500</v>
      </c>
      <c r="I142" s="211">
        <f t="shared" si="140"/>
        <v>687500</v>
      </c>
      <c r="J142" s="211">
        <f t="shared" si="140"/>
        <v>687500</v>
      </c>
      <c r="K142" s="211">
        <f t="shared" si="140"/>
        <v>687500</v>
      </c>
      <c r="L142" s="211">
        <f t="shared" si="140"/>
        <v>687500</v>
      </c>
      <c r="M142" s="211">
        <f t="shared" si="140"/>
        <v>687500</v>
      </c>
      <c r="N142" s="211">
        <f t="shared" si="140"/>
        <v>687500</v>
      </c>
      <c r="O142" s="211">
        <f t="shared" si="140"/>
        <v>687500</v>
      </c>
      <c r="P142" s="211">
        <f t="shared" si="100"/>
        <v>8250000</v>
      </c>
      <c r="R142" s="816">
        <f t="shared" si="132"/>
        <v>343750</v>
      </c>
    </row>
    <row r="143" spans="1:18">
      <c r="A143" s="149"/>
      <c r="B143" s="143" t="str">
        <f t="shared" ref="B143:C143" si="141">+B53</f>
        <v>Agents securités</v>
      </c>
      <c r="C143" s="143">
        <f t="shared" si="141"/>
        <v>3</v>
      </c>
      <c r="D143" s="211">
        <f t="shared" si="130"/>
        <v>1031250</v>
      </c>
      <c r="E143" s="211">
        <f t="shared" ref="E143:O143" si="142">+E53+E98</f>
        <v>1031250</v>
      </c>
      <c r="F143" s="211">
        <f t="shared" si="142"/>
        <v>1031250</v>
      </c>
      <c r="G143" s="211">
        <f t="shared" si="142"/>
        <v>1031250</v>
      </c>
      <c r="H143" s="211">
        <f t="shared" si="142"/>
        <v>1031250</v>
      </c>
      <c r="I143" s="211">
        <f t="shared" si="142"/>
        <v>1031250</v>
      </c>
      <c r="J143" s="211">
        <f t="shared" si="142"/>
        <v>1031250</v>
      </c>
      <c r="K143" s="211">
        <f t="shared" si="142"/>
        <v>1031250</v>
      </c>
      <c r="L143" s="211">
        <f t="shared" si="142"/>
        <v>1031250</v>
      </c>
      <c r="M143" s="211">
        <f t="shared" si="142"/>
        <v>1031250</v>
      </c>
      <c r="N143" s="211">
        <f t="shared" si="142"/>
        <v>1031250</v>
      </c>
      <c r="O143" s="211">
        <f t="shared" si="142"/>
        <v>1031250</v>
      </c>
      <c r="P143" s="211">
        <f t="shared" si="100"/>
        <v>12375000</v>
      </c>
      <c r="R143" s="816">
        <f t="shared" si="132"/>
        <v>343750</v>
      </c>
    </row>
    <row r="144" spans="1:18">
      <c r="A144" s="149"/>
      <c r="B144" s="143" t="str">
        <f t="shared" ref="B144:C144" si="143">+B54</f>
        <v>Gestionnaire</v>
      </c>
      <c r="C144" s="143">
        <f t="shared" si="143"/>
        <v>1</v>
      </c>
      <c r="D144" s="211">
        <f t="shared" si="130"/>
        <v>343750</v>
      </c>
      <c r="E144" s="211">
        <f t="shared" ref="E144:O144" si="144">+E54+E99</f>
        <v>343750</v>
      </c>
      <c r="F144" s="211">
        <f t="shared" si="144"/>
        <v>343750</v>
      </c>
      <c r="G144" s="211">
        <f t="shared" si="144"/>
        <v>343750</v>
      </c>
      <c r="H144" s="211">
        <f t="shared" si="144"/>
        <v>343750</v>
      </c>
      <c r="I144" s="211">
        <f t="shared" si="144"/>
        <v>343750</v>
      </c>
      <c r="J144" s="211">
        <f t="shared" si="144"/>
        <v>343750</v>
      </c>
      <c r="K144" s="211">
        <f t="shared" si="144"/>
        <v>343750</v>
      </c>
      <c r="L144" s="211">
        <f t="shared" si="144"/>
        <v>343750</v>
      </c>
      <c r="M144" s="211">
        <f t="shared" si="144"/>
        <v>343750</v>
      </c>
      <c r="N144" s="211">
        <f t="shared" si="144"/>
        <v>343750</v>
      </c>
      <c r="O144" s="211">
        <f t="shared" si="144"/>
        <v>343750</v>
      </c>
      <c r="P144" s="211">
        <f t="shared" si="100"/>
        <v>4125000</v>
      </c>
      <c r="R144" s="816">
        <f t="shared" si="132"/>
        <v>343750</v>
      </c>
    </row>
    <row r="145" spans="1:18">
      <c r="A145" s="156" t="str">
        <f>+A55</f>
        <v>ANIVORANO</v>
      </c>
      <c r="C145" s="143"/>
      <c r="D145" s="211"/>
      <c r="E145" s="211"/>
      <c r="F145" s="211"/>
      <c r="G145" s="211"/>
      <c r="H145" s="211"/>
      <c r="I145" s="211"/>
      <c r="J145" s="211"/>
      <c r="K145" s="211"/>
      <c r="L145" s="211"/>
      <c r="M145" s="211"/>
      <c r="N145" s="211"/>
      <c r="O145" s="211"/>
      <c r="P145" s="151"/>
    </row>
    <row r="146" spans="1:18">
      <c r="A146" s="149"/>
      <c r="B146" s="143" t="str">
        <f t="shared" ref="B146:C146" si="145">+B56</f>
        <v>Machiniste</v>
      </c>
      <c r="C146" s="143">
        <f t="shared" si="145"/>
        <v>1</v>
      </c>
      <c r="D146" s="211">
        <f>+D56+D101</f>
        <v>250000</v>
      </c>
      <c r="E146" s="211">
        <f t="shared" ref="E146:O146" si="146">+E56+E101</f>
        <v>250000</v>
      </c>
      <c r="F146" s="211">
        <f t="shared" si="146"/>
        <v>250000</v>
      </c>
      <c r="G146" s="211">
        <f t="shared" si="146"/>
        <v>250000</v>
      </c>
      <c r="H146" s="211">
        <f t="shared" si="146"/>
        <v>250000</v>
      </c>
      <c r="I146" s="211">
        <f t="shared" si="146"/>
        <v>250000</v>
      </c>
      <c r="J146" s="211">
        <f t="shared" si="146"/>
        <v>250000</v>
      </c>
      <c r="K146" s="211">
        <f t="shared" si="146"/>
        <v>250000</v>
      </c>
      <c r="L146" s="211">
        <f t="shared" si="146"/>
        <v>250000</v>
      </c>
      <c r="M146" s="211">
        <f t="shared" si="146"/>
        <v>250000</v>
      </c>
      <c r="N146" s="211">
        <f t="shared" si="146"/>
        <v>250000</v>
      </c>
      <c r="O146" s="211">
        <f t="shared" si="146"/>
        <v>250000</v>
      </c>
      <c r="P146" s="211">
        <f t="shared" si="100"/>
        <v>3000000</v>
      </c>
      <c r="R146" s="816">
        <f t="shared" ref="R146:R157" si="147">+E146/C146</f>
        <v>250000</v>
      </c>
    </row>
    <row r="147" spans="1:18">
      <c r="A147" s="149"/>
      <c r="B147" s="143" t="str">
        <f t="shared" ref="B147:C147" si="148">+B57</f>
        <v>Aide Machiniste</v>
      </c>
      <c r="C147" s="143">
        <f t="shared" si="148"/>
        <v>1</v>
      </c>
      <c r="D147" s="211">
        <f>+D57+D102</f>
        <v>210000</v>
      </c>
      <c r="E147" s="211">
        <f t="shared" ref="E147:O147" si="149">+E57+E102</f>
        <v>210000</v>
      </c>
      <c r="F147" s="211">
        <f t="shared" si="149"/>
        <v>210000</v>
      </c>
      <c r="G147" s="211">
        <f t="shared" si="149"/>
        <v>210000</v>
      </c>
      <c r="H147" s="211">
        <f t="shared" si="149"/>
        <v>210000</v>
      </c>
      <c r="I147" s="211">
        <f t="shared" si="149"/>
        <v>210000</v>
      </c>
      <c r="J147" s="211">
        <f t="shared" si="149"/>
        <v>210000</v>
      </c>
      <c r="K147" s="211">
        <f t="shared" si="149"/>
        <v>210000</v>
      </c>
      <c r="L147" s="211">
        <f t="shared" si="149"/>
        <v>210000</v>
      </c>
      <c r="M147" s="211">
        <f t="shared" si="149"/>
        <v>210000</v>
      </c>
      <c r="N147" s="211">
        <f t="shared" si="149"/>
        <v>210000</v>
      </c>
      <c r="O147" s="211">
        <f t="shared" si="149"/>
        <v>210000</v>
      </c>
      <c r="P147" s="211">
        <f t="shared" si="100"/>
        <v>2520000</v>
      </c>
      <c r="R147" s="816">
        <f t="shared" si="147"/>
        <v>210000</v>
      </c>
    </row>
    <row r="148" spans="1:18">
      <c r="A148" s="149"/>
      <c r="B148" s="143" t="str">
        <f>+B58</f>
        <v>Gardiens</v>
      </c>
      <c r="C148" s="143">
        <f>+C58</f>
        <v>2</v>
      </c>
      <c r="D148" s="211">
        <f>+D58+D103</f>
        <v>400000</v>
      </c>
      <c r="E148" s="211">
        <f t="shared" ref="E148:O148" si="150">+E58+E103</f>
        <v>400000</v>
      </c>
      <c r="F148" s="211">
        <f t="shared" si="150"/>
        <v>400000</v>
      </c>
      <c r="G148" s="211">
        <f t="shared" si="150"/>
        <v>400000</v>
      </c>
      <c r="H148" s="211">
        <f t="shared" si="150"/>
        <v>400000</v>
      </c>
      <c r="I148" s="211">
        <f t="shared" si="150"/>
        <v>400000</v>
      </c>
      <c r="J148" s="211">
        <f t="shared" si="150"/>
        <v>400000</v>
      </c>
      <c r="K148" s="211">
        <f t="shared" si="150"/>
        <v>400000</v>
      </c>
      <c r="L148" s="211">
        <f t="shared" si="150"/>
        <v>400000</v>
      </c>
      <c r="M148" s="211">
        <f t="shared" si="150"/>
        <v>400000</v>
      </c>
      <c r="N148" s="211">
        <f t="shared" si="150"/>
        <v>400000</v>
      </c>
      <c r="O148" s="211">
        <f t="shared" si="150"/>
        <v>400000</v>
      </c>
      <c r="P148" s="211">
        <f t="shared" si="100"/>
        <v>4800000</v>
      </c>
      <c r="R148" s="816">
        <f t="shared" si="147"/>
        <v>200000</v>
      </c>
    </row>
    <row r="149" spans="1:18">
      <c r="A149" s="149"/>
      <c r="B149" s="143" t="str">
        <f>+B59</f>
        <v>Temp Central</v>
      </c>
      <c r="C149" s="143">
        <f>+C59</f>
        <v>1</v>
      </c>
      <c r="D149" s="211">
        <f>+D59+D104</f>
        <v>200000</v>
      </c>
      <c r="E149" s="211">
        <f t="shared" ref="E149:O149" si="151">+E59+E104</f>
        <v>200000</v>
      </c>
      <c r="F149" s="211">
        <f t="shared" si="151"/>
        <v>200000</v>
      </c>
      <c r="G149" s="211">
        <f t="shared" si="151"/>
        <v>200000</v>
      </c>
      <c r="H149" s="211">
        <f t="shared" si="151"/>
        <v>200000</v>
      </c>
      <c r="I149" s="211">
        <f t="shared" si="151"/>
        <v>200000</v>
      </c>
      <c r="J149" s="211">
        <f t="shared" si="151"/>
        <v>200000</v>
      </c>
      <c r="K149" s="211">
        <f t="shared" si="151"/>
        <v>200000</v>
      </c>
      <c r="L149" s="211">
        <f t="shared" si="151"/>
        <v>200000</v>
      </c>
      <c r="M149" s="211">
        <f t="shared" si="151"/>
        <v>200000</v>
      </c>
      <c r="N149" s="211">
        <f t="shared" si="151"/>
        <v>200000</v>
      </c>
      <c r="O149" s="211">
        <f t="shared" si="151"/>
        <v>200000</v>
      </c>
      <c r="P149" s="211">
        <f t="shared" si="100"/>
        <v>2400000</v>
      </c>
      <c r="R149" s="816">
        <f t="shared" si="147"/>
        <v>200000</v>
      </c>
    </row>
    <row r="150" spans="1:18">
      <c r="A150" s="156" t="str">
        <f>+A61</f>
        <v>TRANOMARO</v>
      </c>
      <c r="C150" s="143"/>
      <c r="D150" s="211"/>
      <c r="E150" s="211"/>
      <c r="F150" s="211"/>
      <c r="G150" s="211"/>
      <c r="H150" s="211"/>
      <c r="I150" s="211"/>
      <c r="J150" s="211"/>
      <c r="K150" s="211"/>
      <c r="L150" s="211"/>
      <c r="M150" s="211"/>
      <c r="N150" s="211"/>
      <c r="O150" s="211"/>
      <c r="P150" s="151"/>
    </row>
    <row r="151" spans="1:18">
      <c r="A151" s="156"/>
      <c r="B151" s="143" t="str">
        <f>+B62</f>
        <v>Resp Site</v>
      </c>
      <c r="C151" s="143">
        <f>+C62</f>
        <v>1</v>
      </c>
      <c r="D151" s="211">
        <f>+D62+D107</f>
        <v>778700</v>
      </c>
      <c r="E151" s="211">
        <f t="shared" ref="E151:O151" si="152">+E62+E107</f>
        <v>780000</v>
      </c>
      <c r="F151" s="211">
        <f t="shared" si="152"/>
        <v>778700</v>
      </c>
      <c r="G151" s="211">
        <f t="shared" si="152"/>
        <v>780000</v>
      </c>
      <c r="H151" s="211">
        <f t="shared" si="152"/>
        <v>778700</v>
      </c>
      <c r="I151" s="211">
        <f t="shared" si="152"/>
        <v>780000</v>
      </c>
      <c r="J151" s="211">
        <f t="shared" si="152"/>
        <v>778700</v>
      </c>
      <c r="K151" s="211">
        <f t="shared" si="152"/>
        <v>780000</v>
      </c>
      <c r="L151" s="211">
        <f t="shared" si="152"/>
        <v>761800</v>
      </c>
      <c r="M151" s="211">
        <f t="shared" si="152"/>
        <v>763700</v>
      </c>
      <c r="N151" s="211">
        <f t="shared" si="152"/>
        <v>761800</v>
      </c>
      <c r="O151" s="211">
        <f t="shared" si="152"/>
        <v>763700</v>
      </c>
      <c r="P151" s="211">
        <f t="shared" si="100"/>
        <v>9285800</v>
      </c>
      <c r="R151" s="816">
        <f t="shared" si="147"/>
        <v>780000</v>
      </c>
    </row>
    <row r="152" spans="1:18">
      <c r="A152" s="149"/>
      <c r="B152" s="143" t="str">
        <f>+B63</f>
        <v>Collecteurs</v>
      </c>
      <c r="C152" s="143">
        <f>+C63</f>
        <v>6</v>
      </c>
      <c r="D152" s="211">
        <f t="shared" ref="D152:O154" si="153">+D63+D108</f>
        <v>4072200</v>
      </c>
      <c r="E152" s="211">
        <f t="shared" si="153"/>
        <v>4080000</v>
      </c>
      <c r="F152" s="211">
        <f t="shared" si="153"/>
        <v>4072200</v>
      </c>
      <c r="G152" s="211">
        <f t="shared" si="153"/>
        <v>4080000</v>
      </c>
      <c r="H152" s="211">
        <f t="shared" si="153"/>
        <v>4072200</v>
      </c>
      <c r="I152" s="211">
        <f t="shared" si="153"/>
        <v>4080000</v>
      </c>
      <c r="J152" s="211">
        <f t="shared" si="153"/>
        <v>4072200</v>
      </c>
      <c r="K152" s="211">
        <f t="shared" si="153"/>
        <v>4080000</v>
      </c>
      <c r="L152" s="211">
        <f t="shared" si="153"/>
        <v>3970800</v>
      </c>
      <c r="M152" s="211">
        <f t="shared" si="153"/>
        <v>3982200</v>
      </c>
      <c r="N152" s="211">
        <f t="shared" si="153"/>
        <v>3970800</v>
      </c>
      <c r="O152" s="211">
        <f t="shared" si="153"/>
        <v>3982200</v>
      </c>
      <c r="P152" s="211">
        <f t="shared" si="100"/>
        <v>48514800</v>
      </c>
      <c r="R152" s="816">
        <f t="shared" si="147"/>
        <v>680000</v>
      </c>
    </row>
    <row r="153" spans="1:18">
      <c r="A153" s="149"/>
      <c r="B153" s="143" t="str">
        <f t="shared" ref="B153:C153" si="154">+B64</f>
        <v>Aide colleceturs</v>
      </c>
      <c r="C153" s="143">
        <f t="shared" si="154"/>
        <v>6</v>
      </c>
      <c r="D153" s="211">
        <f t="shared" si="153"/>
        <v>3472200</v>
      </c>
      <c r="E153" s="211">
        <f t="shared" si="153"/>
        <v>3480000</v>
      </c>
      <c r="F153" s="211">
        <f t="shared" si="153"/>
        <v>3472200</v>
      </c>
      <c r="G153" s="211">
        <f t="shared" si="153"/>
        <v>3480000</v>
      </c>
      <c r="H153" s="211">
        <f t="shared" si="153"/>
        <v>3472200</v>
      </c>
      <c r="I153" s="211">
        <f t="shared" si="153"/>
        <v>3480000</v>
      </c>
      <c r="J153" s="211">
        <f t="shared" si="153"/>
        <v>3472200</v>
      </c>
      <c r="K153" s="211">
        <f t="shared" si="153"/>
        <v>3480000</v>
      </c>
      <c r="L153" s="211">
        <f t="shared" si="153"/>
        <v>3370800</v>
      </c>
      <c r="M153" s="211">
        <f t="shared" si="153"/>
        <v>3382200</v>
      </c>
      <c r="N153" s="211">
        <f t="shared" si="153"/>
        <v>3370800</v>
      </c>
      <c r="O153" s="211">
        <f t="shared" si="153"/>
        <v>3382200</v>
      </c>
      <c r="P153" s="211">
        <f t="shared" si="100"/>
        <v>41314800</v>
      </c>
      <c r="R153" s="816">
        <f t="shared" si="147"/>
        <v>580000</v>
      </c>
    </row>
    <row r="154" spans="1:18">
      <c r="A154" s="149"/>
      <c r="B154" s="143" t="str">
        <f t="shared" ref="B154:C154" si="155">+B65</f>
        <v>Controleurs</v>
      </c>
      <c r="C154" s="143">
        <f t="shared" si="155"/>
        <v>3</v>
      </c>
      <c r="D154" s="211">
        <f t="shared" si="153"/>
        <v>2186100</v>
      </c>
      <c r="E154" s="211">
        <f t="shared" si="153"/>
        <v>2190000</v>
      </c>
      <c r="F154" s="211">
        <f t="shared" si="153"/>
        <v>2186100</v>
      </c>
      <c r="G154" s="211">
        <f t="shared" si="153"/>
        <v>2190000</v>
      </c>
      <c r="H154" s="211">
        <f t="shared" si="153"/>
        <v>2186100</v>
      </c>
      <c r="I154" s="211">
        <f t="shared" si="153"/>
        <v>2190000</v>
      </c>
      <c r="J154" s="211">
        <f t="shared" si="153"/>
        <v>2186100</v>
      </c>
      <c r="K154" s="211">
        <f t="shared" si="153"/>
        <v>2190000</v>
      </c>
      <c r="L154" s="211">
        <f t="shared" si="153"/>
        <v>2135400</v>
      </c>
      <c r="M154" s="211">
        <f t="shared" si="153"/>
        <v>2141100</v>
      </c>
      <c r="N154" s="211">
        <f t="shared" si="153"/>
        <v>2135400</v>
      </c>
      <c r="O154" s="211">
        <f t="shared" si="153"/>
        <v>2141100</v>
      </c>
      <c r="P154" s="211">
        <f t="shared" si="100"/>
        <v>26057400</v>
      </c>
      <c r="R154" s="816">
        <f t="shared" si="147"/>
        <v>730000</v>
      </c>
    </row>
    <row r="155" spans="1:18">
      <c r="A155" s="156" t="str">
        <f>+A67</f>
        <v>TOAMASINA</v>
      </c>
      <c r="C155" s="143"/>
      <c r="D155" s="211"/>
      <c r="E155" s="211"/>
      <c r="F155" s="211"/>
      <c r="G155" s="211"/>
      <c r="H155" s="211"/>
      <c r="I155" s="211"/>
      <c r="J155" s="211"/>
      <c r="K155" s="211"/>
      <c r="L155" s="211"/>
      <c r="M155" s="211"/>
      <c r="N155" s="211"/>
      <c r="O155" s="211"/>
      <c r="P155" s="151"/>
    </row>
    <row r="156" spans="1:18">
      <c r="A156" s="149"/>
      <c r="B156" s="143" t="str">
        <f>+B68</f>
        <v>Resp Site</v>
      </c>
      <c r="C156" s="143">
        <f>+C68</f>
        <v>1</v>
      </c>
      <c r="D156" s="211">
        <f>+D68</f>
        <v>400000</v>
      </c>
      <c r="E156" s="211">
        <f t="shared" ref="E156:O156" si="156">+E68</f>
        <v>400000</v>
      </c>
      <c r="F156" s="211">
        <f t="shared" si="156"/>
        <v>400000</v>
      </c>
      <c r="G156" s="211">
        <f t="shared" si="156"/>
        <v>400000</v>
      </c>
      <c r="H156" s="211">
        <f t="shared" si="156"/>
        <v>400000</v>
      </c>
      <c r="I156" s="211">
        <f t="shared" si="156"/>
        <v>400000</v>
      </c>
      <c r="J156" s="211">
        <f t="shared" si="156"/>
        <v>400000</v>
      </c>
      <c r="K156" s="211">
        <f t="shared" si="156"/>
        <v>400000</v>
      </c>
      <c r="L156" s="211">
        <f t="shared" si="156"/>
        <v>400000</v>
      </c>
      <c r="M156" s="211">
        <f t="shared" si="156"/>
        <v>400000</v>
      </c>
      <c r="N156" s="211">
        <f t="shared" si="156"/>
        <v>400000</v>
      </c>
      <c r="O156" s="211">
        <f t="shared" si="156"/>
        <v>400000</v>
      </c>
      <c r="P156" s="211">
        <f t="shared" si="100"/>
        <v>4800000</v>
      </c>
      <c r="R156" s="816">
        <f t="shared" si="147"/>
        <v>400000</v>
      </c>
    </row>
    <row r="157" spans="1:18">
      <c r="A157" s="149"/>
      <c r="B157" s="143" t="str">
        <f t="shared" ref="B157:C157" si="157">+B69</f>
        <v>Assistants</v>
      </c>
      <c r="C157" s="143">
        <f t="shared" si="157"/>
        <v>2</v>
      </c>
      <c r="D157" s="211">
        <f>+D69</f>
        <v>500000</v>
      </c>
      <c r="E157" s="211">
        <f t="shared" ref="E157:O157" si="158">+E69</f>
        <v>500000</v>
      </c>
      <c r="F157" s="211">
        <f t="shared" si="158"/>
        <v>500000</v>
      </c>
      <c r="G157" s="211">
        <f t="shared" si="158"/>
        <v>500000</v>
      </c>
      <c r="H157" s="211">
        <f t="shared" si="158"/>
        <v>500000</v>
      </c>
      <c r="I157" s="211">
        <f t="shared" si="158"/>
        <v>500000</v>
      </c>
      <c r="J157" s="211">
        <f t="shared" si="158"/>
        <v>500000</v>
      </c>
      <c r="K157" s="211">
        <f t="shared" si="158"/>
        <v>500000</v>
      </c>
      <c r="L157" s="211">
        <f t="shared" si="158"/>
        <v>500000</v>
      </c>
      <c r="M157" s="211">
        <f t="shared" si="158"/>
        <v>500000</v>
      </c>
      <c r="N157" s="211">
        <f t="shared" si="158"/>
        <v>500000</v>
      </c>
      <c r="O157" s="211">
        <f t="shared" si="158"/>
        <v>500000</v>
      </c>
      <c r="P157" s="211">
        <f t="shared" si="100"/>
        <v>6000000</v>
      </c>
      <c r="R157" s="816">
        <f t="shared" si="147"/>
        <v>250000</v>
      </c>
    </row>
    <row r="158" spans="1:18" ht="13.5" thickBot="1">
      <c r="A158" s="832"/>
      <c r="B158" s="823" t="s">
        <v>362</v>
      </c>
      <c r="C158" s="823">
        <f>SUM(C121:C157)</f>
        <v>76</v>
      </c>
      <c r="D158" s="833">
        <f>SUM(D121:D157)</f>
        <v>50117950</v>
      </c>
      <c r="E158" s="833">
        <f t="shared" ref="E158:P158" si="159">SUM(E121:E157)</f>
        <v>50195750</v>
      </c>
      <c r="F158" s="833">
        <f t="shared" si="159"/>
        <v>50117950</v>
      </c>
      <c r="G158" s="833">
        <f t="shared" si="159"/>
        <v>50195750</v>
      </c>
      <c r="H158" s="833">
        <f t="shared" si="159"/>
        <v>50117950</v>
      </c>
      <c r="I158" s="833">
        <f t="shared" si="159"/>
        <v>50195750</v>
      </c>
      <c r="J158" s="833">
        <f t="shared" si="159"/>
        <v>50117950</v>
      </c>
      <c r="K158" s="833">
        <f t="shared" si="159"/>
        <v>50195750</v>
      </c>
      <c r="L158" s="833">
        <f t="shared" si="159"/>
        <v>49074750</v>
      </c>
      <c r="M158" s="833">
        <f t="shared" si="159"/>
        <v>49189450</v>
      </c>
      <c r="N158" s="833">
        <f t="shared" si="159"/>
        <v>49074750</v>
      </c>
      <c r="O158" s="833">
        <f t="shared" si="159"/>
        <v>49189450</v>
      </c>
      <c r="P158" s="833">
        <f t="shared" si="159"/>
        <v>597783200</v>
      </c>
    </row>
    <row r="159" spans="1:18">
      <c r="C159" s="143"/>
      <c r="D159" s="211"/>
      <c r="E159" s="211"/>
      <c r="F159" s="211"/>
      <c r="G159" s="211"/>
      <c r="H159" s="211"/>
      <c r="I159" s="211"/>
      <c r="J159" s="211"/>
      <c r="K159" s="211"/>
      <c r="L159" s="211"/>
      <c r="M159" s="211"/>
      <c r="N159" s="211"/>
      <c r="O159" s="211"/>
      <c r="P159" s="151"/>
    </row>
    <row r="160" spans="1:18" ht="13.5">
      <c r="B160" s="217" t="s">
        <v>862</v>
      </c>
      <c r="D160" s="212">
        <f t="shared" ref="D160:O160" si="160">+D24</f>
        <v>2337500</v>
      </c>
      <c r="E160" s="212">
        <f t="shared" si="160"/>
        <v>2337500</v>
      </c>
      <c r="F160" s="212">
        <f t="shared" si="160"/>
        <v>2337500</v>
      </c>
      <c r="G160" s="212">
        <f t="shared" si="160"/>
        <v>2337500</v>
      </c>
      <c r="H160" s="212">
        <f t="shared" si="160"/>
        <v>2337500</v>
      </c>
      <c r="I160" s="212">
        <f t="shared" si="160"/>
        <v>2337500</v>
      </c>
      <c r="J160" s="212">
        <f t="shared" si="160"/>
        <v>2337500</v>
      </c>
      <c r="K160" s="212">
        <f t="shared" si="160"/>
        <v>2337500</v>
      </c>
      <c r="L160" s="212">
        <f t="shared" si="160"/>
        <v>2337500</v>
      </c>
      <c r="M160" s="212">
        <f t="shared" si="160"/>
        <v>2337500</v>
      </c>
      <c r="N160" s="212">
        <f t="shared" si="160"/>
        <v>2337500</v>
      </c>
      <c r="O160" s="212">
        <f t="shared" si="160"/>
        <v>2337500</v>
      </c>
      <c r="P160" s="212">
        <f>SUM(D160:O160)</f>
        <v>28050000</v>
      </c>
    </row>
    <row r="161" spans="2:19" ht="13.5">
      <c r="B161" s="217" t="str">
        <f>+B167</f>
        <v>Charges sociales</v>
      </c>
      <c r="D161" s="212">
        <f t="shared" ref="D161:O161" si="161">+D25</f>
        <v>23375</v>
      </c>
      <c r="E161" s="212">
        <f t="shared" si="161"/>
        <v>23375</v>
      </c>
      <c r="F161" s="212">
        <f t="shared" si="161"/>
        <v>23375</v>
      </c>
      <c r="G161" s="212">
        <f t="shared" si="161"/>
        <v>23375</v>
      </c>
      <c r="H161" s="212">
        <f t="shared" si="161"/>
        <v>23375</v>
      </c>
      <c r="I161" s="212">
        <f t="shared" si="161"/>
        <v>23375</v>
      </c>
      <c r="J161" s="212">
        <f t="shared" si="161"/>
        <v>23375</v>
      </c>
      <c r="K161" s="212">
        <f t="shared" si="161"/>
        <v>23375</v>
      </c>
      <c r="L161" s="212">
        <f t="shared" si="161"/>
        <v>23375</v>
      </c>
      <c r="M161" s="212">
        <f t="shared" si="161"/>
        <v>23375</v>
      </c>
      <c r="N161" s="212">
        <f t="shared" si="161"/>
        <v>23375</v>
      </c>
      <c r="O161" s="212">
        <f t="shared" si="161"/>
        <v>23375</v>
      </c>
      <c r="P161" s="212">
        <f>SUM(D161:O161)</f>
        <v>280500</v>
      </c>
    </row>
    <row r="162" spans="2:19" ht="13.5">
      <c r="B162" s="149" t="s">
        <v>789</v>
      </c>
      <c r="D162" s="212">
        <f>-D160*1%</f>
        <v>-23375</v>
      </c>
      <c r="E162" s="212">
        <f t="shared" ref="E162:O162" si="162">-E160*1%</f>
        <v>-23375</v>
      </c>
      <c r="F162" s="212">
        <f t="shared" si="162"/>
        <v>-23375</v>
      </c>
      <c r="G162" s="212">
        <f t="shared" si="162"/>
        <v>-23375</v>
      </c>
      <c r="H162" s="212">
        <f t="shared" si="162"/>
        <v>-23375</v>
      </c>
      <c r="I162" s="212">
        <f t="shared" si="162"/>
        <v>-23375</v>
      </c>
      <c r="J162" s="212">
        <f t="shared" si="162"/>
        <v>-23375</v>
      </c>
      <c r="K162" s="212">
        <f t="shared" si="162"/>
        <v>-23375</v>
      </c>
      <c r="L162" s="212">
        <f t="shared" si="162"/>
        <v>-23375</v>
      </c>
      <c r="M162" s="212">
        <f t="shared" si="162"/>
        <v>-23375</v>
      </c>
      <c r="N162" s="212">
        <f t="shared" si="162"/>
        <v>-23375</v>
      </c>
      <c r="O162" s="212">
        <f t="shared" si="162"/>
        <v>-23375</v>
      </c>
      <c r="P162" s="212">
        <f t="shared" ref="P162" si="163">SUM(D162:O162)</f>
        <v>-280500</v>
      </c>
    </row>
    <row r="163" spans="2:19" ht="13.5">
      <c r="B163" s="149" t="s">
        <v>16</v>
      </c>
      <c r="D163" s="212">
        <f t="shared" ref="D163:O163" si="164">-$C$164*2000</f>
        <v>-24000</v>
      </c>
      <c r="E163" s="212">
        <f t="shared" si="164"/>
        <v>-24000</v>
      </c>
      <c r="F163" s="212">
        <f t="shared" si="164"/>
        <v>-24000</v>
      </c>
      <c r="G163" s="212">
        <f t="shared" si="164"/>
        <v>-24000</v>
      </c>
      <c r="H163" s="212">
        <f t="shared" si="164"/>
        <v>-24000</v>
      </c>
      <c r="I163" s="212">
        <f t="shared" si="164"/>
        <v>-24000</v>
      </c>
      <c r="J163" s="212">
        <f t="shared" si="164"/>
        <v>-24000</v>
      </c>
      <c r="K163" s="212">
        <f t="shared" si="164"/>
        <v>-24000</v>
      </c>
      <c r="L163" s="212">
        <f t="shared" si="164"/>
        <v>-24000</v>
      </c>
      <c r="M163" s="212">
        <f t="shared" si="164"/>
        <v>-24000</v>
      </c>
      <c r="N163" s="212">
        <f t="shared" si="164"/>
        <v>-24000</v>
      </c>
      <c r="O163" s="212">
        <f t="shared" si="164"/>
        <v>-24000</v>
      </c>
      <c r="P163" s="212">
        <f t="shared" ref="P163" si="165">+O163</f>
        <v>-24000</v>
      </c>
    </row>
    <row r="164" spans="2:19" ht="13.5">
      <c r="B164" s="148" t="s">
        <v>823</v>
      </c>
      <c r="C164" s="148">
        <f>+C24</f>
        <v>12</v>
      </c>
      <c r="D164" s="213">
        <f t="shared" ref="D164:O164" si="166">-SUM(D160:D163)</f>
        <v>-2313500</v>
      </c>
      <c r="E164" s="213">
        <f t="shared" si="166"/>
        <v>-2313500</v>
      </c>
      <c r="F164" s="214">
        <f t="shared" si="166"/>
        <v>-2313500</v>
      </c>
      <c r="G164" s="214">
        <f t="shared" si="166"/>
        <v>-2313500</v>
      </c>
      <c r="H164" s="214">
        <f t="shared" si="166"/>
        <v>-2313500</v>
      </c>
      <c r="I164" s="214">
        <f t="shared" si="166"/>
        <v>-2313500</v>
      </c>
      <c r="J164" s="214">
        <f t="shared" si="166"/>
        <v>-2313500</v>
      </c>
      <c r="K164" s="214">
        <f t="shared" si="166"/>
        <v>-2313500</v>
      </c>
      <c r="L164" s="214">
        <f t="shared" si="166"/>
        <v>-2313500</v>
      </c>
      <c r="M164" s="214">
        <f t="shared" si="166"/>
        <v>-2313500</v>
      </c>
      <c r="N164" s="214">
        <f t="shared" si="166"/>
        <v>-2313500</v>
      </c>
      <c r="O164" s="214">
        <f t="shared" si="166"/>
        <v>-2313500</v>
      </c>
      <c r="P164" s="213">
        <f t="shared" ref="P164" si="167">SUM(D164:O164)</f>
        <v>-27762000</v>
      </c>
    </row>
    <row r="165" spans="2:19">
      <c r="C165" s="143"/>
      <c r="D165" s="211"/>
      <c r="E165" s="211"/>
      <c r="F165" s="211"/>
      <c r="G165" s="211"/>
      <c r="H165" s="211"/>
      <c r="I165" s="211"/>
      <c r="J165" s="211"/>
      <c r="K165" s="211"/>
      <c r="L165" s="211"/>
      <c r="M165" s="211"/>
      <c r="N165" s="211"/>
      <c r="O165" s="211"/>
      <c r="P165" s="151"/>
    </row>
    <row r="166" spans="2:19" ht="13.5">
      <c r="B166" s="217" t="s">
        <v>826</v>
      </c>
      <c r="D166" s="212">
        <f>+D158</f>
        <v>50117950</v>
      </c>
      <c r="E166" s="212">
        <f t="shared" ref="E166:O166" si="168">+E158</f>
        <v>50195750</v>
      </c>
      <c r="F166" s="212">
        <f t="shared" si="168"/>
        <v>50117950</v>
      </c>
      <c r="G166" s="212">
        <f t="shared" si="168"/>
        <v>50195750</v>
      </c>
      <c r="H166" s="212">
        <f t="shared" si="168"/>
        <v>50117950</v>
      </c>
      <c r="I166" s="212">
        <f t="shared" si="168"/>
        <v>50195750</v>
      </c>
      <c r="J166" s="212">
        <f t="shared" si="168"/>
        <v>50117950</v>
      </c>
      <c r="K166" s="212">
        <f t="shared" si="168"/>
        <v>50195750</v>
      </c>
      <c r="L166" s="212">
        <f t="shared" si="168"/>
        <v>49074750</v>
      </c>
      <c r="M166" s="212">
        <f t="shared" si="168"/>
        <v>49189450</v>
      </c>
      <c r="N166" s="212">
        <f t="shared" si="168"/>
        <v>49074750</v>
      </c>
      <c r="O166" s="212">
        <f t="shared" si="168"/>
        <v>49189450</v>
      </c>
      <c r="P166" s="212">
        <f t="shared" ref="P166:P170" si="169">SUM(D166:O166)</f>
        <v>597783200</v>
      </c>
      <c r="S166" s="215"/>
    </row>
    <row r="167" spans="2:19" ht="13.5">
      <c r="B167" s="217" t="s">
        <v>827</v>
      </c>
      <c r="D167" s="212">
        <f>+D166*0.18</f>
        <v>9021231</v>
      </c>
      <c r="E167" s="212">
        <f t="shared" ref="E167:O167" si="170">+E166*0.18</f>
        <v>9035235</v>
      </c>
      <c r="F167" s="212">
        <f t="shared" si="170"/>
        <v>9021231</v>
      </c>
      <c r="G167" s="212">
        <f t="shared" si="170"/>
        <v>9035235</v>
      </c>
      <c r="H167" s="212">
        <f t="shared" si="170"/>
        <v>9021231</v>
      </c>
      <c r="I167" s="212">
        <f t="shared" si="170"/>
        <v>9035235</v>
      </c>
      <c r="J167" s="212">
        <f t="shared" si="170"/>
        <v>9021231</v>
      </c>
      <c r="K167" s="212">
        <f t="shared" si="170"/>
        <v>9035235</v>
      </c>
      <c r="L167" s="212">
        <f t="shared" si="170"/>
        <v>8833455</v>
      </c>
      <c r="M167" s="212">
        <f t="shared" si="170"/>
        <v>8854101</v>
      </c>
      <c r="N167" s="212">
        <f t="shared" si="170"/>
        <v>8833455</v>
      </c>
      <c r="O167" s="212">
        <f t="shared" si="170"/>
        <v>8854101</v>
      </c>
      <c r="P167" s="212">
        <f t="shared" si="169"/>
        <v>107600976</v>
      </c>
    </row>
    <row r="168" spans="2:19" ht="13.5">
      <c r="B168" s="217" t="s">
        <v>824</v>
      </c>
      <c r="D168" s="212">
        <f>-D167/8</f>
        <v>-1127653.875</v>
      </c>
      <c r="E168" s="212">
        <f t="shared" ref="E168:O168" si="171">-E167/8</f>
        <v>-1129404.375</v>
      </c>
      <c r="F168" s="212">
        <f t="shared" si="171"/>
        <v>-1127653.875</v>
      </c>
      <c r="G168" s="212">
        <f t="shared" si="171"/>
        <v>-1129404.375</v>
      </c>
      <c r="H168" s="212">
        <f t="shared" si="171"/>
        <v>-1127653.875</v>
      </c>
      <c r="I168" s="212">
        <f t="shared" si="171"/>
        <v>-1129404.375</v>
      </c>
      <c r="J168" s="212">
        <f t="shared" si="171"/>
        <v>-1127653.875</v>
      </c>
      <c r="K168" s="212">
        <f t="shared" si="171"/>
        <v>-1129404.375</v>
      </c>
      <c r="L168" s="212">
        <f t="shared" si="171"/>
        <v>-1104181.875</v>
      </c>
      <c r="M168" s="212">
        <f t="shared" si="171"/>
        <v>-1106762.625</v>
      </c>
      <c r="N168" s="212">
        <f t="shared" si="171"/>
        <v>-1104181.875</v>
      </c>
      <c r="O168" s="212">
        <f t="shared" si="171"/>
        <v>-1106762.625</v>
      </c>
      <c r="P168" s="212">
        <f t="shared" si="169"/>
        <v>-13450122</v>
      </c>
    </row>
    <row r="169" spans="2:19" ht="13.5">
      <c r="B169" s="217" t="s">
        <v>825</v>
      </c>
      <c r="D169" s="212">
        <f>-D167</f>
        <v>-9021231</v>
      </c>
      <c r="E169" s="212">
        <f t="shared" ref="E169:O169" si="172">-E167</f>
        <v>-9035235</v>
      </c>
      <c r="F169" s="212">
        <f t="shared" si="172"/>
        <v>-9021231</v>
      </c>
      <c r="G169" s="212">
        <f t="shared" si="172"/>
        <v>-9035235</v>
      </c>
      <c r="H169" s="212">
        <f t="shared" si="172"/>
        <v>-9021231</v>
      </c>
      <c r="I169" s="212">
        <f t="shared" si="172"/>
        <v>-9035235</v>
      </c>
      <c r="J169" s="212">
        <f t="shared" si="172"/>
        <v>-9021231</v>
      </c>
      <c r="K169" s="212">
        <f t="shared" si="172"/>
        <v>-9035235</v>
      </c>
      <c r="L169" s="212">
        <f t="shared" si="172"/>
        <v>-8833455</v>
      </c>
      <c r="M169" s="212">
        <f t="shared" si="172"/>
        <v>-8854101</v>
      </c>
      <c r="N169" s="212">
        <f t="shared" si="172"/>
        <v>-8833455</v>
      </c>
      <c r="O169" s="212">
        <f t="shared" si="172"/>
        <v>-8854101</v>
      </c>
      <c r="P169" s="212">
        <f t="shared" si="169"/>
        <v>-107600976</v>
      </c>
    </row>
    <row r="170" spans="2:19" ht="13.5">
      <c r="B170" s="149" t="s">
        <v>16</v>
      </c>
      <c r="D170" s="212">
        <f>-D166*18%</f>
        <v>-9021231</v>
      </c>
      <c r="E170" s="212">
        <f t="shared" ref="E170:O170" si="173">-E166*18%</f>
        <v>-9035235</v>
      </c>
      <c r="F170" s="212">
        <f t="shared" si="173"/>
        <v>-9021231</v>
      </c>
      <c r="G170" s="212">
        <f t="shared" si="173"/>
        <v>-9035235</v>
      </c>
      <c r="H170" s="212">
        <f t="shared" si="173"/>
        <v>-9021231</v>
      </c>
      <c r="I170" s="212">
        <f t="shared" si="173"/>
        <v>-9035235</v>
      </c>
      <c r="J170" s="212">
        <f t="shared" si="173"/>
        <v>-9021231</v>
      </c>
      <c r="K170" s="212">
        <f t="shared" si="173"/>
        <v>-9035235</v>
      </c>
      <c r="L170" s="212">
        <f t="shared" si="173"/>
        <v>-8833455</v>
      </c>
      <c r="M170" s="212">
        <f t="shared" si="173"/>
        <v>-8854101</v>
      </c>
      <c r="N170" s="212">
        <f t="shared" si="173"/>
        <v>-8833455</v>
      </c>
      <c r="O170" s="212">
        <f t="shared" si="173"/>
        <v>-8854101</v>
      </c>
      <c r="P170" s="212">
        <f t="shared" si="169"/>
        <v>-107600976</v>
      </c>
    </row>
    <row r="171" spans="2:19" ht="13.5">
      <c r="B171" s="216" t="s">
        <v>823</v>
      </c>
      <c r="C171" s="148">
        <f>+C164+C158</f>
        <v>88</v>
      </c>
      <c r="D171" s="213">
        <f t="shared" ref="D171:O171" si="174">-SUM(D166:D170)</f>
        <v>-39969065.125</v>
      </c>
      <c r="E171" s="213">
        <f t="shared" si="174"/>
        <v>-40031110.625</v>
      </c>
      <c r="F171" s="213">
        <f t="shared" si="174"/>
        <v>-39969065.125</v>
      </c>
      <c r="G171" s="213">
        <f t="shared" si="174"/>
        <v>-40031110.625</v>
      </c>
      <c r="H171" s="213">
        <f t="shared" si="174"/>
        <v>-39969065.125</v>
      </c>
      <c r="I171" s="213">
        <f t="shared" si="174"/>
        <v>-40031110.625</v>
      </c>
      <c r="J171" s="213">
        <f t="shared" si="174"/>
        <v>-39969065.125</v>
      </c>
      <c r="K171" s="213">
        <f t="shared" si="174"/>
        <v>-40031110.625</v>
      </c>
      <c r="L171" s="213">
        <f t="shared" si="174"/>
        <v>-39137113.125</v>
      </c>
      <c r="M171" s="213">
        <f t="shared" si="174"/>
        <v>-39228586.375</v>
      </c>
      <c r="N171" s="213">
        <f t="shared" si="174"/>
        <v>-39137113.125</v>
      </c>
      <c r="O171" s="213">
        <f t="shared" si="174"/>
        <v>-39228586.375</v>
      </c>
      <c r="P171" s="213">
        <f t="shared" ref="P171" si="175">SUM(D171:O171)</f>
        <v>-476732102</v>
      </c>
    </row>
    <row r="172" spans="2:19" ht="13.5" thickBot="1">
      <c r="C172" s="143"/>
      <c r="D172" s="211"/>
      <c r="E172" s="211"/>
      <c r="F172" s="211"/>
      <c r="G172" s="211"/>
      <c r="H172" s="211"/>
      <c r="I172" s="211"/>
      <c r="J172" s="211"/>
      <c r="K172" s="211"/>
      <c r="L172" s="211"/>
      <c r="M172" s="211"/>
      <c r="N172" s="211"/>
      <c r="O172" s="211"/>
      <c r="P172" s="151"/>
    </row>
    <row r="173" spans="2:19">
      <c r="B173" s="835"/>
      <c r="C173" s="836"/>
      <c r="D173" s="837" t="str">
        <f>+D73</f>
        <v>M1</v>
      </c>
      <c r="E173" s="837" t="str">
        <f t="shared" ref="E173:P173" si="176">+E73</f>
        <v>M2</v>
      </c>
      <c r="F173" s="837" t="str">
        <f t="shared" si="176"/>
        <v>M3</v>
      </c>
      <c r="G173" s="837" t="str">
        <f t="shared" si="176"/>
        <v>M4</v>
      </c>
      <c r="H173" s="837" t="str">
        <f t="shared" si="176"/>
        <v>M5</v>
      </c>
      <c r="I173" s="837" t="str">
        <f t="shared" si="176"/>
        <v>M6</v>
      </c>
      <c r="J173" s="837" t="str">
        <f t="shared" si="176"/>
        <v>M7</v>
      </c>
      <c r="K173" s="837" t="str">
        <f t="shared" si="176"/>
        <v>M8</v>
      </c>
      <c r="L173" s="837" t="str">
        <f t="shared" si="176"/>
        <v>M9</v>
      </c>
      <c r="M173" s="837" t="str">
        <f t="shared" si="176"/>
        <v>M10</v>
      </c>
      <c r="N173" s="837" t="str">
        <f t="shared" si="176"/>
        <v>M11</v>
      </c>
      <c r="O173" s="837" t="str">
        <f t="shared" si="176"/>
        <v>M12</v>
      </c>
      <c r="P173" s="837" t="str">
        <f t="shared" si="176"/>
        <v>Total</v>
      </c>
    </row>
    <row r="174" spans="2:19" s="829" customFormat="1">
      <c r="B174" s="148" t="s">
        <v>596</v>
      </c>
      <c r="C174" s="830"/>
      <c r="D174" s="831">
        <f>+D176+D177</f>
        <v>61500056</v>
      </c>
      <c r="E174" s="831">
        <f t="shared" ref="E174:P174" si="177">+E176+E177</f>
        <v>61591860</v>
      </c>
      <c r="F174" s="831">
        <f t="shared" si="177"/>
        <v>61500056</v>
      </c>
      <c r="G174" s="831">
        <f t="shared" si="177"/>
        <v>61591860</v>
      </c>
      <c r="H174" s="831">
        <f t="shared" si="177"/>
        <v>61500056</v>
      </c>
      <c r="I174" s="831">
        <f t="shared" si="177"/>
        <v>61591860</v>
      </c>
      <c r="J174" s="831">
        <f t="shared" si="177"/>
        <v>61500056</v>
      </c>
      <c r="K174" s="831">
        <f t="shared" si="177"/>
        <v>61591860</v>
      </c>
      <c r="L174" s="831">
        <f t="shared" si="177"/>
        <v>60269080</v>
      </c>
      <c r="M174" s="831">
        <f t="shared" si="177"/>
        <v>60404426</v>
      </c>
      <c r="N174" s="831">
        <f t="shared" si="177"/>
        <v>60269080</v>
      </c>
      <c r="O174" s="831">
        <f t="shared" si="177"/>
        <v>60404426</v>
      </c>
      <c r="P174" s="831">
        <f t="shared" si="177"/>
        <v>733714676</v>
      </c>
    </row>
    <row r="175" spans="2:19" ht="4.5" customHeight="1"/>
    <row r="176" spans="2:19">
      <c r="B176" s="210" t="s">
        <v>828</v>
      </c>
      <c r="D176" s="211">
        <f t="shared" ref="D176:O176" si="178">+D160+D166</f>
        <v>52455450</v>
      </c>
      <c r="E176" s="211">
        <f t="shared" si="178"/>
        <v>52533250</v>
      </c>
      <c r="F176" s="211">
        <f t="shared" si="178"/>
        <v>52455450</v>
      </c>
      <c r="G176" s="211">
        <f t="shared" si="178"/>
        <v>52533250</v>
      </c>
      <c r="H176" s="211">
        <f t="shared" si="178"/>
        <v>52455450</v>
      </c>
      <c r="I176" s="211">
        <f t="shared" si="178"/>
        <v>52533250</v>
      </c>
      <c r="J176" s="211">
        <f t="shared" si="178"/>
        <v>52455450</v>
      </c>
      <c r="K176" s="211">
        <f t="shared" si="178"/>
        <v>52533250</v>
      </c>
      <c r="L176" s="211">
        <f t="shared" si="178"/>
        <v>51412250</v>
      </c>
      <c r="M176" s="211">
        <f t="shared" si="178"/>
        <v>51526950</v>
      </c>
      <c r="N176" s="211">
        <f t="shared" si="178"/>
        <v>51412250</v>
      </c>
      <c r="O176" s="211">
        <f t="shared" si="178"/>
        <v>51526950</v>
      </c>
      <c r="P176" s="211">
        <f>SUM(D176:O176)</f>
        <v>625833200</v>
      </c>
    </row>
    <row r="177" spans="2:17">
      <c r="B177" s="149" t="s">
        <v>827</v>
      </c>
      <c r="D177" s="211">
        <f t="shared" ref="D177:O177" si="179">+D161+D167</f>
        <v>9044606</v>
      </c>
      <c r="E177" s="211">
        <f t="shared" si="179"/>
        <v>9058610</v>
      </c>
      <c r="F177" s="211">
        <f t="shared" si="179"/>
        <v>9044606</v>
      </c>
      <c r="G177" s="211">
        <f t="shared" si="179"/>
        <v>9058610</v>
      </c>
      <c r="H177" s="211">
        <f t="shared" si="179"/>
        <v>9044606</v>
      </c>
      <c r="I177" s="211">
        <f t="shared" si="179"/>
        <v>9058610</v>
      </c>
      <c r="J177" s="211">
        <f t="shared" si="179"/>
        <v>9044606</v>
      </c>
      <c r="K177" s="211">
        <f t="shared" si="179"/>
        <v>9058610</v>
      </c>
      <c r="L177" s="211">
        <f t="shared" si="179"/>
        <v>8856830</v>
      </c>
      <c r="M177" s="211">
        <f t="shared" si="179"/>
        <v>8877476</v>
      </c>
      <c r="N177" s="211">
        <f t="shared" si="179"/>
        <v>8856830</v>
      </c>
      <c r="O177" s="211">
        <f t="shared" si="179"/>
        <v>8877476</v>
      </c>
      <c r="P177" s="211">
        <f t="shared" ref="P177:P181" si="180">SUM(D177:O177)</f>
        <v>107881476</v>
      </c>
    </row>
    <row r="178" spans="2:17">
      <c r="B178" s="149" t="s">
        <v>824</v>
      </c>
      <c r="D178" s="211">
        <f t="shared" ref="D178:O178" si="181">+D162+D168</f>
        <v>-1151028.875</v>
      </c>
      <c r="E178" s="211">
        <f t="shared" si="181"/>
        <v>-1152779.375</v>
      </c>
      <c r="F178" s="211">
        <f t="shared" si="181"/>
        <v>-1151028.875</v>
      </c>
      <c r="G178" s="211">
        <f t="shared" si="181"/>
        <v>-1152779.375</v>
      </c>
      <c r="H178" s="211">
        <f t="shared" si="181"/>
        <v>-1151028.875</v>
      </c>
      <c r="I178" s="211">
        <f t="shared" si="181"/>
        <v>-1152779.375</v>
      </c>
      <c r="J178" s="211">
        <f t="shared" si="181"/>
        <v>-1151028.875</v>
      </c>
      <c r="K178" s="211">
        <f t="shared" si="181"/>
        <v>-1152779.375</v>
      </c>
      <c r="L178" s="211">
        <f t="shared" si="181"/>
        <v>-1127556.875</v>
      </c>
      <c r="M178" s="211">
        <f t="shared" si="181"/>
        <v>-1130137.625</v>
      </c>
      <c r="N178" s="211">
        <f t="shared" si="181"/>
        <v>-1127556.875</v>
      </c>
      <c r="O178" s="211">
        <f t="shared" si="181"/>
        <v>-1130137.625</v>
      </c>
      <c r="P178" s="211">
        <f t="shared" si="180"/>
        <v>-13730622</v>
      </c>
    </row>
    <row r="179" spans="2:17">
      <c r="B179" s="149" t="s">
        <v>829</v>
      </c>
      <c r="D179" s="211">
        <f t="shared" ref="D179:O179" si="182">+D169</f>
        <v>-9021231</v>
      </c>
      <c r="E179" s="211">
        <f t="shared" si="182"/>
        <v>-9035235</v>
      </c>
      <c r="F179" s="211">
        <f t="shared" si="182"/>
        <v>-9021231</v>
      </c>
      <c r="G179" s="211">
        <f t="shared" si="182"/>
        <v>-9035235</v>
      </c>
      <c r="H179" s="211">
        <f t="shared" si="182"/>
        <v>-9021231</v>
      </c>
      <c r="I179" s="211">
        <f t="shared" si="182"/>
        <v>-9035235</v>
      </c>
      <c r="J179" s="211">
        <f t="shared" si="182"/>
        <v>-9021231</v>
      </c>
      <c r="K179" s="211">
        <f t="shared" si="182"/>
        <v>-9035235</v>
      </c>
      <c r="L179" s="211">
        <f t="shared" si="182"/>
        <v>-8833455</v>
      </c>
      <c r="M179" s="211">
        <f t="shared" si="182"/>
        <v>-8854101</v>
      </c>
      <c r="N179" s="211">
        <f t="shared" si="182"/>
        <v>-8833455</v>
      </c>
      <c r="O179" s="211">
        <f t="shared" si="182"/>
        <v>-8854101</v>
      </c>
      <c r="P179" s="211">
        <f t="shared" si="180"/>
        <v>-107600976</v>
      </c>
    </row>
    <row r="180" spans="2:17">
      <c r="B180" s="149" t="s">
        <v>16</v>
      </c>
      <c r="D180" s="211">
        <f t="shared" ref="D180:O180" si="183">+D163+D170</f>
        <v>-9045231</v>
      </c>
      <c r="E180" s="211">
        <f t="shared" si="183"/>
        <v>-9059235</v>
      </c>
      <c r="F180" s="211">
        <f t="shared" si="183"/>
        <v>-9045231</v>
      </c>
      <c r="G180" s="211">
        <f t="shared" si="183"/>
        <v>-9059235</v>
      </c>
      <c r="H180" s="211">
        <f t="shared" si="183"/>
        <v>-9045231</v>
      </c>
      <c r="I180" s="211">
        <f t="shared" si="183"/>
        <v>-9059235</v>
      </c>
      <c r="J180" s="211">
        <f t="shared" si="183"/>
        <v>-9045231</v>
      </c>
      <c r="K180" s="211">
        <f t="shared" si="183"/>
        <v>-9059235</v>
      </c>
      <c r="L180" s="211">
        <f t="shared" si="183"/>
        <v>-8857455</v>
      </c>
      <c r="M180" s="211">
        <f t="shared" si="183"/>
        <v>-8878101</v>
      </c>
      <c r="N180" s="211">
        <f t="shared" si="183"/>
        <v>-8857455</v>
      </c>
      <c r="O180" s="211">
        <f t="shared" si="183"/>
        <v>-8878101</v>
      </c>
      <c r="P180" s="211">
        <f t="shared" si="180"/>
        <v>-107888976</v>
      </c>
    </row>
    <row r="181" spans="2:17">
      <c r="B181" s="149" t="s">
        <v>830</v>
      </c>
      <c r="D181" s="211">
        <f t="shared" ref="D181:O181" si="184">D164+D171</f>
        <v>-42282565.125</v>
      </c>
      <c r="E181" s="211">
        <f t="shared" si="184"/>
        <v>-42344610.625</v>
      </c>
      <c r="F181" s="211">
        <f t="shared" si="184"/>
        <v>-42282565.125</v>
      </c>
      <c r="G181" s="211">
        <f t="shared" si="184"/>
        <v>-42344610.625</v>
      </c>
      <c r="H181" s="211">
        <f t="shared" si="184"/>
        <v>-42282565.125</v>
      </c>
      <c r="I181" s="211">
        <f t="shared" si="184"/>
        <v>-42344610.625</v>
      </c>
      <c r="J181" s="211">
        <f t="shared" si="184"/>
        <v>-42282565.125</v>
      </c>
      <c r="K181" s="211">
        <f t="shared" si="184"/>
        <v>-42344610.625</v>
      </c>
      <c r="L181" s="211">
        <f t="shared" si="184"/>
        <v>-41450613.125</v>
      </c>
      <c r="M181" s="211">
        <f t="shared" si="184"/>
        <v>-41542086.375</v>
      </c>
      <c r="N181" s="211">
        <f t="shared" si="184"/>
        <v>-41450613.125</v>
      </c>
      <c r="O181" s="211">
        <f t="shared" si="184"/>
        <v>-41542086.375</v>
      </c>
      <c r="P181" s="211">
        <f t="shared" si="180"/>
        <v>-504494102</v>
      </c>
    </row>
    <row r="183" spans="2:17">
      <c r="B183" s="210" t="s">
        <v>1315</v>
      </c>
      <c r="D183" s="211">
        <f>SUMIF($Q$24:$Q$157,"F",D24:D157)</f>
        <v>22935000</v>
      </c>
      <c r="E183" s="211">
        <f t="shared" ref="E183:O183" si="185">SUMIF($Q$24:$Q$157,"F",E24:E157)</f>
        <v>22935000</v>
      </c>
      <c r="F183" s="211">
        <f t="shared" ref="F183" si="186">SUMIF($Q$24:$Q$157,"F",F24:F157)</f>
        <v>22935000</v>
      </c>
      <c r="G183" s="211">
        <f t="shared" si="185"/>
        <v>22935000</v>
      </c>
      <c r="H183" s="211">
        <f t="shared" si="185"/>
        <v>22935000</v>
      </c>
      <c r="I183" s="211">
        <f t="shared" si="185"/>
        <v>22935000</v>
      </c>
      <c r="J183" s="211">
        <f t="shared" si="185"/>
        <v>22935000</v>
      </c>
      <c r="K183" s="211">
        <f t="shared" si="185"/>
        <v>22935000</v>
      </c>
      <c r="L183" s="211">
        <f t="shared" si="185"/>
        <v>22935000</v>
      </c>
      <c r="M183" s="211">
        <f t="shared" si="185"/>
        <v>22935000</v>
      </c>
      <c r="N183" s="211">
        <f t="shared" si="185"/>
        <v>22935000</v>
      </c>
      <c r="O183" s="211">
        <f t="shared" si="185"/>
        <v>22935000</v>
      </c>
      <c r="P183" s="211">
        <f>SUM(D183:O183)</f>
        <v>275220000</v>
      </c>
      <c r="Q183" s="143">
        <f>SUMIF($Q$15:$Q$157,"F",Q15:Q157)</f>
        <v>0</v>
      </c>
    </row>
    <row r="184" spans="2:17">
      <c r="B184" s="149" t="s">
        <v>1317</v>
      </c>
      <c r="D184" s="211">
        <f t="shared" ref="D184" si="187">SUMIF($Q$24:$Q$157,"V",D24:D157)</f>
        <v>29520450</v>
      </c>
      <c r="E184" s="211">
        <f t="shared" ref="E184:O184" si="188">SUMIF($Q$24:$Q$157,"V",E24:E157)</f>
        <v>29598250</v>
      </c>
      <c r="F184" s="211">
        <f t="shared" ref="F184" si="189">SUMIF($Q$24:$Q$157,"V",F24:F157)</f>
        <v>29520450</v>
      </c>
      <c r="G184" s="211">
        <f t="shared" si="188"/>
        <v>29598250</v>
      </c>
      <c r="H184" s="211">
        <f t="shared" si="188"/>
        <v>29520450</v>
      </c>
      <c r="I184" s="211">
        <f t="shared" si="188"/>
        <v>29598250</v>
      </c>
      <c r="J184" s="211">
        <f t="shared" si="188"/>
        <v>29520450</v>
      </c>
      <c r="K184" s="211">
        <f t="shared" si="188"/>
        <v>29598250</v>
      </c>
      <c r="L184" s="211">
        <f t="shared" si="188"/>
        <v>28477250</v>
      </c>
      <c r="M184" s="211">
        <f t="shared" si="188"/>
        <v>28591950</v>
      </c>
      <c r="N184" s="211">
        <f t="shared" si="188"/>
        <v>28477250</v>
      </c>
      <c r="O184" s="211">
        <f t="shared" si="188"/>
        <v>28591950</v>
      </c>
      <c r="P184" s="211">
        <f t="shared" ref="P184:P189" si="190">SUM(D184:O184)</f>
        <v>350613200</v>
      </c>
      <c r="Q184" s="143">
        <f>SUMIF($Q$15:$Q$157,"V",Q15:Q157)</f>
        <v>0</v>
      </c>
    </row>
    <row r="185" spans="2:17">
      <c r="B185" s="149" t="s">
        <v>1316</v>
      </c>
      <c r="D185" s="211">
        <f>+D183*0.18</f>
        <v>4128300</v>
      </c>
      <c r="E185" s="211">
        <f t="shared" ref="E185:O185" si="191">+E183*0.18</f>
        <v>4128300</v>
      </c>
      <c r="F185" s="211">
        <f t="shared" ref="F185" si="192">+F183*0.18</f>
        <v>4128300</v>
      </c>
      <c r="G185" s="211">
        <f t="shared" si="191"/>
        <v>4128300</v>
      </c>
      <c r="H185" s="211">
        <f t="shared" si="191"/>
        <v>4128300</v>
      </c>
      <c r="I185" s="211">
        <f t="shared" si="191"/>
        <v>4128300</v>
      </c>
      <c r="J185" s="211">
        <f t="shared" si="191"/>
        <v>4128300</v>
      </c>
      <c r="K185" s="211">
        <f t="shared" si="191"/>
        <v>4128300</v>
      </c>
      <c r="L185" s="211">
        <f t="shared" si="191"/>
        <v>4128300</v>
      </c>
      <c r="M185" s="211">
        <f t="shared" si="191"/>
        <v>4128300</v>
      </c>
      <c r="N185" s="211">
        <f t="shared" si="191"/>
        <v>4128300</v>
      </c>
      <c r="O185" s="211">
        <f t="shared" si="191"/>
        <v>4128300</v>
      </c>
      <c r="P185" s="211">
        <f t="shared" si="190"/>
        <v>49539600</v>
      </c>
      <c r="Q185" s="143">
        <f t="shared" ref="Q185" si="193">+Q183*0.18</f>
        <v>0</v>
      </c>
    </row>
    <row r="186" spans="2:17">
      <c r="B186" s="149" t="s">
        <v>1318</v>
      </c>
      <c r="D186" s="211">
        <f t="shared" ref="D186" si="194">(+D184-D24)*18%+D25</f>
        <v>4916306</v>
      </c>
      <c r="E186" s="211">
        <f t="shared" ref="E186:O186" si="195">(+E184-E24)*18%+E25</f>
        <v>4930310</v>
      </c>
      <c r="F186" s="211">
        <f t="shared" ref="F186" si="196">(+F184-F24)*18%+F25</f>
        <v>4916306</v>
      </c>
      <c r="G186" s="211">
        <f t="shared" si="195"/>
        <v>4930310</v>
      </c>
      <c r="H186" s="211">
        <f t="shared" si="195"/>
        <v>4916306</v>
      </c>
      <c r="I186" s="211">
        <f t="shared" si="195"/>
        <v>4930310</v>
      </c>
      <c r="J186" s="211">
        <f t="shared" si="195"/>
        <v>4916306</v>
      </c>
      <c r="K186" s="211">
        <f t="shared" si="195"/>
        <v>4930310</v>
      </c>
      <c r="L186" s="211">
        <f t="shared" si="195"/>
        <v>4728530</v>
      </c>
      <c r="M186" s="211">
        <f t="shared" si="195"/>
        <v>4749176</v>
      </c>
      <c r="N186" s="211">
        <f t="shared" si="195"/>
        <v>4728530</v>
      </c>
      <c r="O186" s="211">
        <f t="shared" si="195"/>
        <v>4749176</v>
      </c>
      <c r="P186" s="211">
        <f t="shared" si="190"/>
        <v>58341876</v>
      </c>
      <c r="Q186" s="143">
        <f>+Q184*1%</f>
        <v>0</v>
      </c>
    </row>
    <row r="187" spans="2:17">
      <c r="B187" s="149" t="s">
        <v>789</v>
      </c>
      <c r="D187" s="211">
        <f t="shared" ref="D187" si="197">+D178+D179</f>
        <v>-10172259.875</v>
      </c>
      <c r="E187" s="211">
        <f t="shared" ref="E187:O187" si="198">+E178+E179</f>
        <v>-10188014.375</v>
      </c>
      <c r="F187" s="211">
        <f t="shared" ref="F187" si="199">+F178+F179</f>
        <v>-10172259.875</v>
      </c>
      <c r="G187" s="211">
        <f t="shared" si="198"/>
        <v>-10188014.375</v>
      </c>
      <c r="H187" s="211">
        <f t="shared" si="198"/>
        <v>-10172259.875</v>
      </c>
      <c r="I187" s="211">
        <f t="shared" si="198"/>
        <v>-10188014.375</v>
      </c>
      <c r="J187" s="211">
        <f t="shared" si="198"/>
        <v>-10172259.875</v>
      </c>
      <c r="K187" s="211">
        <f t="shared" si="198"/>
        <v>-10188014.375</v>
      </c>
      <c r="L187" s="211">
        <f t="shared" si="198"/>
        <v>-9961011.875</v>
      </c>
      <c r="M187" s="211">
        <f t="shared" si="198"/>
        <v>-9984238.625</v>
      </c>
      <c r="N187" s="211">
        <f t="shared" si="198"/>
        <v>-9961011.875</v>
      </c>
      <c r="O187" s="211">
        <f t="shared" si="198"/>
        <v>-9984238.625</v>
      </c>
      <c r="P187" s="211">
        <f t="shared" si="190"/>
        <v>-121331598</v>
      </c>
      <c r="Q187" s="143">
        <f>+Q178+Q179</f>
        <v>0</v>
      </c>
    </row>
    <row r="188" spans="2:17">
      <c r="B188" s="149" t="s">
        <v>16</v>
      </c>
      <c r="D188" s="211">
        <f>+D180</f>
        <v>-9045231</v>
      </c>
      <c r="E188" s="211">
        <f t="shared" ref="E188:O188" si="200">+E180</f>
        <v>-9059235</v>
      </c>
      <c r="F188" s="211">
        <f t="shared" ref="F188" si="201">+F180</f>
        <v>-9045231</v>
      </c>
      <c r="G188" s="211">
        <f t="shared" si="200"/>
        <v>-9059235</v>
      </c>
      <c r="H188" s="211">
        <f t="shared" si="200"/>
        <v>-9045231</v>
      </c>
      <c r="I188" s="211">
        <f t="shared" si="200"/>
        <v>-9059235</v>
      </c>
      <c r="J188" s="211">
        <f t="shared" si="200"/>
        <v>-9045231</v>
      </c>
      <c r="K188" s="211">
        <f t="shared" si="200"/>
        <v>-9059235</v>
      </c>
      <c r="L188" s="211">
        <f t="shared" si="200"/>
        <v>-8857455</v>
      </c>
      <c r="M188" s="211">
        <f t="shared" si="200"/>
        <v>-8878101</v>
      </c>
      <c r="N188" s="211">
        <f t="shared" si="200"/>
        <v>-8857455</v>
      </c>
      <c r="O188" s="211">
        <f t="shared" si="200"/>
        <v>-8878101</v>
      </c>
      <c r="P188" s="211">
        <f t="shared" si="190"/>
        <v>-107888976</v>
      </c>
      <c r="Q188" s="143">
        <f>+Q180</f>
        <v>0</v>
      </c>
    </row>
    <row r="189" spans="2:17" ht="13.5" thickBot="1">
      <c r="B189" s="838" t="s">
        <v>1319</v>
      </c>
      <c r="C189" s="839"/>
      <c r="D189" s="840">
        <f>+D181</f>
        <v>-42282565.125</v>
      </c>
      <c r="E189" s="840">
        <f t="shared" ref="E189:O189" si="202">+E181</f>
        <v>-42344610.625</v>
      </c>
      <c r="F189" s="840">
        <f>+F181</f>
        <v>-42282565.125</v>
      </c>
      <c r="G189" s="840">
        <f t="shared" si="202"/>
        <v>-42344610.625</v>
      </c>
      <c r="H189" s="840">
        <f t="shared" si="202"/>
        <v>-42282565.125</v>
      </c>
      <c r="I189" s="840">
        <f t="shared" si="202"/>
        <v>-42344610.625</v>
      </c>
      <c r="J189" s="840">
        <f t="shared" si="202"/>
        <v>-42282565.125</v>
      </c>
      <c r="K189" s="840">
        <f t="shared" si="202"/>
        <v>-42344610.625</v>
      </c>
      <c r="L189" s="840">
        <f t="shared" si="202"/>
        <v>-41450613.125</v>
      </c>
      <c r="M189" s="840">
        <f t="shared" si="202"/>
        <v>-41542086.375</v>
      </c>
      <c r="N189" s="840">
        <f t="shared" si="202"/>
        <v>-41450613.125</v>
      </c>
      <c r="O189" s="840">
        <f t="shared" si="202"/>
        <v>-41542086.375</v>
      </c>
      <c r="P189" s="840">
        <f t="shared" si="190"/>
        <v>-504494102</v>
      </c>
      <c r="Q189" s="841">
        <f>+Q181</f>
        <v>0</v>
      </c>
    </row>
    <row r="190" spans="2:17" ht="13.5" thickBot="1">
      <c r="B190" s="149"/>
      <c r="D190" s="211"/>
      <c r="E190" s="211"/>
      <c r="F190" s="211"/>
      <c r="G190" s="211"/>
      <c r="H190" s="211"/>
      <c r="I190" s="211"/>
      <c r="J190" s="211"/>
      <c r="K190" s="211"/>
      <c r="L190" s="211"/>
      <c r="M190" s="211"/>
      <c r="N190" s="211"/>
      <c r="O190" s="211"/>
      <c r="P190" s="211"/>
    </row>
    <row r="191" spans="2:17">
      <c r="B191" s="835" t="s">
        <v>645</v>
      </c>
      <c r="C191" s="836" t="s">
        <v>613</v>
      </c>
      <c r="D191" s="837" t="str">
        <f>+D173</f>
        <v>M1</v>
      </c>
      <c r="E191" s="837" t="str">
        <f t="shared" ref="E191:P191" si="203">+E173</f>
        <v>M2</v>
      </c>
      <c r="F191" s="837" t="str">
        <f t="shared" si="203"/>
        <v>M3</v>
      </c>
      <c r="G191" s="837" t="str">
        <f t="shared" si="203"/>
        <v>M4</v>
      </c>
      <c r="H191" s="837" t="str">
        <f t="shared" si="203"/>
        <v>M5</v>
      </c>
      <c r="I191" s="837" t="str">
        <f t="shared" si="203"/>
        <v>M6</v>
      </c>
      <c r="J191" s="837" t="str">
        <f t="shared" si="203"/>
        <v>M7</v>
      </c>
      <c r="K191" s="837" t="str">
        <f t="shared" si="203"/>
        <v>M8</v>
      </c>
      <c r="L191" s="837" t="str">
        <f t="shared" si="203"/>
        <v>M9</v>
      </c>
      <c r="M191" s="837" t="str">
        <f t="shared" si="203"/>
        <v>M10</v>
      </c>
      <c r="N191" s="837" t="str">
        <f t="shared" si="203"/>
        <v>M11</v>
      </c>
      <c r="O191" s="837" t="str">
        <f t="shared" si="203"/>
        <v>M12</v>
      </c>
      <c r="P191" s="837" t="str">
        <f t="shared" si="203"/>
        <v>Total</v>
      </c>
    </row>
    <row r="192" spans="2:17">
      <c r="B192" s="210" t="s">
        <v>669</v>
      </c>
      <c r="D192" s="211">
        <f>+C195</f>
        <v>0</v>
      </c>
      <c r="E192" s="211">
        <f t="shared" ref="E192:O192" si="204">+D195</f>
        <v>0</v>
      </c>
      <c r="F192" s="211">
        <f t="shared" si="204"/>
        <v>0</v>
      </c>
      <c r="G192" s="211">
        <f t="shared" si="204"/>
        <v>0</v>
      </c>
      <c r="H192" s="211">
        <f t="shared" si="204"/>
        <v>0</v>
      </c>
      <c r="I192" s="211">
        <f t="shared" si="204"/>
        <v>0</v>
      </c>
      <c r="J192" s="211">
        <f t="shared" si="204"/>
        <v>0</v>
      </c>
      <c r="K192" s="211">
        <f t="shared" si="204"/>
        <v>0</v>
      </c>
      <c r="L192" s="211">
        <f t="shared" si="204"/>
        <v>0</v>
      </c>
      <c r="M192" s="211">
        <f t="shared" si="204"/>
        <v>0</v>
      </c>
      <c r="N192" s="211">
        <f t="shared" si="204"/>
        <v>0</v>
      </c>
      <c r="O192" s="211">
        <f t="shared" si="204"/>
        <v>0</v>
      </c>
      <c r="P192" s="211">
        <f>+D192</f>
        <v>0</v>
      </c>
    </row>
    <row r="193" spans="2:16">
      <c r="B193" s="210" t="s">
        <v>675</v>
      </c>
      <c r="D193" s="211">
        <f>+D181</f>
        <v>-42282565.125</v>
      </c>
      <c r="E193" s="211">
        <f t="shared" ref="E193:O193" si="205">+E181</f>
        <v>-42344610.625</v>
      </c>
      <c r="F193" s="211">
        <f t="shared" si="205"/>
        <v>-42282565.125</v>
      </c>
      <c r="G193" s="211">
        <f t="shared" si="205"/>
        <v>-42344610.625</v>
      </c>
      <c r="H193" s="211">
        <f t="shared" si="205"/>
        <v>-42282565.125</v>
      </c>
      <c r="I193" s="211">
        <f t="shared" si="205"/>
        <v>-42344610.625</v>
      </c>
      <c r="J193" s="211">
        <f t="shared" si="205"/>
        <v>-42282565.125</v>
      </c>
      <c r="K193" s="211">
        <f t="shared" si="205"/>
        <v>-42344610.625</v>
      </c>
      <c r="L193" s="211">
        <f t="shared" si="205"/>
        <v>-41450613.125</v>
      </c>
      <c r="M193" s="211">
        <f t="shared" si="205"/>
        <v>-41542086.375</v>
      </c>
      <c r="N193" s="211">
        <f t="shared" si="205"/>
        <v>-41450613.125</v>
      </c>
      <c r="O193" s="211">
        <f t="shared" si="205"/>
        <v>-41542086.375</v>
      </c>
      <c r="P193" s="211">
        <f t="shared" ref="P193:P194" si="206">SUM(D193:O193)</f>
        <v>-504494102</v>
      </c>
    </row>
    <row r="194" spans="2:16">
      <c r="B194" s="210" t="s">
        <v>676</v>
      </c>
      <c r="D194" s="211">
        <f>-D192-D193</f>
        <v>42282565.125</v>
      </c>
      <c r="E194" s="211">
        <f>-E193</f>
        <v>42344610.625</v>
      </c>
      <c r="F194" s="211">
        <f>-F193-F192*0.6</f>
        <v>42282565.125</v>
      </c>
      <c r="G194" s="211">
        <f t="shared" ref="G194:J194" si="207">-G193-G192*0.6</f>
        <v>42344610.625</v>
      </c>
      <c r="H194" s="211">
        <f t="shared" si="207"/>
        <v>42282565.125</v>
      </c>
      <c r="I194" s="211">
        <f t="shared" si="207"/>
        <v>42344610.625</v>
      </c>
      <c r="J194" s="211">
        <f t="shared" si="207"/>
        <v>42282565.125</v>
      </c>
      <c r="K194" s="211">
        <f>-K193-K192</f>
        <v>42344610.625</v>
      </c>
      <c r="L194" s="211">
        <f t="shared" ref="L194:O194" si="208">-L193-L192</f>
        <v>41450613.125</v>
      </c>
      <c r="M194" s="211">
        <f t="shared" si="208"/>
        <v>41542086.375</v>
      </c>
      <c r="N194" s="211">
        <f t="shared" si="208"/>
        <v>41450613.125</v>
      </c>
      <c r="O194" s="211">
        <f t="shared" si="208"/>
        <v>41542086.375</v>
      </c>
      <c r="P194" s="211">
        <f t="shared" si="206"/>
        <v>504494102</v>
      </c>
    </row>
    <row r="195" spans="2:16" s="140" customFormat="1" thickBot="1">
      <c r="B195" s="850" t="s">
        <v>673</v>
      </c>
      <c r="C195" s="851">
        <f>+C130</f>
        <v>0</v>
      </c>
      <c r="D195" s="851">
        <f t="shared" ref="D195:P195" si="209">+D192+D193+D194</f>
        <v>0</v>
      </c>
      <c r="E195" s="851">
        <f t="shared" si="209"/>
        <v>0</v>
      </c>
      <c r="F195" s="851">
        <f t="shared" si="209"/>
        <v>0</v>
      </c>
      <c r="G195" s="851">
        <f t="shared" si="209"/>
        <v>0</v>
      </c>
      <c r="H195" s="851">
        <f t="shared" si="209"/>
        <v>0</v>
      </c>
      <c r="I195" s="851">
        <f t="shared" si="209"/>
        <v>0</v>
      </c>
      <c r="J195" s="851">
        <f t="shared" si="209"/>
        <v>0</v>
      </c>
      <c r="K195" s="851">
        <f t="shared" si="209"/>
        <v>0</v>
      </c>
      <c r="L195" s="851">
        <f t="shared" si="209"/>
        <v>0</v>
      </c>
      <c r="M195" s="851">
        <f t="shared" si="209"/>
        <v>0</v>
      </c>
      <c r="N195" s="851">
        <f t="shared" si="209"/>
        <v>0</v>
      </c>
      <c r="O195" s="851">
        <f t="shared" si="209"/>
        <v>0</v>
      </c>
      <c r="P195" s="851">
        <f t="shared" si="209"/>
        <v>0</v>
      </c>
    </row>
    <row r="196" spans="2:16" s="140" customFormat="1" ht="12">
      <c r="C196" s="242"/>
      <c r="F196" s="232"/>
      <c r="P196" s="232">
        <f t="shared" ref="P196" si="210">+P192+P193+P194+P195</f>
        <v>0</v>
      </c>
    </row>
    <row r="197" spans="2:16" s="140" customFormat="1" ht="12">
      <c r="B197" s="235" t="s">
        <v>646</v>
      </c>
      <c r="C197" s="236" t="str">
        <f t="shared" ref="C197:P197" si="211">+C191</f>
        <v>AN</v>
      </c>
      <c r="D197" s="236" t="str">
        <f t="shared" si="211"/>
        <v>M1</v>
      </c>
      <c r="E197" s="236" t="str">
        <f t="shared" si="211"/>
        <v>M2</v>
      </c>
      <c r="F197" s="236" t="str">
        <f t="shared" si="211"/>
        <v>M3</v>
      </c>
      <c r="G197" s="236" t="str">
        <f t="shared" si="211"/>
        <v>M4</v>
      </c>
      <c r="H197" s="236" t="str">
        <f t="shared" si="211"/>
        <v>M5</v>
      </c>
      <c r="I197" s="236" t="str">
        <f t="shared" si="211"/>
        <v>M6</v>
      </c>
      <c r="J197" s="236" t="str">
        <f t="shared" si="211"/>
        <v>M7</v>
      </c>
      <c r="K197" s="236" t="str">
        <f t="shared" si="211"/>
        <v>M8</v>
      </c>
      <c r="L197" s="236" t="str">
        <f t="shared" si="211"/>
        <v>M9</v>
      </c>
      <c r="M197" s="236" t="str">
        <f t="shared" si="211"/>
        <v>M10</v>
      </c>
      <c r="N197" s="236" t="str">
        <f t="shared" si="211"/>
        <v>M11</v>
      </c>
      <c r="O197" s="236" t="str">
        <f t="shared" si="211"/>
        <v>M12</v>
      </c>
      <c r="P197" s="236" t="str">
        <f t="shared" si="211"/>
        <v>Total</v>
      </c>
    </row>
    <row r="198" spans="2:16" s="140" customFormat="1" ht="12">
      <c r="B198" s="237" t="s">
        <v>669</v>
      </c>
      <c r="C198" s="238"/>
      <c r="D198" s="243">
        <f>+C201</f>
        <v>1</v>
      </c>
      <c r="E198" s="243">
        <f t="shared" ref="E198:O198" si="212">+D201</f>
        <v>-10172258.875</v>
      </c>
      <c r="F198" s="243">
        <f t="shared" si="212"/>
        <v>-20360273.25</v>
      </c>
      <c r="G198" s="243">
        <f t="shared" si="212"/>
        <v>-30532533.125</v>
      </c>
      <c r="H198" s="243">
        <f t="shared" si="212"/>
        <v>-10188013.375</v>
      </c>
      <c r="I198" s="243">
        <f t="shared" si="212"/>
        <v>-20360273.25</v>
      </c>
      <c r="J198" s="243">
        <f t="shared" si="212"/>
        <v>-30548287.625</v>
      </c>
      <c r="K198" s="243">
        <f t="shared" si="212"/>
        <v>-10172258.875</v>
      </c>
      <c r="L198" s="243">
        <f t="shared" si="212"/>
        <v>-20360273.25</v>
      </c>
      <c r="M198" s="243">
        <f t="shared" si="212"/>
        <v>-30321285.125</v>
      </c>
      <c r="N198" s="243">
        <f t="shared" si="212"/>
        <v>-9984237.625</v>
      </c>
      <c r="O198" s="243">
        <f t="shared" si="212"/>
        <v>0</v>
      </c>
      <c r="P198" s="243">
        <f>+D198</f>
        <v>1</v>
      </c>
    </row>
    <row r="199" spans="2:16" s="140" customFormat="1" ht="12">
      <c r="B199" s="239" t="s">
        <v>677</v>
      </c>
      <c r="C199" s="240"/>
      <c r="D199" s="243">
        <f>+D187</f>
        <v>-10172259.875</v>
      </c>
      <c r="E199" s="243">
        <f t="shared" ref="E199:O199" si="213">+E187</f>
        <v>-10188014.375</v>
      </c>
      <c r="F199" s="243">
        <f t="shared" si="213"/>
        <v>-10172259.875</v>
      </c>
      <c r="G199" s="243">
        <f t="shared" si="213"/>
        <v>-10188014.375</v>
      </c>
      <c r="H199" s="243">
        <f t="shared" si="213"/>
        <v>-10172259.875</v>
      </c>
      <c r="I199" s="243">
        <f t="shared" si="213"/>
        <v>-10188014.375</v>
      </c>
      <c r="J199" s="243">
        <f t="shared" si="213"/>
        <v>-10172259.875</v>
      </c>
      <c r="K199" s="243">
        <f t="shared" si="213"/>
        <v>-10188014.375</v>
      </c>
      <c r="L199" s="243">
        <f t="shared" si="213"/>
        <v>-9961011.875</v>
      </c>
      <c r="M199" s="243">
        <f t="shared" si="213"/>
        <v>-9984238.625</v>
      </c>
      <c r="N199" s="243">
        <f t="shared" si="213"/>
        <v>-9961011.875</v>
      </c>
      <c r="O199" s="243">
        <f t="shared" si="213"/>
        <v>-9984238.625</v>
      </c>
      <c r="P199" s="243">
        <f t="shared" ref="P199:P200" si="214">SUM(D199:O199)</f>
        <v>-121331598</v>
      </c>
    </row>
    <row r="200" spans="2:16" s="140" customFormat="1" ht="12">
      <c r="B200" s="239" t="s">
        <v>678</v>
      </c>
      <c r="C200" s="240"/>
      <c r="D200" s="243">
        <v>0</v>
      </c>
      <c r="E200" s="243">
        <v>0</v>
      </c>
      <c r="F200" s="243">
        <v>0</v>
      </c>
      <c r="G200" s="243">
        <f>-SUM(D199:F199)</f>
        <v>30532534.125</v>
      </c>
      <c r="H200" s="243">
        <v>0</v>
      </c>
      <c r="I200" s="243">
        <v>0</v>
      </c>
      <c r="J200" s="243">
        <f>-SUM(G199:I199)</f>
        <v>30548288.625</v>
      </c>
      <c r="K200" s="243">
        <v>0</v>
      </c>
      <c r="L200" s="243">
        <v>0</v>
      </c>
      <c r="M200" s="243">
        <f>-J199-K199-L199</f>
        <v>30321286.125</v>
      </c>
      <c r="N200" s="243">
        <f>-N198-N199</f>
        <v>19945249.5</v>
      </c>
      <c r="O200" s="243"/>
      <c r="P200" s="243">
        <f t="shared" si="214"/>
        <v>111347358.375</v>
      </c>
    </row>
    <row r="201" spans="2:16" s="140" customFormat="1" ht="12">
      <c r="B201" s="241" t="s">
        <v>673</v>
      </c>
      <c r="C201" s="244">
        <f>+C131</f>
        <v>1</v>
      </c>
      <c r="D201" s="244">
        <f t="shared" ref="D201:P201" si="215">+D198+D199+D200</f>
        <v>-10172258.875</v>
      </c>
      <c r="E201" s="244">
        <f t="shared" si="215"/>
        <v>-20360273.25</v>
      </c>
      <c r="F201" s="244">
        <f t="shared" si="215"/>
        <v>-30532533.125</v>
      </c>
      <c r="G201" s="244">
        <f t="shared" si="215"/>
        <v>-10188013.375</v>
      </c>
      <c r="H201" s="244">
        <f t="shared" si="215"/>
        <v>-20360273.25</v>
      </c>
      <c r="I201" s="244">
        <f t="shared" si="215"/>
        <v>-30548287.625</v>
      </c>
      <c r="J201" s="244">
        <f t="shared" si="215"/>
        <v>-10172258.875</v>
      </c>
      <c r="K201" s="244">
        <f t="shared" si="215"/>
        <v>-20360273.25</v>
      </c>
      <c r="L201" s="244">
        <f t="shared" si="215"/>
        <v>-30321285.125</v>
      </c>
      <c r="M201" s="244">
        <f t="shared" si="215"/>
        <v>-9984237.625</v>
      </c>
      <c r="N201" s="244">
        <f t="shared" si="215"/>
        <v>0</v>
      </c>
      <c r="O201" s="244">
        <f t="shared" si="215"/>
        <v>-9984238.625</v>
      </c>
      <c r="P201" s="244">
        <f t="shared" si="215"/>
        <v>-9984238.625</v>
      </c>
    </row>
    <row r="202" spans="2:16" s="140" customFormat="1" ht="12">
      <c r="C202" s="236"/>
    </row>
    <row r="203" spans="2:16" s="140" customFormat="1" ht="12">
      <c r="B203" s="235" t="str">
        <f>+B132</f>
        <v>Aide Chauffeur</v>
      </c>
      <c r="C203" s="236" t="str">
        <f t="shared" ref="C203:P203" si="216">+C197</f>
        <v>AN</v>
      </c>
      <c r="D203" s="236" t="str">
        <f t="shared" si="216"/>
        <v>M1</v>
      </c>
      <c r="E203" s="236" t="str">
        <f t="shared" si="216"/>
        <v>M2</v>
      </c>
      <c r="F203" s="236" t="str">
        <f t="shared" si="216"/>
        <v>M3</v>
      </c>
      <c r="G203" s="236" t="str">
        <f t="shared" si="216"/>
        <v>M4</v>
      </c>
      <c r="H203" s="236" t="str">
        <f t="shared" si="216"/>
        <v>M5</v>
      </c>
      <c r="I203" s="236" t="str">
        <f t="shared" si="216"/>
        <v>M6</v>
      </c>
      <c r="J203" s="236" t="str">
        <f t="shared" si="216"/>
        <v>M7</v>
      </c>
      <c r="K203" s="236" t="str">
        <f t="shared" si="216"/>
        <v>M8</v>
      </c>
      <c r="L203" s="236" t="str">
        <f t="shared" si="216"/>
        <v>M9</v>
      </c>
      <c r="M203" s="236" t="str">
        <f t="shared" si="216"/>
        <v>M10</v>
      </c>
      <c r="N203" s="236" t="str">
        <f t="shared" si="216"/>
        <v>M11</v>
      </c>
      <c r="O203" s="236" t="str">
        <f t="shared" si="216"/>
        <v>M12</v>
      </c>
      <c r="P203" s="236" t="str">
        <f t="shared" si="216"/>
        <v>Total</v>
      </c>
    </row>
    <row r="204" spans="2:16" s="140" customFormat="1" ht="12">
      <c r="B204" s="237" t="s">
        <v>669</v>
      </c>
      <c r="C204" s="238"/>
      <c r="D204" s="243">
        <f>+C207</f>
        <v>1</v>
      </c>
      <c r="E204" s="243">
        <f>+D207</f>
        <v>1</v>
      </c>
      <c r="F204" s="243">
        <f t="shared" ref="F204:O204" si="217">+E207</f>
        <v>1</v>
      </c>
      <c r="G204" s="243">
        <f t="shared" si="217"/>
        <v>1</v>
      </c>
      <c r="H204" s="243">
        <f t="shared" si="217"/>
        <v>1</v>
      </c>
      <c r="I204" s="243">
        <f t="shared" si="217"/>
        <v>1</v>
      </c>
      <c r="J204" s="243">
        <f t="shared" si="217"/>
        <v>1</v>
      </c>
      <c r="K204" s="243">
        <f t="shared" si="217"/>
        <v>1</v>
      </c>
      <c r="L204" s="243">
        <f t="shared" si="217"/>
        <v>1</v>
      </c>
      <c r="M204" s="243">
        <f t="shared" si="217"/>
        <v>1</v>
      </c>
      <c r="N204" s="243">
        <f t="shared" si="217"/>
        <v>1</v>
      </c>
      <c r="O204" s="243">
        <f t="shared" si="217"/>
        <v>1</v>
      </c>
      <c r="P204" s="243">
        <f>+D204</f>
        <v>1</v>
      </c>
    </row>
    <row r="205" spans="2:16" s="140" customFormat="1" ht="12">
      <c r="B205" s="239" t="s">
        <v>679</v>
      </c>
      <c r="C205" s="240"/>
      <c r="D205" s="243">
        <v>0</v>
      </c>
      <c r="E205" s="243">
        <v>0</v>
      </c>
      <c r="F205" s="243">
        <v>0</v>
      </c>
      <c r="G205" s="243">
        <v>0</v>
      </c>
      <c r="H205" s="243">
        <v>0</v>
      </c>
      <c r="I205" s="243">
        <v>0</v>
      </c>
      <c r="J205" s="243">
        <v>0</v>
      </c>
      <c r="K205" s="243">
        <v>0</v>
      </c>
      <c r="L205" s="243">
        <v>0</v>
      </c>
      <c r="M205" s="243">
        <v>0</v>
      </c>
      <c r="N205" s="243">
        <v>0</v>
      </c>
      <c r="O205" s="243">
        <v>0</v>
      </c>
      <c r="P205" s="243">
        <f>SUM(H205:O205)</f>
        <v>0</v>
      </c>
    </row>
    <row r="206" spans="2:16" s="140" customFormat="1" ht="12">
      <c r="B206" s="239" t="s">
        <v>678</v>
      </c>
      <c r="C206" s="240"/>
      <c r="D206" s="243">
        <v>0</v>
      </c>
      <c r="E206" s="243">
        <v>0</v>
      </c>
      <c r="F206" s="243">
        <v>0</v>
      </c>
      <c r="G206" s="243">
        <v>0</v>
      </c>
      <c r="H206" s="243">
        <v>0</v>
      </c>
      <c r="I206" s="243">
        <v>0</v>
      </c>
      <c r="J206" s="243">
        <v>0</v>
      </c>
      <c r="K206" s="243">
        <v>0</v>
      </c>
      <c r="L206" s="243">
        <v>0</v>
      </c>
      <c r="M206" s="243">
        <v>0</v>
      </c>
      <c r="N206" s="243">
        <v>0</v>
      </c>
      <c r="O206" s="243">
        <v>0</v>
      </c>
      <c r="P206" s="243">
        <f>SUM(H206:O206)</f>
        <v>0</v>
      </c>
    </row>
    <row r="207" spans="2:16" s="140" customFormat="1" ht="12">
      <c r="B207" s="241" t="s">
        <v>673</v>
      </c>
      <c r="C207" s="244">
        <f>+C132</f>
        <v>1</v>
      </c>
      <c r="D207" s="244">
        <f t="shared" ref="D207:P207" si="218">+D204+D205+D206</f>
        <v>1</v>
      </c>
      <c r="E207" s="244">
        <f t="shared" si="218"/>
        <v>1</v>
      </c>
      <c r="F207" s="244">
        <f t="shared" si="218"/>
        <v>1</v>
      </c>
      <c r="G207" s="244">
        <f t="shared" si="218"/>
        <v>1</v>
      </c>
      <c r="H207" s="244">
        <f t="shared" si="218"/>
        <v>1</v>
      </c>
      <c r="I207" s="244">
        <f t="shared" si="218"/>
        <v>1</v>
      </c>
      <c r="J207" s="244">
        <f t="shared" si="218"/>
        <v>1</v>
      </c>
      <c r="K207" s="244">
        <f t="shared" si="218"/>
        <v>1</v>
      </c>
      <c r="L207" s="244">
        <f t="shared" si="218"/>
        <v>1</v>
      </c>
      <c r="M207" s="244">
        <f t="shared" si="218"/>
        <v>1</v>
      </c>
      <c r="N207" s="244">
        <f t="shared" si="218"/>
        <v>1</v>
      </c>
      <c r="O207" s="244">
        <f t="shared" si="218"/>
        <v>1</v>
      </c>
      <c r="P207" s="244">
        <f t="shared" si="218"/>
        <v>1</v>
      </c>
    </row>
    <row r="208" spans="2:16" s="140" customFormat="1" ht="12">
      <c r="C208" s="242"/>
    </row>
    <row r="209" spans="2:16" s="140" customFormat="1" ht="12">
      <c r="B209" s="235" t="s">
        <v>648</v>
      </c>
      <c r="C209" s="236" t="str">
        <f t="shared" ref="C209:P209" si="219">+C203</f>
        <v>AN</v>
      </c>
      <c r="D209" s="236" t="str">
        <f t="shared" si="219"/>
        <v>M1</v>
      </c>
      <c r="E209" s="236" t="str">
        <f t="shared" si="219"/>
        <v>M2</v>
      </c>
      <c r="F209" s="236" t="str">
        <f t="shared" si="219"/>
        <v>M3</v>
      </c>
      <c r="G209" s="236" t="str">
        <f t="shared" si="219"/>
        <v>M4</v>
      </c>
      <c r="H209" s="236" t="str">
        <f t="shared" si="219"/>
        <v>M5</v>
      </c>
      <c r="I209" s="236" t="str">
        <f t="shared" si="219"/>
        <v>M6</v>
      </c>
      <c r="J209" s="236" t="str">
        <f t="shared" si="219"/>
        <v>M7</v>
      </c>
      <c r="K209" s="236" t="str">
        <f t="shared" si="219"/>
        <v>M8</v>
      </c>
      <c r="L209" s="236" t="str">
        <f t="shared" si="219"/>
        <v>M9</v>
      </c>
      <c r="M209" s="236" t="str">
        <f t="shared" si="219"/>
        <v>M10</v>
      </c>
      <c r="N209" s="236" t="str">
        <f t="shared" si="219"/>
        <v>M11</v>
      </c>
      <c r="O209" s="236" t="str">
        <f t="shared" si="219"/>
        <v>M12</v>
      </c>
      <c r="P209" s="236" t="str">
        <f t="shared" si="219"/>
        <v>Total</v>
      </c>
    </row>
    <row r="210" spans="2:16" s="140" customFormat="1" ht="12">
      <c r="B210" s="237" t="s">
        <v>669</v>
      </c>
      <c r="C210" s="238"/>
      <c r="D210" s="243">
        <f>+C213</f>
        <v>1</v>
      </c>
      <c r="E210" s="243">
        <f t="shared" ref="E210:O210" si="220">+D213</f>
        <v>-9045230</v>
      </c>
      <c r="F210" s="243">
        <f t="shared" si="220"/>
        <v>-9059235</v>
      </c>
      <c r="G210" s="243">
        <f t="shared" si="220"/>
        <v>-9045231</v>
      </c>
      <c r="H210" s="243">
        <f t="shared" si="220"/>
        <v>-9059235</v>
      </c>
      <c r="I210" s="243">
        <f t="shared" si="220"/>
        <v>-9045231</v>
      </c>
      <c r="J210" s="243">
        <f t="shared" si="220"/>
        <v>-9059235</v>
      </c>
      <c r="K210" s="243">
        <f t="shared" si="220"/>
        <v>-9045231</v>
      </c>
      <c r="L210" s="243">
        <f t="shared" si="220"/>
        <v>-9059235</v>
      </c>
      <c r="M210" s="243">
        <f t="shared" si="220"/>
        <v>-8857455</v>
      </c>
      <c r="N210" s="243">
        <f t="shared" si="220"/>
        <v>-8878101</v>
      </c>
      <c r="O210" s="243">
        <f t="shared" si="220"/>
        <v>-8857455</v>
      </c>
      <c r="P210" s="243">
        <f>+D210</f>
        <v>1</v>
      </c>
    </row>
    <row r="211" spans="2:16" s="140" customFormat="1" ht="12">
      <c r="B211" s="239" t="s">
        <v>16</v>
      </c>
      <c r="C211" s="240"/>
      <c r="D211" s="243">
        <f>+D188</f>
        <v>-9045231</v>
      </c>
      <c r="E211" s="243">
        <f t="shared" ref="E211:O211" si="221">+E188</f>
        <v>-9059235</v>
      </c>
      <c r="F211" s="243">
        <f t="shared" si="221"/>
        <v>-9045231</v>
      </c>
      <c r="G211" s="243">
        <f t="shared" si="221"/>
        <v>-9059235</v>
      </c>
      <c r="H211" s="243">
        <f t="shared" si="221"/>
        <v>-9045231</v>
      </c>
      <c r="I211" s="243">
        <f t="shared" si="221"/>
        <v>-9059235</v>
      </c>
      <c r="J211" s="243">
        <f t="shared" si="221"/>
        <v>-9045231</v>
      </c>
      <c r="K211" s="243">
        <f t="shared" si="221"/>
        <v>-9059235</v>
      </c>
      <c r="L211" s="243">
        <f t="shared" si="221"/>
        <v>-8857455</v>
      </c>
      <c r="M211" s="243">
        <f t="shared" si="221"/>
        <v>-8878101</v>
      </c>
      <c r="N211" s="243">
        <f t="shared" si="221"/>
        <v>-8857455</v>
      </c>
      <c r="O211" s="243">
        <f t="shared" si="221"/>
        <v>-8878101</v>
      </c>
      <c r="P211" s="243">
        <f>SUM(D211:O211)</f>
        <v>-107888976</v>
      </c>
    </row>
    <row r="212" spans="2:16" s="140" customFormat="1" ht="12">
      <c r="B212" s="239" t="s">
        <v>678</v>
      </c>
      <c r="C212" s="240"/>
      <c r="D212" s="243"/>
      <c r="E212" s="243">
        <f t="shared" ref="E212:O212" si="222">-E210</f>
        <v>9045230</v>
      </c>
      <c r="F212" s="243">
        <f t="shared" si="222"/>
        <v>9059235</v>
      </c>
      <c r="G212" s="243">
        <f t="shared" si="222"/>
        <v>9045231</v>
      </c>
      <c r="H212" s="243">
        <f t="shared" si="222"/>
        <v>9059235</v>
      </c>
      <c r="I212" s="243">
        <f t="shared" si="222"/>
        <v>9045231</v>
      </c>
      <c r="J212" s="243">
        <f t="shared" si="222"/>
        <v>9059235</v>
      </c>
      <c r="K212" s="243">
        <f t="shared" si="222"/>
        <v>9045231</v>
      </c>
      <c r="L212" s="243">
        <f t="shared" si="222"/>
        <v>9059235</v>
      </c>
      <c r="M212" s="243">
        <f t="shared" si="222"/>
        <v>8857455</v>
      </c>
      <c r="N212" s="243">
        <f t="shared" si="222"/>
        <v>8878101</v>
      </c>
      <c r="O212" s="243">
        <f t="shared" si="222"/>
        <v>8857455</v>
      </c>
      <c r="P212" s="243">
        <f>SUM(D212:O212)</f>
        <v>99010874</v>
      </c>
    </row>
    <row r="213" spans="2:16" s="140" customFormat="1" ht="12">
      <c r="B213" s="241" t="s">
        <v>673</v>
      </c>
      <c r="C213" s="244">
        <f>+C133</f>
        <v>1</v>
      </c>
      <c r="D213" s="244">
        <f t="shared" ref="D213:P213" si="223">+D210+D211+D212</f>
        <v>-9045230</v>
      </c>
      <c r="E213" s="244">
        <f t="shared" si="223"/>
        <v>-9059235</v>
      </c>
      <c r="F213" s="244">
        <f t="shared" si="223"/>
        <v>-9045231</v>
      </c>
      <c r="G213" s="244">
        <f t="shared" si="223"/>
        <v>-9059235</v>
      </c>
      <c r="H213" s="244">
        <f t="shared" si="223"/>
        <v>-9045231</v>
      </c>
      <c r="I213" s="244">
        <f t="shared" si="223"/>
        <v>-9059235</v>
      </c>
      <c r="J213" s="244">
        <f t="shared" si="223"/>
        <v>-9045231</v>
      </c>
      <c r="K213" s="244">
        <f t="shared" si="223"/>
        <v>-9059235</v>
      </c>
      <c r="L213" s="244">
        <f t="shared" si="223"/>
        <v>-8857455</v>
      </c>
      <c r="M213" s="244">
        <f t="shared" si="223"/>
        <v>-8878101</v>
      </c>
      <c r="N213" s="244">
        <f t="shared" si="223"/>
        <v>-8857455</v>
      </c>
      <c r="O213" s="244">
        <f t="shared" si="223"/>
        <v>-8878101</v>
      </c>
      <c r="P213" s="244">
        <f t="shared" si="223"/>
        <v>-8878101</v>
      </c>
    </row>
  </sheetData>
  <mergeCells count="1">
    <mergeCell ref="I19:L19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37"/>
  <dimension ref="C1:Q50"/>
  <sheetViews>
    <sheetView topLeftCell="E1" zoomScale="106" zoomScaleNormal="106" workbookViewId="0">
      <selection activeCell="L18" sqref="L18"/>
    </sheetView>
  </sheetViews>
  <sheetFormatPr baseColWidth="10" defaultRowHeight="12.75"/>
  <cols>
    <col min="1" max="1" width="2.7109375" style="107" customWidth="1"/>
    <col min="2" max="2" width="7.42578125" style="107" customWidth="1"/>
    <col min="3" max="3" width="29.85546875" style="107" bestFit="1" customWidth="1"/>
    <col min="4" max="4" width="12.140625" style="107" bestFit="1" customWidth="1"/>
    <col min="5" max="8" width="11.28515625" style="107" bestFit="1" customWidth="1"/>
    <col min="9" max="15" width="12.140625" style="107" bestFit="1" customWidth="1"/>
    <col min="16" max="16" width="13.42578125" style="107" bestFit="1" customWidth="1"/>
    <col min="17" max="17" width="17.5703125" style="107" customWidth="1"/>
    <col min="18" max="18" width="15.7109375" style="107" bestFit="1" customWidth="1"/>
    <col min="19" max="19" width="13.28515625" style="107" bestFit="1" customWidth="1"/>
    <col min="20" max="16384" width="11.42578125" style="107"/>
  </cols>
  <sheetData>
    <row r="1" spans="3:17" ht="19.5" customHeight="1"/>
    <row r="2" spans="3:17" ht="19.5" customHeight="1" thickBot="1">
      <c r="C2" s="109" t="s">
        <v>977</v>
      </c>
    </row>
    <row r="3" spans="3:17" s="568" customFormat="1">
      <c r="C3" s="566" t="s">
        <v>877</v>
      </c>
      <c r="D3" s="567" t="str">
        <f>+'Besoins en micas'!C43</f>
        <v>Janvier</v>
      </c>
      <c r="E3" s="567" t="str">
        <f>+'Besoins en micas'!D43</f>
        <v>Février</v>
      </c>
      <c r="F3" s="567" t="str">
        <f>+'Besoins en micas'!E43</f>
        <v>Mars</v>
      </c>
      <c r="G3" s="567" t="str">
        <f>+'Besoins en micas'!F43</f>
        <v>Avril</v>
      </c>
      <c r="H3" s="567" t="str">
        <f>+'Besoins en micas'!G43</f>
        <v>Mai</v>
      </c>
      <c r="I3" s="567" t="str">
        <f>+'Besoins en micas'!H43</f>
        <v>Juin</v>
      </c>
      <c r="J3" s="567" t="str">
        <f>+'Besoins en micas'!I43</f>
        <v>Juillet</v>
      </c>
      <c r="K3" s="567" t="str">
        <f>+'Besoins en micas'!J43</f>
        <v>Août</v>
      </c>
      <c r="L3" s="567" t="str">
        <f>+'Besoins en micas'!K43</f>
        <v>Septembre</v>
      </c>
      <c r="M3" s="567" t="str">
        <f>+'Besoins en micas'!L43</f>
        <v>Octobre</v>
      </c>
      <c r="N3" s="567" t="str">
        <f>+'Besoins en micas'!M43</f>
        <v>Novembre</v>
      </c>
      <c r="O3" s="567" t="str">
        <f>+'Besoins en micas'!N43</f>
        <v>Décembre</v>
      </c>
      <c r="P3" s="567" t="str">
        <f>+'Besoins en micas'!O43</f>
        <v>Total</v>
      </c>
    </row>
    <row r="4" spans="3:17">
      <c r="C4" s="403" t="str">
        <f>+'Besoins en micas'!B60</f>
        <v>Tranomaro</v>
      </c>
      <c r="D4" s="112">
        <f>+'Besoins en micas'!C60</f>
        <v>28050000</v>
      </c>
      <c r="E4" s="112">
        <f>+'Besoins en micas'!D60</f>
        <v>28209375</v>
      </c>
      <c r="F4" s="112">
        <f>+'Besoins en micas'!E60</f>
        <v>28050000</v>
      </c>
      <c r="G4" s="112">
        <f>+'Besoins en micas'!F60</f>
        <v>28209375</v>
      </c>
      <c r="H4" s="112">
        <f>+'Besoins en micas'!G60</f>
        <v>28050000</v>
      </c>
      <c r="I4" s="112">
        <f>+'Besoins en micas'!H60</f>
        <v>28209375</v>
      </c>
      <c r="J4" s="112">
        <f>+'Besoins en micas'!I60</f>
        <v>28050000</v>
      </c>
      <c r="K4" s="112">
        <f>+'Besoins en micas'!J60</f>
        <v>28209375</v>
      </c>
      <c r="L4" s="112">
        <f>+'Besoins en micas'!K60</f>
        <v>25878125</v>
      </c>
      <c r="M4" s="112">
        <f>+'Besoins en micas'!L60</f>
        <v>26107812.5</v>
      </c>
      <c r="N4" s="112">
        <f>+'Besoins en micas'!M60</f>
        <v>25878125</v>
      </c>
      <c r="O4" s="112">
        <f>+'Besoins en micas'!N60</f>
        <v>26107812.5</v>
      </c>
      <c r="P4" s="112">
        <f>SUM(D4:O4)</f>
        <v>329009375</v>
      </c>
    </row>
    <row r="5" spans="3:17">
      <c r="C5" s="403" t="str">
        <f>+'Besoins en micas'!B61</f>
        <v>Ampandrandava</v>
      </c>
      <c r="D5" s="112">
        <f>+'Besoins en micas'!C61</f>
        <v>15708000</v>
      </c>
      <c r="E5" s="112">
        <f>+'Besoins en micas'!D61</f>
        <v>15797250</v>
      </c>
      <c r="F5" s="112">
        <f>+'Besoins en micas'!E61</f>
        <v>15708000</v>
      </c>
      <c r="G5" s="112">
        <f>+'Besoins en micas'!F61</f>
        <v>15797250</v>
      </c>
      <c r="H5" s="112">
        <f>+'Besoins en micas'!G61</f>
        <v>15708000</v>
      </c>
      <c r="I5" s="112">
        <f>+'Besoins en micas'!H61</f>
        <v>15797250</v>
      </c>
      <c r="J5" s="112">
        <f>+'Besoins en micas'!I61</f>
        <v>15708000</v>
      </c>
      <c r="K5" s="112">
        <f>+'Besoins en micas'!J61</f>
        <v>15797250</v>
      </c>
      <c r="L5" s="112">
        <f>+'Besoins en micas'!K61</f>
        <v>14491750</v>
      </c>
      <c r="M5" s="112">
        <f>+'Besoins en micas'!L61</f>
        <v>14620375</v>
      </c>
      <c r="N5" s="112">
        <f>+'Besoins en micas'!M61</f>
        <v>14491750</v>
      </c>
      <c r="O5" s="112">
        <f>+'Besoins en micas'!N61</f>
        <v>14620375</v>
      </c>
      <c r="P5" s="112">
        <f t="shared" ref="P5:P14" si="0">SUM(D5:O5)</f>
        <v>184245250</v>
      </c>
    </row>
    <row r="6" spans="3:17">
      <c r="C6" s="403" t="str">
        <f>+'Besoins en micas'!B62</f>
        <v>Fort dauphin</v>
      </c>
      <c r="D6" s="112">
        <f>+'Besoins en micas'!C62</f>
        <v>40392000</v>
      </c>
      <c r="E6" s="112">
        <f>+'Besoins en micas'!D62</f>
        <v>40621500</v>
      </c>
      <c r="F6" s="112">
        <f>+'Besoins en micas'!E62</f>
        <v>40392000</v>
      </c>
      <c r="G6" s="112">
        <f>+'Besoins en micas'!F62</f>
        <v>40621500</v>
      </c>
      <c r="H6" s="112">
        <f>+'Besoins en micas'!G62</f>
        <v>40392000</v>
      </c>
      <c r="I6" s="112">
        <f>+'Besoins en micas'!H62</f>
        <v>40621500</v>
      </c>
      <c r="J6" s="112">
        <f>+'Besoins en micas'!I62</f>
        <v>40392000</v>
      </c>
      <c r="K6" s="112">
        <f>+'Besoins en micas'!J62</f>
        <v>40621500</v>
      </c>
      <c r="L6" s="112">
        <f>+'Besoins en micas'!K62</f>
        <v>37264500</v>
      </c>
      <c r="M6" s="112">
        <f>+'Besoins en micas'!L62</f>
        <v>37595250</v>
      </c>
      <c r="N6" s="112">
        <f>+'Besoins en micas'!M62</f>
        <v>37264500</v>
      </c>
      <c r="O6" s="112">
        <f>+'Besoins en micas'!N62</f>
        <v>37595250</v>
      </c>
      <c r="P6" s="112">
        <f t="shared" si="0"/>
        <v>473773500</v>
      </c>
    </row>
    <row r="7" spans="3:17">
      <c r="C7" s="403" t="str">
        <f>+'Besoins en micas'!B63</f>
        <v>Autres</v>
      </c>
      <c r="D7" s="112">
        <f>+'Besoins en micas'!C63</f>
        <v>22440000</v>
      </c>
      <c r="E7" s="112">
        <f>+'Besoins en micas'!D63</f>
        <v>22567500</v>
      </c>
      <c r="F7" s="112">
        <f>+'Besoins en micas'!E63</f>
        <v>22440000</v>
      </c>
      <c r="G7" s="112">
        <f>+'Besoins en micas'!F63</f>
        <v>22567500</v>
      </c>
      <c r="H7" s="112">
        <f>+'Besoins en micas'!G63</f>
        <v>22440000</v>
      </c>
      <c r="I7" s="112">
        <f>+'Besoins en micas'!H63</f>
        <v>22567500</v>
      </c>
      <c r="J7" s="112">
        <f>+'Besoins en micas'!I63</f>
        <v>22440000</v>
      </c>
      <c r="K7" s="112">
        <f>+'Besoins en micas'!J63</f>
        <v>22567500</v>
      </c>
      <c r="L7" s="112">
        <f>+'Besoins en micas'!K63</f>
        <v>20702500</v>
      </c>
      <c r="M7" s="112">
        <f>+'Besoins en micas'!L63</f>
        <v>20886250</v>
      </c>
      <c r="N7" s="112">
        <f>+'Besoins en micas'!M63</f>
        <v>20702500</v>
      </c>
      <c r="O7" s="112">
        <f>+'Besoins en micas'!N63</f>
        <v>20886250</v>
      </c>
      <c r="P7" s="112">
        <f t="shared" si="0"/>
        <v>263207500</v>
      </c>
    </row>
    <row r="8" spans="3:17">
      <c r="C8" s="562" t="str">
        <f>+'Besoins en micas'!B64</f>
        <v>TRA GAZ</v>
      </c>
      <c r="D8" s="563">
        <f>SUM(D4:D7)</f>
        <v>106590000</v>
      </c>
      <c r="E8" s="563">
        <f t="shared" ref="E8:O8" si="1">SUM(E4:E7)</f>
        <v>107195625</v>
      </c>
      <c r="F8" s="563">
        <f t="shared" si="1"/>
        <v>106590000</v>
      </c>
      <c r="G8" s="563">
        <f t="shared" si="1"/>
        <v>107195625</v>
      </c>
      <c r="H8" s="563">
        <f t="shared" si="1"/>
        <v>106590000</v>
      </c>
      <c r="I8" s="563">
        <f t="shared" si="1"/>
        <v>107195625</v>
      </c>
      <c r="J8" s="563">
        <f t="shared" si="1"/>
        <v>106590000</v>
      </c>
      <c r="K8" s="563">
        <f t="shared" si="1"/>
        <v>107195625</v>
      </c>
      <c r="L8" s="563">
        <f t="shared" si="1"/>
        <v>98336875</v>
      </c>
      <c r="M8" s="563">
        <f t="shared" si="1"/>
        <v>99209687.5</v>
      </c>
      <c r="N8" s="563">
        <f t="shared" si="1"/>
        <v>98336875</v>
      </c>
      <c r="O8" s="563">
        <f t="shared" si="1"/>
        <v>99209687.5</v>
      </c>
      <c r="P8" s="563">
        <f t="shared" si="0"/>
        <v>1250235625</v>
      </c>
    </row>
    <row r="9" spans="3:17">
      <c r="C9" s="403" t="str">
        <f>+'Besoins en micas'!B65</f>
        <v>Tranomaro</v>
      </c>
      <c r="D9" s="112">
        <f>+'Besoins en micas'!C65</f>
        <v>26615625</v>
      </c>
      <c r="E9" s="112">
        <f>+'Besoins en micas'!D65</f>
        <v>26615625</v>
      </c>
      <c r="F9" s="112">
        <f>+'Besoins en micas'!E65</f>
        <v>26615625</v>
      </c>
      <c r="G9" s="112">
        <f>+'Besoins en micas'!F65</f>
        <v>26615625</v>
      </c>
      <c r="H9" s="112">
        <f>+'Besoins en micas'!G65</f>
        <v>26615625</v>
      </c>
      <c r="I9" s="112">
        <f>+'Besoins en micas'!H65</f>
        <v>26615625</v>
      </c>
      <c r="J9" s="112">
        <f>+'Besoins en micas'!I65</f>
        <v>26615625</v>
      </c>
      <c r="K9" s="112">
        <f>+'Besoins en micas'!J65</f>
        <v>26615625</v>
      </c>
      <c r="L9" s="112">
        <f>+'Besoins en micas'!K65</f>
        <v>24576562.5</v>
      </c>
      <c r="M9" s="112">
        <f>+'Besoins en micas'!L65</f>
        <v>24576562.5</v>
      </c>
      <c r="N9" s="112">
        <f>+'Besoins en micas'!M65</f>
        <v>24576562.5</v>
      </c>
      <c r="O9" s="112">
        <f>+'Besoins en micas'!N65</f>
        <v>24576562.5</v>
      </c>
      <c r="P9" s="112">
        <f t="shared" si="0"/>
        <v>311231250</v>
      </c>
    </row>
    <row r="10" spans="3:17">
      <c r="C10" s="403" t="str">
        <f>+'Besoins en micas'!B66</f>
        <v>Ampandrandava</v>
      </c>
      <c r="D10" s="112">
        <f>+'Besoins en micas'!C66</f>
        <v>14904750</v>
      </c>
      <c r="E10" s="112">
        <f>+'Besoins en micas'!D66</f>
        <v>14904750</v>
      </c>
      <c r="F10" s="112">
        <f>+'Besoins en micas'!E66</f>
        <v>14904750</v>
      </c>
      <c r="G10" s="112">
        <f>+'Besoins en micas'!F66</f>
        <v>14904750</v>
      </c>
      <c r="H10" s="112">
        <f>+'Besoins en micas'!G66</f>
        <v>14904750</v>
      </c>
      <c r="I10" s="112">
        <f>+'Besoins en micas'!H66</f>
        <v>14904750</v>
      </c>
      <c r="J10" s="112">
        <f>+'Besoins en micas'!I66</f>
        <v>14904750</v>
      </c>
      <c r="K10" s="112">
        <f>+'Besoins en micas'!J66</f>
        <v>14904750</v>
      </c>
      <c r="L10" s="112">
        <f>+'Besoins en micas'!K66</f>
        <v>13762875</v>
      </c>
      <c r="M10" s="112">
        <f>+'Besoins en micas'!L66</f>
        <v>13762875</v>
      </c>
      <c r="N10" s="112">
        <f>+'Besoins en micas'!M66</f>
        <v>13762875</v>
      </c>
      <c r="O10" s="112">
        <f>+'Besoins en micas'!N66</f>
        <v>13762875</v>
      </c>
      <c r="P10" s="112">
        <f t="shared" si="0"/>
        <v>174289500</v>
      </c>
    </row>
    <row r="11" spans="3:17">
      <c r="C11" s="403" t="str">
        <f>+'Besoins en micas'!B67</f>
        <v>Fort dauphin</v>
      </c>
      <c r="D11" s="112">
        <f>+'Besoins en micas'!C67</f>
        <v>38326500</v>
      </c>
      <c r="E11" s="112">
        <f>+'Besoins en micas'!D67</f>
        <v>38326500</v>
      </c>
      <c r="F11" s="112">
        <f>+'Besoins en micas'!E67</f>
        <v>38326500</v>
      </c>
      <c r="G11" s="112">
        <f>+'Besoins en micas'!F67</f>
        <v>38326500</v>
      </c>
      <c r="H11" s="112">
        <f>+'Besoins en micas'!G67</f>
        <v>38326500</v>
      </c>
      <c r="I11" s="112">
        <f>+'Besoins en micas'!H67</f>
        <v>38326500</v>
      </c>
      <c r="J11" s="112">
        <f>+'Besoins en micas'!I67</f>
        <v>38326500</v>
      </c>
      <c r="K11" s="112">
        <f>+'Besoins en micas'!J67</f>
        <v>38326500</v>
      </c>
      <c r="L11" s="112">
        <f>+'Besoins en micas'!K67</f>
        <v>35390250</v>
      </c>
      <c r="M11" s="112">
        <f>+'Besoins en micas'!L67</f>
        <v>35390250</v>
      </c>
      <c r="N11" s="112">
        <f>+'Besoins en micas'!M67</f>
        <v>35390250</v>
      </c>
      <c r="O11" s="112">
        <f>+'Besoins en micas'!N67</f>
        <v>35390250</v>
      </c>
      <c r="P11" s="112">
        <f t="shared" si="0"/>
        <v>448173000</v>
      </c>
    </row>
    <row r="12" spans="3:17">
      <c r="C12" s="403" t="str">
        <f>+'Besoins en micas'!B68</f>
        <v>Autres</v>
      </c>
      <c r="D12" s="112">
        <f>+'Besoins en micas'!C68</f>
        <v>21292500</v>
      </c>
      <c r="E12" s="112">
        <f>+'Besoins en micas'!D68</f>
        <v>21292500</v>
      </c>
      <c r="F12" s="112">
        <f>+'Besoins en micas'!E68</f>
        <v>21292500</v>
      </c>
      <c r="G12" s="112">
        <f>+'Besoins en micas'!F68</f>
        <v>21292500</v>
      </c>
      <c r="H12" s="112">
        <f>+'Besoins en micas'!G68</f>
        <v>21292500</v>
      </c>
      <c r="I12" s="112">
        <f>+'Besoins en micas'!H68</f>
        <v>21292500</v>
      </c>
      <c r="J12" s="112">
        <f>+'Besoins en micas'!I68</f>
        <v>21292500</v>
      </c>
      <c r="K12" s="112">
        <f>+'Besoins en micas'!J68</f>
        <v>21292500</v>
      </c>
      <c r="L12" s="112">
        <f>+'Besoins en micas'!K68</f>
        <v>19661250</v>
      </c>
      <c r="M12" s="112">
        <f>+'Besoins en micas'!L68</f>
        <v>19661250</v>
      </c>
      <c r="N12" s="112">
        <f>+'Besoins en micas'!M68</f>
        <v>19661250</v>
      </c>
      <c r="O12" s="112">
        <f>+'Besoins en micas'!N68</f>
        <v>19661250</v>
      </c>
      <c r="P12" s="112">
        <f t="shared" si="0"/>
        <v>248985000</v>
      </c>
    </row>
    <row r="13" spans="3:17">
      <c r="C13" s="562" t="str">
        <f>+'Besoins en micas'!B69</f>
        <v>ABR GAZ</v>
      </c>
      <c r="D13" s="563">
        <f>SUM(D9:D12)</f>
        <v>101139375</v>
      </c>
      <c r="E13" s="563">
        <f t="shared" ref="E13:O13" si="2">SUM(E9:E12)</f>
        <v>101139375</v>
      </c>
      <c r="F13" s="563">
        <f t="shared" si="2"/>
        <v>101139375</v>
      </c>
      <c r="G13" s="563">
        <f t="shared" si="2"/>
        <v>101139375</v>
      </c>
      <c r="H13" s="563">
        <f t="shared" si="2"/>
        <v>101139375</v>
      </c>
      <c r="I13" s="563">
        <f t="shared" si="2"/>
        <v>101139375</v>
      </c>
      <c r="J13" s="563">
        <f t="shared" si="2"/>
        <v>101139375</v>
      </c>
      <c r="K13" s="563">
        <f t="shared" si="2"/>
        <v>101139375</v>
      </c>
      <c r="L13" s="563">
        <f t="shared" si="2"/>
        <v>93390937.5</v>
      </c>
      <c r="M13" s="563">
        <f t="shared" si="2"/>
        <v>93390937.5</v>
      </c>
      <c r="N13" s="563">
        <f t="shared" si="2"/>
        <v>93390937.5</v>
      </c>
      <c r="O13" s="563">
        <f t="shared" si="2"/>
        <v>93390937.5</v>
      </c>
      <c r="P13" s="563">
        <f t="shared" si="0"/>
        <v>1182678750</v>
      </c>
    </row>
    <row r="14" spans="3:17">
      <c r="C14" s="852" t="s">
        <v>360</v>
      </c>
      <c r="D14" s="853">
        <f>+'Besoins en micas'!C70</f>
        <v>0</v>
      </c>
      <c r="E14" s="853">
        <f>+'Besoins en micas'!D70</f>
        <v>0</v>
      </c>
      <c r="F14" s="853">
        <f>+'Besoins en micas'!E70</f>
        <v>0</v>
      </c>
      <c r="G14" s="853">
        <f>+'Besoins en micas'!F70</f>
        <v>0</v>
      </c>
      <c r="H14" s="853">
        <f>+'Besoins en micas'!G70</f>
        <v>0</v>
      </c>
      <c r="I14" s="853">
        <f>+'Besoins en micas'!H70</f>
        <v>0</v>
      </c>
      <c r="J14" s="853">
        <f>+'Besoins en micas'!I70</f>
        <v>0</v>
      </c>
      <c r="K14" s="853">
        <f>+'Besoins en micas'!J70</f>
        <v>0</v>
      </c>
      <c r="L14" s="853">
        <f>+'Besoins en micas'!K70</f>
        <v>0</v>
      </c>
      <c r="M14" s="853">
        <f>+'Besoins en micas'!L70</f>
        <v>0</v>
      </c>
      <c r="N14" s="853">
        <f>+'Besoins en micas'!M70</f>
        <v>0</v>
      </c>
      <c r="O14" s="853">
        <f>+'Besoins en micas'!N70</f>
        <v>0</v>
      </c>
      <c r="P14" s="112">
        <f t="shared" si="0"/>
        <v>0</v>
      </c>
    </row>
    <row r="15" spans="3:17" s="109" customFormat="1" ht="13.5" thickBot="1">
      <c r="C15" s="564" t="str">
        <f>+'Besoins en micas'!B71</f>
        <v>Total</v>
      </c>
      <c r="D15" s="565">
        <f>+D13+D8+D14</f>
        <v>207729375</v>
      </c>
      <c r="E15" s="565">
        <f t="shared" ref="E15:O15" si="3">+E13+E8+E14</f>
        <v>208335000</v>
      </c>
      <c r="F15" s="565">
        <f t="shared" si="3"/>
        <v>207729375</v>
      </c>
      <c r="G15" s="565">
        <f t="shared" si="3"/>
        <v>208335000</v>
      </c>
      <c r="H15" s="565">
        <f t="shared" si="3"/>
        <v>207729375</v>
      </c>
      <c r="I15" s="565">
        <f t="shared" si="3"/>
        <v>208335000</v>
      </c>
      <c r="J15" s="565">
        <f t="shared" si="3"/>
        <v>207729375</v>
      </c>
      <c r="K15" s="565">
        <f t="shared" si="3"/>
        <v>208335000</v>
      </c>
      <c r="L15" s="565">
        <f t="shared" si="3"/>
        <v>191727812.5</v>
      </c>
      <c r="M15" s="565">
        <f t="shared" si="3"/>
        <v>192600625</v>
      </c>
      <c r="N15" s="565">
        <f t="shared" si="3"/>
        <v>191727812.5</v>
      </c>
      <c r="O15" s="565">
        <f t="shared" si="3"/>
        <v>192600625</v>
      </c>
      <c r="P15" s="565">
        <f>SUM(D15:O15)</f>
        <v>2432914375</v>
      </c>
      <c r="Q15" s="1110">
        <f>+P15-'Besoins en micas'!O109</f>
        <v>0</v>
      </c>
    </row>
    <row r="16" spans="3:17"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</row>
    <row r="17" spans="3:17">
      <c r="C17" s="109" t="s">
        <v>978</v>
      </c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</row>
    <row r="18" spans="3:17">
      <c r="C18" s="403" t="s">
        <v>1179</v>
      </c>
      <c r="D18" s="112">
        <v>1510</v>
      </c>
      <c r="E18" s="107" t="s">
        <v>497</v>
      </c>
      <c r="F18" s="112">
        <f>+D18*1.2</f>
        <v>1812</v>
      </c>
      <c r="G18" s="112"/>
      <c r="H18" s="112"/>
      <c r="I18" s="112"/>
      <c r="J18" s="112"/>
      <c r="K18" s="112"/>
      <c r="L18" s="112"/>
      <c r="M18" s="112"/>
      <c r="N18" s="112"/>
      <c r="O18" s="112"/>
      <c r="P18" s="112"/>
    </row>
    <row r="19" spans="3:17">
      <c r="C19" s="403" t="s">
        <v>1181</v>
      </c>
      <c r="D19" s="112">
        <v>1475</v>
      </c>
      <c r="E19" s="107" t="s">
        <v>497</v>
      </c>
      <c r="F19" s="112">
        <f>+D19*1.2</f>
        <v>1770</v>
      </c>
      <c r="G19" s="112"/>
      <c r="H19" s="112"/>
      <c r="I19" s="112"/>
      <c r="J19" s="112"/>
      <c r="K19" s="112"/>
      <c r="L19" s="112"/>
      <c r="M19" s="112"/>
      <c r="N19" s="112"/>
      <c r="O19" s="112"/>
      <c r="P19" s="112"/>
    </row>
    <row r="20" spans="3:17" ht="13.5" thickBot="1">
      <c r="C20" s="133"/>
      <c r="D20" s="134"/>
      <c r="E20" s="13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</row>
    <row r="21" spans="3:17" s="568" customFormat="1">
      <c r="C21" s="566" t="str">
        <f>+C3</f>
        <v>Libellés</v>
      </c>
      <c r="D21" s="567" t="str">
        <f t="shared" ref="D21:P21" si="4">+D3</f>
        <v>Janvier</v>
      </c>
      <c r="E21" s="567" t="str">
        <f t="shared" si="4"/>
        <v>Février</v>
      </c>
      <c r="F21" s="567" t="str">
        <f t="shared" si="4"/>
        <v>Mars</v>
      </c>
      <c r="G21" s="567" t="str">
        <f t="shared" si="4"/>
        <v>Avril</v>
      </c>
      <c r="H21" s="567" t="str">
        <f t="shared" si="4"/>
        <v>Mai</v>
      </c>
      <c r="I21" s="567" t="str">
        <f t="shared" si="4"/>
        <v>Juin</v>
      </c>
      <c r="J21" s="567" t="str">
        <f t="shared" si="4"/>
        <v>Juillet</v>
      </c>
      <c r="K21" s="567" t="str">
        <f t="shared" si="4"/>
        <v>Août</v>
      </c>
      <c r="L21" s="567" t="str">
        <f t="shared" si="4"/>
        <v>Septembre</v>
      </c>
      <c r="M21" s="567" t="str">
        <f t="shared" si="4"/>
        <v>Octobre</v>
      </c>
      <c r="N21" s="567" t="str">
        <f t="shared" si="4"/>
        <v>Novembre</v>
      </c>
      <c r="O21" s="567" t="str">
        <f t="shared" si="4"/>
        <v>Décembre</v>
      </c>
      <c r="P21" s="567" t="str">
        <f t="shared" si="4"/>
        <v>Total</v>
      </c>
    </row>
    <row r="22" spans="3:17">
      <c r="C22" s="403" t="s">
        <v>979</v>
      </c>
      <c r="D22" s="112">
        <f>+SUM(Production!D9:D11)</f>
        <v>686000</v>
      </c>
      <c r="E22" s="112">
        <f>+SUM(Production!E9:E11)</f>
        <v>688000</v>
      </c>
      <c r="F22" s="112">
        <f>+SUM(Production!F9:F11)</f>
        <v>686000</v>
      </c>
      <c r="G22" s="112">
        <f>+SUM(Production!G9:G11)</f>
        <v>688000</v>
      </c>
      <c r="H22" s="112">
        <f>+SUM(Production!H9:H11)</f>
        <v>686000</v>
      </c>
      <c r="I22" s="112">
        <f>+SUM(Production!I9:I11)</f>
        <v>688000</v>
      </c>
      <c r="J22" s="112">
        <f>+SUM(Production!J9:J11)</f>
        <v>686000</v>
      </c>
      <c r="K22" s="112">
        <f>+SUM(Production!K9:K11)</f>
        <v>688000</v>
      </c>
      <c r="L22" s="112">
        <f>+SUM(Production!L9:L11)</f>
        <v>659000</v>
      </c>
      <c r="M22" s="112">
        <f>+SUM(Production!M9:M11)</f>
        <v>662000</v>
      </c>
      <c r="N22" s="112">
        <f>+SUM(Production!N9:N11)</f>
        <v>659000</v>
      </c>
      <c r="O22" s="112">
        <f>+SUM(Production!O9:O11)</f>
        <v>662000</v>
      </c>
      <c r="P22" s="112">
        <f>SUM(D22:O22)</f>
        <v>8138000</v>
      </c>
    </row>
    <row r="23" spans="3:17">
      <c r="C23" s="403" t="s">
        <v>803</v>
      </c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</row>
    <row r="24" spans="3:17">
      <c r="C24" s="111" t="s">
        <v>980</v>
      </c>
      <c r="D24" s="112">
        <f>+D22/50</f>
        <v>13720</v>
      </c>
      <c r="E24" s="112">
        <f>+E22/50</f>
        <v>13760</v>
      </c>
      <c r="F24" s="112">
        <f t="shared" ref="F24:O24" si="5">+F22/50</f>
        <v>13720</v>
      </c>
      <c r="G24" s="112">
        <f t="shared" si="5"/>
        <v>13760</v>
      </c>
      <c r="H24" s="112">
        <f t="shared" si="5"/>
        <v>13720</v>
      </c>
      <c r="I24" s="112">
        <f t="shared" si="5"/>
        <v>13760</v>
      </c>
      <c r="J24" s="112">
        <f t="shared" si="5"/>
        <v>13720</v>
      </c>
      <c r="K24" s="112">
        <f t="shared" si="5"/>
        <v>13760</v>
      </c>
      <c r="L24" s="112">
        <f t="shared" si="5"/>
        <v>13180</v>
      </c>
      <c r="M24" s="112">
        <f t="shared" si="5"/>
        <v>13240</v>
      </c>
      <c r="N24" s="112">
        <f t="shared" si="5"/>
        <v>13180</v>
      </c>
      <c r="O24" s="112">
        <f t="shared" si="5"/>
        <v>13240</v>
      </c>
      <c r="P24" s="112">
        <f t="shared" ref="P24" si="6">SUM(D24:O24)</f>
        <v>162760</v>
      </c>
    </row>
    <row r="25" spans="3:17">
      <c r="C25" s="111" t="str">
        <f>+C19</f>
        <v>Sacs polyéthylène</v>
      </c>
      <c r="D25" s="112">
        <f>((+Production!D19+Production!D20+Production!D26+Production!D27))/50</f>
        <v>360</v>
      </c>
      <c r="E25" s="112">
        <f>((+Production!E19+Production!E20+Production!E26+Production!E27))/50</f>
        <v>400</v>
      </c>
      <c r="F25" s="112">
        <f>((+Production!F19+Production!F20+Production!F26+Production!F27))/50</f>
        <v>360</v>
      </c>
      <c r="G25" s="112">
        <f>((+Production!G19+Production!G20+Production!G26+Production!G27))/50</f>
        <v>400</v>
      </c>
      <c r="H25" s="112">
        <f>((+Production!H19+Production!H20+Production!H26+Production!H27))/50</f>
        <v>360</v>
      </c>
      <c r="I25" s="112">
        <f>((+Production!I19+Production!I20+Production!I26+Production!I27))/50</f>
        <v>400</v>
      </c>
      <c r="J25" s="112">
        <f>((+Production!J19+Production!J20+Production!J26+Production!J27))/50</f>
        <v>360</v>
      </c>
      <c r="K25" s="112">
        <f>((+Production!K19+Production!K20+Production!K26+Production!K27))/50</f>
        <v>400</v>
      </c>
      <c r="L25" s="112">
        <f>((+Production!L19+Production!L20+Production!L26+Production!L27))/50</f>
        <v>340</v>
      </c>
      <c r="M25" s="112">
        <f>((+Production!M19+Production!M20+Production!M26+Production!M27))/50</f>
        <v>400</v>
      </c>
      <c r="N25" s="112">
        <f>((+Production!N19+Production!N20+Production!N26+Production!N27))/50</f>
        <v>340</v>
      </c>
      <c r="O25" s="112">
        <f>((+Production!O19+Production!O20+Production!O26+Production!O27))/50</f>
        <v>400</v>
      </c>
      <c r="P25" s="112"/>
    </row>
    <row r="26" spans="3:17" s="109" customFormat="1" ht="13.5" thickBot="1">
      <c r="C26" s="564" t="s">
        <v>981</v>
      </c>
      <c r="D26" s="565">
        <f t="shared" ref="D26:O26" si="7">+D24*$D$18+D25*$D$19</f>
        <v>21248200</v>
      </c>
      <c r="E26" s="565">
        <f t="shared" si="7"/>
        <v>21367600</v>
      </c>
      <c r="F26" s="565">
        <f t="shared" si="7"/>
        <v>21248200</v>
      </c>
      <c r="G26" s="565">
        <f t="shared" si="7"/>
        <v>21367600</v>
      </c>
      <c r="H26" s="565">
        <f t="shared" si="7"/>
        <v>21248200</v>
      </c>
      <c r="I26" s="565">
        <f t="shared" si="7"/>
        <v>21367600</v>
      </c>
      <c r="J26" s="565">
        <f t="shared" si="7"/>
        <v>21248200</v>
      </c>
      <c r="K26" s="565">
        <f t="shared" si="7"/>
        <v>21367600</v>
      </c>
      <c r="L26" s="565">
        <f t="shared" si="7"/>
        <v>20403300</v>
      </c>
      <c r="M26" s="565">
        <f t="shared" si="7"/>
        <v>20582400</v>
      </c>
      <c r="N26" s="565">
        <f t="shared" si="7"/>
        <v>20403300</v>
      </c>
      <c r="O26" s="565">
        <f t="shared" si="7"/>
        <v>20582400</v>
      </c>
      <c r="P26" s="565">
        <f>+P24*$D$18</f>
        <v>245767600</v>
      </c>
    </row>
    <row r="27" spans="3:17" ht="6.75" customHeight="1"/>
    <row r="28" spans="3:17" ht="13.5" thickBot="1">
      <c r="C28" s="131"/>
      <c r="D28" s="131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3"/>
      <c r="Q28" s="113"/>
    </row>
    <row r="29" spans="3:17" s="568" customFormat="1">
      <c r="C29" s="566"/>
      <c r="D29" s="567" t="str">
        <f t="shared" ref="D29:P29" si="8">+D21</f>
        <v>Janvier</v>
      </c>
      <c r="E29" s="567" t="str">
        <f t="shared" si="8"/>
        <v>Février</v>
      </c>
      <c r="F29" s="567" t="str">
        <f t="shared" si="8"/>
        <v>Mars</v>
      </c>
      <c r="G29" s="567" t="str">
        <f t="shared" si="8"/>
        <v>Avril</v>
      </c>
      <c r="H29" s="567" t="str">
        <f t="shared" si="8"/>
        <v>Mai</v>
      </c>
      <c r="I29" s="567" t="str">
        <f t="shared" si="8"/>
        <v>Juin</v>
      </c>
      <c r="J29" s="567" t="str">
        <f t="shared" si="8"/>
        <v>Juillet</v>
      </c>
      <c r="K29" s="567" t="str">
        <f t="shared" si="8"/>
        <v>Août</v>
      </c>
      <c r="L29" s="567" t="str">
        <f t="shared" si="8"/>
        <v>Septembre</v>
      </c>
      <c r="M29" s="567" t="str">
        <f t="shared" si="8"/>
        <v>Octobre</v>
      </c>
      <c r="N29" s="567" t="str">
        <f t="shared" si="8"/>
        <v>Novembre</v>
      </c>
      <c r="O29" s="567" t="str">
        <f t="shared" si="8"/>
        <v>Décembre</v>
      </c>
      <c r="P29" s="567" t="str">
        <f t="shared" si="8"/>
        <v>Total</v>
      </c>
    </row>
    <row r="30" spans="3:17">
      <c r="C30" s="218" t="s">
        <v>498</v>
      </c>
      <c r="D30" s="112"/>
      <c r="E30" s="112"/>
      <c r="F30" s="112"/>
      <c r="G30" s="112"/>
      <c r="H30" s="112"/>
      <c r="I30" s="112"/>
      <c r="J30" s="112"/>
      <c r="K30" s="112"/>
      <c r="L30" s="112"/>
      <c r="M30" s="112"/>
      <c r="N30" s="112"/>
      <c r="O30" s="112"/>
      <c r="P30" s="112"/>
    </row>
    <row r="31" spans="3:17">
      <c r="C31" s="111" t="s">
        <v>499</v>
      </c>
      <c r="D31" s="112">
        <f>430000*3</f>
        <v>1290000</v>
      </c>
      <c r="E31" s="112">
        <f t="shared" ref="E31:N31" si="9">430000*3</f>
        <v>1290000</v>
      </c>
      <c r="F31" s="112">
        <f t="shared" si="9"/>
        <v>1290000</v>
      </c>
      <c r="G31" s="112">
        <f t="shared" si="9"/>
        <v>1290000</v>
      </c>
      <c r="H31" s="112">
        <f t="shared" si="9"/>
        <v>1290000</v>
      </c>
      <c r="I31" s="112">
        <f t="shared" si="9"/>
        <v>1290000</v>
      </c>
      <c r="J31" s="112">
        <f t="shared" si="9"/>
        <v>1290000</v>
      </c>
      <c r="K31" s="112">
        <f t="shared" si="9"/>
        <v>1290000</v>
      </c>
      <c r="L31" s="112">
        <f t="shared" si="9"/>
        <v>1290000</v>
      </c>
      <c r="M31" s="112">
        <f t="shared" si="9"/>
        <v>1290000</v>
      </c>
      <c r="N31" s="112">
        <f t="shared" si="9"/>
        <v>1290000</v>
      </c>
      <c r="O31" s="112">
        <f>+N31</f>
        <v>1290000</v>
      </c>
      <c r="P31" s="112">
        <f>SUM(D31:O31)</f>
        <v>15480000</v>
      </c>
    </row>
    <row r="32" spans="3:17">
      <c r="C32" s="111" t="s">
        <v>500</v>
      </c>
      <c r="D32" s="112">
        <f>+D31*0.1</f>
        <v>129000</v>
      </c>
      <c r="E32" s="112">
        <f t="shared" ref="E32:O32" si="10">+E31*0.1</f>
        <v>129000</v>
      </c>
      <c r="F32" s="112">
        <f t="shared" si="10"/>
        <v>129000</v>
      </c>
      <c r="G32" s="112">
        <f t="shared" si="10"/>
        <v>129000</v>
      </c>
      <c r="H32" s="112">
        <f t="shared" si="10"/>
        <v>129000</v>
      </c>
      <c r="I32" s="112">
        <f t="shared" si="10"/>
        <v>129000</v>
      </c>
      <c r="J32" s="112">
        <f t="shared" si="10"/>
        <v>129000</v>
      </c>
      <c r="K32" s="112">
        <f t="shared" si="10"/>
        <v>129000</v>
      </c>
      <c r="L32" s="112">
        <f t="shared" si="10"/>
        <v>129000</v>
      </c>
      <c r="M32" s="112">
        <f t="shared" si="10"/>
        <v>129000</v>
      </c>
      <c r="N32" s="112">
        <f t="shared" si="10"/>
        <v>129000</v>
      </c>
      <c r="O32" s="112">
        <f t="shared" si="10"/>
        <v>129000</v>
      </c>
      <c r="P32" s="112">
        <f>SUM(D32:O32)</f>
        <v>1548000</v>
      </c>
    </row>
    <row r="33" spans="3:16">
      <c r="C33" s="218" t="s">
        <v>501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</row>
    <row r="34" spans="3:16">
      <c r="C34" s="111" t="s">
        <v>503</v>
      </c>
      <c r="D34" s="112">
        <v>1000000</v>
      </c>
      <c r="E34" s="112">
        <f>+D34</f>
        <v>1000000</v>
      </c>
      <c r="F34" s="112">
        <f t="shared" ref="F34:O34" si="11">+E34</f>
        <v>1000000</v>
      </c>
      <c r="G34" s="112">
        <f t="shared" si="11"/>
        <v>1000000</v>
      </c>
      <c r="H34" s="112">
        <f t="shared" si="11"/>
        <v>1000000</v>
      </c>
      <c r="I34" s="112">
        <f t="shared" si="11"/>
        <v>1000000</v>
      </c>
      <c r="J34" s="112">
        <f t="shared" si="11"/>
        <v>1000000</v>
      </c>
      <c r="K34" s="112">
        <f t="shared" si="11"/>
        <v>1000000</v>
      </c>
      <c r="L34" s="112">
        <f t="shared" si="11"/>
        <v>1000000</v>
      </c>
      <c r="M34" s="112">
        <f t="shared" si="11"/>
        <v>1000000</v>
      </c>
      <c r="N34" s="112">
        <f t="shared" si="11"/>
        <v>1000000</v>
      </c>
      <c r="O34" s="112">
        <f t="shared" si="11"/>
        <v>1000000</v>
      </c>
      <c r="P34" s="112">
        <f t="shared" ref="P34:P49" si="12">SUM(D34:O34)</f>
        <v>12000000</v>
      </c>
    </row>
    <row r="35" spans="3:16">
      <c r="C35" s="111" t="s">
        <v>504</v>
      </c>
      <c r="D35" s="112">
        <v>1240000</v>
      </c>
      <c r="E35" s="112">
        <f t="shared" ref="E35:O49" si="13">+D35</f>
        <v>1240000</v>
      </c>
      <c r="F35" s="112">
        <f t="shared" si="13"/>
        <v>1240000</v>
      </c>
      <c r="G35" s="112">
        <f t="shared" si="13"/>
        <v>1240000</v>
      </c>
      <c r="H35" s="112">
        <f t="shared" si="13"/>
        <v>1240000</v>
      </c>
      <c r="I35" s="112">
        <f t="shared" si="13"/>
        <v>1240000</v>
      </c>
      <c r="J35" s="112">
        <f t="shared" si="13"/>
        <v>1240000</v>
      </c>
      <c r="K35" s="112">
        <f t="shared" si="13"/>
        <v>1240000</v>
      </c>
      <c r="L35" s="112">
        <f t="shared" si="13"/>
        <v>1240000</v>
      </c>
      <c r="M35" s="112">
        <f t="shared" si="13"/>
        <v>1240000</v>
      </c>
      <c r="N35" s="112">
        <f t="shared" si="13"/>
        <v>1240000</v>
      </c>
      <c r="O35" s="112">
        <f t="shared" si="13"/>
        <v>1240000</v>
      </c>
      <c r="P35" s="112">
        <f t="shared" si="12"/>
        <v>14880000</v>
      </c>
    </row>
    <row r="36" spans="3:16">
      <c r="C36" s="111" t="s">
        <v>505</v>
      </c>
      <c r="D36" s="112">
        <f>(+Détails!B92*3)*2</f>
        <v>600000</v>
      </c>
      <c r="E36" s="112">
        <f t="shared" si="13"/>
        <v>600000</v>
      </c>
      <c r="F36" s="112">
        <f t="shared" si="13"/>
        <v>600000</v>
      </c>
      <c r="G36" s="112">
        <f t="shared" si="13"/>
        <v>600000</v>
      </c>
      <c r="H36" s="112">
        <f t="shared" si="13"/>
        <v>600000</v>
      </c>
      <c r="I36" s="112">
        <f t="shared" si="13"/>
        <v>600000</v>
      </c>
      <c r="J36" s="112">
        <f t="shared" si="13"/>
        <v>600000</v>
      </c>
      <c r="K36" s="112">
        <f t="shared" si="13"/>
        <v>600000</v>
      </c>
      <c r="L36" s="112">
        <f t="shared" si="13"/>
        <v>600000</v>
      </c>
      <c r="M36" s="112">
        <f t="shared" si="13"/>
        <v>600000</v>
      </c>
      <c r="N36" s="112">
        <f t="shared" si="13"/>
        <v>600000</v>
      </c>
      <c r="O36" s="112">
        <f t="shared" si="13"/>
        <v>600000</v>
      </c>
      <c r="P36" s="112">
        <f t="shared" si="12"/>
        <v>7200000</v>
      </c>
    </row>
    <row r="37" spans="3:16">
      <c r="C37" s="111" t="s">
        <v>506</v>
      </c>
      <c r="D37" s="112">
        <v>0</v>
      </c>
      <c r="E37" s="112">
        <f t="shared" si="13"/>
        <v>0</v>
      </c>
      <c r="F37" s="112">
        <f t="shared" si="13"/>
        <v>0</v>
      </c>
      <c r="G37" s="112">
        <f t="shared" si="13"/>
        <v>0</v>
      </c>
      <c r="H37" s="112">
        <f t="shared" si="13"/>
        <v>0</v>
      </c>
      <c r="I37" s="112">
        <v>10000000</v>
      </c>
      <c r="J37" s="112"/>
      <c r="K37" s="112"/>
      <c r="L37" s="112"/>
      <c r="M37" s="112"/>
      <c r="N37" s="112"/>
      <c r="O37" s="112">
        <f>+I37</f>
        <v>10000000</v>
      </c>
      <c r="P37" s="112">
        <f t="shared" si="12"/>
        <v>20000000</v>
      </c>
    </row>
    <row r="38" spans="3:16">
      <c r="C38" s="111" t="s">
        <v>507</v>
      </c>
      <c r="D38" s="112">
        <f>(660000/2)*2</f>
        <v>660000</v>
      </c>
      <c r="E38" s="112">
        <f t="shared" si="13"/>
        <v>660000</v>
      </c>
      <c r="F38" s="112">
        <f t="shared" si="13"/>
        <v>660000</v>
      </c>
      <c r="G38" s="112">
        <f t="shared" si="13"/>
        <v>660000</v>
      </c>
      <c r="H38" s="112">
        <f t="shared" si="13"/>
        <v>660000</v>
      </c>
      <c r="I38" s="112">
        <f t="shared" si="13"/>
        <v>660000</v>
      </c>
      <c r="J38" s="112">
        <f t="shared" si="13"/>
        <v>660000</v>
      </c>
      <c r="K38" s="112">
        <f t="shared" si="13"/>
        <v>660000</v>
      </c>
      <c r="L38" s="112">
        <f t="shared" si="13"/>
        <v>660000</v>
      </c>
      <c r="M38" s="112">
        <f t="shared" si="13"/>
        <v>660000</v>
      </c>
      <c r="N38" s="112">
        <f t="shared" si="13"/>
        <v>660000</v>
      </c>
      <c r="O38" s="112">
        <f t="shared" si="13"/>
        <v>660000</v>
      </c>
      <c r="P38" s="112">
        <f t="shared" si="12"/>
        <v>7920000</v>
      </c>
    </row>
    <row r="39" spans="3:16">
      <c r="C39" s="111" t="s">
        <v>515</v>
      </c>
      <c r="D39" s="112">
        <v>300000</v>
      </c>
      <c r="E39" s="112">
        <f t="shared" si="13"/>
        <v>300000</v>
      </c>
      <c r="F39" s="112">
        <f t="shared" si="13"/>
        <v>300000</v>
      </c>
      <c r="G39" s="112">
        <f t="shared" si="13"/>
        <v>300000</v>
      </c>
      <c r="H39" s="112">
        <f t="shared" si="13"/>
        <v>300000</v>
      </c>
      <c r="I39" s="112">
        <f t="shared" si="13"/>
        <v>300000</v>
      </c>
      <c r="J39" s="112">
        <f t="shared" si="13"/>
        <v>300000</v>
      </c>
      <c r="K39" s="112">
        <f t="shared" si="13"/>
        <v>300000</v>
      </c>
      <c r="L39" s="112">
        <f t="shared" si="13"/>
        <v>300000</v>
      </c>
      <c r="M39" s="112">
        <f t="shared" si="13"/>
        <v>300000</v>
      </c>
      <c r="N39" s="112">
        <f t="shared" si="13"/>
        <v>300000</v>
      </c>
      <c r="O39" s="112">
        <f t="shared" si="13"/>
        <v>300000</v>
      </c>
      <c r="P39" s="112">
        <f t="shared" si="12"/>
        <v>3600000</v>
      </c>
    </row>
    <row r="40" spans="3:16">
      <c r="C40" s="111" t="s">
        <v>508</v>
      </c>
      <c r="D40" s="112">
        <v>550000</v>
      </c>
      <c r="E40" s="112">
        <f t="shared" si="13"/>
        <v>550000</v>
      </c>
      <c r="F40" s="112">
        <f t="shared" si="13"/>
        <v>550000</v>
      </c>
      <c r="G40" s="112">
        <f t="shared" si="13"/>
        <v>550000</v>
      </c>
      <c r="H40" s="112">
        <f t="shared" si="13"/>
        <v>550000</v>
      </c>
      <c r="I40" s="112">
        <f t="shared" si="13"/>
        <v>550000</v>
      </c>
      <c r="J40" s="112">
        <f t="shared" si="13"/>
        <v>550000</v>
      </c>
      <c r="K40" s="112">
        <f t="shared" si="13"/>
        <v>550000</v>
      </c>
      <c r="L40" s="112">
        <f t="shared" si="13"/>
        <v>550000</v>
      </c>
      <c r="M40" s="112">
        <f t="shared" si="13"/>
        <v>550000</v>
      </c>
      <c r="N40" s="112">
        <f t="shared" si="13"/>
        <v>550000</v>
      </c>
      <c r="O40" s="112">
        <f t="shared" si="13"/>
        <v>550000</v>
      </c>
      <c r="P40" s="112">
        <f t="shared" si="12"/>
        <v>6600000</v>
      </c>
    </row>
    <row r="41" spans="3:16">
      <c r="C41" s="111" t="s">
        <v>509</v>
      </c>
      <c r="D41" s="112">
        <v>500000</v>
      </c>
      <c r="E41" s="112">
        <f t="shared" si="13"/>
        <v>500000</v>
      </c>
      <c r="F41" s="112">
        <f t="shared" si="13"/>
        <v>500000</v>
      </c>
      <c r="G41" s="112">
        <f t="shared" si="13"/>
        <v>500000</v>
      </c>
      <c r="H41" s="112">
        <f t="shared" si="13"/>
        <v>500000</v>
      </c>
      <c r="I41" s="112">
        <f t="shared" si="13"/>
        <v>500000</v>
      </c>
      <c r="J41" s="112">
        <f t="shared" si="13"/>
        <v>500000</v>
      </c>
      <c r="K41" s="112">
        <f t="shared" si="13"/>
        <v>500000</v>
      </c>
      <c r="L41" s="112">
        <f t="shared" si="13"/>
        <v>500000</v>
      </c>
      <c r="M41" s="112">
        <f t="shared" si="13"/>
        <v>500000</v>
      </c>
      <c r="N41" s="112">
        <f t="shared" si="13"/>
        <v>500000</v>
      </c>
      <c r="O41" s="112">
        <f t="shared" si="13"/>
        <v>500000</v>
      </c>
      <c r="P41" s="112">
        <f t="shared" si="12"/>
        <v>6000000</v>
      </c>
    </row>
    <row r="42" spans="3:16">
      <c r="C42" s="111" t="s">
        <v>510</v>
      </c>
      <c r="D42" s="112">
        <v>160000</v>
      </c>
      <c r="E42" s="112">
        <f t="shared" si="13"/>
        <v>160000</v>
      </c>
      <c r="F42" s="112">
        <f t="shared" si="13"/>
        <v>160000</v>
      </c>
      <c r="G42" s="112">
        <f t="shared" si="13"/>
        <v>160000</v>
      </c>
      <c r="H42" s="112">
        <f t="shared" si="13"/>
        <v>160000</v>
      </c>
      <c r="I42" s="112">
        <f t="shared" si="13"/>
        <v>160000</v>
      </c>
      <c r="J42" s="112">
        <f t="shared" si="13"/>
        <v>160000</v>
      </c>
      <c r="K42" s="112">
        <f t="shared" si="13"/>
        <v>160000</v>
      </c>
      <c r="L42" s="112">
        <f t="shared" si="13"/>
        <v>160000</v>
      </c>
      <c r="M42" s="112">
        <f t="shared" si="13"/>
        <v>160000</v>
      </c>
      <c r="N42" s="112">
        <f t="shared" si="13"/>
        <v>160000</v>
      </c>
      <c r="O42" s="112">
        <f t="shared" si="13"/>
        <v>160000</v>
      </c>
      <c r="P42" s="112">
        <f t="shared" si="12"/>
        <v>1920000</v>
      </c>
    </row>
    <row r="43" spans="3:16">
      <c r="C43" s="111" t="s">
        <v>512</v>
      </c>
      <c r="D43" s="112">
        <v>50000</v>
      </c>
      <c r="E43" s="112">
        <f t="shared" si="13"/>
        <v>50000</v>
      </c>
      <c r="F43" s="112">
        <f t="shared" si="13"/>
        <v>50000</v>
      </c>
      <c r="G43" s="112">
        <f t="shared" si="13"/>
        <v>50000</v>
      </c>
      <c r="H43" s="112">
        <f t="shared" si="13"/>
        <v>50000</v>
      </c>
      <c r="I43" s="112">
        <f t="shared" si="13"/>
        <v>50000</v>
      </c>
      <c r="J43" s="112">
        <f t="shared" si="13"/>
        <v>50000</v>
      </c>
      <c r="K43" s="112">
        <f t="shared" si="13"/>
        <v>50000</v>
      </c>
      <c r="L43" s="112">
        <f t="shared" si="13"/>
        <v>50000</v>
      </c>
      <c r="M43" s="112">
        <f t="shared" si="13"/>
        <v>50000</v>
      </c>
      <c r="N43" s="112">
        <f t="shared" si="13"/>
        <v>50000</v>
      </c>
      <c r="O43" s="112">
        <f t="shared" si="13"/>
        <v>50000</v>
      </c>
      <c r="P43" s="112">
        <f t="shared" si="12"/>
        <v>600000</v>
      </c>
    </row>
    <row r="44" spans="3:16">
      <c r="C44" s="111" t="s">
        <v>511</v>
      </c>
      <c r="D44" s="112">
        <v>70000</v>
      </c>
      <c r="E44" s="112">
        <f t="shared" si="13"/>
        <v>70000</v>
      </c>
      <c r="F44" s="112">
        <f t="shared" si="13"/>
        <v>70000</v>
      </c>
      <c r="G44" s="112">
        <f t="shared" si="13"/>
        <v>70000</v>
      </c>
      <c r="H44" s="112">
        <f t="shared" si="13"/>
        <v>70000</v>
      </c>
      <c r="I44" s="112">
        <f t="shared" si="13"/>
        <v>70000</v>
      </c>
      <c r="J44" s="112">
        <f t="shared" si="13"/>
        <v>70000</v>
      </c>
      <c r="K44" s="112">
        <f t="shared" si="13"/>
        <v>70000</v>
      </c>
      <c r="L44" s="112">
        <f t="shared" si="13"/>
        <v>70000</v>
      </c>
      <c r="M44" s="112">
        <f t="shared" si="13"/>
        <v>70000</v>
      </c>
      <c r="N44" s="112">
        <f t="shared" si="13"/>
        <v>70000</v>
      </c>
      <c r="O44" s="112">
        <f t="shared" si="13"/>
        <v>70000</v>
      </c>
      <c r="P44" s="112">
        <f t="shared" si="12"/>
        <v>840000</v>
      </c>
    </row>
    <row r="45" spans="3:16">
      <c r="C45" s="111" t="s">
        <v>502</v>
      </c>
      <c r="D45" s="112">
        <f>(620000/2)*2</f>
        <v>620000</v>
      </c>
      <c r="E45" s="112">
        <f t="shared" si="13"/>
        <v>620000</v>
      </c>
      <c r="F45" s="112">
        <f t="shared" si="13"/>
        <v>620000</v>
      </c>
      <c r="G45" s="112">
        <f t="shared" si="13"/>
        <v>620000</v>
      </c>
      <c r="H45" s="112">
        <f t="shared" si="13"/>
        <v>620000</v>
      </c>
      <c r="I45" s="112">
        <f t="shared" si="13"/>
        <v>620000</v>
      </c>
      <c r="J45" s="112">
        <f t="shared" si="13"/>
        <v>620000</v>
      </c>
      <c r="K45" s="112">
        <f t="shared" si="13"/>
        <v>620000</v>
      </c>
      <c r="L45" s="112">
        <f t="shared" si="13"/>
        <v>620000</v>
      </c>
      <c r="M45" s="112">
        <f t="shared" si="13"/>
        <v>620000</v>
      </c>
      <c r="N45" s="112">
        <f t="shared" si="13"/>
        <v>620000</v>
      </c>
      <c r="O45" s="112">
        <f t="shared" si="13"/>
        <v>620000</v>
      </c>
      <c r="P45" s="112">
        <f t="shared" si="12"/>
        <v>7440000</v>
      </c>
    </row>
    <row r="46" spans="3:16">
      <c r="C46" s="111" t="s">
        <v>502</v>
      </c>
      <c r="D46" s="112">
        <v>20000</v>
      </c>
      <c r="E46" s="112">
        <f t="shared" si="13"/>
        <v>20000</v>
      </c>
      <c r="F46" s="112">
        <f t="shared" si="13"/>
        <v>20000</v>
      </c>
      <c r="G46" s="112">
        <f t="shared" si="13"/>
        <v>20000</v>
      </c>
      <c r="H46" s="112">
        <f t="shared" si="13"/>
        <v>20000</v>
      </c>
      <c r="I46" s="112">
        <f t="shared" si="13"/>
        <v>20000</v>
      </c>
      <c r="J46" s="112">
        <f t="shared" si="13"/>
        <v>20000</v>
      </c>
      <c r="K46" s="112">
        <f t="shared" si="13"/>
        <v>20000</v>
      </c>
      <c r="L46" s="112">
        <f t="shared" si="13"/>
        <v>20000</v>
      </c>
      <c r="M46" s="112">
        <f t="shared" si="13"/>
        <v>20000</v>
      </c>
      <c r="N46" s="112">
        <f t="shared" si="13"/>
        <v>20000</v>
      </c>
      <c r="O46" s="112">
        <f t="shared" si="13"/>
        <v>20000</v>
      </c>
      <c r="P46" s="112">
        <f t="shared" si="12"/>
        <v>240000</v>
      </c>
    </row>
    <row r="47" spans="3:16">
      <c r="C47" s="111" t="s">
        <v>513</v>
      </c>
      <c r="D47" s="112">
        <v>550000</v>
      </c>
      <c r="E47" s="112">
        <f t="shared" si="13"/>
        <v>550000</v>
      </c>
      <c r="F47" s="112">
        <f t="shared" si="13"/>
        <v>550000</v>
      </c>
      <c r="G47" s="112">
        <f t="shared" si="13"/>
        <v>550000</v>
      </c>
      <c r="H47" s="112">
        <f t="shared" si="13"/>
        <v>550000</v>
      </c>
      <c r="I47" s="112">
        <f t="shared" si="13"/>
        <v>550000</v>
      </c>
      <c r="J47" s="112">
        <f t="shared" si="13"/>
        <v>550000</v>
      </c>
      <c r="K47" s="112">
        <f t="shared" si="13"/>
        <v>550000</v>
      </c>
      <c r="L47" s="112">
        <f t="shared" si="13"/>
        <v>550000</v>
      </c>
      <c r="M47" s="112">
        <f t="shared" si="13"/>
        <v>550000</v>
      </c>
      <c r="N47" s="112">
        <f t="shared" si="13"/>
        <v>550000</v>
      </c>
      <c r="O47" s="112">
        <f t="shared" si="13"/>
        <v>550000</v>
      </c>
      <c r="P47" s="112">
        <f t="shared" si="12"/>
        <v>6600000</v>
      </c>
    </row>
    <row r="48" spans="3:16">
      <c r="C48" s="111" t="s">
        <v>514</v>
      </c>
      <c r="D48" s="112">
        <v>1055000</v>
      </c>
      <c r="E48" s="112">
        <f t="shared" si="13"/>
        <v>1055000</v>
      </c>
      <c r="F48" s="112">
        <f t="shared" si="13"/>
        <v>1055000</v>
      </c>
      <c r="G48" s="112">
        <f t="shared" si="13"/>
        <v>1055000</v>
      </c>
      <c r="H48" s="112">
        <f t="shared" si="13"/>
        <v>1055000</v>
      </c>
      <c r="I48" s="112">
        <f t="shared" si="13"/>
        <v>1055000</v>
      </c>
      <c r="J48" s="112">
        <f t="shared" si="13"/>
        <v>1055000</v>
      </c>
      <c r="K48" s="112">
        <f t="shared" si="13"/>
        <v>1055000</v>
      </c>
      <c r="L48" s="112">
        <f t="shared" si="13"/>
        <v>1055000</v>
      </c>
      <c r="M48" s="112">
        <f t="shared" si="13"/>
        <v>1055000</v>
      </c>
      <c r="N48" s="112">
        <f t="shared" si="13"/>
        <v>1055000</v>
      </c>
      <c r="O48" s="112">
        <f t="shared" si="13"/>
        <v>1055000</v>
      </c>
      <c r="P48" s="112">
        <f t="shared" si="12"/>
        <v>12660000</v>
      </c>
    </row>
    <row r="49" spans="3:16">
      <c r="C49" s="111" t="s">
        <v>516</v>
      </c>
      <c r="D49" s="112">
        <v>300000</v>
      </c>
      <c r="E49" s="112">
        <f t="shared" si="13"/>
        <v>300000</v>
      </c>
      <c r="F49" s="112">
        <f t="shared" si="13"/>
        <v>300000</v>
      </c>
      <c r="G49" s="112">
        <f t="shared" si="13"/>
        <v>300000</v>
      </c>
      <c r="H49" s="112">
        <f t="shared" si="13"/>
        <v>300000</v>
      </c>
      <c r="I49" s="112">
        <f t="shared" si="13"/>
        <v>300000</v>
      </c>
      <c r="J49" s="112">
        <f t="shared" si="13"/>
        <v>300000</v>
      </c>
      <c r="K49" s="112">
        <f t="shared" si="13"/>
        <v>300000</v>
      </c>
      <c r="L49" s="112">
        <f t="shared" si="13"/>
        <v>300000</v>
      </c>
      <c r="M49" s="112">
        <f t="shared" si="13"/>
        <v>300000</v>
      </c>
      <c r="N49" s="112">
        <f t="shared" si="13"/>
        <v>300000</v>
      </c>
      <c r="O49" s="112">
        <f t="shared" si="13"/>
        <v>300000</v>
      </c>
      <c r="P49" s="112">
        <f t="shared" si="12"/>
        <v>3600000</v>
      </c>
    </row>
    <row r="50" spans="3:16" s="109" customFormat="1" ht="13.5" thickBot="1">
      <c r="C50" s="564"/>
      <c r="D50" s="565">
        <f t="shared" ref="D50:H50" si="14">SUM(D31:D49)</f>
        <v>9094000</v>
      </c>
      <c r="E50" s="565">
        <f t="shared" si="14"/>
        <v>9094000</v>
      </c>
      <c r="F50" s="565">
        <f t="shared" si="14"/>
        <v>9094000</v>
      </c>
      <c r="G50" s="565">
        <f t="shared" si="14"/>
        <v>9094000</v>
      </c>
      <c r="H50" s="565">
        <f t="shared" si="14"/>
        <v>9094000</v>
      </c>
      <c r="I50" s="565">
        <f>SUM(I31:I49)</f>
        <v>19094000</v>
      </c>
      <c r="J50" s="565">
        <f t="shared" ref="J50:P50" si="15">SUM(J31:J49)</f>
        <v>9094000</v>
      </c>
      <c r="K50" s="565">
        <f t="shared" si="15"/>
        <v>9094000</v>
      </c>
      <c r="L50" s="565">
        <f t="shared" si="15"/>
        <v>9094000</v>
      </c>
      <c r="M50" s="565">
        <f t="shared" si="15"/>
        <v>9094000</v>
      </c>
      <c r="N50" s="565">
        <f t="shared" si="15"/>
        <v>9094000</v>
      </c>
      <c r="O50" s="565">
        <f t="shared" si="15"/>
        <v>19094000</v>
      </c>
      <c r="P50" s="565">
        <f t="shared" si="15"/>
        <v>129128000</v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40A77-6BE3-49C4-8791-3CE8338E4D98}">
  <sheetPr codeName="Feuil36"/>
  <dimension ref="A1:P114"/>
  <sheetViews>
    <sheetView topLeftCell="A104" zoomScaleNormal="100" workbookViewId="0">
      <selection activeCell="K124" sqref="K124"/>
    </sheetView>
  </sheetViews>
  <sheetFormatPr baseColWidth="10" defaultRowHeight="16.5"/>
  <cols>
    <col min="1" max="1" width="11.42578125" style="198"/>
    <col min="2" max="2" width="6.5703125" style="198" customWidth="1"/>
    <col min="3" max="3" width="20.5703125" style="198" bestFit="1" customWidth="1"/>
    <col min="4" max="4" width="16.85546875" style="198" customWidth="1"/>
    <col min="5" max="5" width="13.42578125" style="198" customWidth="1"/>
    <col min="6" max="8" width="11.5703125" style="198" bestFit="1" customWidth="1"/>
    <col min="9" max="15" width="13.140625" style="198" bestFit="1" customWidth="1"/>
    <col min="16" max="16" width="14.28515625" style="198" bestFit="1" customWidth="1"/>
    <col min="17" max="17" width="12.5703125" style="198" bestFit="1" customWidth="1"/>
    <col min="18" max="16384" width="11.42578125" style="198"/>
  </cols>
  <sheetData>
    <row r="1" spans="2:16" ht="17.25" thickBot="1"/>
    <row r="2" spans="2:16">
      <c r="C2" s="779" t="s">
        <v>1862</v>
      </c>
      <c r="D2" s="408" t="str">
        <f>+Commandes!C9</f>
        <v>Janvier</v>
      </c>
      <c r="E2" s="408" t="str">
        <f>+Commandes!D9</f>
        <v>Février</v>
      </c>
      <c r="F2" s="408" t="str">
        <f>+Commandes!E9</f>
        <v>Mars</v>
      </c>
      <c r="G2" s="408" t="str">
        <f>+Commandes!F9</f>
        <v>Avril</v>
      </c>
      <c r="H2" s="408" t="str">
        <f>+Commandes!G9</f>
        <v>Mai</v>
      </c>
      <c r="I2" s="408" t="str">
        <f>+Commandes!H9</f>
        <v>Juin</v>
      </c>
      <c r="J2" s="408" t="str">
        <f>+Commandes!I9</f>
        <v>Juillet</v>
      </c>
      <c r="K2" s="408" t="str">
        <f>+Commandes!J9</f>
        <v>Août</v>
      </c>
      <c r="L2" s="408" t="str">
        <f>+Commandes!K9</f>
        <v>Septembre</v>
      </c>
      <c r="M2" s="408" t="str">
        <f>+Commandes!L9</f>
        <v>Octobre</v>
      </c>
      <c r="N2" s="408" t="str">
        <f>+Commandes!M9</f>
        <v>Novembre</v>
      </c>
      <c r="O2" s="408" t="str">
        <f>+Commandes!N9</f>
        <v>Décembre</v>
      </c>
      <c r="P2" s="408" t="str">
        <f>+Commandes!O9</f>
        <v>Total</v>
      </c>
    </row>
    <row r="3" spans="2:16">
      <c r="C3" s="461" t="str">
        <f>+'Besoins en micas'!B3</f>
        <v>TRA GAZ</v>
      </c>
      <c r="D3" s="775">
        <f>+'Besoins en micas'!C3</f>
        <v>440000</v>
      </c>
      <c r="E3" s="775">
        <f>+'Besoins en micas'!D3</f>
        <v>442500</v>
      </c>
      <c r="F3" s="775">
        <f>+'Besoins en micas'!E3</f>
        <v>440000</v>
      </c>
      <c r="G3" s="775">
        <f>+'Besoins en micas'!F3</f>
        <v>442500</v>
      </c>
      <c r="H3" s="775">
        <f>+'Besoins en micas'!G3</f>
        <v>440000</v>
      </c>
      <c r="I3" s="775">
        <f>+'Besoins en micas'!H3</f>
        <v>442500</v>
      </c>
      <c r="J3" s="775">
        <f>+'Besoins en micas'!I3</f>
        <v>440000</v>
      </c>
      <c r="K3" s="775">
        <f>+'Besoins en micas'!J3</f>
        <v>442500</v>
      </c>
      <c r="L3" s="775">
        <f>+'Besoins en micas'!K3</f>
        <v>422500</v>
      </c>
      <c r="M3" s="775">
        <f>+'Besoins en micas'!L3</f>
        <v>426250</v>
      </c>
      <c r="N3" s="775">
        <f>+'Besoins en micas'!M3</f>
        <v>422500</v>
      </c>
      <c r="O3" s="775">
        <f>+'Besoins en micas'!N3</f>
        <v>426250</v>
      </c>
      <c r="P3" s="775">
        <f>SUM(D3:O3)</f>
        <v>5227500</v>
      </c>
    </row>
    <row r="4" spans="2:16">
      <c r="C4" s="461" t="str">
        <f>+'Besoins en micas'!B4</f>
        <v>ABR GAZ</v>
      </c>
      <c r="D4" s="775">
        <f>+'Besoins en micas'!C4</f>
        <v>417500</v>
      </c>
      <c r="E4" s="775">
        <f>+'Besoins en micas'!D4</f>
        <v>417500</v>
      </c>
      <c r="F4" s="775">
        <f>+'Besoins en micas'!E4</f>
        <v>417500</v>
      </c>
      <c r="G4" s="775">
        <f>+'Besoins en micas'!F4</f>
        <v>417500</v>
      </c>
      <c r="H4" s="775">
        <f>+'Besoins en micas'!G4</f>
        <v>417500</v>
      </c>
      <c r="I4" s="775">
        <f>+'Besoins en micas'!H4</f>
        <v>417500</v>
      </c>
      <c r="J4" s="775">
        <f>+'Besoins en micas'!I4</f>
        <v>417500</v>
      </c>
      <c r="K4" s="775">
        <f>+'Besoins en micas'!J4</f>
        <v>417500</v>
      </c>
      <c r="L4" s="775">
        <f>+'Besoins en micas'!K4</f>
        <v>401250</v>
      </c>
      <c r="M4" s="775">
        <f>+'Besoins en micas'!L4</f>
        <v>401250</v>
      </c>
      <c r="N4" s="775">
        <f>+'Besoins en micas'!M4</f>
        <v>401250</v>
      </c>
      <c r="O4" s="775">
        <f>+'Besoins en micas'!N4</f>
        <v>401250</v>
      </c>
      <c r="P4" s="775">
        <f t="shared" ref="P4:P5" si="0">SUM(D4:O4)</f>
        <v>4945000</v>
      </c>
    </row>
    <row r="5" spans="2:16">
      <c r="C5" s="461" t="str">
        <f>+'Besoins en micas'!B5</f>
        <v>FP1 GAZ</v>
      </c>
      <c r="D5" s="775">
        <f>+'Besoins en micas'!C5</f>
        <v>0</v>
      </c>
      <c r="E5" s="775">
        <f>+'Besoins en micas'!D5</f>
        <v>0</v>
      </c>
      <c r="F5" s="775">
        <f>+'Besoins en micas'!E5</f>
        <v>0</v>
      </c>
      <c r="G5" s="775">
        <f>+'Besoins en micas'!F5</f>
        <v>0</v>
      </c>
      <c r="H5" s="775">
        <f>+'Besoins en micas'!G5</f>
        <v>0</v>
      </c>
      <c r="I5" s="775">
        <f>+'Besoins en micas'!H5</f>
        <v>0</v>
      </c>
      <c r="J5" s="775">
        <f>+'Besoins en micas'!I5</f>
        <v>0</v>
      </c>
      <c r="K5" s="775">
        <f>+'Besoins en micas'!J5</f>
        <v>0</v>
      </c>
      <c r="L5" s="775">
        <f>+'Besoins en micas'!K5</f>
        <v>0</v>
      </c>
      <c r="M5" s="775">
        <f>+'Besoins en micas'!L5</f>
        <v>0</v>
      </c>
      <c r="N5" s="775">
        <f>+'Besoins en micas'!M5</f>
        <v>0</v>
      </c>
      <c r="O5" s="775">
        <f>+'Besoins en micas'!N5</f>
        <v>0</v>
      </c>
      <c r="P5" s="775">
        <f t="shared" si="0"/>
        <v>0</v>
      </c>
    </row>
    <row r="6" spans="2:16">
      <c r="C6" s="1147" t="s">
        <v>362</v>
      </c>
      <c r="D6" s="1148">
        <f>SUM(D3:D5)</f>
        <v>857500</v>
      </c>
      <c r="E6" s="1148">
        <f t="shared" ref="E6:P6" si="1">SUM(E3:E5)</f>
        <v>860000</v>
      </c>
      <c r="F6" s="1148">
        <f t="shared" si="1"/>
        <v>857500</v>
      </c>
      <c r="G6" s="1148">
        <f t="shared" si="1"/>
        <v>860000</v>
      </c>
      <c r="H6" s="1148">
        <f t="shared" si="1"/>
        <v>857500</v>
      </c>
      <c r="I6" s="1148">
        <f t="shared" si="1"/>
        <v>860000</v>
      </c>
      <c r="J6" s="1148">
        <f t="shared" si="1"/>
        <v>857500</v>
      </c>
      <c r="K6" s="1148">
        <f t="shared" si="1"/>
        <v>860000</v>
      </c>
      <c r="L6" s="1148">
        <f t="shared" si="1"/>
        <v>823750</v>
      </c>
      <c r="M6" s="1148">
        <f t="shared" si="1"/>
        <v>827500</v>
      </c>
      <c r="N6" s="1148">
        <f t="shared" si="1"/>
        <v>823750</v>
      </c>
      <c r="O6" s="1148">
        <f t="shared" si="1"/>
        <v>827500</v>
      </c>
      <c r="P6" s="1148">
        <f t="shared" si="1"/>
        <v>10172500</v>
      </c>
    </row>
    <row r="7" spans="2:16">
      <c r="C7" s="199" t="s">
        <v>1733</v>
      </c>
      <c r="D7" s="775"/>
    </row>
    <row r="8" spans="2:16">
      <c r="B8" s="1146">
        <f>+'Données SOMIDA'!D62</f>
        <v>0.25</v>
      </c>
      <c r="C8" s="406" t="str">
        <f>+'Données SOMIDA'!C62</f>
        <v>Tranomaro</v>
      </c>
      <c r="D8" s="775">
        <f>+$B$8*D6</f>
        <v>214375</v>
      </c>
      <c r="E8" s="775">
        <f t="shared" ref="E8:O8" si="2">+$B$8*E6</f>
        <v>215000</v>
      </c>
      <c r="F8" s="775">
        <f t="shared" si="2"/>
        <v>214375</v>
      </c>
      <c r="G8" s="775">
        <f t="shared" si="2"/>
        <v>215000</v>
      </c>
      <c r="H8" s="775">
        <f t="shared" si="2"/>
        <v>214375</v>
      </c>
      <c r="I8" s="775">
        <f t="shared" si="2"/>
        <v>215000</v>
      </c>
      <c r="J8" s="775">
        <f t="shared" si="2"/>
        <v>214375</v>
      </c>
      <c r="K8" s="775">
        <f t="shared" si="2"/>
        <v>215000</v>
      </c>
      <c r="L8" s="775">
        <f t="shared" si="2"/>
        <v>205937.5</v>
      </c>
      <c r="M8" s="775">
        <f t="shared" si="2"/>
        <v>206875</v>
      </c>
      <c r="N8" s="775">
        <f t="shared" si="2"/>
        <v>205937.5</v>
      </c>
      <c r="O8" s="775">
        <f t="shared" si="2"/>
        <v>206875</v>
      </c>
      <c r="P8" s="775">
        <f t="shared" ref="P8:P12" si="3">SUM(D8:O8)</f>
        <v>2543125</v>
      </c>
    </row>
    <row r="9" spans="2:16">
      <c r="B9" s="1146">
        <f>+'Données SOMIDA'!D63</f>
        <v>0.35</v>
      </c>
      <c r="C9" s="406" t="str">
        <f>+'Données SOMIDA'!C63</f>
        <v>Ampandrandava</v>
      </c>
      <c r="D9" s="775">
        <f>+$B$9*D6</f>
        <v>300125</v>
      </c>
      <c r="E9" s="775">
        <f t="shared" ref="E9:O9" si="4">+$B$9*E6</f>
        <v>301000</v>
      </c>
      <c r="F9" s="775">
        <f t="shared" si="4"/>
        <v>300125</v>
      </c>
      <c r="G9" s="775">
        <f t="shared" si="4"/>
        <v>301000</v>
      </c>
      <c r="H9" s="775">
        <f t="shared" si="4"/>
        <v>300125</v>
      </c>
      <c r="I9" s="775">
        <f t="shared" si="4"/>
        <v>301000</v>
      </c>
      <c r="J9" s="775">
        <f t="shared" si="4"/>
        <v>300125</v>
      </c>
      <c r="K9" s="775">
        <f t="shared" si="4"/>
        <v>301000</v>
      </c>
      <c r="L9" s="775">
        <f t="shared" si="4"/>
        <v>288312.5</v>
      </c>
      <c r="M9" s="775">
        <f t="shared" si="4"/>
        <v>289625</v>
      </c>
      <c r="N9" s="775">
        <f t="shared" si="4"/>
        <v>288312.5</v>
      </c>
      <c r="O9" s="775">
        <f t="shared" si="4"/>
        <v>289625</v>
      </c>
      <c r="P9" s="775">
        <f t="shared" si="3"/>
        <v>3560375</v>
      </c>
    </row>
    <row r="10" spans="2:16">
      <c r="B10" s="1146">
        <f>+'Données SOMIDA'!D64</f>
        <v>0.2</v>
      </c>
      <c r="C10" s="406" t="str">
        <f>+'Données SOMIDA'!C64</f>
        <v>Fort dauphin</v>
      </c>
      <c r="D10" s="775">
        <f>+$B$10*D6</f>
        <v>171500</v>
      </c>
      <c r="E10" s="775">
        <f t="shared" ref="E10:O10" si="5">+$B$10*E6</f>
        <v>172000</v>
      </c>
      <c r="F10" s="775">
        <f t="shared" si="5"/>
        <v>171500</v>
      </c>
      <c r="G10" s="775">
        <f t="shared" si="5"/>
        <v>172000</v>
      </c>
      <c r="H10" s="775">
        <f t="shared" si="5"/>
        <v>171500</v>
      </c>
      <c r="I10" s="775">
        <f t="shared" si="5"/>
        <v>172000</v>
      </c>
      <c r="J10" s="775">
        <f t="shared" si="5"/>
        <v>171500</v>
      </c>
      <c r="K10" s="775">
        <f t="shared" si="5"/>
        <v>172000</v>
      </c>
      <c r="L10" s="775">
        <f t="shared" si="5"/>
        <v>164750</v>
      </c>
      <c r="M10" s="775">
        <f t="shared" si="5"/>
        <v>165500</v>
      </c>
      <c r="N10" s="775">
        <f t="shared" si="5"/>
        <v>164750</v>
      </c>
      <c r="O10" s="775">
        <f t="shared" si="5"/>
        <v>165500</v>
      </c>
      <c r="P10" s="775">
        <f t="shared" si="3"/>
        <v>2034500</v>
      </c>
    </row>
    <row r="11" spans="2:16">
      <c r="B11" s="1146">
        <f>+'Données SOMIDA'!D65</f>
        <v>0.2</v>
      </c>
      <c r="C11" s="406" t="str">
        <f>+'Données SOMIDA'!C65</f>
        <v>Autres</v>
      </c>
      <c r="D11" s="775">
        <f>+$B$11*D6</f>
        <v>171500</v>
      </c>
      <c r="E11" s="775">
        <f t="shared" ref="E11:O11" si="6">+$B$11*E6</f>
        <v>172000</v>
      </c>
      <c r="F11" s="775">
        <f t="shared" si="6"/>
        <v>171500</v>
      </c>
      <c r="G11" s="775">
        <f t="shared" si="6"/>
        <v>172000</v>
      </c>
      <c r="H11" s="775">
        <f t="shared" si="6"/>
        <v>171500</v>
      </c>
      <c r="I11" s="775">
        <f t="shared" si="6"/>
        <v>172000</v>
      </c>
      <c r="J11" s="775">
        <f t="shared" si="6"/>
        <v>171500</v>
      </c>
      <c r="K11" s="775">
        <f t="shared" si="6"/>
        <v>172000</v>
      </c>
      <c r="L11" s="775">
        <f t="shared" si="6"/>
        <v>164750</v>
      </c>
      <c r="M11" s="775">
        <f t="shared" si="6"/>
        <v>165500</v>
      </c>
      <c r="N11" s="775">
        <f t="shared" si="6"/>
        <v>164750</v>
      </c>
      <c r="O11" s="775">
        <f t="shared" si="6"/>
        <v>165500</v>
      </c>
      <c r="P11" s="775">
        <f t="shared" si="3"/>
        <v>2034500</v>
      </c>
    </row>
    <row r="12" spans="2:16" ht="17.25" thickBot="1">
      <c r="B12" s="1146">
        <f>+'Données SOMIDA'!D66</f>
        <v>0</v>
      </c>
      <c r="C12" s="773" t="str">
        <f>+'Données SOMIDA'!C66</f>
        <v>Benato</v>
      </c>
      <c r="D12" s="786">
        <f>+$B$12*D6</f>
        <v>0</v>
      </c>
      <c r="E12" s="786">
        <f t="shared" ref="E12:O12" si="7">+$B$12*E6</f>
        <v>0</v>
      </c>
      <c r="F12" s="786">
        <f t="shared" si="7"/>
        <v>0</v>
      </c>
      <c r="G12" s="786">
        <f t="shared" si="7"/>
        <v>0</v>
      </c>
      <c r="H12" s="786">
        <f t="shared" si="7"/>
        <v>0</v>
      </c>
      <c r="I12" s="786">
        <f t="shared" si="7"/>
        <v>0</v>
      </c>
      <c r="J12" s="786">
        <f t="shared" si="7"/>
        <v>0</v>
      </c>
      <c r="K12" s="786">
        <f t="shared" si="7"/>
        <v>0</v>
      </c>
      <c r="L12" s="786">
        <f t="shared" si="7"/>
        <v>0</v>
      </c>
      <c r="M12" s="786">
        <f t="shared" si="7"/>
        <v>0</v>
      </c>
      <c r="N12" s="786">
        <f t="shared" si="7"/>
        <v>0</v>
      </c>
      <c r="O12" s="786">
        <f t="shared" si="7"/>
        <v>0</v>
      </c>
      <c r="P12" s="786">
        <f t="shared" si="3"/>
        <v>0</v>
      </c>
    </row>
    <row r="13" spans="2:16" ht="3" customHeight="1"/>
    <row r="14" spans="2:16" ht="17.25" thickBot="1">
      <c r="C14" s="199" t="s">
        <v>1276</v>
      </c>
    </row>
    <row r="15" spans="2:16">
      <c r="C15" s="1302" t="s">
        <v>1070</v>
      </c>
      <c r="D15" s="1302"/>
      <c r="E15" s="1302"/>
      <c r="F15" s="407" t="s">
        <v>1271</v>
      </c>
      <c r="G15" s="777">
        <v>0.25</v>
      </c>
      <c r="H15" s="777">
        <v>0.5</v>
      </c>
      <c r="I15" s="777">
        <v>0.75</v>
      </c>
      <c r="J15" s="777">
        <v>1</v>
      </c>
    </row>
    <row r="16" spans="2:16">
      <c r="C16" s="406" t="str">
        <f>+C23</f>
        <v>Tranomaro</v>
      </c>
      <c r="D16" s="198">
        <f>2.5*25</f>
        <v>62.5</v>
      </c>
      <c r="E16" s="198" t="s">
        <v>1277</v>
      </c>
      <c r="F16" s="406">
        <f>+Org!M34</f>
        <v>6</v>
      </c>
      <c r="G16" s="775">
        <f>+D16*F16*$G$15*1000</f>
        <v>93750</v>
      </c>
      <c r="H16" s="775">
        <f>+D16*F16*$H$15*1000</f>
        <v>187500</v>
      </c>
      <c r="I16" s="775">
        <f>+$D$16*$F$16*$I$15*1000</f>
        <v>281250</v>
      </c>
      <c r="J16" s="775">
        <f>+D16*F16*$J$15*1000</f>
        <v>375000</v>
      </c>
    </row>
    <row r="17" spans="3:16">
      <c r="C17" s="406" t="str">
        <f>+C24</f>
        <v>Ampandrandava</v>
      </c>
      <c r="D17" s="198">
        <f t="shared" ref="D17:D19" si="8">2.5*25</f>
        <v>62.5</v>
      </c>
      <c r="E17" s="198" t="s">
        <v>1277</v>
      </c>
      <c r="F17" s="406">
        <f>+Org!AL15</f>
        <v>6</v>
      </c>
      <c r="G17" s="775">
        <f>+D17*F17*$G$15*1000</f>
        <v>93750</v>
      </c>
      <c r="H17" s="775">
        <f>+D17*F17*$H$15*1000</f>
        <v>187500</v>
      </c>
      <c r="I17" s="775">
        <f>+$D$17*$F$17*$I$15*1000</f>
        <v>281250</v>
      </c>
      <c r="J17" s="775">
        <f>+D17*F17*$J$15*1000</f>
        <v>375000</v>
      </c>
    </row>
    <row r="18" spans="3:16">
      <c r="C18" s="406" t="str">
        <f>+C25</f>
        <v>Fort dauphin</v>
      </c>
      <c r="D18" s="198">
        <f t="shared" si="8"/>
        <v>62.5</v>
      </c>
      <c r="E18" s="198" t="s">
        <v>1277</v>
      </c>
      <c r="F18" s="406">
        <f>+Org!M64</f>
        <v>6</v>
      </c>
      <c r="G18" s="775">
        <f>+D18*F18*$G$15*1000</f>
        <v>93750</v>
      </c>
      <c r="H18" s="775">
        <f>+D18*F18*$H$15*1000</f>
        <v>187500</v>
      </c>
      <c r="I18" s="775">
        <f>+$D$18*$F$18*$I$15*1000</f>
        <v>281250</v>
      </c>
      <c r="J18" s="775">
        <f>+D18*F18*$J$15*1000</f>
        <v>375000</v>
      </c>
    </row>
    <row r="19" spans="3:16">
      <c r="C19" s="406" t="str">
        <f>+C26</f>
        <v>Autres</v>
      </c>
      <c r="D19" s="198">
        <f t="shared" si="8"/>
        <v>62.5</v>
      </c>
      <c r="E19" s="198" t="s">
        <v>1277</v>
      </c>
      <c r="F19" s="406">
        <v>6</v>
      </c>
      <c r="G19" s="775">
        <f>+D19*F19*$G$15*1000</f>
        <v>93750</v>
      </c>
      <c r="H19" s="775">
        <f>+D19*F19*$H$15*1000</f>
        <v>187500</v>
      </c>
      <c r="I19" s="775">
        <f>+$D$19*$F$19*$I$15*1000</f>
        <v>281250</v>
      </c>
      <c r="J19" s="775">
        <f>+D19*F19*$J$15*1000</f>
        <v>375000</v>
      </c>
    </row>
    <row r="20" spans="3:16" ht="17.25" thickBot="1">
      <c r="C20" s="778"/>
      <c r="D20" s="778"/>
      <c r="E20" s="778"/>
      <c r="F20" s="409" t="s">
        <v>1071</v>
      </c>
      <c r="G20" s="409">
        <v>1</v>
      </c>
      <c r="H20" s="409">
        <f>+G20*2</f>
        <v>2</v>
      </c>
      <c r="I20" s="409">
        <f>+H20+G20</f>
        <v>3</v>
      </c>
      <c r="J20" s="409">
        <f>+I20+G20</f>
        <v>4</v>
      </c>
      <c r="K20" s="199" t="s">
        <v>494</v>
      </c>
    </row>
    <row r="21" spans="3:16" ht="8.25" customHeight="1" thickBot="1"/>
    <row r="22" spans="3:16">
      <c r="C22" s="779" t="s">
        <v>670</v>
      </c>
      <c r="D22" s="408" t="str">
        <f>+'Besoins en micas'!C59</f>
        <v>Janvier</v>
      </c>
      <c r="E22" s="408" t="str">
        <f>+'Besoins en micas'!D59</f>
        <v>Février</v>
      </c>
      <c r="F22" s="408" t="str">
        <f>+'Besoins en micas'!E59</f>
        <v>Mars</v>
      </c>
      <c r="G22" s="408" t="str">
        <f>+'Besoins en micas'!F59</f>
        <v>Avril</v>
      </c>
      <c r="H22" s="408" t="str">
        <f>+'Besoins en micas'!G59</f>
        <v>Mai</v>
      </c>
      <c r="I22" s="408" t="str">
        <f>+'Besoins en micas'!H59</f>
        <v>Juin</v>
      </c>
      <c r="J22" s="408" t="str">
        <f>+'Besoins en micas'!I59</f>
        <v>Juillet</v>
      </c>
      <c r="K22" s="408" t="str">
        <f>+'Besoins en micas'!J59</f>
        <v>Août</v>
      </c>
      <c r="L22" s="408" t="str">
        <f>+'Besoins en micas'!K59</f>
        <v>Septembre</v>
      </c>
      <c r="M22" s="408" t="str">
        <f>+'Besoins en micas'!L59</f>
        <v>Octobre</v>
      </c>
      <c r="N22" s="408" t="str">
        <f>+'Besoins en micas'!M59</f>
        <v>Novembre</v>
      </c>
      <c r="O22" s="408" t="str">
        <f>+'Besoins en micas'!N59</f>
        <v>Décembre</v>
      </c>
      <c r="P22" s="408" t="str">
        <f>+'Besoins en micas'!O59</f>
        <v>Total</v>
      </c>
    </row>
    <row r="23" spans="3:16">
      <c r="C23" s="461" t="str">
        <f>+'Besoins en micas'!B87</f>
        <v>Tranomaro</v>
      </c>
      <c r="D23" s="775">
        <f>+D8</f>
        <v>214375</v>
      </c>
      <c r="E23" s="775">
        <f t="shared" ref="E23:O23" si="9">+E8</f>
        <v>215000</v>
      </c>
      <c r="F23" s="775">
        <f t="shared" si="9"/>
        <v>214375</v>
      </c>
      <c r="G23" s="775">
        <f t="shared" si="9"/>
        <v>215000</v>
      </c>
      <c r="H23" s="775">
        <f t="shared" si="9"/>
        <v>214375</v>
      </c>
      <c r="I23" s="775">
        <f t="shared" si="9"/>
        <v>215000</v>
      </c>
      <c r="J23" s="775">
        <f t="shared" si="9"/>
        <v>214375</v>
      </c>
      <c r="K23" s="775">
        <f t="shared" si="9"/>
        <v>215000</v>
      </c>
      <c r="L23" s="775">
        <f t="shared" si="9"/>
        <v>205937.5</v>
      </c>
      <c r="M23" s="775">
        <f t="shared" si="9"/>
        <v>206875</v>
      </c>
      <c r="N23" s="775">
        <f t="shared" si="9"/>
        <v>205937.5</v>
      </c>
      <c r="O23" s="775">
        <f t="shared" si="9"/>
        <v>206875</v>
      </c>
      <c r="P23" s="775">
        <f>SUM(D23:O23)</f>
        <v>2543125</v>
      </c>
    </row>
    <row r="24" spans="3:16">
      <c r="C24" s="461" t="str">
        <f>+'Besoins en micas'!B88</f>
        <v>Ampandrandava</v>
      </c>
      <c r="D24" s="775">
        <f t="shared" ref="D24:O26" si="10">+D9</f>
        <v>300125</v>
      </c>
      <c r="E24" s="775">
        <f t="shared" si="10"/>
        <v>301000</v>
      </c>
      <c r="F24" s="775">
        <f t="shared" si="10"/>
        <v>300125</v>
      </c>
      <c r="G24" s="775">
        <f t="shared" si="10"/>
        <v>301000</v>
      </c>
      <c r="H24" s="775">
        <f t="shared" si="10"/>
        <v>300125</v>
      </c>
      <c r="I24" s="775">
        <f t="shared" si="10"/>
        <v>301000</v>
      </c>
      <c r="J24" s="775">
        <f t="shared" si="10"/>
        <v>300125</v>
      </c>
      <c r="K24" s="775">
        <f t="shared" si="10"/>
        <v>301000</v>
      </c>
      <c r="L24" s="775">
        <f t="shared" si="10"/>
        <v>288312.5</v>
      </c>
      <c r="M24" s="775">
        <f t="shared" si="10"/>
        <v>289625</v>
      </c>
      <c r="N24" s="775">
        <f t="shared" si="10"/>
        <v>288312.5</v>
      </c>
      <c r="O24" s="775">
        <f t="shared" si="10"/>
        <v>289625</v>
      </c>
      <c r="P24" s="775">
        <f t="shared" ref="P24:P26" si="11">SUM(D24:O24)</f>
        <v>3560375</v>
      </c>
    </row>
    <row r="25" spans="3:16">
      <c r="C25" s="461" t="str">
        <f>+'Besoins en micas'!B89</f>
        <v>Fort dauphin</v>
      </c>
      <c r="D25" s="775">
        <f t="shared" si="10"/>
        <v>171500</v>
      </c>
      <c r="E25" s="775">
        <f t="shared" si="10"/>
        <v>172000</v>
      </c>
      <c r="F25" s="775">
        <f t="shared" si="10"/>
        <v>171500</v>
      </c>
      <c r="G25" s="775">
        <f t="shared" si="10"/>
        <v>172000</v>
      </c>
      <c r="H25" s="775">
        <f t="shared" si="10"/>
        <v>171500</v>
      </c>
      <c r="I25" s="775">
        <f t="shared" si="10"/>
        <v>172000</v>
      </c>
      <c r="J25" s="775">
        <f t="shared" si="10"/>
        <v>171500</v>
      </c>
      <c r="K25" s="775">
        <f t="shared" si="10"/>
        <v>172000</v>
      </c>
      <c r="L25" s="775">
        <f t="shared" si="10"/>
        <v>164750</v>
      </c>
      <c r="M25" s="775">
        <f t="shared" si="10"/>
        <v>165500</v>
      </c>
      <c r="N25" s="775">
        <f t="shared" si="10"/>
        <v>164750</v>
      </c>
      <c r="O25" s="775">
        <f t="shared" si="10"/>
        <v>165500</v>
      </c>
      <c r="P25" s="775">
        <f t="shared" si="11"/>
        <v>2034500</v>
      </c>
    </row>
    <row r="26" spans="3:16">
      <c r="C26" s="461" t="str">
        <f>+'Besoins en micas'!B90</f>
        <v>Autres</v>
      </c>
      <c r="D26" s="775">
        <f t="shared" si="10"/>
        <v>171500</v>
      </c>
      <c r="E26" s="775">
        <f t="shared" si="10"/>
        <v>172000</v>
      </c>
      <c r="F26" s="775">
        <f t="shared" si="10"/>
        <v>171500</v>
      </c>
      <c r="G26" s="775">
        <f t="shared" si="10"/>
        <v>172000</v>
      </c>
      <c r="H26" s="775">
        <f t="shared" si="10"/>
        <v>171500</v>
      </c>
      <c r="I26" s="775">
        <f t="shared" si="10"/>
        <v>172000</v>
      </c>
      <c r="J26" s="775">
        <f t="shared" si="10"/>
        <v>171500</v>
      </c>
      <c r="K26" s="775">
        <f t="shared" si="10"/>
        <v>172000</v>
      </c>
      <c r="L26" s="775">
        <f t="shared" si="10"/>
        <v>164750</v>
      </c>
      <c r="M26" s="775">
        <f t="shared" si="10"/>
        <v>165500</v>
      </c>
      <c r="N26" s="775">
        <f t="shared" si="10"/>
        <v>164750</v>
      </c>
      <c r="O26" s="775">
        <f t="shared" si="10"/>
        <v>165500</v>
      </c>
      <c r="P26" s="775">
        <f t="shared" si="11"/>
        <v>2034500</v>
      </c>
    </row>
    <row r="27" spans="3:16">
      <c r="C27" s="780" t="s">
        <v>362</v>
      </c>
      <c r="D27" s="781">
        <f>SUM(D23:D26)</f>
        <v>857500</v>
      </c>
      <c r="E27" s="781">
        <f t="shared" ref="E27:P27" si="12">SUM(E23:E26)</f>
        <v>860000</v>
      </c>
      <c r="F27" s="781">
        <f t="shared" si="12"/>
        <v>857500</v>
      </c>
      <c r="G27" s="781">
        <f t="shared" si="12"/>
        <v>860000</v>
      </c>
      <c r="H27" s="781">
        <f t="shared" si="12"/>
        <v>857500</v>
      </c>
      <c r="I27" s="781">
        <f t="shared" si="12"/>
        <v>860000</v>
      </c>
      <c r="J27" s="781">
        <f t="shared" si="12"/>
        <v>857500</v>
      </c>
      <c r="K27" s="781">
        <f t="shared" si="12"/>
        <v>860000</v>
      </c>
      <c r="L27" s="781">
        <f t="shared" si="12"/>
        <v>823750</v>
      </c>
      <c r="M27" s="781">
        <f t="shared" si="12"/>
        <v>827500</v>
      </c>
      <c r="N27" s="781">
        <f t="shared" si="12"/>
        <v>823750</v>
      </c>
      <c r="O27" s="781">
        <f t="shared" si="12"/>
        <v>827500</v>
      </c>
      <c r="P27" s="781">
        <f t="shared" si="12"/>
        <v>10172500</v>
      </c>
    </row>
    <row r="28" spans="3:16">
      <c r="C28" s="460" t="s">
        <v>1272</v>
      </c>
    </row>
    <row r="29" spans="3:16">
      <c r="C29" s="461" t="str">
        <f>+C16</f>
        <v>Tranomaro</v>
      </c>
      <c r="D29" s="198">
        <f t="shared" ref="D29:O29" si="13">+IF(D23&gt;=$J$16,$J$20,IF(D23&gt;=$I$16,$I$20,IF(D23&gt;=$H$16,$H$20,IF(D23&gt;=$G$16,$G$20,0))))</f>
        <v>2</v>
      </c>
      <c r="E29" s="198">
        <f t="shared" si="13"/>
        <v>2</v>
      </c>
      <c r="F29" s="198">
        <f t="shared" si="13"/>
        <v>2</v>
      </c>
      <c r="G29" s="198">
        <f t="shared" si="13"/>
        <v>2</v>
      </c>
      <c r="H29" s="198">
        <f t="shared" si="13"/>
        <v>2</v>
      </c>
      <c r="I29" s="198">
        <f t="shared" si="13"/>
        <v>2</v>
      </c>
      <c r="J29" s="198">
        <f t="shared" si="13"/>
        <v>2</v>
      </c>
      <c r="K29" s="198">
        <f t="shared" si="13"/>
        <v>2</v>
      </c>
      <c r="L29" s="198">
        <f t="shared" si="13"/>
        <v>2</v>
      </c>
      <c r="M29" s="198">
        <f t="shared" si="13"/>
        <v>2</v>
      </c>
      <c r="N29" s="198">
        <f t="shared" si="13"/>
        <v>2</v>
      </c>
      <c r="O29" s="198">
        <f t="shared" si="13"/>
        <v>2</v>
      </c>
    </row>
    <row r="30" spans="3:16">
      <c r="C30" s="461" t="str">
        <f>+C17</f>
        <v>Ampandrandava</v>
      </c>
      <c r="D30" s="198">
        <f t="shared" ref="D30:O30" si="14">+IF(D24&gt;=$J$16,$J$20,IF(D24&gt;=$I$16,$I$20,IF(D24&gt;=$H$16,$H$20,IF(D24&gt;=$G$16,$G$20,0))))</f>
        <v>3</v>
      </c>
      <c r="E30" s="198">
        <f t="shared" si="14"/>
        <v>3</v>
      </c>
      <c r="F30" s="198">
        <f>+IF(F24&gt;=$J$16,$J$20,IF(F24&gt;=$I$16,$I$20,IF(F24&gt;=$H$16,$H$20,IF(F24&gt;=$G$16,$G$20,0))))</f>
        <v>3</v>
      </c>
      <c r="G30" s="198">
        <f t="shared" si="14"/>
        <v>3</v>
      </c>
      <c r="H30" s="198">
        <f t="shared" si="14"/>
        <v>3</v>
      </c>
      <c r="I30" s="198">
        <f t="shared" si="14"/>
        <v>3</v>
      </c>
      <c r="J30" s="198">
        <f t="shared" si="14"/>
        <v>3</v>
      </c>
      <c r="K30" s="198">
        <f t="shared" si="14"/>
        <v>3</v>
      </c>
      <c r="L30" s="198">
        <f t="shared" si="14"/>
        <v>3</v>
      </c>
      <c r="M30" s="198">
        <f t="shared" si="14"/>
        <v>3</v>
      </c>
      <c r="N30" s="198">
        <f t="shared" si="14"/>
        <v>3</v>
      </c>
      <c r="O30" s="198">
        <f t="shared" si="14"/>
        <v>3</v>
      </c>
    </row>
    <row r="31" spans="3:16">
      <c r="C31" s="461" t="str">
        <f>+C18</f>
        <v>Fort dauphin</v>
      </c>
      <c r="D31" s="198">
        <f t="shared" ref="D31:O31" si="15">+IF(D25&gt;=$J$16,$J$20,IF(D25&gt;=$I$16,$I$20,IF(D25&gt;=$H$16,$H$20,IF(D25&gt;=$G$16,$G$20,0))))</f>
        <v>1</v>
      </c>
      <c r="E31" s="198">
        <f t="shared" si="15"/>
        <v>1</v>
      </c>
      <c r="F31" s="198">
        <f t="shared" si="15"/>
        <v>1</v>
      </c>
      <c r="G31" s="198">
        <f t="shared" si="15"/>
        <v>1</v>
      </c>
      <c r="H31" s="198">
        <f t="shared" si="15"/>
        <v>1</v>
      </c>
      <c r="I31" s="198">
        <f t="shared" si="15"/>
        <v>1</v>
      </c>
      <c r="J31" s="198">
        <f t="shared" si="15"/>
        <v>1</v>
      </c>
      <c r="K31" s="198">
        <f t="shared" si="15"/>
        <v>1</v>
      </c>
      <c r="L31" s="198">
        <f t="shared" si="15"/>
        <v>1</v>
      </c>
      <c r="M31" s="198">
        <f t="shared" si="15"/>
        <v>1</v>
      </c>
      <c r="N31" s="198">
        <f t="shared" si="15"/>
        <v>1</v>
      </c>
      <c r="O31" s="198">
        <f t="shared" si="15"/>
        <v>1</v>
      </c>
    </row>
    <row r="32" spans="3:16">
      <c r="C32" s="466" t="str">
        <f>+C19</f>
        <v>Autres</v>
      </c>
      <c r="D32" s="807">
        <f t="shared" ref="D32:O32" si="16">+IF(D26&gt;=$J$16,$J$20,IF(D26&gt;=$I$16,$I$20,IF(D26&gt;=$H$16,$H$20,IF(D26&gt;=$G$16,$G$20,0))))</f>
        <v>1</v>
      </c>
      <c r="E32" s="807">
        <f t="shared" si="16"/>
        <v>1</v>
      </c>
      <c r="F32" s="807">
        <f t="shared" si="16"/>
        <v>1</v>
      </c>
      <c r="G32" s="807">
        <f t="shared" si="16"/>
        <v>1</v>
      </c>
      <c r="H32" s="807">
        <f t="shared" si="16"/>
        <v>1</v>
      </c>
      <c r="I32" s="807">
        <f t="shared" si="16"/>
        <v>1</v>
      </c>
      <c r="J32" s="807">
        <f t="shared" si="16"/>
        <v>1</v>
      </c>
      <c r="K32" s="807">
        <f t="shared" si="16"/>
        <v>1</v>
      </c>
      <c r="L32" s="807">
        <f t="shared" si="16"/>
        <v>1</v>
      </c>
      <c r="M32" s="807">
        <f t="shared" si="16"/>
        <v>1</v>
      </c>
      <c r="N32" s="807">
        <f t="shared" si="16"/>
        <v>1</v>
      </c>
      <c r="O32" s="807">
        <f t="shared" si="16"/>
        <v>1</v>
      </c>
      <c r="P32" s="807"/>
    </row>
    <row r="33" spans="2:16">
      <c r="C33" s="461"/>
    </row>
    <row r="34" spans="2:16">
      <c r="B34" s="780" t="s">
        <v>1002</v>
      </c>
      <c r="C34" s="780" t="s">
        <v>1273</v>
      </c>
      <c r="D34" s="782" t="str">
        <f>+D22</f>
        <v>Janvier</v>
      </c>
      <c r="E34" s="782" t="str">
        <f t="shared" ref="E34:P34" si="17">+E22</f>
        <v>Février</v>
      </c>
      <c r="F34" s="782" t="str">
        <f t="shared" si="17"/>
        <v>Mars</v>
      </c>
      <c r="G34" s="782" t="str">
        <f t="shared" si="17"/>
        <v>Avril</v>
      </c>
      <c r="H34" s="782" t="str">
        <f t="shared" si="17"/>
        <v>Mai</v>
      </c>
      <c r="I34" s="782" t="str">
        <f t="shared" si="17"/>
        <v>Juin</v>
      </c>
      <c r="J34" s="782" t="str">
        <f t="shared" si="17"/>
        <v>Juillet</v>
      </c>
      <c r="K34" s="782" t="str">
        <f t="shared" si="17"/>
        <v>Août</v>
      </c>
      <c r="L34" s="782" t="str">
        <f t="shared" si="17"/>
        <v>Septembre</v>
      </c>
      <c r="M34" s="782" t="str">
        <f t="shared" si="17"/>
        <v>Octobre</v>
      </c>
      <c r="N34" s="782" t="str">
        <f t="shared" si="17"/>
        <v>Novembre</v>
      </c>
      <c r="O34" s="782" t="str">
        <f t="shared" si="17"/>
        <v>Décembre</v>
      </c>
      <c r="P34" s="782" t="str">
        <f t="shared" si="17"/>
        <v>Total</v>
      </c>
    </row>
    <row r="35" spans="2:16">
      <c r="B35" s="803"/>
      <c r="C35" s="803" t="str">
        <f>+C23</f>
        <v>Tranomaro</v>
      </c>
      <c r="D35" s="804">
        <f>ROUNDDOWN(+D29*D23,-2)</f>
        <v>428700</v>
      </c>
      <c r="E35" s="804">
        <f t="shared" ref="E35:O35" si="18">ROUNDDOWN(+E29*E23,-2)</f>
        <v>430000</v>
      </c>
      <c r="F35" s="804">
        <f t="shared" si="18"/>
        <v>428700</v>
      </c>
      <c r="G35" s="804">
        <f t="shared" si="18"/>
        <v>430000</v>
      </c>
      <c r="H35" s="804">
        <f t="shared" si="18"/>
        <v>428700</v>
      </c>
      <c r="I35" s="804">
        <f t="shared" si="18"/>
        <v>430000</v>
      </c>
      <c r="J35" s="804">
        <f t="shared" si="18"/>
        <v>428700</v>
      </c>
      <c r="K35" s="804">
        <f t="shared" si="18"/>
        <v>430000</v>
      </c>
      <c r="L35" s="804">
        <f t="shared" si="18"/>
        <v>411800</v>
      </c>
      <c r="M35" s="804">
        <f t="shared" si="18"/>
        <v>413700</v>
      </c>
      <c r="N35" s="804">
        <f t="shared" si="18"/>
        <v>411800</v>
      </c>
      <c r="O35" s="804">
        <f t="shared" si="18"/>
        <v>413700</v>
      </c>
      <c r="P35" s="804">
        <f>SUM(D35:O35)</f>
        <v>5085800</v>
      </c>
    </row>
    <row r="36" spans="2:16">
      <c r="B36" s="468">
        <f>+Org!M33</f>
        <v>1</v>
      </c>
      <c r="C36" s="461" t="str">
        <f>+Org!B33</f>
        <v>Resp Site</v>
      </c>
      <c r="D36" s="775">
        <f>+$D$35*B36</f>
        <v>428700</v>
      </c>
      <c r="E36" s="775">
        <f>+E$35*$B36</f>
        <v>430000</v>
      </c>
      <c r="F36" s="775">
        <f>+$F$35*B36</f>
        <v>428700</v>
      </c>
      <c r="G36" s="775">
        <f>+G$35*$B36</f>
        <v>430000</v>
      </c>
      <c r="H36" s="775">
        <f>+H$35*$B36</f>
        <v>428700</v>
      </c>
      <c r="I36" s="775">
        <f>+I$35*$B36</f>
        <v>430000</v>
      </c>
      <c r="J36" s="775">
        <f t="shared" ref="J36:O36" si="19">+J$35*$B36</f>
        <v>428700</v>
      </c>
      <c r="K36" s="775">
        <f t="shared" si="19"/>
        <v>430000</v>
      </c>
      <c r="L36" s="775">
        <f t="shared" si="19"/>
        <v>411800</v>
      </c>
      <c r="M36" s="775">
        <f t="shared" si="19"/>
        <v>413700</v>
      </c>
      <c r="N36" s="775">
        <f t="shared" si="19"/>
        <v>411800</v>
      </c>
      <c r="O36" s="775">
        <f t="shared" si="19"/>
        <v>413700</v>
      </c>
      <c r="P36" s="775">
        <f>SUM(D36:O36)</f>
        <v>5085800</v>
      </c>
    </row>
    <row r="37" spans="2:16">
      <c r="B37" s="468">
        <f>+Org!M34</f>
        <v>6</v>
      </c>
      <c r="C37" s="461" t="str">
        <f>+Org!B34</f>
        <v>Collecteurs</v>
      </c>
      <c r="D37" s="775">
        <f t="shared" ref="D37:D39" si="20">+$D$35*B37</f>
        <v>2572200</v>
      </c>
      <c r="E37" s="775">
        <f t="shared" ref="E37:E38" si="21">+E$35*$B37</f>
        <v>2580000</v>
      </c>
      <c r="F37" s="775">
        <f t="shared" ref="F37:F39" si="22">+$F$35*B37</f>
        <v>2572200</v>
      </c>
      <c r="G37" s="775">
        <f>+G$35*$B37</f>
        <v>2580000</v>
      </c>
      <c r="H37" s="775">
        <f t="shared" ref="H37:O39" si="23">+H$35*$B37</f>
        <v>2572200</v>
      </c>
      <c r="I37" s="775">
        <f t="shared" si="23"/>
        <v>2580000</v>
      </c>
      <c r="J37" s="775">
        <f t="shared" si="23"/>
        <v>2572200</v>
      </c>
      <c r="K37" s="775">
        <f t="shared" si="23"/>
        <v>2580000</v>
      </c>
      <c r="L37" s="775">
        <f t="shared" si="23"/>
        <v>2470800</v>
      </c>
      <c r="M37" s="775">
        <f t="shared" si="23"/>
        <v>2482200</v>
      </c>
      <c r="N37" s="775">
        <f t="shared" si="23"/>
        <v>2470800</v>
      </c>
      <c r="O37" s="775">
        <f t="shared" si="23"/>
        <v>2482200</v>
      </c>
      <c r="P37" s="775">
        <f t="shared" ref="P37:P39" si="24">SUM(D37:O37)</f>
        <v>30514800</v>
      </c>
    </row>
    <row r="38" spans="2:16">
      <c r="B38" s="468">
        <f>+Org!M35</f>
        <v>6</v>
      </c>
      <c r="C38" s="461" t="str">
        <f>+Org!B35</f>
        <v>Aide colleceturs</v>
      </c>
      <c r="D38" s="775">
        <f t="shared" si="20"/>
        <v>2572200</v>
      </c>
      <c r="E38" s="775">
        <f t="shared" si="21"/>
        <v>2580000</v>
      </c>
      <c r="F38" s="775">
        <f t="shared" si="22"/>
        <v>2572200</v>
      </c>
      <c r="G38" s="775">
        <f>+G$35*$B38</f>
        <v>2580000</v>
      </c>
      <c r="H38" s="775">
        <f t="shared" si="23"/>
        <v>2572200</v>
      </c>
      <c r="I38" s="775">
        <f t="shared" si="23"/>
        <v>2580000</v>
      </c>
      <c r="J38" s="775">
        <f t="shared" si="23"/>
        <v>2572200</v>
      </c>
      <c r="K38" s="775">
        <f t="shared" si="23"/>
        <v>2580000</v>
      </c>
      <c r="L38" s="775">
        <f t="shared" si="23"/>
        <v>2470800</v>
      </c>
      <c r="M38" s="775">
        <f t="shared" si="23"/>
        <v>2482200</v>
      </c>
      <c r="N38" s="775">
        <f t="shared" si="23"/>
        <v>2470800</v>
      </c>
      <c r="O38" s="775">
        <f t="shared" si="23"/>
        <v>2482200</v>
      </c>
      <c r="P38" s="775">
        <f t="shared" si="24"/>
        <v>30514800</v>
      </c>
    </row>
    <row r="39" spans="2:16">
      <c r="B39" s="468">
        <f>+Org!M36</f>
        <v>3</v>
      </c>
      <c r="C39" s="461" t="str">
        <f>+Org!B36</f>
        <v>Controleurs</v>
      </c>
      <c r="D39" s="775">
        <f t="shared" si="20"/>
        <v>1286100</v>
      </c>
      <c r="E39" s="775">
        <f>+E$35*$B39</f>
        <v>1290000</v>
      </c>
      <c r="F39" s="775">
        <f t="shared" si="22"/>
        <v>1286100</v>
      </c>
      <c r="G39" s="775">
        <f>+G$35*$B39</f>
        <v>1290000</v>
      </c>
      <c r="H39" s="775">
        <f t="shared" si="23"/>
        <v>1286100</v>
      </c>
      <c r="I39" s="775">
        <f t="shared" si="23"/>
        <v>1290000</v>
      </c>
      <c r="J39" s="775">
        <f t="shared" si="23"/>
        <v>1286100</v>
      </c>
      <c r="K39" s="775">
        <f t="shared" si="23"/>
        <v>1290000</v>
      </c>
      <c r="L39" s="775">
        <f t="shared" si="23"/>
        <v>1235400</v>
      </c>
      <c r="M39" s="775">
        <f t="shared" si="23"/>
        <v>1241100</v>
      </c>
      <c r="N39" s="775">
        <f t="shared" si="23"/>
        <v>1235400</v>
      </c>
      <c r="O39" s="775">
        <f t="shared" si="23"/>
        <v>1241100</v>
      </c>
      <c r="P39" s="775">
        <f t="shared" si="24"/>
        <v>15257400</v>
      </c>
    </row>
    <row r="40" spans="2:16">
      <c r="B40" s="805">
        <f>SUM(B36:B39)</f>
        <v>16</v>
      </c>
      <c r="C40" s="805" t="s">
        <v>362</v>
      </c>
      <c r="D40" s="806">
        <f>SUM(D36:D39)</f>
        <v>6859200</v>
      </c>
      <c r="E40" s="806">
        <f t="shared" ref="E40:P40" si="25">SUM(E36:E39)</f>
        <v>6880000</v>
      </c>
      <c r="F40" s="806">
        <f t="shared" si="25"/>
        <v>6859200</v>
      </c>
      <c r="G40" s="806">
        <f t="shared" si="25"/>
        <v>6880000</v>
      </c>
      <c r="H40" s="806">
        <f t="shared" si="25"/>
        <v>6859200</v>
      </c>
      <c r="I40" s="806">
        <f t="shared" si="25"/>
        <v>6880000</v>
      </c>
      <c r="J40" s="806">
        <f t="shared" si="25"/>
        <v>6859200</v>
      </c>
      <c r="K40" s="806">
        <f t="shared" si="25"/>
        <v>6880000</v>
      </c>
      <c r="L40" s="806">
        <f t="shared" si="25"/>
        <v>6588800</v>
      </c>
      <c r="M40" s="806">
        <f t="shared" si="25"/>
        <v>6619200</v>
      </c>
      <c r="N40" s="806">
        <f t="shared" si="25"/>
        <v>6588800</v>
      </c>
      <c r="O40" s="806">
        <f t="shared" si="25"/>
        <v>6619200</v>
      </c>
      <c r="P40" s="806">
        <f t="shared" si="25"/>
        <v>81372800</v>
      </c>
    </row>
    <row r="41" spans="2:16">
      <c r="B41" s="772"/>
      <c r="C41" s="803" t="str">
        <f>+C24</f>
        <v>Ampandrandava</v>
      </c>
      <c r="D41" s="804">
        <f>ROUNDUP(+D30*D24,-2)</f>
        <v>900400</v>
      </c>
      <c r="E41" s="804">
        <f t="shared" ref="E41:O41" si="26">ROUNDUP(+E30*E24,-2)</f>
        <v>903000</v>
      </c>
      <c r="F41" s="804">
        <f t="shared" si="26"/>
        <v>900400</v>
      </c>
      <c r="G41" s="804">
        <f t="shared" si="26"/>
        <v>903000</v>
      </c>
      <c r="H41" s="804">
        <f t="shared" si="26"/>
        <v>900400</v>
      </c>
      <c r="I41" s="804">
        <f t="shared" si="26"/>
        <v>903000</v>
      </c>
      <c r="J41" s="804">
        <f t="shared" si="26"/>
        <v>900400</v>
      </c>
      <c r="K41" s="804">
        <f t="shared" si="26"/>
        <v>903000</v>
      </c>
      <c r="L41" s="804">
        <f t="shared" si="26"/>
        <v>865000</v>
      </c>
      <c r="M41" s="804">
        <f t="shared" si="26"/>
        <v>868900</v>
      </c>
      <c r="N41" s="804">
        <f t="shared" si="26"/>
        <v>865000</v>
      </c>
      <c r="O41" s="804">
        <f t="shared" si="26"/>
        <v>868900</v>
      </c>
      <c r="P41" s="804">
        <f t="shared" ref="P41" si="27">SUM(D41:O41)</f>
        <v>10681400</v>
      </c>
    </row>
    <row r="42" spans="2:16">
      <c r="B42" s="468">
        <f>+Org!AL14</f>
        <v>1</v>
      </c>
      <c r="C42" s="461" t="str">
        <f>+Org!AC14</f>
        <v>Resp Site</v>
      </c>
      <c r="D42" s="775">
        <f>+D41*$B$42</f>
        <v>900400</v>
      </c>
      <c r="E42" s="775">
        <f>+$E$41*B42</f>
        <v>903000</v>
      </c>
      <c r="F42" s="775">
        <f>+$F$41*B42</f>
        <v>900400</v>
      </c>
      <c r="G42" s="775">
        <f>+$G$41*B42</f>
        <v>903000</v>
      </c>
      <c r="H42" s="775">
        <f>+$H$41*B42</f>
        <v>900400</v>
      </c>
      <c r="I42" s="775">
        <f>+$I41*B$42</f>
        <v>903000</v>
      </c>
      <c r="J42" s="775">
        <f>+$J41*B$42</f>
        <v>900400</v>
      </c>
      <c r="K42" s="775">
        <f>+K41*B42</f>
        <v>903000</v>
      </c>
      <c r="L42" s="775">
        <f>+L41*$B$42</f>
        <v>865000</v>
      </c>
      <c r="M42" s="775">
        <f t="shared" ref="M42:O42" si="28">+M41*$B$42</f>
        <v>868900</v>
      </c>
      <c r="N42" s="775">
        <f t="shared" si="28"/>
        <v>865000</v>
      </c>
      <c r="O42" s="775">
        <f t="shared" si="28"/>
        <v>868900</v>
      </c>
      <c r="P42" s="775">
        <f t="shared" ref="P42:P45" si="29">SUM(D42:O42)</f>
        <v>10681400</v>
      </c>
    </row>
    <row r="43" spans="2:16">
      <c r="B43" s="468">
        <f>+Org!AL15</f>
        <v>6</v>
      </c>
      <c r="C43" s="461" t="str">
        <f>+Org!AC15</f>
        <v>Collecteurs</v>
      </c>
      <c r="D43" s="775">
        <f>+B43*$D$41</f>
        <v>5402400</v>
      </c>
      <c r="E43" s="775">
        <f t="shared" ref="E43:E45" si="30">+$E$41*B43</f>
        <v>5418000</v>
      </c>
      <c r="F43" s="775">
        <f t="shared" ref="F43:F45" si="31">+$F$41*B43</f>
        <v>5402400</v>
      </c>
      <c r="G43" s="775">
        <f t="shared" ref="G43:G45" si="32">+$G$41*B43</f>
        <v>5418000</v>
      </c>
      <c r="H43" s="775">
        <f t="shared" ref="H43:H45" si="33">+$H$41*B43</f>
        <v>5402400</v>
      </c>
      <c r="I43" s="775">
        <f>+I$41*$B43</f>
        <v>5418000</v>
      </c>
      <c r="J43" s="775">
        <f>+J41*B43</f>
        <v>5402400</v>
      </c>
      <c r="K43" s="775">
        <f>+K41*B43</f>
        <v>5418000</v>
      </c>
      <c r="L43" s="775">
        <f>+L41*$B$43</f>
        <v>5190000</v>
      </c>
      <c r="M43" s="775">
        <f t="shared" ref="M43:O43" si="34">+M41*$B$43</f>
        <v>5213400</v>
      </c>
      <c r="N43" s="775">
        <f t="shared" si="34"/>
        <v>5190000</v>
      </c>
      <c r="O43" s="775">
        <f t="shared" si="34"/>
        <v>5213400</v>
      </c>
      <c r="P43" s="775">
        <f t="shared" si="29"/>
        <v>64088400</v>
      </c>
    </row>
    <row r="44" spans="2:16">
      <c r="B44" s="468">
        <f>+Org!AL16</f>
        <v>6</v>
      </c>
      <c r="C44" s="461" t="str">
        <f>+Org!AC16</f>
        <v>Aides Collecteurs</v>
      </c>
      <c r="D44" s="775">
        <f>+B44*$D$41</f>
        <v>5402400</v>
      </c>
      <c r="E44" s="775">
        <f t="shared" si="30"/>
        <v>5418000</v>
      </c>
      <c r="F44" s="775">
        <f t="shared" si="31"/>
        <v>5402400</v>
      </c>
      <c r="G44" s="775">
        <f t="shared" si="32"/>
        <v>5418000</v>
      </c>
      <c r="H44" s="775">
        <f t="shared" si="33"/>
        <v>5402400</v>
      </c>
      <c r="I44" s="775">
        <f>+I$41*$B44</f>
        <v>5418000</v>
      </c>
      <c r="J44" s="775">
        <f>+B44*J41</f>
        <v>5402400</v>
      </c>
      <c r="K44" s="775">
        <f>+K41*B44</f>
        <v>5418000</v>
      </c>
      <c r="L44" s="775">
        <f>+$B$44*L41</f>
        <v>5190000</v>
      </c>
      <c r="M44" s="775">
        <f t="shared" ref="M44:O44" si="35">+$B$44*M41</f>
        <v>5213400</v>
      </c>
      <c r="N44" s="775">
        <f t="shared" si="35"/>
        <v>5190000</v>
      </c>
      <c r="O44" s="775">
        <f t="shared" si="35"/>
        <v>5213400</v>
      </c>
      <c r="P44" s="775">
        <f t="shared" si="29"/>
        <v>64088400</v>
      </c>
    </row>
    <row r="45" spans="2:16">
      <c r="B45" s="468">
        <f>+Org!AL17</f>
        <v>3</v>
      </c>
      <c r="C45" s="461" t="str">
        <f>+Org!AC17</f>
        <v>Controleurs</v>
      </c>
      <c r="D45" s="775">
        <f>+B45*$D$41</f>
        <v>2701200</v>
      </c>
      <c r="E45" s="775">
        <f t="shared" si="30"/>
        <v>2709000</v>
      </c>
      <c r="F45" s="775">
        <f t="shared" si="31"/>
        <v>2701200</v>
      </c>
      <c r="G45" s="775">
        <f t="shared" si="32"/>
        <v>2709000</v>
      </c>
      <c r="H45" s="775">
        <f t="shared" si="33"/>
        <v>2701200</v>
      </c>
      <c r="I45" s="775">
        <f>+I$41*$B45</f>
        <v>2709000</v>
      </c>
      <c r="J45" s="775">
        <f>+B45*J41</f>
        <v>2701200</v>
      </c>
      <c r="K45" s="775">
        <f>+K41*B45</f>
        <v>2709000</v>
      </c>
      <c r="L45" s="775">
        <f>+L41*$B$45</f>
        <v>2595000</v>
      </c>
      <c r="M45" s="775">
        <f t="shared" ref="M45:O45" si="36">+M41*$B$45</f>
        <v>2606700</v>
      </c>
      <c r="N45" s="775">
        <f t="shared" si="36"/>
        <v>2595000</v>
      </c>
      <c r="O45" s="775">
        <f t="shared" si="36"/>
        <v>2606700</v>
      </c>
      <c r="P45" s="775">
        <f t="shared" si="29"/>
        <v>32044200</v>
      </c>
    </row>
    <row r="46" spans="2:16" ht="17.25" thickBot="1">
      <c r="B46" s="802">
        <f>SUM(B42:B45)</f>
        <v>16</v>
      </c>
      <c r="C46" s="802" t="s">
        <v>362</v>
      </c>
      <c r="D46" s="783">
        <f>SUM(D42:D45)</f>
        <v>14406400</v>
      </c>
      <c r="E46" s="783">
        <f t="shared" ref="E46:P46" si="37">SUM(E42:E45)</f>
        <v>14448000</v>
      </c>
      <c r="F46" s="783">
        <f t="shared" si="37"/>
        <v>14406400</v>
      </c>
      <c r="G46" s="783">
        <f t="shared" si="37"/>
        <v>14448000</v>
      </c>
      <c r="H46" s="783">
        <f t="shared" si="37"/>
        <v>14406400</v>
      </c>
      <c r="I46" s="783">
        <f t="shared" si="37"/>
        <v>14448000</v>
      </c>
      <c r="J46" s="783">
        <f t="shared" si="37"/>
        <v>14406400</v>
      </c>
      <c r="K46" s="783">
        <f t="shared" si="37"/>
        <v>14448000</v>
      </c>
      <c r="L46" s="783">
        <f t="shared" si="37"/>
        <v>13840000</v>
      </c>
      <c r="M46" s="783">
        <f t="shared" si="37"/>
        <v>13902400</v>
      </c>
      <c r="N46" s="783">
        <f t="shared" si="37"/>
        <v>13840000</v>
      </c>
      <c r="O46" s="783">
        <f t="shared" si="37"/>
        <v>13902400</v>
      </c>
      <c r="P46" s="783">
        <f t="shared" si="37"/>
        <v>170902400</v>
      </c>
    </row>
    <row r="47" spans="2:16">
      <c r="B47" s="899"/>
      <c r="C47" s="803" t="str">
        <f>+C25</f>
        <v>Fort dauphin</v>
      </c>
      <c r="D47" s="804">
        <f>ROUNDUP(+D31*D25,-2)</f>
        <v>171500</v>
      </c>
      <c r="E47" s="804">
        <f t="shared" ref="E47:O47" si="38">ROUNDUP(+E31*E25,-2)</f>
        <v>172000</v>
      </c>
      <c r="F47" s="804">
        <f t="shared" si="38"/>
        <v>171500</v>
      </c>
      <c r="G47" s="804">
        <f t="shared" si="38"/>
        <v>172000</v>
      </c>
      <c r="H47" s="804">
        <f t="shared" si="38"/>
        <v>171500</v>
      </c>
      <c r="I47" s="804">
        <f t="shared" si="38"/>
        <v>172000</v>
      </c>
      <c r="J47" s="804">
        <f t="shared" si="38"/>
        <v>171500</v>
      </c>
      <c r="K47" s="804">
        <f t="shared" si="38"/>
        <v>172000</v>
      </c>
      <c r="L47" s="804">
        <f t="shared" si="38"/>
        <v>164800</v>
      </c>
      <c r="M47" s="804">
        <f t="shared" si="38"/>
        <v>165500</v>
      </c>
      <c r="N47" s="804">
        <f t="shared" si="38"/>
        <v>164800</v>
      </c>
      <c r="O47" s="804">
        <f t="shared" si="38"/>
        <v>165500</v>
      </c>
      <c r="P47" s="804">
        <f t="shared" ref="P47:P55" si="39">SUM(D47:O47)</f>
        <v>2034600</v>
      </c>
    </row>
    <row r="48" spans="2:16">
      <c r="B48" s="468">
        <f>+Org!M63</f>
        <v>1</v>
      </c>
      <c r="C48" s="461" t="str">
        <f>+Org!B63</f>
        <v>Directeur de site</v>
      </c>
      <c r="D48" s="775">
        <f t="shared" ref="D48:O48" si="40">+D47*$B$48+D42+D36</f>
        <v>1500600</v>
      </c>
      <c r="E48" s="775">
        <f t="shared" si="40"/>
        <v>1505000</v>
      </c>
      <c r="F48" s="775">
        <f t="shared" si="40"/>
        <v>1500600</v>
      </c>
      <c r="G48" s="775">
        <f t="shared" si="40"/>
        <v>1505000</v>
      </c>
      <c r="H48" s="775">
        <f t="shared" si="40"/>
        <v>1500600</v>
      </c>
      <c r="I48" s="775">
        <f t="shared" si="40"/>
        <v>1505000</v>
      </c>
      <c r="J48" s="775">
        <f t="shared" si="40"/>
        <v>1500600</v>
      </c>
      <c r="K48" s="775">
        <f t="shared" si="40"/>
        <v>1505000</v>
      </c>
      <c r="L48" s="775">
        <f t="shared" si="40"/>
        <v>1441600</v>
      </c>
      <c r="M48" s="775">
        <f t="shared" si="40"/>
        <v>1448100</v>
      </c>
      <c r="N48" s="775">
        <f t="shared" si="40"/>
        <v>1441600</v>
      </c>
      <c r="O48" s="775">
        <f t="shared" si="40"/>
        <v>1448100</v>
      </c>
      <c r="P48" s="775">
        <f t="shared" si="39"/>
        <v>17801800</v>
      </c>
    </row>
    <row r="49" spans="2:16">
      <c r="B49" s="468">
        <f>+Org!M64</f>
        <v>6</v>
      </c>
      <c r="C49" s="461" t="str">
        <f>+Org!B64</f>
        <v>Collecteurs</v>
      </c>
      <c r="D49" s="775">
        <f>+$B$49*D47</f>
        <v>1029000</v>
      </c>
      <c r="E49" s="775">
        <f t="shared" ref="E49:O49" si="41">+$B$49*E47</f>
        <v>1032000</v>
      </c>
      <c r="F49" s="775">
        <f t="shared" si="41"/>
        <v>1029000</v>
      </c>
      <c r="G49" s="775">
        <f t="shared" si="41"/>
        <v>1032000</v>
      </c>
      <c r="H49" s="775">
        <f t="shared" si="41"/>
        <v>1029000</v>
      </c>
      <c r="I49" s="775">
        <f t="shared" si="41"/>
        <v>1032000</v>
      </c>
      <c r="J49" s="775">
        <f t="shared" si="41"/>
        <v>1029000</v>
      </c>
      <c r="K49" s="775">
        <f t="shared" si="41"/>
        <v>1032000</v>
      </c>
      <c r="L49" s="775">
        <f t="shared" si="41"/>
        <v>988800</v>
      </c>
      <c r="M49" s="775">
        <f t="shared" si="41"/>
        <v>993000</v>
      </c>
      <c r="N49" s="775">
        <f t="shared" si="41"/>
        <v>988800</v>
      </c>
      <c r="O49" s="775">
        <f t="shared" si="41"/>
        <v>993000</v>
      </c>
      <c r="P49" s="775">
        <f t="shared" si="39"/>
        <v>12207600</v>
      </c>
    </row>
    <row r="50" spans="2:16">
      <c r="B50" s="468">
        <f>+Org!M65</f>
        <v>6</v>
      </c>
      <c r="C50" s="461" t="str">
        <f>+Org!B65</f>
        <v>Aide colleceturs</v>
      </c>
      <c r="D50" s="775">
        <f>+$B$50*D47</f>
        <v>1029000</v>
      </c>
      <c r="E50" s="775">
        <f t="shared" ref="E50:O50" si="42">+$B$50*E47</f>
        <v>1032000</v>
      </c>
      <c r="F50" s="775">
        <f t="shared" si="42"/>
        <v>1029000</v>
      </c>
      <c r="G50" s="775">
        <f t="shared" si="42"/>
        <v>1032000</v>
      </c>
      <c r="H50" s="775">
        <f t="shared" si="42"/>
        <v>1029000</v>
      </c>
      <c r="I50" s="775">
        <f t="shared" si="42"/>
        <v>1032000</v>
      </c>
      <c r="J50" s="775">
        <f t="shared" si="42"/>
        <v>1029000</v>
      </c>
      <c r="K50" s="775">
        <f t="shared" si="42"/>
        <v>1032000</v>
      </c>
      <c r="L50" s="775">
        <f t="shared" si="42"/>
        <v>988800</v>
      </c>
      <c r="M50" s="775">
        <f t="shared" si="42"/>
        <v>993000</v>
      </c>
      <c r="N50" s="775">
        <f t="shared" si="42"/>
        <v>988800</v>
      </c>
      <c r="O50" s="775">
        <f t="shared" si="42"/>
        <v>993000</v>
      </c>
      <c r="P50" s="775">
        <f t="shared" si="39"/>
        <v>12207600</v>
      </c>
    </row>
    <row r="51" spans="2:16">
      <c r="B51" s="468">
        <f>+Org!M68</f>
        <v>3</v>
      </c>
      <c r="C51" s="461" t="str">
        <f>+Org!B68</f>
        <v>Resp Mica</v>
      </c>
      <c r="D51" s="775">
        <f>+$B$51*D47</f>
        <v>514500</v>
      </c>
      <c r="E51" s="775">
        <f t="shared" ref="E51:O51" si="43">+$B$51*E47</f>
        <v>516000</v>
      </c>
      <c r="F51" s="775">
        <f t="shared" si="43"/>
        <v>514500</v>
      </c>
      <c r="G51" s="775">
        <f t="shared" si="43"/>
        <v>516000</v>
      </c>
      <c r="H51" s="775">
        <f t="shared" si="43"/>
        <v>514500</v>
      </c>
      <c r="I51" s="775">
        <f t="shared" si="43"/>
        <v>516000</v>
      </c>
      <c r="J51" s="775">
        <f t="shared" si="43"/>
        <v>514500</v>
      </c>
      <c r="K51" s="775">
        <f t="shared" si="43"/>
        <v>516000</v>
      </c>
      <c r="L51" s="775">
        <f t="shared" si="43"/>
        <v>494400</v>
      </c>
      <c r="M51" s="775">
        <f t="shared" si="43"/>
        <v>496500</v>
      </c>
      <c r="N51" s="775">
        <f t="shared" si="43"/>
        <v>494400</v>
      </c>
      <c r="O51" s="775">
        <f t="shared" si="43"/>
        <v>496500</v>
      </c>
      <c r="P51" s="775">
        <f t="shared" si="39"/>
        <v>6103800</v>
      </c>
    </row>
    <row r="52" spans="2:16">
      <c r="B52" s="468">
        <f>+Org!M71</f>
        <v>3</v>
      </c>
      <c r="C52" s="461" t="str">
        <f>+Org!B71</f>
        <v>Cliveuse</v>
      </c>
      <c r="D52" s="775">
        <f>+$B$52*D47</f>
        <v>514500</v>
      </c>
      <c r="E52" s="775">
        <f t="shared" ref="E52:O52" si="44">+$B$52*E47</f>
        <v>516000</v>
      </c>
      <c r="F52" s="775">
        <f t="shared" si="44"/>
        <v>514500</v>
      </c>
      <c r="G52" s="775">
        <f t="shared" si="44"/>
        <v>516000</v>
      </c>
      <c r="H52" s="775">
        <f t="shared" si="44"/>
        <v>514500</v>
      </c>
      <c r="I52" s="775">
        <f t="shared" si="44"/>
        <v>516000</v>
      </c>
      <c r="J52" s="775">
        <f t="shared" si="44"/>
        <v>514500</v>
      </c>
      <c r="K52" s="775">
        <f t="shared" si="44"/>
        <v>516000</v>
      </c>
      <c r="L52" s="775">
        <f t="shared" si="44"/>
        <v>494400</v>
      </c>
      <c r="M52" s="775">
        <f t="shared" si="44"/>
        <v>496500</v>
      </c>
      <c r="N52" s="775">
        <f t="shared" si="44"/>
        <v>494400</v>
      </c>
      <c r="O52" s="775">
        <f t="shared" si="44"/>
        <v>496500</v>
      </c>
      <c r="P52" s="775">
        <f t="shared" si="39"/>
        <v>6103800</v>
      </c>
    </row>
    <row r="53" spans="2:16">
      <c r="B53" s="468">
        <f>+Org!M76</f>
        <v>1</v>
      </c>
      <c r="C53" s="461" t="str">
        <f>+Org!B76</f>
        <v>Controleur de gestion</v>
      </c>
      <c r="D53" s="775">
        <f>+$B$53*D47</f>
        <v>171500</v>
      </c>
      <c r="E53" s="775">
        <f t="shared" ref="E53:O53" si="45">+$B$53*E47</f>
        <v>172000</v>
      </c>
      <c r="F53" s="775">
        <f t="shared" si="45"/>
        <v>171500</v>
      </c>
      <c r="G53" s="775">
        <f t="shared" si="45"/>
        <v>172000</v>
      </c>
      <c r="H53" s="775">
        <f t="shared" si="45"/>
        <v>171500</v>
      </c>
      <c r="I53" s="775">
        <f t="shared" si="45"/>
        <v>172000</v>
      </c>
      <c r="J53" s="775">
        <f t="shared" si="45"/>
        <v>171500</v>
      </c>
      <c r="K53" s="775">
        <f t="shared" si="45"/>
        <v>172000</v>
      </c>
      <c r="L53" s="775">
        <f t="shared" si="45"/>
        <v>164800</v>
      </c>
      <c r="M53" s="775">
        <f t="shared" si="45"/>
        <v>165500</v>
      </c>
      <c r="N53" s="775">
        <f t="shared" si="45"/>
        <v>164800</v>
      </c>
      <c r="O53" s="775">
        <f t="shared" si="45"/>
        <v>165500</v>
      </c>
      <c r="P53" s="775">
        <f t="shared" si="39"/>
        <v>2034600</v>
      </c>
    </row>
    <row r="54" spans="2:16">
      <c r="B54" s="468">
        <f>+Org!M77</f>
        <v>1</v>
      </c>
      <c r="C54" s="461" t="str">
        <f>+Org!B77</f>
        <v>Assistant controleur</v>
      </c>
      <c r="D54" s="775">
        <f>+D47*$B$54</f>
        <v>171500</v>
      </c>
      <c r="E54" s="775">
        <f t="shared" ref="E54:O54" si="46">+E47*$B$54</f>
        <v>172000</v>
      </c>
      <c r="F54" s="775">
        <f t="shared" si="46"/>
        <v>171500</v>
      </c>
      <c r="G54" s="775">
        <f t="shared" si="46"/>
        <v>172000</v>
      </c>
      <c r="H54" s="775">
        <f t="shared" si="46"/>
        <v>171500</v>
      </c>
      <c r="I54" s="775">
        <f t="shared" si="46"/>
        <v>172000</v>
      </c>
      <c r="J54" s="775">
        <f t="shared" si="46"/>
        <v>171500</v>
      </c>
      <c r="K54" s="775">
        <f t="shared" si="46"/>
        <v>172000</v>
      </c>
      <c r="L54" s="775">
        <f t="shared" si="46"/>
        <v>164800</v>
      </c>
      <c r="M54" s="775">
        <f t="shared" si="46"/>
        <v>165500</v>
      </c>
      <c r="N54" s="775">
        <f t="shared" si="46"/>
        <v>164800</v>
      </c>
      <c r="O54" s="775">
        <f t="shared" si="46"/>
        <v>165500</v>
      </c>
      <c r="P54" s="775">
        <f t="shared" si="39"/>
        <v>2034600</v>
      </c>
    </row>
    <row r="55" spans="2:16">
      <c r="B55" s="468">
        <f>+Org!M78</f>
        <v>2</v>
      </c>
      <c r="C55" s="461" t="str">
        <f>+Org!B78</f>
        <v>Controleur autre site</v>
      </c>
      <c r="D55" s="775">
        <f>+$B$55*D47</f>
        <v>343000</v>
      </c>
      <c r="E55" s="775">
        <f t="shared" ref="E55:O55" si="47">+$B$55*E47</f>
        <v>344000</v>
      </c>
      <c r="F55" s="775">
        <f t="shared" si="47"/>
        <v>343000</v>
      </c>
      <c r="G55" s="775">
        <f t="shared" si="47"/>
        <v>344000</v>
      </c>
      <c r="H55" s="775">
        <f t="shared" si="47"/>
        <v>343000</v>
      </c>
      <c r="I55" s="775">
        <f t="shared" si="47"/>
        <v>344000</v>
      </c>
      <c r="J55" s="775">
        <f t="shared" si="47"/>
        <v>343000</v>
      </c>
      <c r="K55" s="775">
        <f t="shared" si="47"/>
        <v>344000</v>
      </c>
      <c r="L55" s="775">
        <f t="shared" si="47"/>
        <v>329600</v>
      </c>
      <c r="M55" s="775">
        <f t="shared" si="47"/>
        <v>331000</v>
      </c>
      <c r="N55" s="775">
        <f t="shared" si="47"/>
        <v>329600</v>
      </c>
      <c r="O55" s="775">
        <f t="shared" si="47"/>
        <v>331000</v>
      </c>
      <c r="P55" s="775">
        <f t="shared" si="39"/>
        <v>4069200</v>
      </c>
    </row>
    <row r="56" spans="2:16" ht="17.25" thickBot="1">
      <c r="B56" s="802">
        <f>SUM(B48:B55)</f>
        <v>23</v>
      </c>
      <c r="C56" s="470" t="str">
        <f>+C27</f>
        <v>Total</v>
      </c>
      <c r="D56" s="783">
        <f>SUM(D48:D55)</f>
        <v>5273600</v>
      </c>
      <c r="E56" s="783">
        <f t="shared" ref="E56:P56" si="48">SUM(E48:E55)</f>
        <v>5289000</v>
      </c>
      <c r="F56" s="783">
        <f t="shared" si="48"/>
        <v>5273600</v>
      </c>
      <c r="G56" s="783">
        <f t="shared" si="48"/>
        <v>5289000</v>
      </c>
      <c r="H56" s="783">
        <f t="shared" si="48"/>
        <v>5273600</v>
      </c>
      <c r="I56" s="783">
        <f t="shared" si="48"/>
        <v>5289000</v>
      </c>
      <c r="J56" s="783">
        <f t="shared" si="48"/>
        <v>5273600</v>
      </c>
      <c r="K56" s="783">
        <f t="shared" si="48"/>
        <v>5289000</v>
      </c>
      <c r="L56" s="783">
        <f t="shared" si="48"/>
        <v>5067200</v>
      </c>
      <c r="M56" s="783">
        <f t="shared" si="48"/>
        <v>5089100</v>
      </c>
      <c r="N56" s="783">
        <f t="shared" si="48"/>
        <v>5067200</v>
      </c>
      <c r="O56" s="783">
        <f t="shared" si="48"/>
        <v>5089100</v>
      </c>
      <c r="P56" s="783">
        <f t="shared" si="48"/>
        <v>62563000</v>
      </c>
    </row>
    <row r="57" spans="2:16" ht="7.5" customHeight="1"/>
    <row r="58" spans="2:16">
      <c r="B58" s="199" t="s">
        <v>1292</v>
      </c>
    </row>
    <row r="59" spans="2:16" ht="17.25" thickBot="1">
      <c r="B59" s="776" t="str">
        <f>+Sal!A47</f>
        <v>AMPANDRANDAVA</v>
      </c>
    </row>
    <row r="60" spans="2:16">
      <c r="C60" s="407" t="s">
        <v>1070</v>
      </c>
      <c r="D60" s="407" t="s">
        <v>1271</v>
      </c>
      <c r="E60" s="777">
        <v>0.25</v>
      </c>
      <c r="F60" s="777">
        <v>0.5</v>
      </c>
      <c r="G60" s="777">
        <v>0.75</v>
      </c>
      <c r="H60" s="777">
        <v>1</v>
      </c>
    </row>
    <row r="61" spans="2:16">
      <c r="C61" s="406" t="s">
        <v>1279</v>
      </c>
      <c r="D61" s="406" t="str">
        <f>+Org!M62&amp;" Equipe = "&amp;F16</f>
        <v>Nbre Equipe = 6</v>
      </c>
      <c r="E61" s="198">
        <f>+G16</f>
        <v>93750</v>
      </c>
      <c r="F61" s="198">
        <f>+H16</f>
        <v>187500</v>
      </c>
      <c r="G61" s="198">
        <f>+I16</f>
        <v>281250</v>
      </c>
      <c r="H61" s="198">
        <f>+J16</f>
        <v>375000</v>
      </c>
    </row>
    <row r="62" spans="2:16" ht="17.25" thickBot="1">
      <c r="C62" s="773" t="s">
        <v>1286</v>
      </c>
      <c r="D62" s="773"/>
      <c r="E62" s="774">
        <f>+G20</f>
        <v>1</v>
      </c>
      <c r="F62" s="774">
        <f t="shared" ref="F62:H62" si="49">+H20</f>
        <v>2</v>
      </c>
      <c r="G62" s="774">
        <f t="shared" si="49"/>
        <v>3</v>
      </c>
      <c r="H62" s="774">
        <f t="shared" si="49"/>
        <v>4</v>
      </c>
    </row>
    <row r="63" spans="2:16" ht="17.25" thickBot="1">
      <c r="C63" s="406"/>
      <c r="D63" s="406"/>
    </row>
    <row r="64" spans="2:16">
      <c r="B64" s="407"/>
      <c r="C64" s="407" t="s">
        <v>1287</v>
      </c>
      <c r="D64" s="779" t="s">
        <v>1278</v>
      </c>
      <c r="E64" s="777">
        <v>0.25</v>
      </c>
      <c r="F64" s="777">
        <v>0.5</v>
      </c>
      <c r="G64" s="777">
        <v>0.75</v>
      </c>
      <c r="H64" s="777">
        <v>1</v>
      </c>
    </row>
    <row r="65" spans="2:16">
      <c r="B65" s="198" t="s">
        <v>1275</v>
      </c>
      <c r="C65" s="406" t="str">
        <f>+Sal!B52</f>
        <v>Agents entretiens</v>
      </c>
      <c r="D65" s="775">
        <f>+Feuil3!E9</f>
        <v>550000</v>
      </c>
      <c r="E65" s="775">
        <f t="shared" ref="E65:E70" si="50">+D65*$E$62/12</f>
        <v>45833.333333333336</v>
      </c>
      <c r="F65" s="775">
        <f>+D65*$F$62/12</f>
        <v>91666.666666666672</v>
      </c>
      <c r="G65" s="775">
        <f>+D65*$G$62/12</f>
        <v>137500</v>
      </c>
      <c r="H65" s="775">
        <f>+D65*$H$62/12</f>
        <v>183333.33333333334</v>
      </c>
      <c r="I65" s="199"/>
      <c r="J65" s="199"/>
      <c r="K65" s="199"/>
    </row>
    <row r="66" spans="2:16">
      <c r="B66" s="198" t="s">
        <v>1275</v>
      </c>
      <c r="C66" s="406" t="str">
        <f>+Sal!B53</f>
        <v>Agents securités</v>
      </c>
      <c r="D66" s="775">
        <f>+Feuil3!E10</f>
        <v>825000</v>
      </c>
      <c r="E66" s="775">
        <f t="shared" si="50"/>
        <v>68750</v>
      </c>
      <c r="F66" s="775">
        <f t="shared" ref="F66:F70" si="51">+D66*$F$62/12</f>
        <v>137500</v>
      </c>
      <c r="G66" s="775">
        <f t="shared" ref="G66:G70" si="52">+D66*$G$62/12</f>
        <v>206250</v>
      </c>
      <c r="H66" s="775">
        <f t="shared" ref="H66:H70" si="53">+D66*$H$62/12</f>
        <v>275000</v>
      </c>
    </row>
    <row r="67" spans="2:16">
      <c r="B67" s="198" t="s">
        <v>1275</v>
      </c>
      <c r="C67" s="406" t="str">
        <f>+Sal!B54</f>
        <v>Gestionnaire</v>
      </c>
      <c r="D67" s="775">
        <f>+Feuil3!E11</f>
        <v>275000</v>
      </c>
      <c r="E67" s="775">
        <f t="shared" si="50"/>
        <v>22916.666666666668</v>
      </c>
      <c r="F67" s="775">
        <f t="shared" si="51"/>
        <v>45833.333333333336</v>
      </c>
      <c r="G67" s="775">
        <f t="shared" si="52"/>
        <v>68750</v>
      </c>
      <c r="H67" s="775">
        <f t="shared" si="53"/>
        <v>91666.666666666672</v>
      </c>
    </row>
    <row r="68" spans="2:16">
      <c r="B68" s="198" t="s">
        <v>1275</v>
      </c>
      <c r="C68" s="406" t="str">
        <f>+Sal!B56</f>
        <v>Machiniste</v>
      </c>
      <c r="D68" s="775">
        <f>+Feuil3!E16</f>
        <v>250000</v>
      </c>
      <c r="E68" s="775">
        <f t="shared" si="50"/>
        <v>20833.333333333332</v>
      </c>
      <c r="F68" s="775">
        <f t="shared" si="51"/>
        <v>41666.666666666664</v>
      </c>
      <c r="G68" s="775">
        <f t="shared" si="52"/>
        <v>62500</v>
      </c>
      <c r="H68" s="775">
        <f t="shared" si="53"/>
        <v>83333.333333333328</v>
      </c>
    </row>
    <row r="69" spans="2:16">
      <c r="B69" s="198" t="s">
        <v>1275</v>
      </c>
      <c r="C69" s="406" t="str">
        <f>+Sal!B57</f>
        <v>Aide Machiniste</v>
      </c>
      <c r="D69" s="775">
        <f>+Feuil3!E17</f>
        <v>210000</v>
      </c>
      <c r="E69" s="775">
        <f t="shared" si="50"/>
        <v>17500</v>
      </c>
      <c r="F69" s="775">
        <f t="shared" si="51"/>
        <v>35000</v>
      </c>
      <c r="G69" s="775">
        <f t="shared" si="52"/>
        <v>52500</v>
      </c>
      <c r="H69" s="775">
        <f t="shared" si="53"/>
        <v>70000</v>
      </c>
    </row>
    <row r="70" spans="2:16">
      <c r="B70" s="198" t="s">
        <v>1275</v>
      </c>
      <c r="C70" s="406" t="str">
        <f>+Sal!B58</f>
        <v>Gardiens</v>
      </c>
      <c r="D70" s="775">
        <f>+Feuil3!E18</f>
        <v>800000</v>
      </c>
      <c r="E70" s="775">
        <f t="shared" si="50"/>
        <v>66666.666666666672</v>
      </c>
      <c r="F70" s="775">
        <f t="shared" si="51"/>
        <v>133333.33333333334</v>
      </c>
      <c r="G70" s="775">
        <f t="shared" si="52"/>
        <v>200000</v>
      </c>
      <c r="H70" s="775">
        <f t="shared" si="53"/>
        <v>266666.66666666669</v>
      </c>
    </row>
    <row r="71" spans="2:16" ht="17.25" thickBot="1">
      <c r="B71" s="774" t="s">
        <v>1275</v>
      </c>
      <c r="C71" s="773" t="str">
        <f>+Sal!B59</f>
        <v>Temp Central</v>
      </c>
      <c r="D71" s="786">
        <f>+Feuil3!E19</f>
        <v>200000</v>
      </c>
      <c r="E71" s="786">
        <f t="shared" ref="E71" si="54">+D71*$E$62/12</f>
        <v>16666.666666666668</v>
      </c>
      <c r="F71" s="786">
        <f t="shared" ref="F71" si="55">+D71*$F$62/12</f>
        <v>33333.333333333336</v>
      </c>
      <c r="G71" s="786">
        <f t="shared" ref="G71" si="56">+D71*$G$62/12</f>
        <v>50000</v>
      </c>
      <c r="H71" s="786">
        <f t="shared" ref="H71" si="57">+D71*$H$62/12</f>
        <v>66666.666666666672</v>
      </c>
    </row>
    <row r="72" spans="2:16" ht="9.75" customHeight="1" thickBot="1">
      <c r="C72" s="406"/>
      <c r="D72" s="775"/>
      <c r="E72" s="775"/>
      <c r="F72" s="775"/>
      <c r="G72" s="775"/>
      <c r="H72" s="775"/>
    </row>
    <row r="73" spans="2:16">
      <c r="B73" s="407" t="s">
        <v>1109</v>
      </c>
      <c r="C73" s="779" t="s">
        <v>1280</v>
      </c>
      <c r="D73" s="408" t="str">
        <f t="shared" ref="D73:P73" si="58">+D22</f>
        <v>Janvier</v>
      </c>
      <c r="E73" s="408" t="str">
        <f t="shared" si="58"/>
        <v>Février</v>
      </c>
      <c r="F73" s="408" t="str">
        <f t="shared" si="58"/>
        <v>Mars</v>
      </c>
      <c r="G73" s="408" t="str">
        <f t="shared" si="58"/>
        <v>Avril</v>
      </c>
      <c r="H73" s="408" t="str">
        <f t="shared" si="58"/>
        <v>Mai</v>
      </c>
      <c r="I73" s="408" t="str">
        <f t="shared" si="58"/>
        <v>Juin</v>
      </c>
      <c r="J73" s="408" t="str">
        <f t="shared" si="58"/>
        <v>Juillet</v>
      </c>
      <c r="K73" s="408" t="str">
        <f t="shared" si="58"/>
        <v>Août</v>
      </c>
      <c r="L73" s="408" t="str">
        <f t="shared" si="58"/>
        <v>Septembre</v>
      </c>
      <c r="M73" s="408" t="str">
        <f t="shared" si="58"/>
        <v>Octobre</v>
      </c>
      <c r="N73" s="408" t="str">
        <f t="shared" si="58"/>
        <v>Novembre</v>
      </c>
      <c r="O73" s="408" t="str">
        <f t="shared" si="58"/>
        <v>Décembre</v>
      </c>
      <c r="P73" s="408" t="str">
        <f t="shared" si="58"/>
        <v>Total</v>
      </c>
    </row>
    <row r="74" spans="2:16">
      <c r="B74" s="198">
        <f>+Feuil3!C9</f>
        <v>2</v>
      </c>
      <c r="C74" s="406" t="str">
        <f t="shared" ref="C74:C80" si="59">+C65</f>
        <v>Agents entretiens</v>
      </c>
      <c r="D74" s="775">
        <f>+IF($D$24&gt;=$H$61,H65,IF($D$24&gt;=$G$61,G65,IF($D$24&gt;=$F$61,F65,IF($D$24&gt;=$E$61,E65,0))))</f>
        <v>137500</v>
      </c>
      <c r="E74" s="775">
        <f t="shared" ref="E74:E80" si="60">+IF($E$24&gt;=$H$61,H65,IF($E$24&gt;=$G$61,G65,IF($E$24&gt;=$F$61,F65,IF($E$24&gt;=$E$61,E65,0))))</f>
        <v>137500</v>
      </c>
      <c r="F74" s="775">
        <f t="shared" ref="F74:F80" si="61">+IF($F$24&gt;=$H$61,H65,IF($F$24&gt;=$G$61,G65,IF($F$24&gt;=$F$61,F65,IF($F$24&gt;=$E$61,E65,0))))</f>
        <v>137500</v>
      </c>
      <c r="G74" s="775">
        <f t="shared" ref="G74:G80" si="62">+IF($G$24&gt;=$H$61,H65,IF($G$24&gt;=$G$61,G65,IF($G$24&gt;=$F$61,F65,IF($G$24&gt;=$E$61,E65,0))))</f>
        <v>137500</v>
      </c>
      <c r="H74" s="775">
        <f t="shared" ref="H74:H80" si="63">+IF($H$24&gt;=$H$61,H65,IF($H$24&gt;=$G$61,G65,IF($H$24&gt;=$F$61,F65,IF($H$24&gt;=$E$61,E65,0))))</f>
        <v>137500</v>
      </c>
      <c r="I74" s="775">
        <f t="shared" ref="I74:I80" si="64">+IF($I$24&gt;=$H$61,H65,IF($I$24&gt;=$G$61,G65,IF($I$24&gt;=$F$61,F65,IF($I$24&gt;=$E$61,E65,0))))</f>
        <v>137500</v>
      </c>
      <c r="J74" s="775">
        <f t="shared" ref="J74:J80" si="65">+IF($J$24&gt;=$H$61,H65,IF($J$24&gt;=$G$61,G65,IF($J$24&gt;=$F$61,F65,IF($J$24&gt;=$E$61,E65,0))))</f>
        <v>137500</v>
      </c>
      <c r="K74" s="775">
        <f t="shared" ref="K74:K80" si="66">+IF($K$24&gt;=$H$61,H65,IF($K$24&gt;=$G$61,G65,IF($K$24&gt;=$F$61,F65,IF($K$24&gt;=$E$61,E65,0))))</f>
        <v>137500</v>
      </c>
      <c r="L74" s="775">
        <f t="shared" ref="L74:L80" si="67">+IF($L$24&gt;=$H$61,H65,IF($L$24&gt;=$G$61,G65,IF($L$24&gt;=$F$61,F65,IF($L$24&gt;=$E$61,E65,0))))</f>
        <v>137500</v>
      </c>
      <c r="M74" s="775">
        <f t="shared" ref="M74:M80" si="68">+IF($M$24&gt;=$H$61,H65,IF($M$24&gt;=$G$61,G65,IF($M$24&gt;=$F$61,F65,IF($M$24&gt;=$E$61,E65,0))))</f>
        <v>137500</v>
      </c>
      <c r="N74" s="775">
        <f t="shared" ref="N74:N80" si="69">+IF($N$24&gt;=$H$61,H65,IF($N$24&gt;=$G$61,G65,IF($N$24&gt;=$F$61,F65,IF($N$24&gt;=$E$61,E65,0))))</f>
        <v>137500</v>
      </c>
      <c r="O74" s="775">
        <f t="shared" ref="O74:O80" si="70">+IF($O$24&gt;=$H$61,H65,IF($O$24&gt;=$G$61,G65,IF($O$24&gt;=$F$61,F65,IF($O$24&gt;=$E$61,E65,0))))</f>
        <v>137500</v>
      </c>
      <c r="P74" s="775">
        <f>SUM(D74:O74)</f>
        <v>1650000</v>
      </c>
    </row>
    <row r="75" spans="2:16">
      <c r="B75" s="198">
        <f>+Feuil3!C10</f>
        <v>3</v>
      </c>
      <c r="C75" s="406" t="str">
        <f t="shared" si="59"/>
        <v>Agents securités</v>
      </c>
      <c r="D75" s="775">
        <f t="shared" ref="D75:D80" si="71">+IF($D$24&gt;=$H$61,H66,IF($D$24&gt;=$G$61,G66,IF($D$24&gt;=$F$61,F66,IF($D$24&gt;=$E$61,E66,0))))</f>
        <v>206250</v>
      </c>
      <c r="E75" s="775">
        <f t="shared" si="60"/>
        <v>206250</v>
      </c>
      <c r="F75" s="775">
        <f t="shared" si="61"/>
        <v>206250</v>
      </c>
      <c r="G75" s="775">
        <f t="shared" si="62"/>
        <v>206250</v>
      </c>
      <c r="H75" s="775">
        <f t="shared" si="63"/>
        <v>206250</v>
      </c>
      <c r="I75" s="775">
        <f t="shared" si="64"/>
        <v>206250</v>
      </c>
      <c r="J75" s="775">
        <f t="shared" si="65"/>
        <v>206250</v>
      </c>
      <c r="K75" s="775">
        <f t="shared" si="66"/>
        <v>206250</v>
      </c>
      <c r="L75" s="775">
        <f t="shared" si="67"/>
        <v>206250</v>
      </c>
      <c r="M75" s="775">
        <f t="shared" si="68"/>
        <v>206250</v>
      </c>
      <c r="N75" s="775">
        <f t="shared" si="69"/>
        <v>206250</v>
      </c>
      <c r="O75" s="775">
        <f t="shared" si="70"/>
        <v>206250</v>
      </c>
      <c r="P75" s="775">
        <f t="shared" ref="P75:P80" si="72">SUM(D75:O75)</f>
        <v>2475000</v>
      </c>
    </row>
    <row r="76" spans="2:16">
      <c r="B76" s="198">
        <f>+Feuil3!C11</f>
        <v>1</v>
      </c>
      <c r="C76" s="406" t="str">
        <f t="shared" si="59"/>
        <v>Gestionnaire</v>
      </c>
      <c r="D76" s="775">
        <f t="shared" si="71"/>
        <v>68750</v>
      </c>
      <c r="E76" s="775">
        <f t="shared" si="60"/>
        <v>68750</v>
      </c>
      <c r="F76" s="775">
        <f t="shared" si="61"/>
        <v>68750</v>
      </c>
      <c r="G76" s="775">
        <f t="shared" si="62"/>
        <v>68750</v>
      </c>
      <c r="H76" s="775">
        <f t="shared" si="63"/>
        <v>68750</v>
      </c>
      <c r="I76" s="775">
        <f t="shared" si="64"/>
        <v>68750</v>
      </c>
      <c r="J76" s="775">
        <f t="shared" si="65"/>
        <v>68750</v>
      </c>
      <c r="K76" s="775">
        <f t="shared" si="66"/>
        <v>68750</v>
      </c>
      <c r="L76" s="775">
        <f t="shared" si="67"/>
        <v>68750</v>
      </c>
      <c r="M76" s="775">
        <f t="shared" si="68"/>
        <v>68750</v>
      </c>
      <c r="N76" s="775">
        <f t="shared" si="69"/>
        <v>68750</v>
      </c>
      <c r="O76" s="775">
        <f t="shared" si="70"/>
        <v>68750</v>
      </c>
      <c r="P76" s="775">
        <f t="shared" si="72"/>
        <v>825000</v>
      </c>
    </row>
    <row r="77" spans="2:16">
      <c r="B77" s="198">
        <f>+Feuil3!C16</f>
        <v>1</v>
      </c>
      <c r="C77" s="406" t="str">
        <f t="shared" si="59"/>
        <v>Machiniste</v>
      </c>
      <c r="D77" s="775">
        <f t="shared" si="71"/>
        <v>62500</v>
      </c>
      <c r="E77" s="775">
        <f t="shared" si="60"/>
        <v>62500</v>
      </c>
      <c r="F77" s="775">
        <f t="shared" si="61"/>
        <v>62500</v>
      </c>
      <c r="G77" s="775">
        <f t="shared" si="62"/>
        <v>62500</v>
      </c>
      <c r="H77" s="775">
        <f t="shared" si="63"/>
        <v>62500</v>
      </c>
      <c r="I77" s="775">
        <f t="shared" si="64"/>
        <v>62500</v>
      </c>
      <c r="J77" s="775">
        <f t="shared" si="65"/>
        <v>62500</v>
      </c>
      <c r="K77" s="775">
        <f t="shared" si="66"/>
        <v>62500</v>
      </c>
      <c r="L77" s="775">
        <f t="shared" si="67"/>
        <v>62500</v>
      </c>
      <c r="M77" s="775">
        <f t="shared" si="68"/>
        <v>62500</v>
      </c>
      <c r="N77" s="775">
        <f t="shared" si="69"/>
        <v>62500</v>
      </c>
      <c r="O77" s="775">
        <f t="shared" si="70"/>
        <v>62500</v>
      </c>
      <c r="P77" s="775">
        <f t="shared" si="72"/>
        <v>750000</v>
      </c>
    </row>
    <row r="78" spans="2:16">
      <c r="B78" s="198">
        <f>+Feuil3!C17</f>
        <v>1</v>
      </c>
      <c r="C78" s="406" t="str">
        <f t="shared" si="59"/>
        <v>Aide Machiniste</v>
      </c>
      <c r="D78" s="775">
        <f t="shared" si="71"/>
        <v>52500</v>
      </c>
      <c r="E78" s="775">
        <f t="shared" si="60"/>
        <v>52500</v>
      </c>
      <c r="F78" s="775">
        <f t="shared" si="61"/>
        <v>52500</v>
      </c>
      <c r="G78" s="775">
        <f t="shared" si="62"/>
        <v>52500</v>
      </c>
      <c r="H78" s="775">
        <f t="shared" si="63"/>
        <v>52500</v>
      </c>
      <c r="I78" s="775">
        <f t="shared" si="64"/>
        <v>52500</v>
      </c>
      <c r="J78" s="775">
        <f t="shared" si="65"/>
        <v>52500</v>
      </c>
      <c r="K78" s="775">
        <f t="shared" si="66"/>
        <v>52500</v>
      </c>
      <c r="L78" s="775">
        <f t="shared" si="67"/>
        <v>52500</v>
      </c>
      <c r="M78" s="775">
        <f t="shared" si="68"/>
        <v>52500</v>
      </c>
      <c r="N78" s="775">
        <f t="shared" si="69"/>
        <v>52500</v>
      </c>
      <c r="O78" s="775">
        <f t="shared" si="70"/>
        <v>52500</v>
      </c>
      <c r="P78" s="775">
        <f t="shared" si="72"/>
        <v>630000</v>
      </c>
    </row>
    <row r="79" spans="2:16">
      <c r="B79" s="198">
        <f>+Feuil3!C18</f>
        <v>2</v>
      </c>
      <c r="C79" s="406" t="str">
        <f t="shared" si="59"/>
        <v>Gardiens</v>
      </c>
      <c r="D79" s="775">
        <f t="shared" si="71"/>
        <v>200000</v>
      </c>
      <c r="E79" s="775">
        <f t="shared" si="60"/>
        <v>200000</v>
      </c>
      <c r="F79" s="775">
        <f t="shared" si="61"/>
        <v>200000</v>
      </c>
      <c r="G79" s="775">
        <f t="shared" si="62"/>
        <v>200000</v>
      </c>
      <c r="H79" s="775">
        <f t="shared" si="63"/>
        <v>200000</v>
      </c>
      <c r="I79" s="775">
        <f t="shared" si="64"/>
        <v>200000</v>
      </c>
      <c r="J79" s="775">
        <f t="shared" si="65"/>
        <v>200000</v>
      </c>
      <c r="K79" s="775">
        <f t="shared" si="66"/>
        <v>200000</v>
      </c>
      <c r="L79" s="775">
        <f t="shared" si="67"/>
        <v>200000</v>
      </c>
      <c r="M79" s="775">
        <f t="shared" si="68"/>
        <v>200000</v>
      </c>
      <c r="N79" s="775">
        <f t="shared" si="69"/>
        <v>200000</v>
      </c>
      <c r="O79" s="775">
        <f t="shared" si="70"/>
        <v>200000</v>
      </c>
      <c r="P79" s="775">
        <f t="shared" si="72"/>
        <v>2400000</v>
      </c>
    </row>
    <row r="80" spans="2:16">
      <c r="B80" s="198">
        <f>+Feuil3!C19</f>
        <v>1</v>
      </c>
      <c r="C80" s="406" t="str">
        <f t="shared" si="59"/>
        <v>Temp Central</v>
      </c>
      <c r="D80" s="775">
        <f t="shared" si="71"/>
        <v>50000</v>
      </c>
      <c r="E80" s="775">
        <f t="shared" si="60"/>
        <v>50000</v>
      </c>
      <c r="F80" s="775">
        <f t="shared" si="61"/>
        <v>50000</v>
      </c>
      <c r="G80" s="775">
        <f t="shared" si="62"/>
        <v>50000</v>
      </c>
      <c r="H80" s="775">
        <f t="shared" si="63"/>
        <v>50000</v>
      </c>
      <c r="I80" s="775">
        <f t="shared" si="64"/>
        <v>50000</v>
      </c>
      <c r="J80" s="775">
        <f t="shared" si="65"/>
        <v>50000</v>
      </c>
      <c r="K80" s="775">
        <f t="shared" si="66"/>
        <v>50000</v>
      </c>
      <c r="L80" s="775">
        <f t="shared" si="67"/>
        <v>50000</v>
      </c>
      <c r="M80" s="775">
        <f t="shared" si="68"/>
        <v>50000</v>
      </c>
      <c r="N80" s="775">
        <f t="shared" si="69"/>
        <v>50000</v>
      </c>
      <c r="O80" s="775">
        <f t="shared" si="70"/>
        <v>50000</v>
      </c>
      <c r="P80" s="775">
        <f t="shared" si="72"/>
        <v>600000</v>
      </c>
    </row>
    <row r="81" spans="2:16" ht="17.25" thickBot="1">
      <c r="B81" s="409">
        <f>SUM(B74:B80)</f>
        <v>11</v>
      </c>
      <c r="C81" s="409" t="s">
        <v>362</v>
      </c>
      <c r="D81" s="783">
        <f>SUM(D74:D80)</f>
        <v>777500</v>
      </c>
      <c r="E81" s="783">
        <f t="shared" ref="E81:P81" si="73">SUM(E74:E80)</f>
        <v>777500</v>
      </c>
      <c r="F81" s="783">
        <f t="shared" si="73"/>
        <v>777500</v>
      </c>
      <c r="G81" s="783">
        <f t="shared" si="73"/>
        <v>777500</v>
      </c>
      <c r="H81" s="783">
        <f t="shared" si="73"/>
        <v>777500</v>
      </c>
      <c r="I81" s="783">
        <f t="shared" si="73"/>
        <v>777500</v>
      </c>
      <c r="J81" s="783">
        <f t="shared" si="73"/>
        <v>777500</v>
      </c>
      <c r="K81" s="783">
        <f t="shared" si="73"/>
        <v>777500</v>
      </c>
      <c r="L81" s="783">
        <f t="shared" si="73"/>
        <v>777500</v>
      </c>
      <c r="M81" s="783">
        <f t="shared" si="73"/>
        <v>777500</v>
      </c>
      <c r="N81" s="783">
        <f t="shared" si="73"/>
        <v>777500</v>
      </c>
      <c r="O81" s="783">
        <f t="shared" si="73"/>
        <v>777500</v>
      </c>
      <c r="P81" s="783">
        <f t="shared" si="73"/>
        <v>9330000</v>
      </c>
    </row>
    <row r="82" spans="2:16" ht="7.5" customHeight="1"/>
    <row r="83" spans="2:16" ht="17.25" thickBot="1">
      <c r="B83" s="776" t="s">
        <v>353</v>
      </c>
    </row>
    <row r="84" spans="2:16">
      <c r="C84" s="407" t="s">
        <v>1070</v>
      </c>
      <c r="D84" s="407" t="s">
        <v>1271</v>
      </c>
      <c r="E84" s="777">
        <v>0.25</v>
      </c>
      <c r="F84" s="777">
        <v>0.5</v>
      </c>
      <c r="G84" s="777">
        <v>0.75</v>
      </c>
      <c r="H84" s="777">
        <v>1</v>
      </c>
    </row>
    <row r="85" spans="2:16">
      <c r="C85" s="406" t="s">
        <v>1279</v>
      </c>
      <c r="D85" s="406" t="str">
        <f>+Org!M84&amp;" Equipe = "&amp;F18</f>
        <v xml:space="preserve"> Equipe = 6</v>
      </c>
      <c r="E85" s="775">
        <f>+G18</f>
        <v>93750</v>
      </c>
      <c r="F85" s="775">
        <f>+H18</f>
        <v>187500</v>
      </c>
      <c r="G85" s="775">
        <f>+I18</f>
        <v>281250</v>
      </c>
      <c r="H85" s="775">
        <f>+J18</f>
        <v>375000</v>
      </c>
    </row>
    <row r="86" spans="2:16" ht="17.25" thickBot="1">
      <c r="C86" s="773" t="s">
        <v>1286</v>
      </c>
      <c r="D86" s="773"/>
      <c r="E86" s="774">
        <f>+E62</f>
        <v>1</v>
      </c>
      <c r="F86" s="774">
        <f t="shared" ref="F86:H86" si="74">+F62</f>
        <v>2</v>
      </c>
      <c r="G86" s="774">
        <f t="shared" si="74"/>
        <v>3</v>
      </c>
      <c r="H86" s="774">
        <f t="shared" si="74"/>
        <v>4</v>
      </c>
    </row>
    <row r="87" spans="2:16" ht="6" customHeight="1" thickBot="1">
      <c r="C87" s="406"/>
      <c r="D87" s="406"/>
    </row>
    <row r="88" spans="2:16">
      <c r="B88" s="407"/>
      <c r="C88" s="407" t="s">
        <v>1287</v>
      </c>
      <c r="D88" s="779" t="s">
        <v>1278</v>
      </c>
      <c r="E88" s="777">
        <v>0.25</v>
      </c>
      <c r="F88" s="777">
        <v>0.5</v>
      </c>
      <c r="G88" s="777">
        <v>0.75</v>
      </c>
      <c r="H88" s="777">
        <v>1</v>
      </c>
    </row>
    <row r="89" spans="2:16">
      <c r="B89" s="198" t="str">
        <f>+Org!A66</f>
        <v>BO</v>
      </c>
      <c r="C89" s="406" t="str">
        <f>+Org!B66</f>
        <v>RAF</v>
      </c>
      <c r="D89" s="775">
        <f>+Org!N66</f>
        <v>500000</v>
      </c>
      <c r="E89" s="775">
        <f>+D89*$E$86/12</f>
        <v>41666.666666666664</v>
      </c>
      <c r="F89" s="775">
        <f>+D89*$F$86/12</f>
        <v>83333.333333333328</v>
      </c>
      <c r="G89" s="775">
        <f>+D89*$G$86/12</f>
        <v>125000</v>
      </c>
      <c r="H89" s="775">
        <f>+D89*$H$86/12</f>
        <v>166666.66666666666</v>
      </c>
      <c r="I89" s="775"/>
      <c r="J89" s="775"/>
      <c r="K89" s="775"/>
    </row>
    <row r="90" spans="2:16">
      <c r="B90" s="198" t="str">
        <f>+Org!A67</f>
        <v>BO</v>
      </c>
      <c r="C90" s="406" t="str">
        <f>+Org!B67</f>
        <v>Resp Transit</v>
      </c>
      <c r="D90" s="775">
        <f>+Org!N67</f>
        <v>500000</v>
      </c>
      <c r="E90" s="775">
        <f t="shared" ref="E90:E96" si="75">+D90*$E$86/12</f>
        <v>41666.666666666664</v>
      </c>
      <c r="F90" s="775">
        <f t="shared" ref="F90:F96" si="76">+D90*$F$86/12</f>
        <v>83333.333333333328</v>
      </c>
      <c r="G90" s="775">
        <f t="shared" ref="G90:G96" si="77">+D90*$G$86/12</f>
        <v>125000</v>
      </c>
      <c r="H90" s="775">
        <f t="shared" ref="H90:H96" si="78">+D90*$H$86/12</f>
        <v>166666.66666666666</v>
      </c>
      <c r="I90" s="775"/>
      <c r="J90" s="775"/>
      <c r="K90" s="775"/>
    </row>
    <row r="91" spans="2:16">
      <c r="B91" s="198" t="str">
        <f>+Org!A69</f>
        <v>BO</v>
      </c>
      <c r="C91" s="406" t="str">
        <f>+Org!B69</f>
        <v>Resp Entretien</v>
      </c>
      <c r="D91" s="775">
        <f>+Org!N69</f>
        <v>0</v>
      </c>
      <c r="E91" s="775">
        <f t="shared" si="75"/>
        <v>0</v>
      </c>
      <c r="F91" s="775">
        <f t="shared" si="76"/>
        <v>0</v>
      </c>
      <c r="G91" s="775">
        <f t="shared" si="77"/>
        <v>0</v>
      </c>
      <c r="H91" s="775">
        <f t="shared" si="78"/>
        <v>0</v>
      </c>
      <c r="I91" s="775"/>
      <c r="J91" s="775"/>
      <c r="K91" s="775"/>
    </row>
    <row r="92" spans="2:16">
      <c r="B92" s="198" t="str">
        <f>+Org!A70</f>
        <v>BO</v>
      </c>
      <c r="C92" s="406" t="str">
        <f>+Org!B70</f>
        <v>Transitaire</v>
      </c>
      <c r="D92" s="775">
        <f>+Org!N70</f>
        <v>1000000</v>
      </c>
      <c r="E92" s="775">
        <f t="shared" si="75"/>
        <v>83333.333333333328</v>
      </c>
      <c r="F92" s="775">
        <f t="shared" si="76"/>
        <v>166666.66666666666</v>
      </c>
      <c r="G92" s="775">
        <f t="shared" si="77"/>
        <v>250000</v>
      </c>
      <c r="H92" s="775">
        <f t="shared" si="78"/>
        <v>333333.33333333331</v>
      </c>
      <c r="I92" s="775"/>
      <c r="J92" s="775"/>
      <c r="K92" s="775"/>
    </row>
    <row r="93" spans="2:16">
      <c r="B93" s="198" t="str">
        <f>+Org!A72</f>
        <v>BO</v>
      </c>
      <c r="C93" s="406" t="str">
        <f>+Org!B72</f>
        <v>Aide Entretien</v>
      </c>
      <c r="D93" s="775">
        <f>+Org!N72</f>
        <v>0</v>
      </c>
      <c r="E93" s="775">
        <f t="shared" si="75"/>
        <v>0</v>
      </c>
      <c r="F93" s="775">
        <f t="shared" si="76"/>
        <v>0</v>
      </c>
      <c r="G93" s="775">
        <f t="shared" si="77"/>
        <v>0</v>
      </c>
      <c r="H93" s="775">
        <f t="shared" si="78"/>
        <v>0</v>
      </c>
      <c r="I93" s="775"/>
      <c r="J93" s="775"/>
      <c r="K93" s="775"/>
    </row>
    <row r="94" spans="2:16">
      <c r="B94" s="198" t="str">
        <f>+Org!A73</f>
        <v>BO</v>
      </c>
      <c r="C94" s="406" t="str">
        <f>+Org!B73</f>
        <v>Chauffeur</v>
      </c>
      <c r="D94" s="775">
        <f>+Org!N73</f>
        <v>275000</v>
      </c>
      <c r="E94" s="775">
        <f t="shared" si="75"/>
        <v>22916.666666666668</v>
      </c>
      <c r="F94" s="775">
        <f t="shared" si="76"/>
        <v>45833.333333333336</v>
      </c>
      <c r="G94" s="775">
        <f t="shared" si="77"/>
        <v>68750</v>
      </c>
      <c r="H94" s="775">
        <f t="shared" si="78"/>
        <v>91666.666666666672</v>
      </c>
      <c r="I94" s="775"/>
      <c r="J94" s="775"/>
      <c r="K94" s="775"/>
    </row>
    <row r="95" spans="2:16">
      <c r="B95" s="198" t="str">
        <f>+Org!A74</f>
        <v>BO</v>
      </c>
      <c r="C95" s="406" t="str">
        <f>+Org!B74</f>
        <v>Aide Chauffeur</v>
      </c>
      <c r="D95" s="775">
        <f>+Org!N74</f>
        <v>250000</v>
      </c>
      <c r="E95" s="775">
        <f t="shared" si="75"/>
        <v>20833.333333333332</v>
      </c>
      <c r="F95" s="775">
        <f t="shared" si="76"/>
        <v>41666.666666666664</v>
      </c>
      <c r="G95" s="775">
        <f t="shared" si="77"/>
        <v>62500</v>
      </c>
      <c r="H95" s="775">
        <f t="shared" si="78"/>
        <v>83333.333333333328</v>
      </c>
      <c r="I95" s="775"/>
      <c r="J95" s="775"/>
      <c r="K95" s="775"/>
    </row>
    <row r="96" spans="2:16" ht="17.25" thickBot="1">
      <c r="B96" s="774" t="str">
        <f>+Org!A75</f>
        <v>BO</v>
      </c>
      <c r="C96" s="773" t="str">
        <f>+Org!B75</f>
        <v>Caissiere</v>
      </c>
      <c r="D96" s="786">
        <f>+Org!N75</f>
        <v>250000</v>
      </c>
      <c r="E96" s="786">
        <f t="shared" si="75"/>
        <v>20833.333333333332</v>
      </c>
      <c r="F96" s="786">
        <f t="shared" si="76"/>
        <v>41666.666666666664</v>
      </c>
      <c r="G96" s="786">
        <f t="shared" si="77"/>
        <v>62500</v>
      </c>
      <c r="H96" s="786">
        <f t="shared" si="78"/>
        <v>83333.333333333328</v>
      </c>
    </row>
    <row r="97" spans="1:16" ht="17.25" thickBot="1">
      <c r="D97" s="775"/>
      <c r="E97" s="775"/>
      <c r="F97" s="775"/>
      <c r="G97" s="775"/>
      <c r="H97" s="775"/>
      <c r="I97" s="775"/>
      <c r="J97" s="775"/>
      <c r="K97" s="775"/>
    </row>
    <row r="98" spans="1:16">
      <c r="B98" s="407" t="s">
        <v>1109</v>
      </c>
      <c r="C98" s="779" t="s">
        <v>1280</v>
      </c>
      <c r="D98" s="408" t="str">
        <f t="shared" ref="D98:P98" si="79">+D73</f>
        <v>Janvier</v>
      </c>
      <c r="E98" s="408" t="str">
        <f t="shared" si="79"/>
        <v>Février</v>
      </c>
      <c r="F98" s="408" t="str">
        <f t="shared" si="79"/>
        <v>Mars</v>
      </c>
      <c r="G98" s="408" t="str">
        <f t="shared" si="79"/>
        <v>Avril</v>
      </c>
      <c r="H98" s="408" t="str">
        <f t="shared" si="79"/>
        <v>Mai</v>
      </c>
      <c r="I98" s="408" t="str">
        <f t="shared" si="79"/>
        <v>Juin</v>
      </c>
      <c r="J98" s="408" t="str">
        <f t="shared" si="79"/>
        <v>Juillet</v>
      </c>
      <c r="K98" s="408" t="str">
        <f t="shared" si="79"/>
        <v>Août</v>
      </c>
      <c r="L98" s="408" t="str">
        <f t="shared" si="79"/>
        <v>Septembre</v>
      </c>
      <c r="M98" s="408" t="str">
        <f t="shared" si="79"/>
        <v>Octobre</v>
      </c>
      <c r="N98" s="408" t="str">
        <f t="shared" si="79"/>
        <v>Novembre</v>
      </c>
      <c r="O98" s="408" t="str">
        <f t="shared" si="79"/>
        <v>Décembre</v>
      </c>
      <c r="P98" s="408" t="str">
        <f t="shared" si="79"/>
        <v>Total</v>
      </c>
    </row>
    <row r="99" spans="1:16">
      <c r="B99" s="468">
        <f>+Org!M66</f>
        <v>1</v>
      </c>
      <c r="C99" s="198" t="str">
        <f t="shared" ref="C99:C106" si="80">+C89</f>
        <v>RAF</v>
      </c>
      <c r="D99" s="808">
        <f>+IF($D$25&gt;=$H$85,H89,IF($D$25&gt;=$G$85,G89,IF($D$25&gt;=$F$85,F89,IF($D$25&gt;=$E$85,E89,0))))</f>
        <v>41666.666666666664</v>
      </c>
      <c r="E99" s="808">
        <f t="shared" ref="E99:E106" si="81">+IF($E$25&gt;=$H$85,H89,IF($E$25&gt;=$G$85,G89,IF($E$25&gt;=$F$85,F89,IF($E$25&gt;=$E$85,E89,0))))</f>
        <v>41666.666666666664</v>
      </c>
      <c r="F99" s="808">
        <f t="shared" ref="F99:F106" si="82">+IF($F$25&gt;=$H$85,H89,IF($F$25&gt;=$G$85,G89,IF($F$25&gt;=$F$85,F89,IF($F$25&gt;=$E$85,E89,0))))</f>
        <v>41666.666666666664</v>
      </c>
      <c r="G99" s="808">
        <f t="shared" ref="G99:G106" si="83">+IF($G$25&gt;=$H$85,H89,IF($G$25&gt;=$G$85,G89,IF($G$25&gt;=$F$85,F89,IF($G$25&gt;=$E$85,E89,0))))</f>
        <v>41666.666666666664</v>
      </c>
      <c r="H99" s="808">
        <f t="shared" ref="H99:H106" si="84">+IF($H$25&gt;=$H$85,H89,IF($H$25&gt;=$G$85,G89,IF($H$25&gt;=$F$85,F89,IF($H$25&gt;=$E$85,E89,0))))</f>
        <v>41666.666666666664</v>
      </c>
      <c r="I99" s="808">
        <f t="shared" ref="I99:I106" si="85">+IF($I$25&gt;=$H$85,H89,IF($I$25&gt;=$G$85,G89,IF($I$25&gt;=$F$85,F89,IF($I$25&gt;=$E$85,E89,0))))</f>
        <v>41666.666666666664</v>
      </c>
      <c r="J99" s="808">
        <f t="shared" ref="J99:J106" si="86">+IF($J$25&gt;=$H$85,H89,IF($J$25&gt;=$G$85,G89,IF($J$25&gt;=$F$85,F89,IF($J$25&gt;=$E$85,E89,0))))</f>
        <v>41666.666666666664</v>
      </c>
      <c r="K99" s="808">
        <f t="shared" ref="K99:K106" si="87">+IF($K$25&gt;=$H$85,H89,IF($K$25&gt;=$G$85,G89,IF($K$25&gt;=$F$85,F89,IF($K$25&gt;=$E$85,E89,0))))</f>
        <v>41666.666666666664</v>
      </c>
      <c r="L99" s="808">
        <f t="shared" ref="L99:L106" si="88">+IF($L$25&gt;=$H$85,H89,IF($L$25&gt;=$G$85,G89,IF($L$25&gt;=$F$85,F89,IF($L$25&gt;=$E$85,E89,0))))</f>
        <v>41666.666666666664</v>
      </c>
      <c r="M99" s="808">
        <f t="shared" ref="M99:M106" si="89">+IF($M$25&gt;=$H$85,H89,IF($M$25&gt;=$G$85,G89,IF($M$25&gt;=$F$85,F89,IF($M$25&gt;=$E$85,E89,0))))</f>
        <v>41666.666666666664</v>
      </c>
      <c r="N99" s="808">
        <f t="shared" ref="N99:N106" si="90">+IF($N$25&gt;=$H$61,H89,IF($N$25&gt;=$G$61,G89,IF($N$25&gt;=$F$61,F89,IF($N$25&gt;=$E$61,E89,0))))</f>
        <v>41666.666666666664</v>
      </c>
      <c r="O99" s="808">
        <f t="shared" ref="O99:O106" si="91">+IF($O$25&gt;=$H$61,H89,IF($O$25&gt;=$G$61,G89,IF($O$25&gt;=$F$61,F89,IF($O$25&gt;=$E$61,E89,0))))</f>
        <v>41666.666666666664</v>
      </c>
      <c r="P99" s="808">
        <f>SUM(D99:O99)</f>
        <v>500000.00000000006</v>
      </c>
    </row>
    <row r="100" spans="1:16">
      <c r="B100" s="468">
        <f>+Org!M67</f>
        <v>1</v>
      </c>
      <c r="C100" s="198" t="str">
        <f t="shared" si="80"/>
        <v>Resp Transit</v>
      </c>
      <c r="D100" s="808">
        <f t="shared" ref="D100:D106" si="92">+IF($D$25&gt;=$H$85,H90,IF($D$25&gt;=$G$85,G90,IF($D$25&gt;=$F$85,F90,IF($D$25&gt;=$E$85,E90,0))))</f>
        <v>41666.666666666664</v>
      </c>
      <c r="E100" s="808">
        <f t="shared" si="81"/>
        <v>41666.666666666664</v>
      </c>
      <c r="F100" s="808">
        <f t="shared" si="82"/>
        <v>41666.666666666664</v>
      </c>
      <c r="G100" s="808">
        <f t="shared" si="83"/>
        <v>41666.666666666664</v>
      </c>
      <c r="H100" s="808">
        <f t="shared" si="84"/>
        <v>41666.666666666664</v>
      </c>
      <c r="I100" s="808">
        <f t="shared" si="85"/>
        <v>41666.666666666664</v>
      </c>
      <c r="J100" s="808">
        <f t="shared" si="86"/>
        <v>41666.666666666664</v>
      </c>
      <c r="K100" s="808">
        <f t="shared" si="87"/>
        <v>41666.666666666664</v>
      </c>
      <c r="L100" s="808">
        <f t="shared" si="88"/>
        <v>41666.666666666664</v>
      </c>
      <c r="M100" s="808">
        <f t="shared" si="89"/>
        <v>41666.666666666664</v>
      </c>
      <c r="N100" s="808">
        <f t="shared" si="90"/>
        <v>41666.666666666664</v>
      </c>
      <c r="O100" s="808">
        <f t="shared" si="91"/>
        <v>41666.666666666664</v>
      </c>
      <c r="P100" s="808">
        <f t="shared" ref="P100:P106" si="93">SUM(D100:O100)</f>
        <v>500000.00000000006</v>
      </c>
    </row>
    <row r="101" spans="1:16">
      <c r="B101" s="468">
        <f>+Org!M69</f>
        <v>0</v>
      </c>
      <c r="C101" s="198" t="str">
        <f t="shared" si="80"/>
        <v>Resp Entretien</v>
      </c>
      <c r="D101" s="808">
        <f t="shared" si="92"/>
        <v>0</v>
      </c>
      <c r="E101" s="808">
        <f t="shared" si="81"/>
        <v>0</v>
      </c>
      <c r="F101" s="808">
        <f t="shared" si="82"/>
        <v>0</v>
      </c>
      <c r="G101" s="808">
        <f t="shared" si="83"/>
        <v>0</v>
      </c>
      <c r="H101" s="808">
        <f t="shared" si="84"/>
        <v>0</v>
      </c>
      <c r="I101" s="808">
        <f t="shared" si="85"/>
        <v>0</v>
      </c>
      <c r="J101" s="808">
        <f t="shared" si="86"/>
        <v>0</v>
      </c>
      <c r="K101" s="808">
        <f t="shared" si="87"/>
        <v>0</v>
      </c>
      <c r="L101" s="808">
        <f t="shared" si="88"/>
        <v>0</v>
      </c>
      <c r="M101" s="808">
        <f t="shared" si="89"/>
        <v>0</v>
      </c>
      <c r="N101" s="808">
        <f t="shared" si="90"/>
        <v>0</v>
      </c>
      <c r="O101" s="808">
        <f t="shared" si="91"/>
        <v>0</v>
      </c>
      <c r="P101" s="808">
        <f t="shared" si="93"/>
        <v>0</v>
      </c>
    </row>
    <row r="102" spans="1:16">
      <c r="B102" s="468">
        <f>+Org!M70</f>
        <v>2</v>
      </c>
      <c r="C102" s="198" t="str">
        <f t="shared" si="80"/>
        <v>Transitaire</v>
      </c>
      <c r="D102" s="808">
        <f t="shared" si="92"/>
        <v>83333.333333333328</v>
      </c>
      <c r="E102" s="808">
        <f t="shared" si="81"/>
        <v>83333.333333333328</v>
      </c>
      <c r="F102" s="808">
        <f t="shared" si="82"/>
        <v>83333.333333333328</v>
      </c>
      <c r="G102" s="808">
        <f t="shared" si="83"/>
        <v>83333.333333333328</v>
      </c>
      <c r="H102" s="808">
        <f t="shared" si="84"/>
        <v>83333.333333333328</v>
      </c>
      <c r="I102" s="808">
        <f t="shared" si="85"/>
        <v>83333.333333333328</v>
      </c>
      <c r="J102" s="808">
        <f t="shared" si="86"/>
        <v>83333.333333333328</v>
      </c>
      <c r="K102" s="808">
        <f t="shared" si="87"/>
        <v>83333.333333333328</v>
      </c>
      <c r="L102" s="808">
        <f t="shared" si="88"/>
        <v>83333.333333333328</v>
      </c>
      <c r="M102" s="808">
        <f t="shared" si="89"/>
        <v>83333.333333333328</v>
      </c>
      <c r="N102" s="808">
        <f t="shared" si="90"/>
        <v>83333.333333333328</v>
      </c>
      <c r="O102" s="808">
        <f t="shared" si="91"/>
        <v>83333.333333333328</v>
      </c>
      <c r="P102" s="808">
        <f t="shared" si="93"/>
        <v>1000000.0000000001</v>
      </c>
    </row>
    <row r="103" spans="1:16">
      <c r="B103" s="468">
        <f>+Org!M72</f>
        <v>0</v>
      </c>
      <c r="C103" s="198" t="str">
        <f t="shared" si="80"/>
        <v>Aide Entretien</v>
      </c>
      <c r="D103" s="808">
        <f t="shared" si="92"/>
        <v>0</v>
      </c>
      <c r="E103" s="808">
        <f t="shared" si="81"/>
        <v>0</v>
      </c>
      <c r="F103" s="808">
        <f t="shared" si="82"/>
        <v>0</v>
      </c>
      <c r="G103" s="808">
        <f t="shared" si="83"/>
        <v>0</v>
      </c>
      <c r="H103" s="808">
        <f t="shared" si="84"/>
        <v>0</v>
      </c>
      <c r="I103" s="808">
        <f t="shared" si="85"/>
        <v>0</v>
      </c>
      <c r="J103" s="808">
        <f t="shared" si="86"/>
        <v>0</v>
      </c>
      <c r="K103" s="808">
        <f t="shared" si="87"/>
        <v>0</v>
      </c>
      <c r="L103" s="808">
        <f t="shared" si="88"/>
        <v>0</v>
      </c>
      <c r="M103" s="808">
        <f t="shared" si="89"/>
        <v>0</v>
      </c>
      <c r="N103" s="808">
        <f t="shared" si="90"/>
        <v>0</v>
      </c>
      <c r="O103" s="808">
        <f t="shared" si="91"/>
        <v>0</v>
      </c>
      <c r="P103" s="808">
        <f t="shared" si="93"/>
        <v>0</v>
      </c>
    </row>
    <row r="104" spans="1:16">
      <c r="B104" s="468">
        <f>+Org!M73</f>
        <v>1</v>
      </c>
      <c r="C104" s="198" t="str">
        <f t="shared" si="80"/>
        <v>Chauffeur</v>
      </c>
      <c r="D104" s="808">
        <f t="shared" si="92"/>
        <v>22916.666666666668</v>
      </c>
      <c r="E104" s="808">
        <f t="shared" si="81"/>
        <v>22916.666666666668</v>
      </c>
      <c r="F104" s="808">
        <f t="shared" si="82"/>
        <v>22916.666666666668</v>
      </c>
      <c r="G104" s="808">
        <f t="shared" si="83"/>
        <v>22916.666666666668</v>
      </c>
      <c r="H104" s="808">
        <f t="shared" si="84"/>
        <v>22916.666666666668</v>
      </c>
      <c r="I104" s="808">
        <f t="shared" si="85"/>
        <v>22916.666666666668</v>
      </c>
      <c r="J104" s="808">
        <f t="shared" si="86"/>
        <v>22916.666666666668</v>
      </c>
      <c r="K104" s="808">
        <f t="shared" si="87"/>
        <v>22916.666666666668</v>
      </c>
      <c r="L104" s="808">
        <f t="shared" si="88"/>
        <v>22916.666666666668</v>
      </c>
      <c r="M104" s="808">
        <f t="shared" si="89"/>
        <v>22916.666666666668</v>
      </c>
      <c r="N104" s="808">
        <f t="shared" si="90"/>
        <v>22916.666666666668</v>
      </c>
      <c r="O104" s="808">
        <f t="shared" si="91"/>
        <v>22916.666666666668</v>
      </c>
      <c r="P104" s="808">
        <f t="shared" si="93"/>
        <v>274999.99999999994</v>
      </c>
    </row>
    <row r="105" spans="1:16">
      <c r="B105" s="468">
        <f>+Org!M74</f>
        <v>1</v>
      </c>
      <c r="C105" s="198" t="str">
        <f t="shared" si="80"/>
        <v>Aide Chauffeur</v>
      </c>
      <c r="D105" s="808">
        <f t="shared" si="92"/>
        <v>20833.333333333332</v>
      </c>
      <c r="E105" s="808">
        <f t="shared" si="81"/>
        <v>20833.333333333332</v>
      </c>
      <c r="F105" s="808">
        <f t="shared" si="82"/>
        <v>20833.333333333332</v>
      </c>
      <c r="G105" s="808">
        <f t="shared" si="83"/>
        <v>20833.333333333332</v>
      </c>
      <c r="H105" s="808">
        <f t="shared" si="84"/>
        <v>20833.333333333332</v>
      </c>
      <c r="I105" s="808">
        <f t="shared" si="85"/>
        <v>20833.333333333332</v>
      </c>
      <c r="J105" s="808">
        <f t="shared" si="86"/>
        <v>20833.333333333332</v>
      </c>
      <c r="K105" s="808">
        <f t="shared" si="87"/>
        <v>20833.333333333332</v>
      </c>
      <c r="L105" s="808">
        <f t="shared" si="88"/>
        <v>20833.333333333332</v>
      </c>
      <c r="M105" s="808">
        <f t="shared" si="89"/>
        <v>20833.333333333332</v>
      </c>
      <c r="N105" s="808">
        <f t="shared" si="90"/>
        <v>20833.333333333332</v>
      </c>
      <c r="O105" s="808">
        <f t="shared" si="91"/>
        <v>20833.333333333332</v>
      </c>
      <c r="P105" s="808">
        <f t="shared" si="93"/>
        <v>250000.00000000003</v>
      </c>
    </row>
    <row r="106" spans="1:16">
      <c r="B106" s="468">
        <f>+Org!M75</f>
        <v>1</v>
      </c>
      <c r="C106" s="198" t="str">
        <f t="shared" si="80"/>
        <v>Caissiere</v>
      </c>
      <c r="D106" s="808">
        <f t="shared" si="92"/>
        <v>20833.333333333332</v>
      </c>
      <c r="E106" s="808">
        <f t="shared" si="81"/>
        <v>20833.333333333332</v>
      </c>
      <c r="F106" s="808">
        <f t="shared" si="82"/>
        <v>20833.333333333332</v>
      </c>
      <c r="G106" s="808">
        <f t="shared" si="83"/>
        <v>20833.333333333332</v>
      </c>
      <c r="H106" s="808">
        <f t="shared" si="84"/>
        <v>20833.333333333332</v>
      </c>
      <c r="I106" s="808">
        <f t="shared" si="85"/>
        <v>20833.333333333332</v>
      </c>
      <c r="J106" s="808">
        <f t="shared" si="86"/>
        <v>20833.333333333332</v>
      </c>
      <c r="K106" s="808">
        <f t="shared" si="87"/>
        <v>20833.333333333332</v>
      </c>
      <c r="L106" s="808">
        <f t="shared" si="88"/>
        <v>20833.333333333332</v>
      </c>
      <c r="M106" s="808">
        <f t="shared" si="89"/>
        <v>20833.333333333332</v>
      </c>
      <c r="N106" s="808">
        <f t="shared" si="90"/>
        <v>20833.333333333332</v>
      </c>
      <c r="O106" s="808">
        <f t="shared" si="91"/>
        <v>20833.333333333332</v>
      </c>
      <c r="P106" s="808">
        <f t="shared" si="93"/>
        <v>250000.00000000003</v>
      </c>
    </row>
    <row r="107" spans="1:16" ht="17.25" thickBot="1">
      <c r="B107" s="898">
        <f>SUM(B99:B106)</f>
        <v>7</v>
      </c>
      <c r="C107" s="409" t="s">
        <v>362</v>
      </c>
      <c r="D107" s="809">
        <f t="shared" ref="D107:P107" si="94">SUM(D99:D106)</f>
        <v>231250</v>
      </c>
      <c r="E107" s="809">
        <f t="shared" si="94"/>
        <v>231250</v>
      </c>
      <c r="F107" s="809">
        <f t="shared" si="94"/>
        <v>231250</v>
      </c>
      <c r="G107" s="809">
        <f t="shared" si="94"/>
        <v>231250</v>
      </c>
      <c r="H107" s="809">
        <f t="shared" si="94"/>
        <v>231250</v>
      </c>
      <c r="I107" s="809">
        <f t="shared" si="94"/>
        <v>231250</v>
      </c>
      <c r="J107" s="809">
        <f t="shared" si="94"/>
        <v>231250</v>
      </c>
      <c r="K107" s="809">
        <f t="shared" si="94"/>
        <v>231250</v>
      </c>
      <c r="L107" s="809">
        <f t="shared" si="94"/>
        <v>231250</v>
      </c>
      <c r="M107" s="809">
        <f t="shared" si="94"/>
        <v>231250</v>
      </c>
      <c r="N107" s="809">
        <f t="shared" si="94"/>
        <v>231250</v>
      </c>
      <c r="O107" s="809">
        <f t="shared" si="94"/>
        <v>231250</v>
      </c>
      <c r="P107" s="809">
        <f t="shared" si="94"/>
        <v>2775000</v>
      </c>
    </row>
    <row r="112" spans="1:16">
      <c r="A112" s="198" t="s">
        <v>1274</v>
      </c>
      <c r="B112" s="198">
        <f>+B40+B46+B56</f>
        <v>55</v>
      </c>
    </row>
    <row r="113" spans="1:2">
      <c r="A113" s="198" t="s">
        <v>1275</v>
      </c>
      <c r="B113" s="198">
        <f>+B81+B107</f>
        <v>18</v>
      </c>
    </row>
    <row r="114" spans="1:2">
      <c r="B114" s="199">
        <f>SUM(B112:B113)</f>
        <v>73</v>
      </c>
    </row>
  </sheetData>
  <mergeCells count="1">
    <mergeCell ref="C15:E15"/>
  </mergeCell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0"/>
  <dimension ref="B1:R48"/>
  <sheetViews>
    <sheetView topLeftCell="B31" zoomScale="130" zoomScaleNormal="130" workbookViewId="0">
      <selection activeCell="B56" sqref="B56"/>
    </sheetView>
  </sheetViews>
  <sheetFormatPr baseColWidth="10" defaultRowHeight="12.75"/>
  <cols>
    <col min="1" max="1" width="1.42578125" style="969" customWidth="1"/>
    <col min="2" max="2" width="21.7109375" style="969" bestFit="1" customWidth="1"/>
    <col min="3" max="3" width="11" style="969" customWidth="1"/>
    <col min="4" max="4" width="14.28515625" style="969" bestFit="1" customWidth="1"/>
    <col min="5" max="5" width="13.28515625" style="969" bestFit="1" customWidth="1"/>
    <col min="6" max="8" width="11" style="969" bestFit="1" customWidth="1"/>
    <col min="9" max="15" width="11.42578125" style="969" bestFit="1" customWidth="1"/>
    <col min="16" max="16" width="12.42578125" style="969" bestFit="1" customWidth="1"/>
    <col min="17" max="17" width="0.85546875" style="969" customWidth="1"/>
    <col min="18" max="16384" width="11.42578125" style="969"/>
  </cols>
  <sheetData>
    <row r="1" spans="2:18" ht="13.5" thickBot="1">
      <c r="D1" s="970"/>
      <c r="E1" s="970"/>
      <c r="F1" s="970"/>
      <c r="G1" s="970"/>
      <c r="H1" s="970"/>
      <c r="I1" s="970"/>
      <c r="J1" s="970"/>
      <c r="K1" s="970"/>
      <c r="L1" s="970"/>
      <c r="M1" s="970"/>
      <c r="N1" s="970"/>
      <c r="O1" s="970"/>
      <c r="P1" s="970"/>
    </row>
    <row r="2" spans="2:18" ht="12" customHeight="1">
      <c r="B2" s="1042" t="s">
        <v>877</v>
      </c>
      <c r="C2" s="1043"/>
      <c r="D2" s="1042" t="s">
        <v>614</v>
      </c>
      <c r="E2" s="1042" t="s">
        <v>615</v>
      </c>
      <c r="F2" s="1042" t="s">
        <v>616</v>
      </c>
      <c r="G2" s="1042" t="s">
        <v>617</v>
      </c>
      <c r="H2" s="1042" t="s">
        <v>618</v>
      </c>
      <c r="I2" s="1042" t="s">
        <v>619</v>
      </c>
      <c r="J2" s="1042" t="s">
        <v>620</v>
      </c>
      <c r="K2" s="1042" t="s">
        <v>621</v>
      </c>
      <c r="L2" s="1042" t="s">
        <v>622</v>
      </c>
      <c r="M2" s="1042" t="s">
        <v>623</v>
      </c>
      <c r="N2" s="1042" t="s">
        <v>624</v>
      </c>
      <c r="O2" s="1042" t="s">
        <v>625</v>
      </c>
      <c r="P2" s="1042" t="s">
        <v>517</v>
      </c>
    </row>
    <row r="3" spans="2:18" ht="12" customHeight="1">
      <c r="B3" s="1044" t="s">
        <v>518</v>
      </c>
      <c r="C3" s="1044"/>
    </row>
    <row r="4" spans="2:18" ht="12" customHeight="1">
      <c r="B4" s="982" t="s">
        <v>916</v>
      </c>
      <c r="C4" s="982"/>
      <c r="D4" s="970">
        <f>+'Détails Achats direct'!D15</f>
        <v>207729375</v>
      </c>
      <c r="E4" s="970">
        <f>+'Détails Achats direct'!E15</f>
        <v>208335000</v>
      </c>
      <c r="F4" s="970">
        <f>+'Détails Achats direct'!F15</f>
        <v>207729375</v>
      </c>
      <c r="G4" s="970">
        <f>+'Détails Achats direct'!G15</f>
        <v>208335000</v>
      </c>
      <c r="H4" s="970">
        <f>+'Détails Achats direct'!H15</f>
        <v>207729375</v>
      </c>
      <c r="I4" s="970">
        <f>+'Détails Achats direct'!I15</f>
        <v>208335000</v>
      </c>
      <c r="J4" s="970">
        <f>+'Détails Achats direct'!J15</f>
        <v>207729375</v>
      </c>
      <c r="K4" s="970">
        <f>+'Détails Achats direct'!K15</f>
        <v>208335000</v>
      </c>
      <c r="L4" s="970">
        <f>+'Détails Achats direct'!L15</f>
        <v>191727812.5</v>
      </c>
      <c r="M4" s="970">
        <f>+'Détails Achats direct'!M15</f>
        <v>192600625</v>
      </c>
      <c r="N4" s="970">
        <f>+'Détails Achats direct'!N15</f>
        <v>191727812.5</v>
      </c>
      <c r="O4" s="970">
        <f>+'Détails Achats direct'!O15</f>
        <v>192600625</v>
      </c>
      <c r="P4" s="970">
        <f t="shared" ref="P4:P28" si="0">SUM(D4:O4)</f>
        <v>2432914375</v>
      </c>
      <c r="Q4" s="970"/>
      <c r="R4" s="969" t="s">
        <v>1299</v>
      </c>
    </row>
    <row r="5" spans="2:18" ht="12" customHeight="1">
      <c r="B5" s="982" t="s">
        <v>1769</v>
      </c>
      <c r="C5" s="982"/>
      <c r="D5" s="970">
        <f>IFERROR(-'Besoins en micas'!C28,"")</f>
        <v>-7417375</v>
      </c>
      <c r="E5" s="970">
        <f>IFERROR(-'Besoins en micas'!D28,"")</f>
        <v>-7439000</v>
      </c>
      <c r="F5" s="970">
        <f>IFERROR(-'Besoins en micas'!E28,"")</f>
        <v>-7417375</v>
      </c>
      <c r="G5" s="970">
        <f>IFERROR(-'Besoins en micas'!F28,"")</f>
        <v>-7439000</v>
      </c>
      <c r="H5" s="970">
        <f>IFERROR(-'Besoins en micas'!G28,"")</f>
        <v>-7417375</v>
      </c>
      <c r="I5" s="970">
        <f>IFERROR(-'Besoins en micas'!H28,"")</f>
        <v>-7439000</v>
      </c>
      <c r="J5" s="970">
        <f>IFERROR(-'Besoins en micas'!I28,"")</f>
        <v>-7417375</v>
      </c>
      <c r="K5" s="970">
        <f>IFERROR(-'Besoins en micas'!J28,"")</f>
        <v>-7439000</v>
      </c>
      <c r="L5" s="970">
        <f>IFERROR(-'Besoins en micas'!K28,"")</f>
        <v>7125437.5</v>
      </c>
      <c r="M5" s="970">
        <f>IFERROR(-'Besoins en micas'!L28,"")</f>
        <v>7157875</v>
      </c>
      <c r="N5" s="970">
        <f>IFERROR(-'Besoins en micas'!M28,"")</f>
        <v>7125437.5</v>
      </c>
      <c r="O5" s="970">
        <f>IFERROR(-'Besoins en micas'!N28,"")</f>
        <v>7157875</v>
      </c>
      <c r="P5" s="970">
        <f t="shared" si="0"/>
        <v>-30858875</v>
      </c>
      <c r="Q5" s="970"/>
      <c r="R5" s="969" t="s">
        <v>1299</v>
      </c>
    </row>
    <row r="6" spans="2:18" ht="12" customHeight="1">
      <c r="B6" s="1044" t="s">
        <v>524</v>
      </c>
      <c r="C6" s="1044"/>
      <c r="D6" s="970"/>
      <c r="E6" s="970"/>
      <c r="F6" s="970"/>
      <c r="G6" s="970"/>
      <c r="H6" s="970"/>
      <c r="I6" s="970"/>
      <c r="J6" s="970"/>
      <c r="K6" s="970"/>
      <c r="L6" s="970"/>
      <c r="M6" s="970"/>
      <c r="N6" s="970"/>
      <c r="O6" s="970"/>
      <c r="P6" s="970"/>
      <c r="Q6" s="970"/>
    </row>
    <row r="7" spans="2:18" ht="12" customHeight="1">
      <c r="B7" s="982" t="str">
        <f>+'Détails Achats direct'!C24</f>
        <v>Sacs propylenes</v>
      </c>
      <c r="C7" s="982"/>
      <c r="D7" s="970">
        <f>+'Détails Achats direct'!D26</f>
        <v>21248200</v>
      </c>
      <c r="E7" s="970">
        <f>+'Détails Achats direct'!E26</f>
        <v>21367600</v>
      </c>
      <c r="F7" s="970">
        <f>+'Détails Achats direct'!F26</f>
        <v>21248200</v>
      </c>
      <c r="G7" s="970">
        <f>+'Détails Achats direct'!G26</f>
        <v>21367600</v>
      </c>
      <c r="H7" s="970">
        <f>+'Détails Achats direct'!H26</f>
        <v>21248200</v>
      </c>
      <c r="I7" s="970">
        <f>+'Détails Achats direct'!I26</f>
        <v>21367600</v>
      </c>
      <c r="J7" s="970">
        <f>+'Détails Achats direct'!J26</f>
        <v>21248200</v>
      </c>
      <c r="K7" s="970">
        <f>+'Détails Achats direct'!K26</f>
        <v>21367600</v>
      </c>
      <c r="L7" s="970">
        <f>+'Détails Achats direct'!L26</f>
        <v>20403300</v>
      </c>
      <c r="M7" s="970">
        <f>+'Détails Achats direct'!M26</f>
        <v>20582400</v>
      </c>
      <c r="N7" s="970">
        <f>+'Détails Achats direct'!N26</f>
        <v>20403300</v>
      </c>
      <c r="O7" s="970">
        <f>+'Détails Achats direct'!O26</f>
        <v>20582400</v>
      </c>
      <c r="P7" s="970">
        <f t="shared" si="0"/>
        <v>252434600</v>
      </c>
      <c r="Q7" s="970"/>
      <c r="R7" s="969" t="s">
        <v>1299</v>
      </c>
    </row>
    <row r="8" spans="2:18" ht="12" customHeight="1">
      <c r="B8" s="1044" t="s">
        <v>498</v>
      </c>
      <c r="C8" s="1044"/>
      <c r="D8" s="970"/>
      <c r="E8" s="970"/>
      <c r="F8" s="970"/>
      <c r="G8" s="970"/>
      <c r="H8" s="970"/>
      <c r="I8" s="970"/>
      <c r="J8" s="970"/>
      <c r="K8" s="970"/>
      <c r="L8" s="970"/>
      <c r="M8" s="970"/>
      <c r="N8" s="970"/>
      <c r="O8" s="970"/>
      <c r="P8" s="970"/>
      <c r="Q8" s="970"/>
      <c r="R8" s="970"/>
    </row>
    <row r="9" spans="2:18" ht="12" customHeight="1">
      <c r="B9" s="982" t="s">
        <v>917</v>
      </c>
      <c r="C9" s="982"/>
      <c r="D9" s="970">
        <f>+'Détails Achats direct'!D31</f>
        <v>1290000</v>
      </c>
      <c r="E9" s="970">
        <f>+'Détails Achats direct'!E31</f>
        <v>1290000</v>
      </c>
      <c r="F9" s="970">
        <f>+'Détails Achats direct'!F31</f>
        <v>1290000</v>
      </c>
      <c r="G9" s="970">
        <f>+'Détails Achats direct'!G31</f>
        <v>1290000</v>
      </c>
      <c r="H9" s="970">
        <f>+'Détails Achats direct'!H31</f>
        <v>1290000</v>
      </c>
      <c r="I9" s="970">
        <f>+'Détails Achats direct'!I31</f>
        <v>1290000</v>
      </c>
      <c r="J9" s="970">
        <f>+'Détails Achats direct'!J31</f>
        <v>1290000</v>
      </c>
      <c r="K9" s="970">
        <f>+'Détails Achats direct'!K31</f>
        <v>1290000</v>
      </c>
      <c r="L9" s="970">
        <f>+'Détails Achats direct'!L31</f>
        <v>1290000</v>
      </c>
      <c r="M9" s="970">
        <f>+'Détails Achats direct'!M31</f>
        <v>1290000</v>
      </c>
      <c r="N9" s="970">
        <f>+'Détails Achats direct'!N31</f>
        <v>1290000</v>
      </c>
      <c r="O9" s="970">
        <f>+'Détails Achats direct'!O31</f>
        <v>1290000</v>
      </c>
      <c r="P9" s="970">
        <f>SUM(D9:O9)</f>
        <v>15480000</v>
      </c>
      <c r="Q9" s="970"/>
      <c r="R9" s="970" t="s">
        <v>1298</v>
      </c>
    </row>
    <row r="10" spans="2:18" ht="12" customHeight="1">
      <c r="B10" s="982" t="s">
        <v>500</v>
      </c>
      <c r="C10" s="982"/>
      <c r="D10" s="970">
        <f>+'Détails Achats direct'!D32</f>
        <v>129000</v>
      </c>
      <c r="E10" s="970">
        <f>+'Détails Achats direct'!E32</f>
        <v>129000</v>
      </c>
      <c r="F10" s="970">
        <f>+'Détails Achats direct'!F32</f>
        <v>129000</v>
      </c>
      <c r="G10" s="970">
        <f>+'Détails Achats direct'!G32</f>
        <v>129000</v>
      </c>
      <c r="H10" s="970">
        <f>+'Détails Achats direct'!H32</f>
        <v>129000</v>
      </c>
      <c r="I10" s="970">
        <f>+'Détails Achats direct'!I32</f>
        <v>129000</v>
      </c>
      <c r="J10" s="970">
        <f>+'Détails Achats direct'!J32</f>
        <v>129000</v>
      </c>
      <c r="K10" s="970">
        <f>+'Détails Achats direct'!K32</f>
        <v>129000</v>
      </c>
      <c r="L10" s="970">
        <f>+'Détails Achats direct'!L32</f>
        <v>129000</v>
      </c>
      <c r="M10" s="970">
        <f>+'Détails Achats direct'!M32</f>
        <v>129000</v>
      </c>
      <c r="N10" s="970">
        <f>+'Détails Achats direct'!N32</f>
        <v>129000</v>
      </c>
      <c r="O10" s="970">
        <f>+'Détails Achats direct'!O32</f>
        <v>129000</v>
      </c>
      <c r="P10" s="970">
        <f t="shared" si="0"/>
        <v>1548000</v>
      </c>
      <c r="Q10" s="970"/>
      <c r="R10" s="970" t="s">
        <v>1298</v>
      </c>
    </row>
    <row r="11" spans="2:18" ht="12" customHeight="1">
      <c r="B11" s="1044" t="s">
        <v>501</v>
      </c>
      <c r="C11" s="1044"/>
      <c r="D11" s="970"/>
      <c r="E11" s="970"/>
      <c r="F11" s="970"/>
      <c r="G11" s="970"/>
      <c r="H11" s="970"/>
      <c r="I11" s="970"/>
      <c r="J11" s="970"/>
      <c r="K11" s="970"/>
      <c r="L11" s="970"/>
      <c r="M11" s="970"/>
      <c r="N11" s="970"/>
      <c r="O11" s="970"/>
      <c r="P11" s="970"/>
      <c r="Q11" s="970"/>
      <c r="R11" s="970"/>
    </row>
    <row r="12" spans="2:18" ht="12" customHeight="1">
      <c r="B12" s="982" t="s">
        <v>503</v>
      </c>
      <c r="C12" s="982"/>
      <c r="D12" s="970">
        <f>+'Détails Achats direct'!D34</f>
        <v>1000000</v>
      </c>
      <c r="E12" s="970">
        <f>+'Détails Achats direct'!E34</f>
        <v>1000000</v>
      </c>
      <c r="F12" s="970">
        <f>+'Détails Achats direct'!F34</f>
        <v>1000000</v>
      </c>
      <c r="G12" s="970">
        <f>+'Détails Achats direct'!G34</f>
        <v>1000000</v>
      </c>
      <c r="H12" s="970">
        <f>+'Détails Achats direct'!H34</f>
        <v>1000000</v>
      </c>
      <c r="I12" s="970">
        <f>+'Détails Achats direct'!I34</f>
        <v>1000000</v>
      </c>
      <c r="J12" s="970">
        <f>+'Détails Achats direct'!J34</f>
        <v>1000000</v>
      </c>
      <c r="K12" s="970">
        <f>+'Détails Achats direct'!K34</f>
        <v>1000000</v>
      </c>
      <c r="L12" s="970">
        <f>+'Détails Achats direct'!L34</f>
        <v>1000000</v>
      </c>
      <c r="M12" s="970">
        <f>+'Détails Achats direct'!M34</f>
        <v>1000000</v>
      </c>
      <c r="N12" s="970">
        <f>+'Détails Achats direct'!N34</f>
        <v>1000000</v>
      </c>
      <c r="O12" s="970">
        <f>+'Détails Achats direct'!O34</f>
        <v>1000000</v>
      </c>
      <c r="P12" s="970">
        <f t="shared" si="0"/>
        <v>12000000</v>
      </c>
      <c r="Q12" s="970"/>
      <c r="R12" s="970" t="s">
        <v>1298</v>
      </c>
    </row>
    <row r="13" spans="2:18" ht="12" customHeight="1">
      <c r="B13" s="982" t="s">
        <v>504</v>
      </c>
      <c r="C13" s="982"/>
      <c r="D13" s="970">
        <f>+'Détails Achats direct'!D35</f>
        <v>1240000</v>
      </c>
      <c r="E13" s="970">
        <f>+'Détails Achats direct'!E35</f>
        <v>1240000</v>
      </c>
      <c r="F13" s="970">
        <f>+'Détails Achats direct'!F35</f>
        <v>1240000</v>
      </c>
      <c r="G13" s="970">
        <f>+'Détails Achats direct'!G35</f>
        <v>1240000</v>
      </c>
      <c r="H13" s="970">
        <f>+'Détails Achats direct'!H35</f>
        <v>1240000</v>
      </c>
      <c r="I13" s="970">
        <f>+'Détails Achats direct'!I35</f>
        <v>1240000</v>
      </c>
      <c r="J13" s="970">
        <f>+'Détails Achats direct'!J35</f>
        <v>1240000</v>
      </c>
      <c r="K13" s="970">
        <f>+'Détails Achats direct'!K35</f>
        <v>1240000</v>
      </c>
      <c r="L13" s="970">
        <f>+'Détails Achats direct'!L35</f>
        <v>1240000</v>
      </c>
      <c r="M13" s="970">
        <f>+'Détails Achats direct'!M35</f>
        <v>1240000</v>
      </c>
      <c r="N13" s="970">
        <f>+'Détails Achats direct'!N35</f>
        <v>1240000</v>
      </c>
      <c r="O13" s="970">
        <f>+'Détails Achats direct'!O35</f>
        <v>1240000</v>
      </c>
      <c r="P13" s="970">
        <f t="shared" si="0"/>
        <v>14880000</v>
      </c>
      <c r="Q13" s="970"/>
      <c r="R13" s="970" t="s">
        <v>1298</v>
      </c>
    </row>
    <row r="14" spans="2:18" ht="12" customHeight="1">
      <c r="B14" s="982" t="s">
        <v>505</v>
      </c>
      <c r="C14" s="982"/>
      <c r="D14" s="970">
        <f>+'Détails Achats direct'!D36</f>
        <v>600000</v>
      </c>
      <c r="E14" s="970">
        <f>+'Détails Achats direct'!E36</f>
        <v>600000</v>
      </c>
      <c r="F14" s="970">
        <f>+'Détails Achats direct'!F36</f>
        <v>600000</v>
      </c>
      <c r="G14" s="970">
        <f>+'Détails Achats direct'!G36</f>
        <v>600000</v>
      </c>
      <c r="H14" s="970">
        <f>+'Détails Achats direct'!H36</f>
        <v>600000</v>
      </c>
      <c r="I14" s="970">
        <f>+'Détails Achats direct'!I36</f>
        <v>600000</v>
      </c>
      <c r="J14" s="970">
        <f>+'Détails Achats direct'!J36</f>
        <v>600000</v>
      </c>
      <c r="K14" s="970">
        <f>+'Détails Achats direct'!K36</f>
        <v>600000</v>
      </c>
      <c r="L14" s="970">
        <f>+'Détails Achats direct'!L36</f>
        <v>600000</v>
      </c>
      <c r="M14" s="970">
        <f>+'Détails Achats direct'!M36</f>
        <v>600000</v>
      </c>
      <c r="N14" s="970">
        <f>+'Détails Achats direct'!N36</f>
        <v>600000</v>
      </c>
      <c r="O14" s="970">
        <f>+'Détails Achats direct'!O36</f>
        <v>600000</v>
      </c>
      <c r="P14" s="970">
        <f t="shared" si="0"/>
        <v>7200000</v>
      </c>
      <c r="Q14" s="970"/>
      <c r="R14" s="970" t="s">
        <v>1298</v>
      </c>
    </row>
    <row r="15" spans="2:18" ht="12" customHeight="1">
      <c r="B15" s="982" t="s">
        <v>506</v>
      </c>
      <c r="C15" s="982"/>
      <c r="D15" s="970">
        <f>+'Détails Achats direct'!D37</f>
        <v>0</v>
      </c>
      <c r="E15" s="970">
        <f>+'Détails Achats direct'!E37</f>
        <v>0</v>
      </c>
      <c r="F15" s="970">
        <f>+'Détails Achats direct'!F37</f>
        <v>0</v>
      </c>
      <c r="G15" s="970">
        <f>+'Détails Achats direct'!G37</f>
        <v>0</v>
      </c>
      <c r="H15" s="970">
        <f>+'Détails Achats direct'!H37</f>
        <v>0</v>
      </c>
      <c r="I15" s="970">
        <f>+'Détails Achats direct'!I37</f>
        <v>10000000</v>
      </c>
      <c r="J15" s="970">
        <f>+'Détails Achats direct'!J37</f>
        <v>0</v>
      </c>
      <c r="K15" s="970">
        <f>+'Détails Achats direct'!K37</f>
        <v>0</v>
      </c>
      <c r="L15" s="970">
        <f>+'Détails Achats direct'!L37</f>
        <v>0</v>
      </c>
      <c r="M15" s="970">
        <f>+'Détails Achats direct'!M37</f>
        <v>0</v>
      </c>
      <c r="N15" s="970">
        <f>+'Détails Achats direct'!N37</f>
        <v>0</v>
      </c>
      <c r="O15" s="970">
        <f>+'Détails Achats direct'!O37</f>
        <v>10000000</v>
      </c>
      <c r="P15" s="970">
        <f t="shared" si="0"/>
        <v>20000000</v>
      </c>
      <c r="Q15" s="970"/>
      <c r="R15" s="970" t="s">
        <v>1298</v>
      </c>
    </row>
    <row r="16" spans="2:18" ht="12" customHeight="1">
      <c r="B16" s="982" t="s">
        <v>507</v>
      </c>
      <c r="C16" s="982"/>
      <c r="D16" s="970">
        <f>+'Détails Achats direct'!D38</f>
        <v>660000</v>
      </c>
      <c r="E16" s="970">
        <f>+'Détails Achats direct'!E38</f>
        <v>660000</v>
      </c>
      <c r="F16" s="970">
        <f>+'Détails Achats direct'!F38</f>
        <v>660000</v>
      </c>
      <c r="G16" s="970">
        <f>+'Détails Achats direct'!G38</f>
        <v>660000</v>
      </c>
      <c r="H16" s="970">
        <f>+'Détails Achats direct'!H38</f>
        <v>660000</v>
      </c>
      <c r="I16" s="970">
        <f>+'Détails Achats direct'!I38</f>
        <v>660000</v>
      </c>
      <c r="J16" s="970">
        <f>+'Détails Achats direct'!J38</f>
        <v>660000</v>
      </c>
      <c r="K16" s="970">
        <f>+'Détails Achats direct'!K38</f>
        <v>660000</v>
      </c>
      <c r="L16" s="970">
        <f>+'Détails Achats direct'!L38</f>
        <v>660000</v>
      </c>
      <c r="M16" s="970">
        <f>+'Détails Achats direct'!M38</f>
        <v>660000</v>
      </c>
      <c r="N16" s="970">
        <f>+'Détails Achats direct'!N38</f>
        <v>660000</v>
      </c>
      <c r="O16" s="970">
        <f>+'Détails Achats direct'!O38</f>
        <v>660000</v>
      </c>
      <c r="P16" s="970">
        <f t="shared" si="0"/>
        <v>7920000</v>
      </c>
      <c r="Q16" s="970"/>
      <c r="R16" s="970" t="s">
        <v>1298</v>
      </c>
    </row>
    <row r="17" spans="2:18" ht="12" customHeight="1">
      <c r="B17" s="982" t="s">
        <v>515</v>
      </c>
      <c r="C17" s="982"/>
      <c r="D17" s="970">
        <f>+'Détails Achats direct'!D39</f>
        <v>300000</v>
      </c>
      <c r="E17" s="970">
        <f>+'Détails Achats direct'!E39</f>
        <v>300000</v>
      </c>
      <c r="F17" s="970">
        <f>+'Détails Achats direct'!F39</f>
        <v>300000</v>
      </c>
      <c r="G17" s="970">
        <f>+'Détails Achats direct'!G39</f>
        <v>300000</v>
      </c>
      <c r="H17" s="970">
        <f>+'Détails Achats direct'!H39</f>
        <v>300000</v>
      </c>
      <c r="I17" s="970">
        <f>+'Détails Achats direct'!I39</f>
        <v>300000</v>
      </c>
      <c r="J17" s="970">
        <f>+'Détails Achats direct'!J39</f>
        <v>300000</v>
      </c>
      <c r="K17" s="970">
        <f>+'Détails Achats direct'!K39</f>
        <v>300000</v>
      </c>
      <c r="L17" s="970">
        <f>+'Détails Achats direct'!L39</f>
        <v>300000</v>
      </c>
      <c r="M17" s="970">
        <f>+'Détails Achats direct'!M39</f>
        <v>300000</v>
      </c>
      <c r="N17" s="970">
        <f>+'Détails Achats direct'!N39</f>
        <v>300000</v>
      </c>
      <c r="O17" s="970">
        <f>+'Détails Achats direct'!O39</f>
        <v>300000</v>
      </c>
      <c r="P17" s="970">
        <f t="shared" si="0"/>
        <v>3600000</v>
      </c>
      <c r="Q17" s="970"/>
      <c r="R17" s="970" t="s">
        <v>1298</v>
      </c>
    </row>
    <row r="18" spans="2:18" ht="12" customHeight="1">
      <c r="B18" s="982" t="s">
        <v>508</v>
      </c>
      <c r="C18" s="982"/>
      <c r="D18" s="970">
        <f>+'Détails Achats direct'!D40</f>
        <v>550000</v>
      </c>
      <c r="E18" s="970">
        <f>+'Détails Achats direct'!E40</f>
        <v>550000</v>
      </c>
      <c r="F18" s="970">
        <f>+'Détails Achats direct'!F40</f>
        <v>550000</v>
      </c>
      <c r="G18" s="970">
        <f>+'Détails Achats direct'!G40</f>
        <v>550000</v>
      </c>
      <c r="H18" s="970">
        <f>+'Détails Achats direct'!H40</f>
        <v>550000</v>
      </c>
      <c r="I18" s="970">
        <f>+'Détails Achats direct'!I40</f>
        <v>550000</v>
      </c>
      <c r="J18" s="970">
        <f>+'Détails Achats direct'!J40</f>
        <v>550000</v>
      </c>
      <c r="K18" s="970">
        <f>+'Détails Achats direct'!K40</f>
        <v>550000</v>
      </c>
      <c r="L18" s="970">
        <f>+'Détails Achats direct'!L40</f>
        <v>550000</v>
      </c>
      <c r="M18" s="970">
        <f>+'Détails Achats direct'!M40</f>
        <v>550000</v>
      </c>
      <c r="N18" s="970">
        <f>+'Détails Achats direct'!N40</f>
        <v>550000</v>
      </c>
      <c r="O18" s="970">
        <f>+'Détails Achats direct'!O40</f>
        <v>550000</v>
      </c>
      <c r="P18" s="970">
        <f t="shared" si="0"/>
        <v>6600000</v>
      </c>
      <c r="Q18" s="970"/>
      <c r="R18" s="970" t="s">
        <v>1298</v>
      </c>
    </row>
    <row r="19" spans="2:18" ht="12" customHeight="1">
      <c r="B19" s="982" t="s">
        <v>509</v>
      </c>
      <c r="C19" s="982"/>
      <c r="D19" s="970">
        <f>+'Détails Achats direct'!D41</f>
        <v>500000</v>
      </c>
      <c r="E19" s="970">
        <f>+'Détails Achats direct'!E41</f>
        <v>500000</v>
      </c>
      <c r="F19" s="970">
        <f>+'Détails Achats direct'!F41</f>
        <v>500000</v>
      </c>
      <c r="G19" s="970">
        <f>+'Détails Achats direct'!G41</f>
        <v>500000</v>
      </c>
      <c r="H19" s="970">
        <f>+'Détails Achats direct'!H41</f>
        <v>500000</v>
      </c>
      <c r="I19" s="970">
        <f>+'Détails Achats direct'!I41</f>
        <v>500000</v>
      </c>
      <c r="J19" s="970">
        <f>+'Détails Achats direct'!J41</f>
        <v>500000</v>
      </c>
      <c r="K19" s="970">
        <f>+'Détails Achats direct'!K41</f>
        <v>500000</v>
      </c>
      <c r="L19" s="970">
        <f>+'Détails Achats direct'!L41</f>
        <v>500000</v>
      </c>
      <c r="M19" s="970">
        <f>+'Détails Achats direct'!M41</f>
        <v>500000</v>
      </c>
      <c r="N19" s="970">
        <f>+'Détails Achats direct'!N41</f>
        <v>500000</v>
      </c>
      <c r="O19" s="970">
        <f>+'Détails Achats direct'!O41</f>
        <v>500000</v>
      </c>
      <c r="P19" s="970">
        <f t="shared" si="0"/>
        <v>6000000</v>
      </c>
      <c r="Q19" s="970"/>
      <c r="R19" s="970" t="s">
        <v>1298</v>
      </c>
    </row>
    <row r="20" spans="2:18" ht="12" customHeight="1">
      <c r="B20" s="982" t="s">
        <v>510</v>
      </c>
      <c r="C20" s="982"/>
      <c r="D20" s="970">
        <f>+'Détails Achats direct'!D42</f>
        <v>160000</v>
      </c>
      <c r="E20" s="970">
        <f>+'Détails Achats direct'!E42</f>
        <v>160000</v>
      </c>
      <c r="F20" s="970">
        <f>+'Détails Achats direct'!F42</f>
        <v>160000</v>
      </c>
      <c r="G20" s="970">
        <f>+'Détails Achats direct'!G42</f>
        <v>160000</v>
      </c>
      <c r="H20" s="970">
        <f>+'Détails Achats direct'!H42</f>
        <v>160000</v>
      </c>
      <c r="I20" s="970">
        <f>+'Détails Achats direct'!I42</f>
        <v>160000</v>
      </c>
      <c r="J20" s="970">
        <f>+'Détails Achats direct'!J42</f>
        <v>160000</v>
      </c>
      <c r="K20" s="970">
        <f>+'Détails Achats direct'!K42</f>
        <v>160000</v>
      </c>
      <c r="L20" s="970">
        <f>+'Détails Achats direct'!L42</f>
        <v>160000</v>
      </c>
      <c r="M20" s="970">
        <f>+'Détails Achats direct'!M42</f>
        <v>160000</v>
      </c>
      <c r="N20" s="970">
        <f>+'Détails Achats direct'!N42</f>
        <v>160000</v>
      </c>
      <c r="O20" s="970">
        <f>+'Détails Achats direct'!O42</f>
        <v>160000</v>
      </c>
      <c r="P20" s="970">
        <f t="shared" si="0"/>
        <v>1920000</v>
      </c>
      <c r="Q20" s="970"/>
      <c r="R20" s="970" t="s">
        <v>1298</v>
      </c>
    </row>
    <row r="21" spans="2:18" ht="12" customHeight="1">
      <c r="B21" s="982" t="s">
        <v>512</v>
      </c>
      <c r="C21" s="982"/>
      <c r="D21" s="970">
        <f>+'Détails Achats direct'!D43</f>
        <v>50000</v>
      </c>
      <c r="E21" s="970">
        <f>+'Détails Achats direct'!E43</f>
        <v>50000</v>
      </c>
      <c r="F21" s="970">
        <f>+'Détails Achats direct'!F43</f>
        <v>50000</v>
      </c>
      <c r="G21" s="970">
        <f>+'Détails Achats direct'!G43</f>
        <v>50000</v>
      </c>
      <c r="H21" s="970">
        <f>+'Détails Achats direct'!H43</f>
        <v>50000</v>
      </c>
      <c r="I21" s="970">
        <f>+'Détails Achats direct'!I43</f>
        <v>50000</v>
      </c>
      <c r="J21" s="970">
        <f>+'Détails Achats direct'!J43</f>
        <v>50000</v>
      </c>
      <c r="K21" s="970">
        <f>+'Détails Achats direct'!K43</f>
        <v>50000</v>
      </c>
      <c r="L21" s="970">
        <f>+'Détails Achats direct'!L43</f>
        <v>50000</v>
      </c>
      <c r="M21" s="970">
        <f>+'Détails Achats direct'!M43</f>
        <v>50000</v>
      </c>
      <c r="N21" s="970">
        <f>+'Détails Achats direct'!N43</f>
        <v>50000</v>
      </c>
      <c r="O21" s="970">
        <f>+'Détails Achats direct'!O43</f>
        <v>50000</v>
      </c>
      <c r="P21" s="970">
        <f t="shared" si="0"/>
        <v>600000</v>
      </c>
      <c r="Q21" s="970"/>
      <c r="R21" s="970" t="s">
        <v>1298</v>
      </c>
    </row>
    <row r="22" spans="2:18" ht="12" customHeight="1">
      <c r="B22" s="982" t="s">
        <v>511</v>
      </c>
      <c r="C22" s="982"/>
      <c r="D22" s="970">
        <f>+'Détails Achats direct'!D44</f>
        <v>70000</v>
      </c>
      <c r="E22" s="970">
        <f>+'Détails Achats direct'!E44</f>
        <v>70000</v>
      </c>
      <c r="F22" s="970">
        <f>+'Détails Achats direct'!F44</f>
        <v>70000</v>
      </c>
      <c r="G22" s="970">
        <f>+'Détails Achats direct'!G44</f>
        <v>70000</v>
      </c>
      <c r="H22" s="970">
        <f>+'Détails Achats direct'!H44</f>
        <v>70000</v>
      </c>
      <c r="I22" s="970">
        <f>+'Détails Achats direct'!I44</f>
        <v>70000</v>
      </c>
      <c r="J22" s="970">
        <f>+'Détails Achats direct'!J44</f>
        <v>70000</v>
      </c>
      <c r="K22" s="970">
        <f>+'Détails Achats direct'!K44</f>
        <v>70000</v>
      </c>
      <c r="L22" s="970">
        <f>+'Détails Achats direct'!L44</f>
        <v>70000</v>
      </c>
      <c r="M22" s="970">
        <f>+'Détails Achats direct'!M44</f>
        <v>70000</v>
      </c>
      <c r="N22" s="970">
        <f>+'Détails Achats direct'!N44</f>
        <v>70000</v>
      </c>
      <c r="O22" s="970">
        <f>+'Détails Achats direct'!O44</f>
        <v>70000</v>
      </c>
      <c r="P22" s="970">
        <f t="shared" si="0"/>
        <v>840000</v>
      </c>
      <c r="Q22" s="970"/>
      <c r="R22" s="970" t="s">
        <v>1298</v>
      </c>
    </row>
    <row r="23" spans="2:18" ht="12" customHeight="1">
      <c r="B23" s="982" t="s">
        <v>502</v>
      </c>
      <c r="C23" s="982"/>
      <c r="D23" s="970">
        <f>+'Détails Achats direct'!D45</f>
        <v>620000</v>
      </c>
      <c r="E23" s="970">
        <f>+'Détails Achats direct'!E45</f>
        <v>620000</v>
      </c>
      <c r="F23" s="970">
        <f>+'Détails Achats direct'!F45</f>
        <v>620000</v>
      </c>
      <c r="G23" s="970">
        <f>+'Détails Achats direct'!G45</f>
        <v>620000</v>
      </c>
      <c r="H23" s="970">
        <f>+'Détails Achats direct'!H45</f>
        <v>620000</v>
      </c>
      <c r="I23" s="970">
        <f>+'Détails Achats direct'!I45</f>
        <v>620000</v>
      </c>
      <c r="J23" s="970">
        <f>+'Détails Achats direct'!J45</f>
        <v>620000</v>
      </c>
      <c r="K23" s="970">
        <f>+'Détails Achats direct'!K45</f>
        <v>620000</v>
      </c>
      <c r="L23" s="970">
        <f>+'Détails Achats direct'!L45</f>
        <v>620000</v>
      </c>
      <c r="M23" s="970">
        <f>+'Détails Achats direct'!M45</f>
        <v>620000</v>
      </c>
      <c r="N23" s="970">
        <f>+'Détails Achats direct'!N45</f>
        <v>620000</v>
      </c>
      <c r="O23" s="970">
        <f>+'Détails Achats direct'!O45</f>
        <v>620000</v>
      </c>
      <c r="P23" s="970">
        <f t="shared" si="0"/>
        <v>7440000</v>
      </c>
      <c r="Q23" s="970"/>
      <c r="R23" s="970" t="s">
        <v>1298</v>
      </c>
    </row>
    <row r="24" spans="2:18" ht="12" customHeight="1">
      <c r="B24" s="982" t="s">
        <v>502</v>
      </c>
      <c r="C24" s="982"/>
      <c r="D24" s="970">
        <f>+'Détails Achats direct'!D46</f>
        <v>20000</v>
      </c>
      <c r="E24" s="970">
        <f>+'Détails Achats direct'!E46</f>
        <v>20000</v>
      </c>
      <c r="F24" s="970">
        <f>+'Détails Achats direct'!F46</f>
        <v>20000</v>
      </c>
      <c r="G24" s="970">
        <f>+'Détails Achats direct'!G46</f>
        <v>20000</v>
      </c>
      <c r="H24" s="970">
        <f>+'Détails Achats direct'!H46</f>
        <v>20000</v>
      </c>
      <c r="I24" s="970">
        <f>+'Détails Achats direct'!I46</f>
        <v>20000</v>
      </c>
      <c r="J24" s="970">
        <f>+'Détails Achats direct'!J46</f>
        <v>20000</v>
      </c>
      <c r="K24" s="970">
        <f>+'Détails Achats direct'!K46</f>
        <v>20000</v>
      </c>
      <c r="L24" s="970">
        <f>+'Détails Achats direct'!L46</f>
        <v>20000</v>
      </c>
      <c r="M24" s="970">
        <f>+'Détails Achats direct'!M46</f>
        <v>20000</v>
      </c>
      <c r="N24" s="970">
        <f>+'Détails Achats direct'!N46</f>
        <v>20000</v>
      </c>
      <c r="O24" s="970">
        <f>+'Détails Achats direct'!O46</f>
        <v>20000</v>
      </c>
      <c r="P24" s="970">
        <f t="shared" si="0"/>
        <v>240000</v>
      </c>
      <c r="Q24" s="970"/>
      <c r="R24" s="970" t="s">
        <v>1298</v>
      </c>
    </row>
    <row r="25" spans="2:18" ht="12" customHeight="1">
      <c r="B25" s="982" t="s">
        <v>513</v>
      </c>
      <c r="C25" s="982"/>
      <c r="D25" s="970">
        <f>+'Détails Achats direct'!D47</f>
        <v>550000</v>
      </c>
      <c r="E25" s="970">
        <f>+'Détails Achats direct'!E47</f>
        <v>550000</v>
      </c>
      <c r="F25" s="970">
        <f>+'Détails Achats direct'!F47</f>
        <v>550000</v>
      </c>
      <c r="G25" s="970">
        <f>+'Détails Achats direct'!G47</f>
        <v>550000</v>
      </c>
      <c r="H25" s="970">
        <f>+'Détails Achats direct'!H47</f>
        <v>550000</v>
      </c>
      <c r="I25" s="970">
        <f>+'Détails Achats direct'!I47</f>
        <v>550000</v>
      </c>
      <c r="J25" s="970">
        <f>+'Détails Achats direct'!J47</f>
        <v>550000</v>
      </c>
      <c r="K25" s="970">
        <f>+'Détails Achats direct'!K47</f>
        <v>550000</v>
      </c>
      <c r="L25" s="970">
        <f>+'Détails Achats direct'!L47</f>
        <v>550000</v>
      </c>
      <c r="M25" s="970">
        <f>+'Détails Achats direct'!M47</f>
        <v>550000</v>
      </c>
      <c r="N25" s="970">
        <f>+'Détails Achats direct'!N47</f>
        <v>550000</v>
      </c>
      <c r="O25" s="970">
        <f>+'Détails Achats direct'!O47</f>
        <v>550000</v>
      </c>
      <c r="P25" s="970">
        <f t="shared" si="0"/>
        <v>6600000</v>
      </c>
      <c r="Q25" s="970"/>
      <c r="R25" s="970" t="s">
        <v>1298</v>
      </c>
    </row>
    <row r="26" spans="2:18" ht="12" customHeight="1">
      <c r="B26" s="982" t="s">
        <v>514</v>
      </c>
      <c r="C26" s="982"/>
      <c r="D26" s="970">
        <f>+'Détails Achats direct'!D48</f>
        <v>1055000</v>
      </c>
      <c r="E26" s="970">
        <f>+'Détails Achats direct'!E48</f>
        <v>1055000</v>
      </c>
      <c r="F26" s="970">
        <f>+'Détails Achats direct'!F48</f>
        <v>1055000</v>
      </c>
      <c r="G26" s="970">
        <f>+'Détails Achats direct'!G48</f>
        <v>1055000</v>
      </c>
      <c r="H26" s="970">
        <f>+'Détails Achats direct'!H48</f>
        <v>1055000</v>
      </c>
      <c r="I26" s="970">
        <f>+'Détails Achats direct'!I48</f>
        <v>1055000</v>
      </c>
      <c r="J26" s="970">
        <f>+'Détails Achats direct'!J48</f>
        <v>1055000</v>
      </c>
      <c r="K26" s="970">
        <f>+'Détails Achats direct'!K48</f>
        <v>1055000</v>
      </c>
      <c r="L26" s="970">
        <f>+'Détails Achats direct'!L48</f>
        <v>1055000</v>
      </c>
      <c r="M26" s="970">
        <f>+'Détails Achats direct'!M48</f>
        <v>1055000</v>
      </c>
      <c r="N26" s="970">
        <f>+'Détails Achats direct'!N48</f>
        <v>1055000</v>
      </c>
      <c r="O26" s="970">
        <f>+'Détails Achats direct'!O48</f>
        <v>1055000</v>
      </c>
      <c r="P26" s="970">
        <f t="shared" si="0"/>
        <v>12660000</v>
      </c>
      <c r="Q26" s="970"/>
      <c r="R26" s="970" t="s">
        <v>1298</v>
      </c>
    </row>
    <row r="27" spans="2:18" ht="12" customHeight="1">
      <c r="B27" s="982" t="s">
        <v>516</v>
      </c>
      <c r="C27" s="982"/>
      <c r="D27" s="970">
        <f>+'Détails Achats direct'!D49</f>
        <v>300000</v>
      </c>
      <c r="E27" s="970">
        <f>+'Détails Achats direct'!E49</f>
        <v>300000</v>
      </c>
      <c r="F27" s="970">
        <f>+'Détails Achats direct'!F49</f>
        <v>300000</v>
      </c>
      <c r="G27" s="970">
        <f>+'Détails Achats direct'!G49</f>
        <v>300000</v>
      </c>
      <c r="H27" s="970">
        <f>+'Détails Achats direct'!H49</f>
        <v>300000</v>
      </c>
      <c r="I27" s="970">
        <f>+'Détails Achats direct'!I49</f>
        <v>300000</v>
      </c>
      <c r="J27" s="970">
        <f>+'Détails Achats direct'!J49</f>
        <v>300000</v>
      </c>
      <c r="K27" s="970">
        <f>+'Détails Achats direct'!K49</f>
        <v>300000</v>
      </c>
      <c r="L27" s="970">
        <f>+'Détails Achats direct'!L49</f>
        <v>300000</v>
      </c>
      <c r="M27" s="970">
        <f>+'Détails Achats direct'!M49</f>
        <v>300000</v>
      </c>
      <c r="N27" s="970">
        <f>+'Détails Achats direct'!N49</f>
        <v>300000</v>
      </c>
      <c r="O27" s="970">
        <f>+'Détails Achats direct'!O49</f>
        <v>300000</v>
      </c>
      <c r="P27" s="970">
        <f t="shared" si="0"/>
        <v>3600000</v>
      </c>
      <c r="Q27" s="970"/>
      <c r="R27" s="970" t="s">
        <v>1298</v>
      </c>
    </row>
    <row r="28" spans="2:18" ht="12" customHeight="1">
      <c r="B28" s="982" t="s">
        <v>525</v>
      </c>
      <c r="C28" s="982"/>
      <c r="D28" s="970">
        <f t="shared" ref="D28:O28" si="1">+SUM(D4:D27)*5%</f>
        <v>11532710</v>
      </c>
      <c r="E28" s="970">
        <f t="shared" si="1"/>
        <v>11567880</v>
      </c>
      <c r="F28" s="970">
        <f t="shared" si="1"/>
        <v>11532710</v>
      </c>
      <c r="G28" s="970">
        <f t="shared" si="1"/>
        <v>11567880</v>
      </c>
      <c r="H28" s="970">
        <f t="shared" si="1"/>
        <v>11532710</v>
      </c>
      <c r="I28" s="970">
        <f t="shared" si="1"/>
        <v>12067880</v>
      </c>
      <c r="J28" s="970">
        <f t="shared" si="1"/>
        <v>11532710</v>
      </c>
      <c r="K28" s="970">
        <f t="shared" si="1"/>
        <v>11567880</v>
      </c>
      <c r="L28" s="970">
        <f t="shared" si="1"/>
        <v>11417527.5</v>
      </c>
      <c r="M28" s="970">
        <f t="shared" si="1"/>
        <v>11471745</v>
      </c>
      <c r="N28" s="970">
        <f t="shared" si="1"/>
        <v>11417527.5</v>
      </c>
      <c r="O28" s="970">
        <f t="shared" si="1"/>
        <v>11971745</v>
      </c>
      <c r="P28" s="970">
        <f t="shared" si="0"/>
        <v>139180905</v>
      </c>
      <c r="Q28" s="970"/>
      <c r="R28" s="970" t="s">
        <v>1299</v>
      </c>
    </row>
    <row r="29" spans="2:18" ht="12" customHeight="1">
      <c r="B29" s="1045" t="s">
        <v>519</v>
      </c>
      <c r="C29" s="1046"/>
      <c r="D29" s="1047">
        <f>SUM(D4:D28)</f>
        <v>242186910</v>
      </c>
      <c r="E29" s="1047">
        <f t="shared" ref="E29:P29" si="2">SUM(E4:E28)</f>
        <v>242925480</v>
      </c>
      <c r="F29" s="1047">
        <f t="shared" si="2"/>
        <v>242186910</v>
      </c>
      <c r="G29" s="1047">
        <f t="shared" si="2"/>
        <v>242925480</v>
      </c>
      <c r="H29" s="1047">
        <f t="shared" si="2"/>
        <v>242186910</v>
      </c>
      <c r="I29" s="1047">
        <f t="shared" si="2"/>
        <v>253425480</v>
      </c>
      <c r="J29" s="1047">
        <f t="shared" si="2"/>
        <v>242186910</v>
      </c>
      <c r="K29" s="1047">
        <f t="shared" si="2"/>
        <v>242925480</v>
      </c>
      <c r="L29" s="1047">
        <f t="shared" si="2"/>
        <v>239768077.5</v>
      </c>
      <c r="M29" s="1047">
        <f t="shared" si="2"/>
        <v>240906645</v>
      </c>
      <c r="N29" s="1047">
        <f t="shared" si="2"/>
        <v>239768077.5</v>
      </c>
      <c r="O29" s="1047">
        <f t="shared" si="2"/>
        <v>251406645</v>
      </c>
      <c r="P29" s="1047">
        <f t="shared" si="2"/>
        <v>2922799005</v>
      </c>
    </row>
    <row r="30" spans="2:18" ht="3.75" customHeight="1"/>
    <row r="31" spans="2:18" ht="12" customHeight="1">
      <c r="B31" s="982" t="s">
        <v>520</v>
      </c>
      <c r="C31" s="982"/>
      <c r="D31" s="970">
        <f>+D29</f>
        <v>242186910</v>
      </c>
      <c r="E31" s="970">
        <f t="shared" ref="E31:O31" si="3">+E29</f>
        <v>242925480</v>
      </c>
      <c r="F31" s="970">
        <f t="shared" si="3"/>
        <v>242186910</v>
      </c>
      <c r="G31" s="970">
        <f t="shared" si="3"/>
        <v>242925480</v>
      </c>
      <c r="H31" s="970">
        <f t="shared" si="3"/>
        <v>242186910</v>
      </c>
      <c r="I31" s="970">
        <f t="shared" si="3"/>
        <v>253425480</v>
      </c>
      <c r="J31" s="970">
        <f t="shared" si="3"/>
        <v>242186910</v>
      </c>
      <c r="K31" s="970">
        <f t="shared" si="3"/>
        <v>242925480</v>
      </c>
      <c r="L31" s="970">
        <f t="shared" si="3"/>
        <v>239768077.5</v>
      </c>
      <c r="M31" s="970">
        <f t="shared" si="3"/>
        <v>240906645</v>
      </c>
      <c r="N31" s="970">
        <f t="shared" si="3"/>
        <v>239768077.5</v>
      </c>
      <c r="O31" s="970">
        <f t="shared" si="3"/>
        <v>251406645</v>
      </c>
      <c r="P31" s="970">
        <f>SUM(D31:O31)</f>
        <v>2922799005</v>
      </c>
    </row>
    <row r="32" spans="2:18" ht="12" customHeight="1">
      <c r="B32" s="982" t="s">
        <v>1770</v>
      </c>
      <c r="C32" s="982"/>
      <c r="D32" s="970">
        <f>IFERROR(-'Besoins en micas'!C28,"")</f>
        <v>-7417375</v>
      </c>
      <c r="E32" s="970">
        <f>IFERROR(-'Besoins en micas'!D28,"")</f>
        <v>-7439000</v>
      </c>
      <c r="F32" s="970">
        <f>IFERROR(-'Besoins en micas'!E28,"")</f>
        <v>-7417375</v>
      </c>
      <c r="G32" s="970">
        <f>IFERROR(-'Besoins en micas'!F28,"")</f>
        <v>-7439000</v>
      </c>
      <c r="H32" s="970">
        <f>IFERROR(-'Besoins en micas'!G28,"")</f>
        <v>-7417375</v>
      </c>
      <c r="I32" s="970">
        <f>IFERROR(-'Besoins en micas'!H28,"")</f>
        <v>-7439000</v>
      </c>
      <c r="J32" s="970">
        <f>IFERROR(-'Besoins en micas'!I28,"")</f>
        <v>-7417375</v>
      </c>
      <c r="K32" s="970">
        <f>IFERROR(-'Besoins en micas'!J28,"")</f>
        <v>-7439000</v>
      </c>
      <c r="L32" s="970">
        <f>IFERROR(-'Besoins en micas'!K28,"")</f>
        <v>7125437.5</v>
      </c>
      <c r="M32" s="970">
        <f>IFERROR(-'Besoins en micas'!L28,"")</f>
        <v>7157875</v>
      </c>
      <c r="N32" s="970">
        <f>IFERROR(-'Besoins en micas'!M28,"")</f>
        <v>7125437.5</v>
      </c>
      <c r="O32" s="970">
        <f>IFERROR(-'Besoins en micas'!N28,"")</f>
        <v>7157875</v>
      </c>
      <c r="P32" s="970">
        <f>SUM(D32:O32)</f>
        <v>-30858875</v>
      </c>
    </row>
    <row r="33" spans="2:16" ht="12" customHeight="1">
      <c r="B33" s="982" t="s">
        <v>521</v>
      </c>
      <c r="C33" s="982"/>
      <c r="D33" s="970"/>
      <c r="E33" s="970"/>
      <c r="F33" s="970"/>
      <c r="G33" s="970"/>
      <c r="H33" s="970"/>
      <c r="I33" s="970"/>
      <c r="J33" s="970"/>
      <c r="K33" s="970"/>
      <c r="L33" s="970"/>
      <c r="M33" s="970"/>
      <c r="N33" s="970"/>
      <c r="O33" s="970"/>
      <c r="P33" s="970"/>
    </row>
    <row r="34" spans="2:16" ht="12" customHeight="1">
      <c r="B34" s="982" t="s">
        <v>522</v>
      </c>
      <c r="C34" s="982"/>
      <c r="D34" s="970">
        <f>+D31*0.2</f>
        <v>48437382</v>
      </c>
      <c r="E34" s="970">
        <f t="shared" ref="E34:O34" si="4">+E31*0.2</f>
        <v>48585096</v>
      </c>
      <c r="F34" s="970">
        <f t="shared" si="4"/>
        <v>48437382</v>
      </c>
      <c r="G34" s="970">
        <f t="shared" si="4"/>
        <v>48585096</v>
      </c>
      <c r="H34" s="970">
        <f t="shared" si="4"/>
        <v>48437382</v>
      </c>
      <c r="I34" s="970">
        <f t="shared" si="4"/>
        <v>50685096</v>
      </c>
      <c r="J34" s="970">
        <f t="shared" si="4"/>
        <v>48437382</v>
      </c>
      <c r="K34" s="970">
        <f t="shared" si="4"/>
        <v>48585096</v>
      </c>
      <c r="L34" s="970">
        <f t="shared" si="4"/>
        <v>47953615.5</v>
      </c>
      <c r="M34" s="970">
        <f t="shared" si="4"/>
        <v>48181329</v>
      </c>
      <c r="N34" s="970">
        <f t="shared" si="4"/>
        <v>47953615.5</v>
      </c>
      <c r="O34" s="970">
        <f t="shared" si="4"/>
        <v>50281329</v>
      </c>
      <c r="P34" s="970">
        <f t="shared" ref="P34:P35" si="5">SUM(D34:O34)</f>
        <v>584559801</v>
      </c>
    </row>
    <row r="35" spans="2:16" ht="12" customHeight="1" thickBot="1">
      <c r="B35" s="1048" t="s">
        <v>523</v>
      </c>
      <c r="C35" s="1048"/>
      <c r="D35" s="1048">
        <f>SUM(D31:D34)</f>
        <v>283206917</v>
      </c>
      <c r="E35" s="1048">
        <f t="shared" ref="E35:O35" si="6">SUM(E31:E34)</f>
        <v>284071576</v>
      </c>
      <c r="F35" s="1048">
        <f t="shared" si="6"/>
        <v>283206917</v>
      </c>
      <c r="G35" s="1048">
        <f t="shared" si="6"/>
        <v>284071576</v>
      </c>
      <c r="H35" s="1048">
        <f t="shared" si="6"/>
        <v>283206917</v>
      </c>
      <c r="I35" s="1048">
        <f t="shared" si="6"/>
        <v>296671576</v>
      </c>
      <c r="J35" s="1048">
        <f t="shared" si="6"/>
        <v>283206917</v>
      </c>
      <c r="K35" s="1048">
        <f t="shared" si="6"/>
        <v>284071576</v>
      </c>
      <c r="L35" s="1048">
        <f t="shared" si="6"/>
        <v>294847130.5</v>
      </c>
      <c r="M35" s="1048">
        <f t="shared" si="6"/>
        <v>296245849</v>
      </c>
      <c r="N35" s="1048">
        <f t="shared" si="6"/>
        <v>294847130.5</v>
      </c>
      <c r="O35" s="1048">
        <f t="shared" si="6"/>
        <v>308845849</v>
      </c>
      <c r="P35" s="1048">
        <f t="shared" si="5"/>
        <v>3476499931</v>
      </c>
    </row>
    <row r="36" spans="2:16" ht="12" customHeight="1"/>
    <row r="37" spans="2:16" ht="12" customHeight="1" thickBot="1">
      <c r="B37" s="969" t="s">
        <v>790</v>
      </c>
      <c r="D37" s="970">
        <f>+D33*0.05</f>
        <v>0</v>
      </c>
      <c r="E37" s="970">
        <f t="shared" ref="E37:O37" si="7">+E33*0.05</f>
        <v>0</v>
      </c>
      <c r="F37" s="970">
        <f t="shared" si="7"/>
        <v>0</v>
      </c>
      <c r="G37" s="970">
        <f t="shared" si="7"/>
        <v>0</v>
      </c>
      <c r="H37" s="970">
        <f t="shared" si="7"/>
        <v>0</v>
      </c>
      <c r="I37" s="970">
        <f t="shared" si="7"/>
        <v>0</v>
      </c>
      <c r="J37" s="970">
        <f t="shared" si="7"/>
        <v>0</v>
      </c>
      <c r="K37" s="970">
        <f t="shared" si="7"/>
        <v>0</v>
      </c>
      <c r="L37" s="970">
        <f t="shared" si="7"/>
        <v>0</v>
      </c>
      <c r="M37" s="970">
        <f t="shared" si="7"/>
        <v>0</v>
      </c>
      <c r="N37" s="970">
        <f t="shared" si="7"/>
        <v>0</v>
      </c>
      <c r="O37" s="970">
        <f t="shared" si="7"/>
        <v>0</v>
      </c>
      <c r="P37" s="970">
        <f>SUM(D37:O37)</f>
        <v>0</v>
      </c>
    </row>
    <row r="38" spans="2:16" ht="12" customHeight="1">
      <c r="B38" s="1043" t="str">
        <f>+B2</f>
        <v>Libellés</v>
      </c>
      <c r="C38" s="1043"/>
      <c r="D38" s="1043" t="str">
        <f t="shared" ref="D38:O38" si="8">+D2</f>
        <v>Mois 1</v>
      </c>
      <c r="E38" s="1043" t="str">
        <f t="shared" si="8"/>
        <v>Mois 2</v>
      </c>
      <c r="F38" s="1043" t="str">
        <f t="shared" si="8"/>
        <v>Mois 3</v>
      </c>
      <c r="G38" s="1043" t="str">
        <f t="shared" si="8"/>
        <v>Mois 4</v>
      </c>
      <c r="H38" s="1043" t="str">
        <f t="shared" si="8"/>
        <v>Mois 5</v>
      </c>
      <c r="I38" s="1043" t="str">
        <f t="shared" si="8"/>
        <v>Mois 6</v>
      </c>
      <c r="J38" s="1043" t="str">
        <f t="shared" si="8"/>
        <v>Mois 7</v>
      </c>
      <c r="K38" s="1043" t="str">
        <f t="shared" si="8"/>
        <v>Mois 8</v>
      </c>
      <c r="L38" s="1043" t="str">
        <f t="shared" si="8"/>
        <v>Mois 9</v>
      </c>
      <c r="M38" s="1043" t="str">
        <f t="shared" si="8"/>
        <v>Mois 10</v>
      </c>
      <c r="N38" s="1043" t="str">
        <f t="shared" si="8"/>
        <v>Mois 11</v>
      </c>
      <c r="O38" s="1043" t="str">
        <f t="shared" si="8"/>
        <v>Mois 12</v>
      </c>
      <c r="P38" s="1043" t="s">
        <v>362</v>
      </c>
    </row>
    <row r="39" spans="2:16" ht="12" customHeight="1">
      <c r="B39" s="969" t="s">
        <v>1304</v>
      </c>
      <c r="D39" s="970">
        <f>+SUMIF($R$4:$R$28,$R$4,D4:D28)</f>
        <v>233092910</v>
      </c>
      <c r="E39" s="970">
        <f t="shared" ref="E39:O39" si="9">+SUMIF($R$4:$R$28,$R$4,E4:E28)</f>
        <v>233831480</v>
      </c>
      <c r="F39" s="970">
        <f t="shared" si="9"/>
        <v>233092910</v>
      </c>
      <c r="G39" s="970">
        <f t="shared" si="9"/>
        <v>233831480</v>
      </c>
      <c r="H39" s="970">
        <f t="shared" si="9"/>
        <v>233092910</v>
      </c>
      <c r="I39" s="970">
        <f t="shared" si="9"/>
        <v>234331480</v>
      </c>
      <c r="J39" s="970">
        <f t="shared" si="9"/>
        <v>233092910</v>
      </c>
      <c r="K39" s="970">
        <f t="shared" si="9"/>
        <v>233831480</v>
      </c>
      <c r="L39" s="970">
        <f t="shared" si="9"/>
        <v>230674077.5</v>
      </c>
      <c r="M39" s="970">
        <f t="shared" si="9"/>
        <v>231812645</v>
      </c>
      <c r="N39" s="970">
        <f t="shared" si="9"/>
        <v>230674077.5</v>
      </c>
      <c r="O39" s="970">
        <f t="shared" si="9"/>
        <v>232312645</v>
      </c>
      <c r="P39" s="970">
        <f t="shared" ref="P39:P40" si="10">SUM(D39:O39)</f>
        <v>2793671005</v>
      </c>
    </row>
    <row r="40" spans="2:16" ht="12" customHeight="1">
      <c r="B40" s="1049" t="s">
        <v>1305</v>
      </c>
      <c r="C40" s="1049"/>
      <c r="D40" s="1050">
        <f>+SUMIF($R$4:$R$28,$R$27,D4:D28)</f>
        <v>9094000</v>
      </c>
      <c r="E40" s="1050">
        <f t="shared" ref="E40:O40" si="11">+SUMIF($R$4:$R$28,$R$27,E4:E28)</f>
        <v>9094000</v>
      </c>
      <c r="F40" s="1050">
        <f t="shared" si="11"/>
        <v>9094000</v>
      </c>
      <c r="G40" s="1050">
        <f t="shared" si="11"/>
        <v>9094000</v>
      </c>
      <c r="H40" s="1050">
        <f t="shared" si="11"/>
        <v>9094000</v>
      </c>
      <c r="I40" s="1050">
        <f t="shared" si="11"/>
        <v>19094000</v>
      </c>
      <c r="J40" s="1050">
        <f t="shared" si="11"/>
        <v>9094000</v>
      </c>
      <c r="K40" s="1050">
        <f t="shared" si="11"/>
        <v>9094000</v>
      </c>
      <c r="L40" s="1050">
        <f t="shared" si="11"/>
        <v>9094000</v>
      </c>
      <c r="M40" s="1050">
        <f t="shared" si="11"/>
        <v>9094000</v>
      </c>
      <c r="N40" s="1050">
        <f t="shared" si="11"/>
        <v>9094000</v>
      </c>
      <c r="O40" s="1050">
        <f t="shared" si="11"/>
        <v>19094000</v>
      </c>
      <c r="P40" s="1050">
        <f t="shared" si="10"/>
        <v>129128000</v>
      </c>
    </row>
    <row r="41" spans="2:16" ht="12" customHeight="1" thickBot="1">
      <c r="B41" s="1048" t="str">
        <f>+B29</f>
        <v>Total Achats</v>
      </c>
      <c r="C41" s="1048"/>
      <c r="D41" s="1048">
        <f>SUM(D39:D40)</f>
        <v>242186910</v>
      </c>
      <c r="E41" s="1048">
        <f t="shared" ref="E41:P41" si="12">SUM(E39:E40)</f>
        <v>242925480</v>
      </c>
      <c r="F41" s="1048">
        <f t="shared" si="12"/>
        <v>242186910</v>
      </c>
      <c r="G41" s="1048">
        <f t="shared" si="12"/>
        <v>242925480</v>
      </c>
      <c r="H41" s="1048">
        <f t="shared" si="12"/>
        <v>242186910</v>
      </c>
      <c r="I41" s="1048">
        <f t="shared" si="12"/>
        <v>253425480</v>
      </c>
      <c r="J41" s="1048">
        <f t="shared" si="12"/>
        <v>242186910</v>
      </c>
      <c r="K41" s="1048">
        <f t="shared" si="12"/>
        <v>242925480</v>
      </c>
      <c r="L41" s="1048">
        <f t="shared" si="12"/>
        <v>239768077.5</v>
      </c>
      <c r="M41" s="1048">
        <f t="shared" si="12"/>
        <v>240906645</v>
      </c>
      <c r="N41" s="1048">
        <f t="shared" si="12"/>
        <v>239768077.5</v>
      </c>
      <c r="O41" s="1048">
        <f t="shared" si="12"/>
        <v>251406645</v>
      </c>
      <c r="P41" s="1048">
        <f t="shared" si="12"/>
        <v>2922799005</v>
      </c>
    </row>
    <row r="42" spans="2:16" ht="13.5" thickBot="1"/>
    <row r="43" spans="2:16" ht="12" customHeight="1">
      <c r="B43" s="1043" t="s">
        <v>523</v>
      </c>
      <c r="C43" s="1043" t="s">
        <v>1727</v>
      </c>
      <c r="D43" s="1043" t="str">
        <f>+Prestation!D82</f>
        <v>Mois 1</v>
      </c>
      <c r="E43" s="1043" t="str">
        <f>+Prestation!E82</f>
        <v>Mois 2</v>
      </c>
      <c r="F43" s="1043" t="str">
        <f>+Prestation!F82</f>
        <v>Mois 3</v>
      </c>
      <c r="G43" s="1043" t="str">
        <f>+Prestation!G82</f>
        <v>Mois 4</v>
      </c>
      <c r="H43" s="1043" t="str">
        <f>+Prestation!H82</f>
        <v>Mois 5</v>
      </c>
      <c r="I43" s="1043" t="str">
        <f>+Prestation!I82</f>
        <v>Mois 6</v>
      </c>
      <c r="J43" s="1043" t="str">
        <f>+Prestation!J82</f>
        <v>Mois 7</v>
      </c>
      <c r="K43" s="1043" t="str">
        <f>+Prestation!K82</f>
        <v>Mois 8</v>
      </c>
      <c r="L43" s="1043" t="str">
        <f>+Prestation!L82</f>
        <v>Mois 9</v>
      </c>
      <c r="M43" s="1043" t="str">
        <f>+Prestation!M82</f>
        <v>Mois 10</v>
      </c>
      <c r="N43" s="1043" t="str">
        <f>+Prestation!N82</f>
        <v>Mois 11</v>
      </c>
      <c r="O43" s="1043" t="str">
        <f>+Prestation!O82</f>
        <v>Mois 12</v>
      </c>
      <c r="P43" s="1043" t="str">
        <f>+Prestation!P82</f>
        <v>Total</v>
      </c>
    </row>
    <row r="44" spans="2:16" ht="12" customHeight="1">
      <c r="B44" s="982" t="s">
        <v>669</v>
      </c>
      <c r="C44" s="982"/>
      <c r="D44" s="970">
        <f t="shared" ref="D44:O44" si="13">C48</f>
        <v>0</v>
      </c>
      <c r="E44" s="970">
        <f t="shared" si="13"/>
        <v>0</v>
      </c>
      <c r="F44" s="970">
        <f t="shared" si="13"/>
        <v>0</v>
      </c>
      <c r="G44" s="970">
        <f t="shared" si="13"/>
        <v>0</v>
      </c>
      <c r="H44" s="970">
        <f t="shared" si="13"/>
        <v>0</v>
      </c>
      <c r="I44" s="970">
        <f t="shared" si="13"/>
        <v>0</v>
      </c>
      <c r="J44" s="970">
        <f t="shared" si="13"/>
        <v>0</v>
      </c>
      <c r="K44" s="970">
        <f t="shared" si="13"/>
        <v>0</v>
      </c>
      <c r="L44" s="970">
        <f t="shared" si="13"/>
        <v>0</v>
      </c>
      <c r="M44" s="970">
        <f t="shared" si="13"/>
        <v>0</v>
      </c>
      <c r="N44" s="970">
        <f t="shared" si="13"/>
        <v>0</v>
      </c>
      <c r="O44" s="970">
        <f t="shared" si="13"/>
        <v>0</v>
      </c>
      <c r="P44" s="970">
        <f>+D44</f>
        <v>0</v>
      </c>
    </row>
    <row r="45" spans="2:16" ht="12" customHeight="1">
      <c r="B45" s="982" t="str">
        <f>+Achat!B35</f>
        <v>Fournisseurs</v>
      </c>
      <c r="C45" s="982"/>
      <c r="D45" s="970">
        <f>+Achat!D35</f>
        <v>283206917</v>
      </c>
      <c r="E45" s="970">
        <f>+Achat!E35</f>
        <v>284071576</v>
      </c>
      <c r="F45" s="970">
        <f>+Achat!F35</f>
        <v>283206917</v>
      </c>
      <c r="G45" s="970">
        <f>+Achat!G35</f>
        <v>284071576</v>
      </c>
      <c r="H45" s="970">
        <f>+Achat!H35</f>
        <v>283206917</v>
      </c>
      <c r="I45" s="970">
        <f>+Achat!I35</f>
        <v>296671576</v>
      </c>
      <c r="J45" s="970">
        <f>+Achat!J35</f>
        <v>283206917</v>
      </c>
      <c r="K45" s="970">
        <f>+Achat!K35</f>
        <v>284071576</v>
      </c>
      <c r="L45" s="970">
        <f>+Achat!L35</f>
        <v>294847130.5</v>
      </c>
      <c r="M45" s="970">
        <f>+Achat!M35</f>
        <v>296245849</v>
      </c>
      <c r="N45" s="970">
        <f>+Achat!N35</f>
        <v>294847130.5</v>
      </c>
      <c r="O45" s="970">
        <f>+Achat!O35</f>
        <v>308845849</v>
      </c>
      <c r="P45" s="970">
        <f>SUM(D45:O45)</f>
        <v>3476499931</v>
      </c>
    </row>
    <row r="46" spans="2:16" ht="12" customHeight="1">
      <c r="B46" s="982" t="s">
        <v>671</v>
      </c>
      <c r="C46" s="982"/>
      <c r="D46" s="970"/>
      <c r="E46" s="970"/>
      <c r="F46" s="970"/>
      <c r="G46" s="970"/>
      <c r="H46" s="970"/>
      <c r="I46" s="970"/>
      <c r="J46" s="970"/>
      <c r="K46" s="970"/>
      <c r="L46" s="970"/>
      <c r="M46" s="970"/>
      <c r="N46" s="970"/>
      <c r="O46" s="970"/>
      <c r="P46" s="970">
        <f>SUM(D46:O46)</f>
        <v>0</v>
      </c>
    </row>
    <row r="47" spans="2:16" ht="12" customHeight="1">
      <c r="B47" s="982" t="s">
        <v>672</v>
      </c>
      <c r="C47" s="982"/>
      <c r="D47" s="970">
        <f t="shared" ref="D47:O47" si="14">-D45</f>
        <v>-283206917</v>
      </c>
      <c r="E47" s="970">
        <f t="shared" si="14"/>
        <v>-284071576</v>
      </c>
      <c r="F47" s="970">
        <f t="shared" si="14"/>
        <v>-283206917</v>
      </c>
      <c r="G47" s="970">
        <f t="shared" si="14"/>
        <v>-284071576</v>
      </c>
      <c r="H47" s="970">
        <f t="shared" si="14"/>
        <v>-283206917</v>
      </c>
      <c r="I47" s="970">
        <f t="shared" si="14"/>
        <v>-296671576</v>
      </c>
      <c r="J47" s="970">
        <f t="shared" si="14"/>
        <v>-283206917</v>
      </c>
      <c r="K47" s="970">
        <f t="shared" si="14"/>
        <v>-284071576</v>
      </c>
      <c r="L47" s="970">
        <f t="shared" si="14"/>
        <v>-294847130.5</v>
      </c>
      <c r="M47" s="970">
        <f t="shared" si="14"/>
        <v>-296245849</v>
      </c>
      <c r="N47" s="970">
        <f t="shared" si="14"/>
        <v>-294847130.5</v>
      </c>
      <c r="O47" s="970">
        <f t="shared" si="14"/>
        <v>-308845849</v>
      </c>
      <c r="P47" s="970">
        <f>SUM(D47:O47)</f>
        <v>-3476499931</v>
      </c>
    </row>
    <row r="48" spans="2:16" ht="12" customHeight="1" thickBot="1">
      <c r="B48" s="1048" t="s">
        <v>673</v>
      </c>
      <c r="C48" s="1048">
        <f>+Prestation!C79</f>
        <v>0</v>
      </c>
      <c r="D48" s="1048">
        <f t="shared" ref="D48:P48" si="15">+D44+D45+D46+D47</f>
        <v>0</v>
      </c>
      <c r="E48" s="1048">
        <f t="shared" si="15"/>
        <v>0</v>
      </c>
      <c r="F48" s="1048">
        <f t="shared" si="15"/>
        <v>0</v>
      </c>
      <c r="G48" s="1048">
        <f t="shared" si="15"/>
        <v>0</v>
      </c>
      <c r="H48" s="1048">
        <f t="shared" si="15"/>
        <v>0</v>
      </c>
      <c r="I48" s="1048">
        <f t="shared" si="15"/>
        <v>0</v>
      </c>
      <c r="J48" s="1048">
        <f t="shared" si="15"/>
        <v>0</v>
      </c>
      <c r="K48" s="1048">
        <f t="shared" si="15"/>
        <v>0</v>
      </c>
      <c r="L48" s="1048">
        <f t="shared" si="15"/>
        <v>0</v>
      </c>
      <c r="M48" s="1048">
        <f t="shared" si="15"/>
        <v>0</v>
      </c>
      <c r="N48" s="1048">
        <f t="shared" si="15"/>
        <v>0</v>
      </c>
      <c r="O48" s="1048">
        <f t="shared" si="15"/>
        <v>0</v>
      </c>
      <c r="P48" s="1048">
        <f t="shared" si="15"/>
        <v>0</v>
      </c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2"/>
  <dimension ref="A1:U127"/>
  <sheetViews>
    <sheetView showGridLines="0" topLeftCell="A49" zoomScale="96" zoomScaleNormal="96" workbookViewId="0">
      <selection activeCell="L74" sqref="L74"/>
    </sheetView>
  </sheetViews>
  <sheetFormatPr baseColWidth="10" defaultRowHeight="12"/>
  <cols>
    <col min="1" max="1" width="2.5703125" style="136" customWidth="1"/>
    <col min="2" max="2" width="30.140625" style="136" customWidth="1"/>
    <col min="3" max="3" width="15.42578125" style="136" customWidth="1"/>
    <col min="4" max="4" width="20.28515625" style="136" bestFit="1" customWidth="1"/>
    <col min="5" max="5" width="13.85546875" style="136" bestFit="1" customWidth="1"/>
    <col min="6" max="6" width="14.85546875" style="136" bestFit="1" customWidth="1"/>
    <col min="7" max="7" width="16.5703125" style="136" bestFit="1" customWidth="1"/>
    <col min="8" max="15" width="14.85546875" style="136" bestFit="1" customWidth="1"/>
    <col min="16" max="16" width="16.42578125" style="136" bestFit="1" customWidth="1"/>
    <col min="17" max="17" width="13.85546875" style="136" bestFit="1" customWidth="1"/>
    <col min="18" max="18" width="15.140625" style="136" bestFit="1" customWidth="1"/>
    <col min="19" max="19" width="11.42578125" style="136"/>
    <col min="20" max="20" width="12.42578125" style="136" bestFit="1" customWidth="1"/>
    <col min="21" max="16384" width="11.42578125" style="136"/>
  </cols>
  <sheetData>
    <row r="1" spans="2:16" ht="12.75" thickBot="1"/>
    <row r="2" spans="2:16" s="115" customFormat="1" ht="16.5">
      <c r="B2" s="543" t="s">
        <v>1156</v>
      </c>
      <c r="C2" s="544"/>
      <c r="D2" s="545" t="str">
        <f t="shared" ref="D2:P2" si="0">+D18</f>
        <v>Mois 1</v>
      </c>
      <c r="E2" s="545" t="str">
        <f t="shared" si="0"/>
        <v>Mois 2</v>
      </c>
      <c r="F2" s="545" t="str">
        <f t="shared" si="0"/>
        <v>Mois 3</v>
      </c>
      <c r="G2" s="545" t="str">
        <f t="shared" si="0"/>
        <v>Mois 4</v>
      </c>
      <c r="H2" s="545" t="str">
        <f t="shared" si="0"/>
        <v>Mois 5</v>
      </c>
      <c r="I2" s="545" t="str">
        <f t="shared" si="0"/>
        <v>Mois 6</v>
      </c>
      <c r="J2" s="545" t="str">
        <f t="shared" si="0"/>
        <v>Mois 7</v>
      </c>
      <c r="K2" s="545" t="str">
        <f t="shared" si="0"/>
        <v>Mois 8</v>
      </c>
      <c r="L2" s="545" t="str">
        <f t="shared" si="0"/>
        <v>Mois 9</v>
      </c>
      <c r="M2" s="545" t="str">
        <f t="shared" si="0"/>
        <v>Mois 10</v>
      </c>
      <c r="N2" s="545" t="str">
        <f t="shared" si="0"/>
        <v>Mois 11</v>
      </c>
      <c r="O2" s="545" t="str">
        <f t="shared" si="0"/>
        <v>Mois 12</v>
      </c>
      <c r="P2" s="545" t="str">
        <f t="shared" si="0"/>
        <v>Total</v>
      </c>
    </row>
    <row r="3" spans="2:16">
      <c r="B3" s="658" t="s">
        <v>1154</v>
      </c>
    </row>
    <row r="4" spans="2:16">
      <c r="B4" s="659" t="str">
        <f>+Production!B26</f>
        <v>Okabe</v>
      </c>
      <c r="D4" s="136">
        <f>(+CA!C4+CA!C9)/20</f>
        <v>0</v>
      </c>
      <c r="E4" s="136">
        <f>(+CA!D4+CA!D9)/20</f>
        <v>1</v>
      </c>
      <c r="F4" s="136">
        <f>(+CA!E4+CA!E9)/20</f>
        <v>0</v>
      </c>
      <c r="G4" s="136">
        <f>(+CA!F4+CA!F9)/20</f>
        <v>1</v>
      </c>
      <c r="H4" s="136">
        <f>(+CA!G4+CA!G9)/20</f>
        <v>0</v>
      </c>
      <c r="I4" s="136">
        <f>(+CA!H4+CA!H9)/20</f>
        <v>1</v>
      </c>
      <c r="J4" s="136">
        <f>(+CA!I4+CA!I9)/20</f>
        <v>0</v>
      </c>
      <c r="K4" s="136">
        <f>(+CA!J4+CA!J9)/20</f>
        <v>1</v>
      </c>
      <c r="L4" s="136">
        <f>(+CA!K4+CA!K9)/20</f>
        <v>0</v>
      </c>
      <c r="M4" s="136">
        <f>(+CA!L4+CA!L9)/20</f>
        <v>1</v>
      </c>
      <c r="N4" s="136">
        <f>(+CA!M4+CA!M9)/20</f>
        <v>0</v>
      </c>
      <c r="O4" s="136">
        <f>(+CA!N4+CA!N9)/20</f>
        <v>1</v>
      </c>
      <c r="P4" s="136">
        <f>SUM(D4:O4)</f>
        <v>6</v>
      </c>
    </row>
    <row r="5" spans="2:16">
      <c r="B5" s="659" t="str">
        <f>+Production!B27</f>
        <v>NRK</v>
      </c>
      <c r="D5" s="136">
        <f>(+CA!C5+CA!C10)/17.8</f>
        <v>1</v>
      </c>
      <c r="E5" s="136">
        <f>(+CA!D5+CA!D10)/17.8</f>
        <v>0</v>
      </c>
      <c r="F5" s="136">
        <f>(+CA!E5+CA!E10)/17.8</f>
        <v>1</v>
      </c>
      <c r="G5" s="136">
        <f>(+CA!F5+CA!F10)/17.8</f>
        <v>0</v>
      </c>
      <c r="H5" s="136">
        <f>(+CA!G5+CA!G10)/17.8</f>
        <v>1</v>
      </c>
      <c r="I5" s="136">
        <f>(+CA!H5+CA!H10)/17.8</f>
        <v>0</v>
      </c>
      <c r="J5" s="136">
        <f>(+CA!I5+CA!I10)/17.8</f>
        <v>1</v>
      </c>
      <c r="K5" s="136">
        <f>(+CA!J5+CA!J10)/17.8</f>
        <v>0</v>
      </c>
      <c r="L5" s="136">
        <f>(+CA!K5+CA!K10)/17.8</f>
        <v>1</v>
      </c>
      <c r="M5" s="136">
        <f>(+CA!L5+CA!L10)/17.8</f>
        <v>0</v>
      </c>
      <c r="N5" s="136">
        <f>(+CA!M5+CA!M10)/17.8</f>
        <v>1</v>
      </c>
      <c r="O5" s="136">
        <f>(+CA!N5+CA!N10)/17.8</f>
        <v>0</v>
      </c>
      <c r="P5" s="136">
        <f>SUM(D5:O5)</f>
        <v>6</v>
      </c>
    </row>
    <row r="6" spans="2:16">
      <c r="B6" s="659" t="str">
        <f>+Production!B29</f>
        <v>Elinar</v>
      </c>
      <c r="D6" s="136">
        <f>(+CA!C7+CA!C12)/25.2</f>
        <v>6</v>
      </c>
      <c r="E6" s="136">
        <f>(+CA!D7+CA!D12)/25.2</f>
        <v>6</v>
      </c>
      <c r="F6" s="136">
        <f>(+CA!E7+CA!E12)/25.2</f>
        <v>6</v>
      </c>
      <c r="G6" s="136">
        <f>(+CA!F7+CA!F12)/25.2</f>
        <v>6</v>
      </c>
      <c r="H6" s="136">
        <f>(+CA!G7+CA!G12)/25.2</f>
        <v>6</v>
      </c>
      <c r="I6" s="136">
        <f>(+CA!H7+CA!H12)/25.2</f>
        <v>6</v>
      </c>
      <c r="J6" s="136">
        <f>(+CA!I7+CA!I12)/25.2</f>
        <v>6</v>
      </c>
      <c r="K6" s="136">
        <f>(+CA!J7+CA!J12)/25.2</f>
        <v>6</v>
      </c>
      <c r="L6" s="136">
        <f>(+CA!K7+CA!K12)/25.2</f>
        <v>6</v>
      </c>
      <c r="M6" s="136">
        <f>(+CA!L7+CA!L12)/25.2</f>
        <v>6</v>
      </c>
      <c r="N6" s="136">
        <f>(+CA!M7+CA!M12)/25.2</f>
        <v>6</v>
      </c>
      <c r="O6" s="136">
        <f>(+CA!N7+CA!N12)/25.2</f>
        <v>6</v>
      </c>
      <c r="P6" s="136">
        <f>SUM(D6:O6)</f>
        <v>72</v>
      </c>
    </row>
    <row r="7" spans="2:16">
      <c r="B7" s="659" t="s">
        <v>360</v>
      </c>
      <c r="D7" s="136">
        <f>+CA!C14/20</f>
        <v>0</v>
      </c>
      <c r="E7" s="136">
        <f>+CA!D14/20</f>
        <v>0</v>
      </c>
      <c r="F7" s="136">
        <f>+CA!E14/20</f>
        <v>0</v>
      </c>
      <c r="G7" s="136">
        <f>+CA!F14/20</f>
        <v>0</v>
      </c>
      <c r="H7" s="136">
        <f>+CA!G14/20</f>
        <v>0</v>
      </c>
      <c r="I7" s="136">
        <f>+CA!H14/20</f>
        <v>0</v>
      </c>
      <c r="J7" s="136">
        <f>+CA!I14/20</f>
        <v>0</v>
      </c>
      <c r="K7" s="136">
        <f>+CA!J14/20</f>
        <v>0</v>
      </c>
      <c r="L7" s="136">
        <f>+CA!K14/20</f>
        <v>0</v>
      </c>
      <c r="M7" s="136">
        <f>+CA!L14/20</f>
        <v>0</v>
      </c>
      <c r="N7" s="136">
        <f>+CA!M14/20</f>
        <v>0</v>
      </c>
      <c r="O7" s="136">
        <f>+CA!N14/20</f>
        <v>0</v>
      </c>
      <c r="P7" s="136">
        <f>SUM(D7:O7)</f>
        <v>0</v>
      </c>
    </row>
    <row r="8" spans="2:16">
      <c r="B8" s="660" t="s">
        <v>635</v>
      </c>
      <c r="C8" s="661"/>
      <c r="D8" s="661">
        <f t="shared" ref="D8:O8" si="1">SUM(D4:D7)</f>
        <v>7</v>
      </c>
      <c r="E8" s="661">
        <f t="shared" si="1"/>
        <v>7</v>
      </c>
      <c r="F8" s="661">
        <f t="shared" si="1"/>
        <v>7</v>
      </c>
      <c r="G8" s="661">
        <f t="shared" si="1"/>
        <v>7</v>
      </c>
      <c r="H8" s="661">
        <f t="shared" si="1"/>
        <v>7</v>
      </c>
      <c r="I8" s="661">
        <f t="shared" si="1"/>
        <v>7</v>
      </c>
      <c r="J8" s="661">
        <f t="shared" si="1"/>
        <v>7</v>
      </c>
      <c r="K8" s="661">
        <f t="shared" si="1"/>
        <v>7</v>
      </c>
      <c r="L8" s="661">
        <f t="shared" si="1"/>
        <v>7</v>
      </c>
      <c r="M8" s="661">
        <f t="shared" si="1"/>
        <v>7</v>
      </c>
      <c r="N8" s="661">
        <f t="shared" si="1"/>
        <v>7</v>
      </c>
      <c r="O8" s="661">
        <f t="shared" si="1"/>
        <v>7</v>
      </c>
      <c r="P8" s="661">
        <f>SUM(D8:O8)</f>
        <v>84</v>
      </c>
    </row>
    <row r="9" spans="2:16">
      <c r="B9" s="658" t="s">
        <v>1155</v>
      </c>
    </row>
    <row r="10" spans="2:16">
      <c r="B10" s="659" t="str">
        <f>+Production!B28</f>
        <v>Goodies</v>
      </c>
      <c r="D10" s="136">
        <f>(+CA!C6+CA!C11)/28</f>
        <v>18</v>
      </c>
      <c r="E10" s="136">
        <f>(+CA!D6+CA!D11)/28</f>
        <v>18</v>
      </c>
      <c r="F10" s="136">
        <f>(+CA!E6+CA!E11)/28</f>
        <v>18</v>
      </c>
      <c r="G10" s="136">
        <f>(+CA!F6+CA!F11)/28</f>
        <v>18</v>
      </c>
      <c r="H10" s="136">
        <f>(+CA!G6+CA!G11)/28</f>
        <v>18</v>
      </c>
      <c r="I10" s="136">
        <f>(+CA!H6+CA!H11)/28</f>
        <v>18</v>
      </c>
      <c r="J10" s="136">
        <f>(+CA!I6+CA!I11)/28</f>
        <v>18</v>
      </c>
      <c r="K10" s="136">
        <f>(+CA!J6+CA!J11)/28</f>
        <v>18</v>
      </c>
      <c r="L10" s="136">
        <f>(+CA!K6+CA!K11)/28</f>
        <v>18</v>
      </c>
      <c r="M10" s="136">
        <f>(+CA!L6+CA!L11)/28</f>
        <v>18</v>
      </c>
      <c r="N10" s="136">
        <f>(+CA!M6+CA!M11)/28</f>
        <v>18</v>
      </c>
      <c r="O10" s="136">
        <f>(+CA!N6+CA!N11)/28</f>
        <v>18</v>
      </c>
      <c r="P10" s="136">
        <f>SUM(D10:O10)</f>
        <v>216</v>
      </c>
    </row>
    <row r="11" spans="2:16">
      <c r="B11" s="660" t="s">
        <v>639</v>
      </c>
      <c r="C11" s="661"/>
      <c r="D11" s="661">
        <f t="shared" ref="D11:O11" si="2">+D10</f>
        <v>18</v>
      </c>
      <c r="E11" s="661">
        <f t="shared" si="2"/>
        <v>18</v>
      </c>
      <c r="F11" s="661">
        <f t="shared" si="2"/>
        <v>18</v>
      </c>
      <c r="G11" s="661">
        <f t="shared" si="2"/>
        <v>18</v>
      </c>
      <c r="H11" s="661">
        <f t="shared" si="2"/>
        <v>18</v>
      </c>
      <c r="I11" s="661">
        <f t="shared" si="2"/>
        <v>18</v>
      </c>
      <c r="J11" s="661">
        <f t="shared" si="2"/>
        <v>18</v>
      </c>
      <c r="K11" s="661">
        <f t="shared" si="2"/>
        <v>18</v>
      </c>
      <c r="L11" s="661">
        <f t="shared" si="2"/>
        <v>18</v>
      </c>
      <c r="M11" s="661">
        <f t="shared" si="2"/>
        <v>18</v>
      </c>
      <c r="N11" s="661">
        <f t="shared" si="2"/>
        <v>18</v>
      </c>
      <c r="O11" s="661">
        <f t="shared" si="2"/>
        <v>18</v>
      </c>
      <c r="P11" s="661">
        <f>SUM(D11:O11)</f>
        <v>216</v>
      </c>
    </row>
    <row r="12" spans="2:16" ht="12.75" thickBot="1">
      <c r="B12" s="662" t="s">
        <v>1157</v>
      </c>
      <c r="C12" s="663"/>
      <c r="D12" s="663">
        <f t="shared" ref="D12:O12" si="3">+D11+D8</f>
        <v>25</v>
      </c>
      <c r="E12" s="663">
        <f t="shared" si="3"/>
        <v>25</v>
      </c>
      <c r="F12" s="663">
        <f t="shared" si="3"/>
        <v>25</v>
      </c>
      <c r="G12" s="663">
        <f t="shared" si="3"/>
        <v>25</v>
      </c>
      <c r="H12" s="663">
        <f t="shared" si="3"/>
        <v>25</v>
      </c>
      <c r="I12" s="663">
        <f t="shared" si="3"/>
        <v>25</v>
      </c>
      <c r="J12" s="663">
        <f t="shared" si="3"/>
        <v>25</v>
      </c>
      <c r="K12" s="663">
        <f t="shared" si="3"/>
        <v>25</v>
      </c>
      <c r="L12" s="663">
        <f t="shared" si="3"/>
        <v>25</v>
      </c>
      <c r="M12" s="663">
        <f t="shared" si="3"/>
        <v>25</v>
      </c>
      <c r="N12" s="663">
        <f t="shared" si="3"/>
        <v>25</v>
      </c>
      <c r="O12" s="663">
        <f t="shared" si="3"/>
        <v>25</v>
      </c>
      <c r="P12" s="663">
        <f>SUM(D12:O12)</f>
        <v>300</v>
      </c>
    </row>
    <row r="13" spans="2:16" ht="12.75" thickBot="1">
      <c r="B13" s="659"/>
      <c r="D13" s="664">
        <f>+Production!O1*Prestation!C32</f>
        <v>66200000000</v>
      </c>
    </row>
    <row r="14" spans="2:16" ht="16.5">
      <c r="B14" s="543" t="s">
        <v>968</v>
      </c>
      <c r="C14" s="544"/>
      <c r="D14" s="545"/>
    </row>
    <row r="15" spans="2:16" ht="16.5">
      <c r="B15" s="116" t="s">
        <v>851</v>
      </c>
      <c r="C15" s="139">
        <v>5000</v>
      </c>
      <c r="D15" s="549" t="s">
        <v>969</v>
      </c>
    </row>
    <row r="16" spans="2:16" ht="17.25" thickBot="1">
      <c r="B16" s="547" t="s">
        <v>970</v>
      </c>
      <c r="C16" s="548">
        <v>5000</v>
      </c>
      <c r="D16" s="550" t="s">
        <v>969</v>
      </c>
    </row>
    <row r="17" spans="2:19" ht="5.25" customHeight="1" thickBot="1"/>
    <row r="18" spans="2:19" s="115" customFormat="1" ht="16.5">
      <c r="B18" s="543" t="s">
        <v>527</v>
      </c>
      <c r="C18" s="544"/>
      <c r="D18" s="545" t="str">
        <f>+Achat!D2</f>
        <v>Mois 1</v>
      </c>
      <c r="E18" s="545" t="str">
        <f>+Achat!E2</f>
        <v>Mois 2</v>
      </c>
      <c r="F18" s="545" t="str">
        <f>+Achat!F2</f>
        <v>Mois 3</v>
      </c>
      <c r="G18" s="545" t="str">
        <f>+Achat!G2</f>
        <v>Mois 4</v>
      </c>
      <c r="H18" s="545" t="str">
        <f>+Achat!H2</f>
        <v>Mois 5</v>
      </c>
      <c r="I18" s="545" t="str">
        <f>+Achat!I2</f>
        <v>Mois 6</v>
      </c>
      <c r="J18" s="545" t="str">
        <f>+Achat!J2</f>
        <v>Mois 7</v>
      </c>
      <c r="K18" s="545" t="str">
        <f>+Achat!K2</f>
        <v>Mois 8</v>
      </c>
      <c r="L18" s="545" t="str">
        <f>+Achat!L2</f>
        <v>Mois 9</v>
      </c>
      <c r="M18" s="545" t="str">
        <f>+Achat!M2</f>
        <v>Mois 10</v>
      </c>
      <c r="N18" s="545" t="str">
        <f>+Achat!N2</f>
        <v>Mois 11</v>
      </c>
      <c r="O18" s="545" t="str">
        <f>+Achat!O2</f>
        <v>Mois 12</v>
      </c>
      <c r="P18" s="545" t="s">
        <v>362</v>
      </c>
    </row>
    <row r="19" spans="2:19" s="115" customFormat="1" ht="16.5">
      <c r="B19" s="116" t="s">
        <v>809</v>
      </c>
      <c r="C19" s="139"/>
      <c r="D19" s="139">
        <f>+Commandes!C14+Commandes!C21+Commandes!C25</f>
        <v>25</v>
      </c>
      <c r="E19" s="139">
        <f>+Commandes!D14+Commandes!D21+Commandes!D25</f>
        <v>25</v>
      </c>
      <c r="F19" s="139">
        <f>+Commandes!E14+Commandes!E21+Commandes!E25</f>
        <v>25</v>
      </c>
      <c r="G19" s="139">
        <f>+Commandes!F14+Commandes!F21+Commandes!F25</f>
        <v>25</v>
      </c>
      <c r="H19" s="139">
        <f>+Commandes!G14+Commandes!G21+Commandes!G25</f>
        <v>25</v>
      </c>
      <c r="I19" s="139">
        <f>+Commandes!H14+Commandes!H21+Commandes!H25</f>
        <v>25</v>
      </c>
      <c r="J19" s="139">
        <f>+Commandes!I14+Commandes!I21+Commandes!I25</f>
        <v>25</v>
      </c>
      <c r="K19" s="139">
        <f>+Commandes!J14+Commandes!J21+Commandes!J25</f>
        <v>25</v>
      </c>
      <c r="L19" s="139">
        <f>+Commandes!K14+Commandes!K21+Commandes!K25</f>
        <v>25</v>
      </c>
      <c r="M19" s="139">
        <f>+Commandes!L14+Commandes!L21+Commandes!L25</f>
        <v>25</v>
      </c>
      <c r="N19" s="139">
        <f>+Commandes!M14+Commandes!M21+Commandes!M25</f>
        <v>25</v>
      </c>
      <c r="O19" s="139">
        <f>+Commandes!N14+Commandes!N21+Commandes!N25</f>
        <v>25</v>
      </c>
      <c r="P19" s="117">
        <f>SUM(D19:O19)</f>
        <v>300</v>
      </c>
    </row>
    <row r="20" spans="2:19" s="115" customFormat="1" ht="16.5">
      <c r="B20" s="116"/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39"/>
      <c r="P20" s="117">
        <f>SUM(D20:O20)</f>
        <v>0</v>
      </c>
    </row>
    <row r="21" spans="2:19" s="115" customFormat="1" ht="16.5">
      <c r="B21" s="116"/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17">
        <f>SUM(D21:O21)</f>
        <v>0</v>
      </c>
    </row>
    <row r="22" spans="2:19" s="115" customFormat="1" ht="16.5">
      <c r="B22" s="116" t="s">
        <v>982</v>
      </c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17"/>
    </row>
    <row r="23" spans="2:19" s="115" customFormat="1" ht="16.5">
      <c r="B23" s="230" t="s">
        <v>983</v>
      </c>
      <c r="C23" s="139"/>
      <c r="D23" s="139">
        <f>+CA!C15*$C$15</f>
        <v>3365000</v>
      </c>
      <c r="E23" s="139">
        <f>+CA!D15*$C$15</f>
        <v>3376000</v>
      </c>
      <c r="F23" s="139">
        <f>+CA!E15*$C$15</f>
        <v>3365000</v>
      </c>
      <c r="G23" s="139">
        <f>+CA!F15*$C$15</f>
        <v>3376000</v>
      </c>
      <c r="H23" s="139">
        <f>+CA!G15*$C$15</f>
        <v>3365000</v>
      </c>
      <c r="I23" s="139">
        <f>+CA!H15*$C$15</f>
        <v>3376000</v>
      </c>
      <c r="J23" s="139">
        <f>+CA!I15*$C$15</f>
        <v>3365000</v>
      </c>
      <c r="K23" s="139">
        <f>+CA!J15*$C$15</f>
        <v>3376000</v>
      </c>
      <c r="L23" s="139">
        <f>+CA!K15*$C$15</f>
        <v>3365000</v>
      </c>
      <c r="M23" s="139">
        <f>+CA!L15*$C$15</f>
        <v>3376000</v>
      </c>
      <c r="N23" s="139">
        <f>+CA!M15*$C$15</f>
        <v>3365000</v>
      </c>
      <c r="O23" s="139">
        <f>+CA!N15*$C$15</f>
        <v>3376000</v>
      </c>
      <c r="P23" s="117">
        <f t="shared" ref="P23:P28" si="4">SUM(D23:O23)</f>
        <v>40446000</v>
      </c>
    </row>
    <row r="24" spans="2:19" s="115" customFormat="1" ht="16.5">
      <c r="B24" s="230" t="s">
        <v>984</v>
      </c>
      <c r="C24" s="139"/>
      <c r="D24" s="139">
        <f t="shared" ref="D24:O24" si="5">+D23</f>
        <v>3365000</v>
      </c>
      <c r="E24" s="139">
        <f t="shared" si="5"/>
        <v>3376000</v>
      </c>
      <c r="F24" s="139">
        <f t="shared" si="5"/>
        <v>3365000</v>
      </c>
      <c r="G24" s="139">
        <f t="shared" si="5"/>
        <v>3376000</v>
      </c>
      <c r="H24" s="139">
        <f t="shared" si="5"/>
        <v>3365000</v>
      </c>
      <c r="I24" s="139">
        <f t="shared" si="5"/>
        <v>3376000</v>
      </c>
      <c r="J24" s="139">
        <f t="shared" si="5"/>
        <v>3365000</v>
      </c>
      <c r="K24" s="139">
        <f t="shared" si="5"/>
        <v>3376000</v>
      </c>
      <c r="L24" s="139">
        <f t="shared" si="5"/>
        <v>3365000</v>
      </c>
      <c r="M24" s="139">
        <f t="shared" si="5"/>
        <v>3376000</v>
      </c>
      <c r="N24" s="139">
        <f t="shared" si="5"/>
        <v>3365000</v>
      </c>
      <c r="O24" s="139">
        <f t="shared" si="5"/>
        <v>3376000</v>
      </c>
      <c r="P24" s="117">
        <f t="shared" si="4"/>
        <v>40446000</v>
      </c>
    </row>
    <row r="25" spans="2:19" s="115" customFormat="1" ht="16.5">
      <c r="B25" s="116" t="str">
        <f>+C93</f>
        <v>Indemnité agent douanes</v>
      </c>
      <c r="C25" s="139">
        <v>110000</v>
      </c>
      <c r="D25" s="139">
        <f t="shared" ref="D25:O25" si="6">+$C$25*D12</f>
        <v>2750000</v>
      </c>
      <c r="E25" s="139">
        <f t="shared" si="6"/>
        <v>2750000</v>
      </c>
      <c r="F25" s="139">
        <f t="shared" si="6"/>
        <v>2750000</v>
      </c>
      <c r="G25" s="139">
        <f t="shared" si="6"/>
        <v>2750000</v>
      </c>
      <c r="H25" s="139">
        <f t="shared" si="6"/>
        <v>2750000</v>
      </c>
      <c r="I25" s="139">
        <f t="shared" si="6"/>
        <v>2750000</v>
      </c>
      <c r="J25" s="139">
        <f t="shared" si="6"/>
        <v>2750000</v>
      </c>
      <c r="K25" s="139">
        <f t="shared" si="6"/>
        <v>2750000</v>
      </c>
      <c r="L25" s="139">
        <f t="shared" si="6"/>
        <v>2750000</v>
      </c>
      <c r="M25" s="139">
        <f t="shared" si="6"/>
        <v>2750000</v>
      </c>
      <c r="N25" s="139">
        <f t="shared" si="6"/>
        <v>2750000</v>
      </c>
      <c r="O25" s="139">
        <f t="shared" si="6"/>
        <v>2750000</v>
      </c>
      <c r="P25" s="117">
        <f t="shared" si="4"/>
        <v>33000000</v>
      </c>
    </row>
    <row r="26" spans="2:19" s="115" customFormat="1" ht="16.5">
      <c r="B26" s="116" t="str">
        <f>+C94</f>
        <v xml:space="preserve">Indemnité agent mines </v>
      </c>
      <c r="C26" s="139">
        <v>140000</v>
      </c>
      <c r="D26" s="139">
        <f t="shared" ref="D26:O26" si="7">+$C$26*D12</f>
        <v>3500000</v>
      </c>
      <c r="E26" s="139">
        <f t="shared" si="7"/>
        <v>3500000</v>
      </c>
      <c r="F26" s="139">
        <f t="shared" si="7"/>
        <v>3500000</v>
      </c>
      <c r="G26" s="139">
        <f t="shared" si="7"/>
        <v>3500000</v>
      </c>
      <c r="H26" s="139">
        <f t="shared" si="7"/>
        <v>3500000</v>
      </c>
      <c r="I26" s="139">
        <f t="shared" si="7"/>
        <v>3500000</v>
      </c>
      <c r="J26" s="139">
        <f t="shared" si="7"/>
        <v>3500000</v>
      </c>
      <c r="K26" s="139">
        <f t="shared" si="7"/>
        <v>3500000</v>
      </c>
      <c r="L26" s="139">
        <f t="shared" si="7"/>
        <v>3500000</v>
      </c>
      <c r="M26" s="139">
        <f t="shared" si="7"/>
        <v>3500000</v>
      </c>
      <c r="N26" s="139">
        <f t="shared" si="7"/>
        <v>3500000</v>
      </c>
      <c r="O26" s="139">
        <f t="shared" si="7"/>
        <v>3500000</v>
      </c>
      <c r="P26" s="117">
        <f t="shared" si="4"/>
        <v>42000000</v>
      </c>
    </row>
    <row r="27" spans="2:19" s="115" customFormat="1" ht="16.5">
      <c r="B27" s="116" t="str">
        <f>+C95</f>
        <v>Transport Hnoor</v>
      </c>
      <c r="C27" s="139">
        <v>250000</v>
      </c>
      <c r="D27" s="139">
        <f t="shared" ref="D27:O27" si="8">+$C$27*D8</f>
        <v>1750000</v>
      </c>
      <c r="E27" s="139">
        <f t="shared" si="8"/>
        <v>1750000</v>
      </c>
      <c r="F27" s="139">
        <f t="shared" si="8"/>
        <v>1750000</v>
      </c>
      <c r="G27" s="139">
        <f t="shared" si="8"/>
        <v>1750000</v>
      </c>
      <c r="H27" s="139">
        <f t="shared" si="8"/>
        <v>1750000</v>
      </c>
      <c r="I27" s="139">
        <f t="shared" si="8"/>
        <v>1750000</v>
      </c>
      <c r="J27" s="139">
        <f t="shared" si="8"/>
        <v>1750000</v>
      </c>
      <c r="K27" s="139">
        <f t="shared" si="8"/>
        <v>1750000</v>
      </c>
      <c r="L27" s="139">
        <f t="shared" si="8"/>
        <v>1750000</v>
      </c>
      <c r="M27" s="139">
        <f t="shared" si="8"/>
        <v>1750000</v>
      </c>
      <c r="N27" s="139">
        <f t="shared" si="8"/>
        <v>1750000</v>
      </c>
      <c r="O27" s="139">
        <f t="shared" si="8"/>
        <v>1750000</v>
      </c>
      <c r="P27" s="117">
        <f t="shared" si="4"/>
        <v>21000000</v>
      </c>
    </row>
    <row r="28" spans="2:19" s="115" customFormat="1" ht="16.5">
      <c r="B28" s="116" t="s">
        <v>1158</v>
      </c>
      <c r="C28" s="139">
        <v>1250000</v>
      </c>
      <c r="D28" s="139">
        <f t="shared" ref="D28:O28" si="9">+D8*$C$28</f>
        <v>8750000</v>
      </c>
      <c r="E28" s="139">
        <f t="shared" si="9"/>
        <v>8750000</v>
      </c>
      <c r="F28" s="139">
        <f t="shared" si="9"/>
        <v>8750000</v>
      </c>
      <c r="G28" s="139">
        <f t="shared" si="9"/>
        <v>8750000</v>
      </c>
      <c r="H28" s="139">
        <f t="shared" si="9"/>
        <v>8750000</v>
      </c>
      <c r="I28" s="139">
        <f t="shared" si="9"/>
        <v>8750000</v>
      </c>
      <c r="J28" s="139">
        <f t="shared" si="9"/>
        <v>8750000</v>
      </c>
      <c r="K28" s="139">
        <f t="shared" si="9"/>
        <v>8750000</v>
      </c>
      <c r="L28" s="139">
        <f t="shared" si="9"/>
        <v>8750000</v>
      </c>
      <c r="M28" s="139">
        <f t="shared" si="9"/>
        <v>8750000</v>
      </c>
      <c r="N28" s="139">
        <f t="shared" si="9"/>
        <v>8750000</v>
      </c>
      <c r="O28" s="139">
        <f t="shared" si="9"/>
        <v>8750000</v>
      </c>
      <c r="P28" s="117">
        <f t="shared" si="4"/>
        <v>105000000</v>
      </c>
      <c r="Q28" s="665">
        <f>+P28/C28</f>
        <v>84</v>
      </c>
    </row>
    <row r="29" spans="2:19" s="115" customFormat="1" ht="17.25" thickBot="1">
      <c r="B29" s="1304" t="s">
        <v>362</v>
      </c>
      <c r="C29" s="1304"/>
      <c r="D29" s="546">
        <f t="shared" ref="D29:P29" si="10">SUM(D23:D28)</f>
        <v>23480000</v>
      </c>
      <c r="E29" s="546">
        <f t="shared" si="10"/>
        <v>23502000</v>
      </c>
      <c r="F29" s="546">
        <f t="shared" si="10"/>
        <v>23480000</v>
      </c>
      <c r="G29" s="546">
        <f t="shared" si="10"/>
        <v>23502000</v>
      </c>
      <c r="H29" s="546">
        <f t="shared" si="10"/>
        <v>23480000</v>
      </c>
      <c r="I29" s="546">
        <f t="shared" si="10"/>
        <v>23502000</v>
      </c>
      <c r="J29" s="546">
        <f t="shared" si="10"/>
        <v>23480000</v>
      </c>
      <c r="K29" s="546">
        <f t="shared" si="10"/>
        <v>23502000</v>
      </c>
      <c r="L29" s="546">
        <f t="shared" si="10"/>
        <v>23480000</v>
      </c>
      <c r="M29" s="546">
        <f t="shared" si="10"/>
        <v>23502000</v>
      </c>
      <c r="N29" s="546">
        <f t="shared" si="10"/>
        <v>23480000</v>
      </c>
      <c r="O29" s="546">
        <f t="shared" si="10"/>
        <v>23502000</v>
      </c>
      <c r="P29" s="546">
        <f t="shared" si="10"/>
        <v>281892000</v>
      </c>
      <c r="Q29" s="225"/>
      <c r="R29" s="115">
        <f>+CA!O4+CA!O5+CA!O9+CA!O14</f>
        <v>226.8</v>
      </c>
      <c r="S29" s="115">
        <f>+P29/R29</f>
        <v>1242910.0529100529</v>
      </c>
    </row>
    <row r="30" spans="2:19" s="115" customFormat="1" ht="17.25" thickBot="1"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39"/>
      <c r="P30" s="117"/>
      <c r="Q30" s="139"/>
      <c r="S30" s="115">
        <f>+S29/4500</f>
        <v>276.20223398001178</v>
      </c>
    </row>
    <row r="31" spans="2:19" s="115" customFormat="1" ht="16.5">
      <c r="B31" s="543"/>
      <c r="C31" s="544"/>
      <c r="D31" s="545" t="str">
        <f t="shared" ref="D31:P31" si="11">+D18</f>
        <v>Mois 1</v>
      </c>
      <c r="E31" s="545" t="str">
        <f t="shared" si="11"/>
        <v>Mois 2</v>
      </c>
      <c r="F31" s="545" t="str">
        <f t="shared" si="11"/>
        <v>Mois 3</v>
      </c>
      <c r="G31" s="545" t="str">
        <f t="shared" si="11"/>
        <v>Mois 4</v>
      </c>
      <c r="H31" s="545" t="str">
        <f t="shared" si="11"/>
        <v>Mois 5</v>
      </c>
      <c r="I31" s="545" t="str">
        <f t="shared" si="11"/>
        <v>Mois 6</v>
      </c>
      <c r="J31" s="545" t="str">
        <f t="shared" si="11"/>
        <v>Mois 7</v>
      </c>
      <c r="K31" s="545" t="str">
        <f t="shared" si="11"/>
        <v>Mois 8</v>
      </c>
      <c r="L31" s="545" t="str">
        <f t="shared" si="11"/>
        <v>Mois 9</v>
      </c>
      <c r="M31" s="545" t="str">
        <f t="shared" si="11"/>
        <v>Mois 10</v>
      </c>
      <c r="N31" s="545" t="str">
        <f t="shared" si="11"/>
        <v>Mois 11</v>
      </c>
      <c r="O31" s="545" t="str">
        <f t="shared" si="11"/>
        <v>Mois 12</v>
      </c>
      <c r="P31" s="545" t="str">
        <f t="shared" si="11"/>
        <v>Total</v>
      </c>
      <c r="Q31" s="225"/>
    </row>
    <row r="32" spans="2:19" s="115" customFormat="1" ht="16.5">
      <c r="B32" s="474" t="s">
        <v>50</v>
      </c>
      <c r="C32" s="139">
        <v>100</v>
      </c>
      <c r="D32" s="549" t="s">
        <v>494</v>
      </c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17"/>
    </row>
    <row r="33" spans="2:21" s="115" customFormat="1" ht="16.5">
      <c r="B33" s="474" t="s">
        <v>1159</v>
      </c>
      <c r="C33" s="139">
        <v>50</v>
      </c>
      <c r="D33" s="549" t="s">
        <v>494</v>
      </c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17"/>
    </row>
    <row r="34" spans="2:21" s="115" customFormat="1" ht="16.5">
      <c r="B34" s="474" t="s">
        <v>986</v>
      </c>
      <c r="C34" s="139">
        <v>100</v>
      </c>
      <c r="D34" s="549" t="s">
        <v>494</v>
      </c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39"/>
      <c r="P34" s="117"/>
    </row>
    <row r="35" spans="2:21" s="115" customFormat="1" ht="16.5">
      <c r="B35" s="230" t="s">
        <v>985</v>
      </c>
      <c r="C35" s="139"/>
      <c r="D35" s="139">
        <f>+(Production!D9+Production!D10)*$C$32</f>
        <v>68600000</v>
      </c>
      <c r="E35" s="139">
        <f>+(Production!E9+Production!E10)*$C$32</f>
        <v>68800000</v>
      </c>
      <c r="F35" s="139">
        <f>+(Production!F9+Production!F10)*$C$32</f>
        <v>68600000</v>
      </c>
      <c r="G35" s="139">
        <f>+(Production!G9+Production!G10)*$C$32</f>
        <v>68800000</v>
      </c>
      <c r="H35" s="139">
        <f>+(Production!H9+Production!H10)*$C$32</f>
        <v>68600000</v>
      </c>
      <c r="I35" s="139">
        <f>+(Production!I9+Production!I10)*$C$32</f>
        <v>68800000</v>
      </c>
      <c r="J35" s="139">
        <f>+(Production!J9+Production!J10)*$C$32</f>
        <v>68600000</v>
      </c>
      <c r="K35" s="139">
        <f>+(Production!K9+Production!K10)*$C$32</f>
        <v>68800000</v>
      </c>
      <c r="L35" s="139">
        <f>+(Production!L9+Production!L10)*$C$32</f>
        <v>65900000</v>
      </c>
      <c r="M35" s="139">
        <f>+(Production!M9+Production!M10)*$C$32</f>
        <v>66200000</v>
      </c>
      <c r="N35" s="139">
        <f>+(Production!N9+Production!N10)*$C$32</f>
        <v>65900000</v>
      </c>
      <c r="O35" s="139">
        <f>+(Production!O9+Production!O10)*$C$32</f>
        <v>66200000</v>
      </c>
      <c r="P35" s="117">
        <f>SUM(D35:O35)</f>
        <v>813800000</v>
      </c>
    </row>
    <row r="36" spans="2:21" s="115" customFormat="1" ht="16.5">
      <c r="B36" s="230" t="str">
        <f>+B33</f>
        <v>Tri dechets</v>
      </c>
      <c r="C36" s="139"/>
      <c r="D36" s="139">
        <f t="shared" ref="D36:O36" si="12">+$C$33*D7*28*1000</f>
        <v>0</v>
      </c>
      <c r="E36" s="139">
        <f t="shared" si="12"/>
        <v>0</v>
      </c>
      <c r="F36" s="139">
        <f t="shared" si="12"/>
        <v>0</v>
      </c>
      <c r="G36" s="139">
        <f t="shared" si="12"/>
        <v>0</v>
      </c>
      <c r="H36" s="139">
        <f t="shared" si="12"/>
        <v>0</v>
      </c>
      <c r="I36" s="139">
        <f t="shared" si="12"/>
        <v>0</v>
      </c>
      <c r="J36" s="139">
        <f t="shared" si="12"/>
        <v>0</v>
      </c>
      <c r="K36" s="139">
        <f t="shared" si="12"/>
        <v>0</v>
      </c>
      <c r="L36" s="139">
        <f t="shared" si="12"/>
        <v>0</v>
      </c>
      <c r="M36" s="139">
        <f t="shared" si="12"/>
        <v>0</v>
      </c>
      <c r="N36" s="139">
        <f t="shared" si="12"/>
        <v>0</v>
      </c>
      <c r="O36" s="139">
        <f t="shared" si="12"/>
        <v>0</v>
      </c>
      <c r="P36" s="117">
        <f>SUM(D36:O36)</f>
        <v>0</v>
      </c>
    </row>
    <row r="37" spans="2:21" s="115" customFormat="1" ht="16.5">
      <c r="B37" s="230" t="s">
        <v>1136</v>
      </c>
      <c r="C37" s="139">
        <v>4200000</v>
      </c>
      <c r="D37" s="139">
        <f t="shared" ref="D37:O37" si="13">+$C$37*D11</f>
        <v>75600000</v>
      </c>
      <c r="E37" s="139">
        <f t="shared" si="13"/>
        <v>75600000</v>
      </c>
      <c r="F37" s="139">
        <f t="shared" si="13"/>
        <v>75600000</v>
      </c>
      <c r="G37" s="139">
        <f t="shared" si="13"/>
        <v>75600000</v>
      </c>
      <c r="H37" s="139">
        <f t="shared" si="13"/>
        <v>75600000</v>
      </c>
      <c r="I37" s="139">
        <f t="shared" si="13"/>
        <v>75600000</v>
      </c>
      <c r="J37" s="139">
        <f t="shared" si="13"/>
        <v>75600000</v>
      </c>
      <c r="K37" s="139">
        <f t="shared" si="13"/>
        <v>75600000</v>
      </c>
      <c r="L37" s="139">
        <f t="shared" si="13"/>
        <v>75600000</v>
      </c>
      <c r="M37" s="139">
        <f t="shared" si="13"/>
        <v>75600000</v>
      </c>
      <c r="N37" s="139">
        <f t="shared" si="13"/>
        <v>75600000</v>
      </c>
      <c r="O37" s="139">
        <f t="shared" si="13"/>
        <v>75600000</v>
      </c>
      <c r="P37" s="117">
        <f>SUM(D37:O37)</f>
        <v>907200000</v>
      </c>
      <c r="R37" s="117">
        <f>+P37</f>
        <v>907200000</v>
      </c>
      <c r="S37" s="117">
        <f>+S38</f>
        <v>6048</v>
      </c>
      <c r="T37" s="117">
        <f>+R37/S37</f>
        <v>150000</v>
      </c>
      <c r="U37" s="620">
        <f>+T37/4500</f>
        <v>33.333333333333336</v>
      </c>
    </row>
    <row r="38" spans="2:21" s="115" customFormat="1" ht="16.5">
      <c r="B38" s="230" t="s">
        <v>1137</v>
      </c>
      <c r="C38" s="139">
        <f>+'Données SOMIDA'!D85*'Données SOMIDA'!E11</f>
        <v>4356000</v>
      </c>
      <c r="D38" s="139">
        <f t="shared" ref="D38:O38" si="14">+$C$38*D11</f>
        <v>78408000</v>
      </c>
      <c r="E38" s="139">
        <f t="shared" si="14"/>
        <v>78408000</v>
      </c>
      <c r="F38" s="139">
        <f t="shared" si="14"/>
        <v>78408000</v>
      </c>
      <c r="G38" s="139">
        <f t="shared" si="14"/>
        <v>78408000</v>
      </c>
      <c r="H38" s="139">
        <f t="shared" si="14"/>
        <v>78408000</v>
      </c>
      <c r="I38" s="139">
        <f t="shared" si="14"/>
        <v>78408000</v>
      </c>
      <c r="J38" s="139">
        <f t="shared" si="14"/>
        <v>78408000</v>
      </c>
      <c r="K38" s="139">
        <f t="shared" si="14"/>
        <v>78408000</v>
      </c>
      <c r="L38" s="139">
        <f t="shared" si="14"/>
        <v>78408000</v>
      </c>
      <c r="M38" s="139">
        <f t="shared" si="14"/>
        <v>78408000</v>
      </c>
      <c r="N38" s="139">
        <f t="shared" si="14"/>
        <v>78408000</v>
      </c>
      <c r="O38" s="139">
        <f t="shared" si="14"/>
        <v>78408000</v>
      </c>
      <c r="P38" s="117">
        <f>SUM(D38:O38)</f>
        <v>940896000</v>
      </c>
      <c r="R38" s="117">
        <f>+P37+P39</f>
        <v>1512000000</v>
      </c>
      <c r="S38" s="117">
        <f>+CA!O11+CA!O6</f>
        <v>6048</v>
      </c>
      <c r="T38" s="117">
        <f>+R38/S38</f>
        <v>250000</v>
      </c>
      <c r="U38" s="620">
        <f>+T38/4500</f>
        <v>55.555555555555557</v>
      </c>
    </row>
    <row r="39" spans="2:21" s="115" customFormat="1" ht="17.25" thickBot="1">
      <c r="B39" s="551" t="s">
        <v>986</v>
      </c>
      <c r="C39" s="548"/>
      <c r="D39" s="548">
        <f>(+CA!C6+CA!C11)*1000*$C$34</f>
        <v>50400000</v>
      </c>
      <c r="E39" s="548">
        <f>(+CA!D6+CA!D11)*1000*$C$34</f>
        <v>50400000</v>
      </c>
      <c r="F39" s="548">
        <f>(+CA!E6+CA!E11)*1000*$C$34</f>
        <v>50400000</v>
      </c>
      <c r="G39" s="548">
        <f>(+CA!F6+CA!F11)*1000*$C$34</f>
        <v>50400000</v>
      </c>
      <c r="H39" s="548">
        <f>(+CA!G6+CA!G11)*1000*$C$34</f>
        <v>50400000</v>
      </c>
      <c r="I39" s="548">
        <f>(+CA!H6+CA!H11)*1000*$C$34</f>
        <v>50400000</v>
      </c>
      <c r="J39" s="548">
        <f>(+CA!I6+CA!I11)*1000*$C$34</f>
        <v>50400000</v>
      </c>
      <c r="K39" s="548">
        <f>(+CA!J6+CA!J11)*1000*$C$34</f>
        <v>50400000</v>
      </c>
      <c r="L39" s="548">
        <f>(+CA!K6+CA!K11)*1000*$C$34</f>
        <v>50400000</v>
      </c>
      <c r="M39" s="548">
        <f>(+CA!L6+CA!L11)*1000*$C$34</f>
        <v>50400000</v>
      </c>
      <c r="N39" s="548">
        <f>(+CA!M6+CA!M11)*1000*$C$34</f>
        <v>50400000</v>
      </c>
      <c r="O39" s="548">
        <f>(+CA!N6+CA!N11)*1000*$C$34</f>
        <v>50400000</v>
      </c>
      <c r="P39" s="117">
        <f>SUM(D39:O39)</f>
        <v>604800000</v>
      </c>
      <c r="R39" s="197">
        <f>+R38/4500</f>
        <v>336000</v>
      </c>
      <c r="S39" s="117">
        <v>4500</v>
      </c>
      <c r="T39" s="117">
        <f>+R39/S39</f>
        <v>74.666666666666671</v>
      </c>
      <c r="U39" s="620">
        <f>+U38+U37</f>
        <v>88.888888888888886</v>
      </c>
    </row>
    <row r="40" spans="2:21" s="115" customFormat="1" ht="17.25" thickBot="1"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39"/>
      <c r="P40" s="117"/>
    </row>
    <row r="41" spans="2:21" s="115" customFormat="1" ht="16.5">
      <c r="B41" s="543" t="s">
        <v>877</v>
      </c>
      <c r="C41" s="544"/>
      <c r="D41" s="545" t="str">
        <f t="shared" ref="D41:P41" si="15">+D18</f>
        <v>Mois 1</v>
      </c>
      <c r="E41" s="545" t="str">
        <f t="shared" si="15"/>
        <v>Mois 2</v>
      </c>
      <c r="F41" s="545" t="str">
        <f t="shared" si="15"/>
        <v>Mois 3</v>
      </c>
      <c r="G41" s="545" t="str">
        <f t="shared" si="15"/>
        <v>Mois 4</v>
      </c>
      <c r="H41" s="545" t="str">
        <f t="shared" si="15"/>
        <v>Mois 5</v>
      </c>
      <c r="I41" s="545" t="str">
        <f t="shared" si="15"/>
        <v>Mois 6</v>
      </c>
      <c r="J41" s="545" t="str">
        <f t="shared" si="15"/>
        <v>Mois 7</v>
      </c>
      <c r="K41" s="545" t="str">
        <f t="shared" si="15"/>
        <v>Mois 8</v>
      </c>
      <c r="L41" s="545" t="str">
        <f t="shared" si="15"/>
        <v>Mois 9</v>
      </c>
      <c r="M41" s="545" t="str">
        <f t="shared" si="15"/>
        <v>Mois 10</v>
      </c>
      <c r="N41" s="545" t="str">
        <f t="shared" si="15"/>
        <v>Mois 11</v>
      </c>
      <c r="O41" s="545" t="str">
        <f t="shared" si="15"/>
        <v>Mois 12</v>
      </c>
      <c r="P41" s="545" t="str">
        <f t="shared" si="15"/>
        <v>Total</v>
      </c>
    </row>
    <row r="42" spans="2:21" s="115" customFormat="1" ht="16.5">
      <c r="B42" s="116" t="s">
        <v>542</v>
      </c>
      <c r="C42" s="569"/>
      <c r="D42" s="139">
        <v>450000</v>
      </c>
      <c r="E42" s="139">
        <v>450000</v>
      </c>
      <c r="F42" s="139">
        <v>450000</v>
      </c>
      <c r="G42" s="139">
        <v>450000</v>
      </c>
      <c r="H42" s="139">
        <v>450000</v>
      </c>
      <c r="I42" s="139">
        <v>450000</v>
      </c>
      <c r="J42" s="139">
        <v>450000</v>
      </c>
      <c r="K42" s="139">
        <v>450000</v>
      </c>
      <c r="L42" s="139">
        <v>450000</v>
      </c>
      <c r="M42" s="139">
        <v>450000</v>
      </c>
      <c r="N42" s="139">
        <v>450000</v>
      </c>
      <c r="O42" s="139">
        <v>450000</v>
      </c>
      <c r="P42" s="139">
        <f t="shared" ref="P42:P70" si="16">SUM(D42:O42)</f>
        <v>5400000</v>
      </c>
      <c r="Q42" s="115" t="s">
        <v>1298</v>
      </c>
    </row>
    <row r="43" spans="2:21" s="115" customFormat="1" ht="16.5">
      <c r="B43" s="116" t="s">
        <v>543</v>
      </c>
      <c r="C43" s="569"/>
      <c r="D43" s="139">
        <v>150000</v>
      </c>
      <c r="E43" s="139">
        <v>150000</v>
      </c>
      <c r="F43" s="139">
        <v>150000</v>
      </c>
      <c r="G43" s="139">
        <v>150000</v>
      </c>
      <c r="H43" s="139">
        <v>150000</v>
      </c>
      <c r="I43" s="139">
        <v>150000</v>
      </c>
      <c r="J43" s="139">
        <v>150000</v>
      </c>
      <c r="K43" s="139">
        <v>150000</v>
      </c>
      <c r="L43" s="139">
        <v>150000</v>
      </c>
      <c r="M43" s="139">
        <v>150000</v>
      </c>
      <c r="N43" s="139">
        <v>150000</v>
      </c>
      <c r="O43" s="139">
        <v>150000</v>
      </c>
      <c r="P43" s="139">
        <f t="shared" si="16"/>
        <v>1800000</v>
      </c>
      <c r="Q43" s="115" t="s">
        <v>1298</v>
      </c>
    </row>
    <row r="44" spans="2:21" s="115" customFormat="1" ht="16.5">
      <c r="B44" s="116" t="s">
        <v>544</v>
      </c>
      <c r="C44" s="569"/>
      <c r="D44" s="139">
        <v>200000</v>
      </c>
      <c r="E44" s="139">
        <v>200000</v>
      </c>
      <c r="F44" s="139">
        <v>200000</v>
      </c>
      <c r="G44" s="139">
        <v>200000</v>
      </c>
      <c r="H44" s="139">
        <v>200000</v>
      </c>
      <c r="I44" s="139">
        <v>200000</v>
      </c>
      <c r="J44" s="139">
        <v>200000</v>
      </c>
      <c r="K44" s="139">
        <v>200000</v>
      </c>
      <c r="L44" s="139">
        <v>200000</v>
      </c>
      <c r="M44" s="139">
        <v>200000</v>
      </c>
      <c r="N44" s="139">
        <v>200000</v>
      </c>
      <c r="O44" s="139">
        <v>200000</v>
      </c>
      <c r="P44" s="139">
        <f t="shared" si="16"/>
        <v>2400000</v>
      </c>
      <c r="Q44" s="115" t="s">
        <v>1298</v>
      </c>
    </row>
    <row r="45" spans="2:21" s="115" customFormat="1" ht="16.5">
      <c r="B45" s="116" t="s">
        <v>545</v>
      </c>
      <c r="C45" s="569"/>
      <c r="D45" s="139">
        <v>48000</v>
      </c>
      <c r="E45" s="139">
        <v>48000</v>
      </c>
      <c r="F45" s="139">
        <v>48000</v>
      </c>
      <c r="G45" s="139">
        <v>48000</v>
      </c>
      <c r="H45" s="139">
        <v>48000</v>
      </c>
      <c r="I45" s="139">
        <v>48000</v>
      </c>
      <c r="J45" s="139">
        <v>48000</v>
      </c>
      <c r="K45" s="139">
        <v>48000</v>
      </c>
      <c r="L45" s="139">
        <v>48000</v>
      </c>
      <c r="M45" s="139">
        <v>48000</v>
      </c>
      <c r="N45" s="139">
        <v>48000</v>
      </c>
      <c r="O45" s="139">
        <v>48000</v>
      </c>
      <c r="P45" s="139">
        <f t="shared" si="16"/>
        <v>576000</v>
      </c>
      <c r="Q45" s="115" t="s">
        <v>1298</v>
      </c>
    </row>
    <row r="46" spans="2:21" s="115" customFormat="1" ht="16.5">
      <c r="B46" s="116" t="s">
        <v>546</v>
      </c>
      <c r="C46" s="569"/>
      <c r="D46" s="139">
        <v>48000</v>
      </c>
      <c r="E46" s="139">
        <v>48000</v>
      </c>
      <c r="F46" s="139">
        <v>48000</v>
      </c>
      <c r="G46" s="139">
        <v>48000</v>
      </c>
      <c r="H46" s="139">
        <v>48000</v>
      </c>
      <c r="I46" s="139">
        <v>48000</v>
      </c>
      <c r="J46" s="139">
        <v>48000</v>
      </c>
      <c r="K46" s="139">
        <v>48000</v>
      </c>
      <c r="L46" s="139">
        <v>48000</v>
      </c>
      <c r="M46" s="139">
        <v>48000</v>
      </c>
      <c r="N46" s="139">
        <v>48000</v>
      </c>
      <c r="O46" s="139">
        <v>48000</v>
      </c>
      <c r="P46" s="139">
        <f t="shared" si="16"/>
        <v>576000</v>
      </c>
      <c r="Q46" s="115" t="s">
        <v>1298</v>
      </c>
    </row>
    <row r="47" spans="2:21" s="115" customFormat="1" ht="16.5">
      <c r="B47" s="116" t="s">
        <v>547</v>
      </c>
      <c r="C47" s="569"/>
      <c r="D47" s="139">
        <v>5000</v>
      </c>
      <c r="E47" s="139">
        <v>5000</v>
      </c>
      <c r="F47" s="139">
        <v>5000</v>
      </c>
      <c r="G47" s="139">
        <v>5000</v>
      </c>
      <c r="H47" s="139">
        <v>5000</v>
      </c>
      <c r="I47" s="139">
        <v>5000</v>
      </c>
      <c r="J47" s="139">
        <v>5000</v>
      </c>
      <c r="K47" s="139">
        <v>5000</v>
      </c>
      <c r="L47" s="139">
        <v>5000</v>
      </c>
      <c r="M47" s="139">
        <v>5000</v>
      </c>
      <c r="N47" s="139">
        <v>5000</v>
      </c>
      <c r="O47" s="139">
        <v>5000</v>
      </c>
      <c r="P47" s="139">
        <f t="shared" si="16"/>
        <v>60000</v>
      </c>
      <c r="Q47" s="115" t="s">
        <v>1298</v>
      </c>
    </row>
    <row r="48" spans="2:21" s="115" customFormat="1" ht="16.5">
      <c r="B48" s="116" t="s">
        <v>548</v>
      </c>
      <c r="C48" s="569"/>
      <c r="D48" s="139">
        <v>35000</v>
      </c>
      <c r="E48" s="139">
        <v>35000</v>
      </c>
      <c r="F48" s="139">
        <v>35000</v>
      </c>
      <c r="G48" s="139">
        <v>35000</v>
      </c>
      <c r="H48" s="139">
        <v>35000</v>
      </c>
      <c r="I48" s="139">
        <v>35000</v>
      </c>
      <c r="J48" s="139">
        <v>35000</v>
      </c>
      <c r="K48" s="139">
        <v>35000</v>
      </c>
      <c r="L48" s="139">
        <v>35000</v>
      </c>
      <c r="M48" s="139">
        <v>35000</v>
      </c>
      <c r="N48" s="139">
        <v>35000</v>
      </c>
      <c r="O48" s="139">
        <v>35000</v>
      </c>
      <c r="P48" s="139">
        <f t="shared" si="16"/>
        <v>420000</v>
      </c>
      <c r="Q48" s="115" t="s">
        <v>1298</v>
      </c>
    </row>
    <row r="49" spans="2:18" s="115" customFormat="1" ht="16.5">
      <c r="B49" s="116" t="s">
        <v>1293</v>
      </c>
      <c r="C49" s="569"/>
      <c r="D49" s="139">
        <v>3000000</v>
      </c>
      <c r="E49" s="139">
        <f t="shared" ref="E49:O49" si="17">+D49</f>
        <v>3000000</v>
      </c>
      <c r="F49" s="139">
        <f t="shared" si="17"/>
        <v>3000000</v>
      </c>
      <c r="G49" s="139">
        <f t="shared" si="17"/>
        <v>3000000</v>
      </c>
      <c r="H49" s="139">
        <f t="shared" si="17"/>
        <v>3000000</v>
      </c>
      <c r="I49" s="139">
        <f t="shared" si="17"/>
        <v>3000000</v>
      </c>
      <c r="J49" s="139">
        <f t="shared" si="17"/>
        <v>3000000</v>
      </c>
      <c r="K49" s="139">
        <f t="shared" si="17"/>
        <v>3000000</v>
      </c>
      <c r="L49" s="139">
        <f t="shared" si="17"/>
        <v>3000000</v>
      </c>
      <c r="M49" s="139">
        <f t="shared" si="17"/>
        <v>3000000</v>
      </c>
      <c r="N49" s="139">
        <f t="shared" si="17"/>
        <v>3000000</v>
      </c>
      <c r="O49" s="139">
        <f t="shared" si="17"/>
        <v>3000000</v>
      </c>
      <c r="P49" s="139">
        <f t="shared" si="16"/>
        <v>36000000</v>
      </c>
      <c r="Q49" s="115" t="s">
        <v>1298</v>
      </c>
    </row>
    <row r="50" spans="2:18" s="115" customFormat="1" ht="16.5">
      <c r="B50" s="116" t="s">
        <v>50</v>
      </c>
      <c r="C50" s="569"/>
      <c r="D50" s="139">
        <f t="shared" ref="D50:O50" si="18">+D35</f>
        <v>68600000</v>
      </c>
      <c r="E50" s="139">
        <f t="shared" si="18"/>
        <v>68800000</v>
      </c>
      <c r="F50" s="139">
        <f t="shared" si="18"/>
        <v>68600000</v>
      </c>
      <c r="G50" s="139">
        <f t="shared" si="18"/>
        <v>68800000</v>
      </c>
      <c r="H50" s="139">
        <f t="shared" si="18"/>
        <v>68600000</v>
      </c>
      <c r="I50" s="139">
        <f t="shared" si="18"/>
        <v>68800000</v>
      </c>
      <c r="J50" s="139">
        <f t="shared" si="18"/>
        <v>68600000</v>
      </c>
      <c r="K50" s="139">
        <f t="shared" si="18"/>
        <v>68800000</v>
      </c>
      <c r="L50" s="139">
        <f t="shared" si="18"/>
        <v>65900000</v>
      </c>
      <c r="M50" s="139">
        <f t="shared" si="18"/>
        <v>66200000</v>
      </c>
      <c r="N50" s="139">
        <f t="shared" si="18"/>
        <v>65900000</v>
      </c>
      <c r="O50" s="139">
        <f t="shared" si="18"/>
        <v>66200000</v>
      </c>
      <c r="P50" s="139">
        <f t="shared" si="16"/>
        <v>813800000</v>
      </c>
      <c r="Q50" s="115" t="s">
        <v>1299</v>
      </c>
    </row>
    <row r="51" spans="2:18" s="115" customFormat="1" ht="16.5">
      <c r="B51" s="116" t="s">
        <v>1159</v>
      </c>
      <c r="C51" s="569"/>
      <c r="D51" s="139">
        <f t="shared" ref="D51:O51" si="19">+D36</f>
        <v>0</v>
      </c>
      <c r="E51" s="139">
        <f t="shared" si="19"/>
        <v>0</v>
      </c>
      <c r="F51" s="139">
        <f t="shared" si="19"/>
        <v>0</v>
      </c>
      <c r="G51" s="139">
        <f t="shared" si="19"/>
        <v>0</v>
      </c>
      <c r="H51" s="139">
        <f t="shared" si="19"/>
        <v>0</v>
      </c>
      <c r="I51" s="139">
        <f t="shared" si="19"/>
        <v>0</v>
      </c>
      <c r="J51" s="139">
        <f t="shared" si="19"/>
        <v>0</v>
      </c>
      <c r="K51" s="139">
        <f t="shared" si="19"/>
        <v>0</v>
      </c>
      <c r="L51" s="139">
        <f t="shared" si="19"/>
        <v>0</v>
      </c>
      <c r="M51" s="139">
        <f t="shared" si="19"/>
        <v>0</v>
      </c>
      <c r="N51" s="139">
        <f t="shared" si="19"/>
        <v>0</v>
      </c>
      <c r="O51" s="139">
        <f t="shared" si="19"/>
        <v>0</v>
      </c>
      <c r="P51" s="139">
        <f t="shared" si="16"/>
        <v>0</v>
      </c>
      <c r="Q51" s="115" t="s">
        <v>1299</v>
      </c>
    </row>
    <row r="52" spans="2:18" s="115" customFormat="1" ht="16.5">
      <c r="B52" s="116" t="s">
        <v>604</v>
      </c>
      <c r="C52" s="569"/>
      <c r="D52" s="139">
        <v>0</v>
      </c>
      <c r="E52" s="139">
        <v>0</v>
      </c>
      <c r="F52" s="139">
        <v>0</v>
      </c>
      <c r="G52" s="139">
        <v>0</v>
      </c>
      <c r="H52" s="139">
        <v>10000000</v>
      </c>
      <c r="I52" s="139">
        <v>0</v>
      </c>
      <c r="J52" s="139">
        <v>0</v>
      </c>
      <c r="K52" s="139">
        <v>0</v>
      </c>
      <c r="L52" s="139">
        <v>0</v>
      </c>
      <c r="M52" s="139">
        <v>0</v>
      </c>
      <c r="N52" s="139">
        <v>0</v>
      </c>
      <c r="O52" s="139">
        <v>0</v>
      </c>
      <c r="P52" s="139">
        <f t="shared" si="16"/>
        <v>10000000</v>
      </c>
      <c r="Q52" s="115" t="s">
        <v>1298</v>
      </c>
    </row>
    <row r="53" spans="2:18" s="115" customFormat="1" ht="16.5">
      <c r="B53" s="116" t="str">
        <f>+B39</f>
        <v>Cabotages</v>
      </c>
      <c r="C53" s="569"/>
      <c r="D53" s="139">
        <f t="shared" ref="D53:O53" si="20">+D39</f>
        <v>50400000</v>
      </c>
      <c r="E53" s="139">
        <f t="shared" si="20"/>
        <v>50400000</v>
      </c>
      <c r="F53" s="139">
        <f t="shared" si="20"/>
        <v>50400000</v>
      </c>
      <c r="G53" s="139">
        <f t="shared" si="20"/>
        <v>50400000</v>
      </c>
      <c r="H53" s="139">
        <f t="shared" si="20"/>
        <v>50400000</v>
      </c>
      <c r="I53" s="139">
        <f t="shared" si="20"/>
        <v>50400000</v>
      </c>
      <c r="J53" s="139">
        <f t="shared" si="20"/>
        <v>50400000</v>
      </c>
      <c r="K53" s="139">
        <f t="shared" si="20"/>
        <v>50400000</v>
      </c>
      <c r="L53" s="139">
        <f t="shared" si="20"/>
        <v>50400000</v>
      </c>
      <c r="M53" s="139">
        <f t="shared" si="20"/>
        <v>50400000</v>
      </c>
      <c r="N53" s="139">
        <f t="shared" si="20"/>
        <v>50400000</v>
      </c>
      <c r="O53" s="139">
        <f t="shared" si="20"/>
        <v>50400000</v>
      </c>
      <c r="P53" s="139">
        <f t="shared" si="16"/>
        <v>604800000</v>
      </c>
      <c r="Q53" s="115" t="s">
        <v>1299</v>
      </c>
    </row>
    <row r="54" spans="2:18" s="115" customFormat="1" ht="16.5">
      <c r="B54" s="116" t="s">
        <v>528</v>
      </c>
      <c r="C54" s="569"/>
      <c r="D54" s="139">
        <f t="shared" ref="D54:O54" si="21">+D28</f>
        <v>8750000</v>
      </c>
      <c r="E54" s="139">
        <f t="shared" si="21"/>
        <v>8750000</v>
      </c>
      <c r="F54" s="139">
        <f t="shared" si="21"/>
        <v>8750000</v>
      </c>
      <c r="G54" s="139">
        <f t="shared" si="21"/>
        <v>8750000</v>
      </c>
      <c r="H54" s="139">
        <f t="shared" si="21"/>
        <v>8750000</v>
      </c>
      <c r="I54" s="139">
        <f t="shared" si="21"/>
        <v>8750000</v>
      </c>
      <c r="J54" s="139">
        <f t="shared" si="21"/>
        <v>8750000</v>
      </c>
      <c r="K54" s="139">
        <f t="shared" si="21"/>
        <v>8750000</v>
      </c>
      <c r="L54" s="139">
        <f t="shared" si="21"/>
        <v>8750000</v>
      </c>
      <c r="M54" s="139">
        <f t="shared" si="21"/>
        <v>8750000</v>
      </c>
      <c r="N54" s="139">
        <f t="shared" si="21"/>
        <v>8750000</v>
      </c>
      <c r="O54" s="139">
        <f t="shared" si="21"/>
        <v>8750000</v>
      </c>
      <c r="P54" s="139">
        <f t="shared" si="16"/>
        <v>105000000</v>
      </c>
      <c r="Q54" s="115" t="s">
        <v>1299</v>
      </c>
    </row>
    <row r="55" spans="2:18" s="115" customFormat="1" ht="16.5">
      <c r="B55" s="116" t="s">
        <v>1097</v>
      </c>
      <c r="C55" s="569"/>
      <c r="D55" s="139">
        <f t="shared" ref="D55:O55" si="22">+D37</f>
        <v>75600000</v>
      </c>
      <c r="E55" s="139">
        <f t="shared" si="22"/>
        <v>75600000</v>
      </c>
      <c r="F55" s="139">
        <f t="shared" si="22"/>
        <v>75600000</v>
      </c>
      <c r="G55" s="139">
        <f t="shared" si="22"/>
        <v>75600000</v>
      </c>
      <c r="H55" s="139">
        <f t="shared" si="22"/>
        <v>75600000</v>
      </c>
      <c r="I55" s="139">
        <f t="shared" si="22"/>
        <v>75600000</v>
      </c>
      <c r="J55" s="139">
        <f t="shared" si="22"/>
        <v>75600000</v>
      </c>
      <c r="K55" s="139">
        <f t="shared" si="22"/>
        <v>75600000</v>
      </c>
      <c r="L55" s="139">
        <f t="shared" si="22"/>
        <v>75600000</v>
      </c>
      <c r="M55" s="139">
        <f t="shared" si="22"/>
        <v>75600000</v>
      </c>
      <c r="N55" s="139">
        <f t="shared" si="22"/>
        <v>75600000</v>
      </c>
      <c r="O55" s="139">
        <f t="shared" si="22"/>
        <v>75600000</v>
      </c>
      <c r="P55" s="139">
        <f t="shared" si="16"/>
        <v>907200000</v>
      </c>
      <c r="Q55" s="115" t="s">
        <v>1299</v>
      </c>
    </row>
    <row r="56" spans="2:18" s="115" customFormat="1" ht="16.5">
      <c r="B56" s="116" t="str">
        <f>+B38</f>
        <v>Fret international (Par TC)</v>
      </c>
      <c r="C56" s="569"/>
      <c r="D56" s="139">
        <f t="shared" ref="D56:O56" si="23">+D38</f>
        <v>78408000</v>
      </c>
      <c r="E56" s="139">
        <f t="shared" si="23"/>
        <v>78408000</v>
      </c>
      <c r="F56" s="139">
        <f t="shared" si="23"/>
        <v>78408000</v>
      </c>
      <c r="G56" s="139">
        <f t="shared" si="23"/>
        <v>78408000</v>
      </c>
      <c r="H56" s="139">
        <f t="shared" si="23"/>
        <v>78408000</v>
      </c>
      <c r="I56" s="139">
        <f t="shared" si="23"/>
        <v>78408000</v>
      </c>
      <c r="J56" s="139">
        <f t="shared" si="23"/>
        <v>78408000</v>
      </c>
      <c r="K56" s="139">
        <f t="shared" si="23"/>
        <v>78408000</v>
      </c>
      <c r="L56" s="139">
        <f t="shared" si="23"/>
        <v>78408000</v>
      </c>
      <c r="M56" s="139">
        <f t="shared" si="23"/>
        <v>78408000</v>
      </c>
      <c r="N56" s="139">
        <f t="shared" si="23"/>
        <v>78408000</v>
      </c>
      <c r="O56" s="139">
        <f t="shared" si="23"/>
        <v>78408000</v>
      </c>
      <c r="P56" s="139">
        <f t="shared" si="16"/>
        <v>940896000</v>
      </c>
      <c r="Q56" s="115" t="s">
        <v>1299</v>
      </c>
    </row>
    <row r="57" spans="2:18" s="115" customFormat="1" ht="16.5">
      <c r="B57" s="116" t="s">
        <v>529</v>
      </c>
      <c r="C57" s="569"/>
      <c r="D57" s="139">
        <f>+'Besoins en micas'!C78</f>
        <v>170556750</v>
      </c>
      <c r="E57" s="139">
        <f>+'Besoins en micas'!D78</f>
        <v>171054000</v>
      </c>
      <c r="F57" s="139">
        <f>+'Besoins en micas'!E78</f>
        <v>170556750</v>
      </c>
      <c r="G57" s="139">
        <f>+'Besoins en micas'!F78</f>
        <v>171054000</v>
      </c>
      <c r="H57" s="139">
        <f>+'Besoins en micas'!G78</f>
        <v>170556750</v>
      </c>
      <c r="I57" s="139">
        <f>+'Besoins en micas'!H78</f>
        <v>171054000</v>
      </c>
      <c r="J57" s="139">
        <f>+'Besoins en micas'!I78</f>
        <v>170556750</v>
      </c>
      <c r="K57" s="139">
        <f>+'Besoins en micas'!J78</f>
        <v>171054000</v>
      </c>
      <c r="L57" s="139">
        <f>+'Besoins en micas'!K78</f>
        <v>157418625</v>
      </c>
      <c r="M57" s="139">
        <f>+'Besoins en micas'!L78</f>
        <v>158135250</v>
      </c>
      <c r="N57" s="139">
        <f>+'Besoins en micas'!M78</f>
        <v>157418625</v>
      </c>
      <c r="O57" s="139">
        <f>+'Besoins en micas'!N78</f>
        <v>158135250</v>
      </c>
      <c r="P57" s="139">
        <f t="shared" si="16"/>
        <v>1997550750</v>
      </c>
      <c r="Q57" s="115" t="s">
        <v>1299</v>
      </c>
    </row>
    <row r="58" spans="2:18" s="115" customFormat="1" ht="16.5">
      <c r="B58" s="116" t="s">
        <v>530</v>
      </c>
      <c r="C58" s="569"/>
      <c r="D58" s="139">
        <v>500000</v>
      </c>
      <c r="E58" s="139">
        <v>500000</v>
      </c>
      <c r="F58" s="139">
        <v>500000</v>
      </c>
      <c r="G58" s="139">
        <v>500000</v>
      </c>
      <c r="H58" s="139">
        <v>500000</v>
      </c>
      <c r="I58" s="139">
        <v>500000</v>
      </c>
      <c r="J58" s="139">
        <v>500000</v>
      </c>
      <c r="K58" s="139">
        <v>500000</v>
      </c>
      <c r="L58" s="139">
        <v>500000</v>
      </c>
      <c r="M58" s="139">
        <v>500000</v>
      </c>
      <c r="N58" s="139">
        <v>500000</v>
      </c>
      <c r="O58" s="139">
        <v>500000</v>
      </c>
      <c r="P58" s="139">
        <f t="shared" si="16"/>
        <v>6000000</v>
      </c>
      <c r="Q58" s="115" t="s">
        <v>1298</v>
      </c>
    </row>
    <row r="59" spans="2:18" s="115" customFormat="1" ht="16.5">
      <c r="B59" s="116" t="s">
        <v>531</v>
      </c>
      <c r="C59" s="569"/>
      <c r="D59" s="139"/>
      <c r="E59" s="139"/>
      <c r="F59" s="139"/>
      <c r="G59" s="139">
        <v>700000</v>
      </c>
      <c r="H59" s="139"/>
      <c r="I59" s="139"/>
      <c r="J59" s="139"/>
      <c r="K59" s="139">
        <v>700000</v>
      </c>
      <c r="L59" s="139"/>
      <c r="M59" s="139"/>
      <c r="N59" s="139"/>
      <c r="O59" s="139">
        <v>700000</v>
      </c>
      <c r="P59" s="139">
        <f t="shared" si="16"/>
        <v>2100000</v>
      </c>
      <c r="Q59" s="115" t="s">
        <v>1298</v>
      </c>
      <c r="R59" s="115">
        <v>4</v>
      </c>
    </row>
    <row r="60" spans="2:18" s="115" customFormat="1" ht="16.5">
      <c r="B60" s="116" t="s">
        <v>532</v>
      </c>
      <c r="C60" s="569"/>
      <c r="D60" s="139">
        <v>480000</v>
      </c>
      <c r="E60" s="139">
        <v>480000</v>
      </c>
      <c r="F60" s="139">
        <v>480000</v>
      </c>
      <c r="G60" s="139">
        <v>480000</v>
      </c>
      <c r="H60" s="139">
        <v>480000</v>
      </c>
      <c r="I60" s="139">
        <v>480000</v>
      </c>
      <c r="J60" s="139">
        <v>480000</v>
      </c>
      <c r="K60" s="139">
        <v>480000</v>
      </c>
      <c r="L60" s="139">
        <v>480000</v>
      </c>
      <c r="M60" s="139">
        <v>480000</v>
      </c>
      <c r="N60" s="139">
        <v>480000</v>
      </c>
      <c r="O60" s="139">
        <v>480000</v>
      </c>
      <c r="P60" s="139">
        <f t="shared" si="16"/>
        <v>5760000</v>
      </c>
      <c r="Q60" s="115" t="s">
        <v>1298</v>
      </c>
    </row>
    <row r="61" spans="2:18" s="115" customFormat="1" ht="16.5">
      <c r="B61" s="116" t="s">
        <v>533</v>
      </c>
      <c r="C61" s="569"/>
      <c r="D61" s="139">
        <f t="shared" ref="D61:O61" si="24">(+D63)*4</f>
        <v>0</v>
      </c>
      <c r="E61" s="139">
        <f t="shared" si="24"/>
        <v>0</v>
      </c>
      <c r="F61" s="139">
        <f t="shared" si="24"/>
        <v>8000000</v>
      </c>
      <c r="G61" s="139">
        <f t="shared" si="24"/>
        <v>0</v>
      </c>
      <c r="H61" s="139">
        <f t="shared" si="24"/>
        <v>0</v>
      </c>
      <c r="I61" s="139">
        <f t="shared" si="24"/>
        <v>8000000</v>
      </c>
      <c r="J61" s="139">
        <f t="shared" si="24"/>
        <v>0</v>
      </c>
      <c r="K61" s="139">
        <f t="shared" si="24"/>
        <v>0</v>
      </c>
      <c r="L61" s="139">
        <f t="shared" si="24"/>
        <v>8000000</v>
      </c>
      <c r="M61" s="139">
        <f t="shared" si="24"/>
        <v>0</v>
      </c>
      <c r="N61" s="139">
        <f t="shared" si="24"/>
        <v>0</v>
      </c>
      <c r="O61" s="139">
        <f t="shared" si="24"/>
        <v>8000000</v>
      </c>
      <c r="P61" s="139">
        <f t="shared" si="16"/>
        <v>32000000</v>
      </c>
      <c r="Q61" s="115" t="s">
        <v>1298</v>
      </c>
    </row>
    <row r="62" spans="2:18" s="115" customFormat="1" ht="16.5">
      <c r="B62" s="116" t="s">
        <v>534</v>
      </c>
      <c r="C62" s="569"/>
      <c r="D62" s="139"/>
      <c r="E62" s="139"/>
      <c r="F62" s="139">
        <v>1000000</v>
      </c>
      <c r="G62" s="139"/>
      <c r="H62" s="139"/>
      <c r="I62" s="139">
        <v>1000000</v>
      </c>
      <c r="J62" s="139"/>
      <c r="K62" s="139"/>
      <c r="L62" s="139">
        <v>1000000</v>
      </c>
      <c r="M62" s="139"/>
      <c r="N62" s="139"/>
      <c r="O62" s="139">
        <v>6000000</v>
      </c>
      <c r="P62" s="139">
        <f t="shared" si="16"/>
        <v>9000000</v>
      </c>
      <c r="Q62" s="115" t="s">
        <v>1298</v>
      </c>
    </row>
    <row r="63" spans="2:18" s="115" customFormat="1" ht="16.5">
      <c r="B63" s="116" t="s">
        <v>535</v>
      </c>
      <c r="C63" s="569"/>
      <c r="D63" s="139"/>
      <c r="E63" s="139"/>
      <c r="F63" s="139">
        <v>2000000</v>
      </c>
      <c r="G63" s="139"/>
      <c r="H63" s="139"/>
      <c r="I63" s="139">
        <v>2000000</v>
      </c>
      <c r="J63" s="139"/>
      <c r="K63" s="139"/>
      <c r="L63" s="139">
        <v>2000000</v>
      </c>
      <c r="M63" s="139"/>
      <c r="N63" s="139"/>
      <c r="O63" s="139">
        <v>2000000</v>
      </c>
      <c r="P63" s="139">
        <f t="shared" si="16"/>
        <v>8000000</v>
      </c>
      <c r="Q63" s="115" t="s">
        <v>1298</v>
      </c>
    </row>
    <row r="64" spans="2:18" s="115" customFormat="1" ht="16.5">
      <c r="B64" s="116" t="s">
        <v>536</v>
      </c>
      <c r="C64" s="569"/>
      <c r="D64" s="139">
        <v>200000</v>
      </c>
      <c r="E64" s="139">
        <v>200000</v>
      </c>
      <c r="F64" s="139">
        <v>200000</v>
      </c>
      <c r="G64" s="139">
        <v>200000</v>
      </c>
      <c r="H64" s="139">
        <v>200000</v>
      </c>
      <c r="I64" s="139">
        <v>200000</v>
      </c>
      <c r="J64" s="139">
        <v>200000</v>
      </c>
      <c r="K64" s="139">
        <v>200000</v>
      </c>
      <c r="L64" s="139">
        <v>200000</v>
      </c>
      <c r="M64" s="139">
        <v>200000</v>
      </c>
      <c r="N64" s="139">
        <v>200000</v>
      </c>
      <c r="O64" s="139">
        <v>200000</v>
      </c>
      <c r="P64" s="139">
        <f t="shared" si="16"/>
        <v>2400000</v>
      </c>
      <c r="Q64" s="115" t="s">
        <v>1298</v>
      </c>
    </row>
    <row r="65" spans="1:17" s="115" customFormat="1" ht="16.5">
      <c r="B65" s="116" t="s">
        <v>537</v>
      </c>
      <c r="C65" s="569"/>
      <c r="D65" s="139">
        <v>200000</v>
      </c>
      <c r="E65" s="139"/>
      <c r="F65" s="139">
        <v>200000</v>
      </c>
      <c r="G65" s="139"/>
      <c r="H65" s="139">
        <v>200000</v>
      </c>
      <c r="I65" s="139"/>
      <c r="J65" s="139">
        <v>200000</v>
      </c>
      <c r="K65" s="139"/>
      <c r="L65" s="139">
        <v>200000</v>
      </c>
      <c r="M65" s="139"/>
      <c r="N65" s="139">
        <v>200000</v>
      </c>
      <c r="O65" s="139"/>
      <c r="P65" s="139">
        <f t="shared" si="16"/>
        <v>1200000</v>
      </c>
      <c r="Q65" s="115" t="s">
        <v>1298</v>
      </c>
    </row>
    <row r="66" spans="1:17" s="115" customFormat="1" ht="16.5">
      <c r="B66" s="116" t="s">
        <v>538</v>
      </c>
      <c r="C66" s="569"/>
      <c r="D66" s="139">
        <v>120000</v>
      </c>
      <c r="E66" s="139">
        <v>120000</v>
      </c>
      <c r="F66" s="139">
        <v>120000</v>
      </c>
      <c r="G66" s="139">
        <v>120000</v>
      </c>
      <c r="H66" s="139">
        <v>120000</v>
      </c>
      <c r="I66" s="139">
        <v>120000</v>
      </c>
      <c r="J66" s="139">
        <v>120000</v>
      </c>
      <c r="K66" s="139">
        <v>120000</v>
      </c>
      <c r="L66" s="139">
        <v>120000</v>
      </c>
      <c r="M66" s="139">
        <v>120000</v>
      </c>
      <c r="N66" s="139">
        <v>120000</v>
      </c>
      <c r="O66" s="139">
        <v>120000</v>
      </c>
      <c r="P66" s="139">
        <f t="shared" si="16"/>
        <v>1440000</v>
      </c>
      <c r="Q66" s="115" t="s">
        <v>1298</v>
      </c>
    </row>
    <row r="67" spans="1:17" s="115" customFormat="1" ht="16.5">
      <c r="B67" s="116" t="s">
        <v>539</v>
      </c>
      <c r="C67" s="569"/>
      <c r="D67" s="139">
        <v>300000</v>
      </c>
      <c r="E67" s="139">
        <v>300000</v>
      </c>
      <c r="F67" s="139">
        <v>300000</v>
      </c>
      <c r="G67" s="139">
        <v>300000</v>
      </c>
      <c r="H67" s="139">
        <v>300000</v>
      </c>
      <c r="I67" s="139">
        <v>300000</v>
      </c>
      <c r="J67" s="139">
        <v>300000</v>
      </c>
      <c r="K67" s="139">
        <v>300000</v>
      </c>
      <c r="L67" s="139">
        <v>300000</v>
      </c>
      <c r="M67" s="139">
        <v>300000</v>
      </c>
      <c r="N67" s="139">
        <v>300000</v>
      </c>
      <c r="O67" s="139">
        <v>300000</v>
      </c>
      <c r="P67" s="139">
        <f t="shared" si="16"/>
        <v>3600000</v>
      </c>
      <c r="Q67" s="115" t="s">
        <v>1298</v>
      </c>
    </row>
    <row r="68" spans="1:17" s="115" customFormat="1" ht="16.5">
      <c r="B68" s="116" t="s">
        <v>540</v>
      </c>
      <c r="C68" s="569"/>
      <c r="D68" s="139">
        <v>3000000</v>
      </c>
      <c r="E68" s="139">
        <v>3000000</v>
      </c>
      <c r="F68" s="139">
        <f>(1500000/2)*4*3</f>
        <v>9000000</v>
      </c>
      <c r="G68" s="139">
        <f t="shared" ref="G68:O68" si="25">+D68</f>
        <v>3000000</v>
      </c>
      <c r="H68" s="139">
        <f t="shared" si="25"/>
        <v>3000000</v>
      </c>
      <c r="I68" s="139">
        <f t="shared" si="25"/>
        <v>9000000</v>
      </c>
      <c r="J68" s="139">
        <f t="shared" si="25"/>
        <v>3000000</v>
      </c>
      <c r="K68" s="139">
        <f t="shared" si="25"/>
        <v>3000000</v>
      </c>
      <c r="L68" s="139">
        <f t="shared" si="25"/>
        <v>9000000</v>
      </c>
      <c r="M68" s="139">
        <f t="shared" si="25"/>
        <v>3000000</v>
      </c>
      <c r="N68" s="139">
        <f t="shared" si="25"/>
        <v>3000000</v>
      </c>
      <c r="O68" s="139">
        <f t="shared" si="25"/>
        <v>9000000</v>
      </c>
      <c r="P68" s="139">
        <f t="shared" si="16"/>
        <v>60000000</v>
      </c>
      <c r="Q68" s="115" t="s">
        <v>1298</v>
      </c>
    </row>
    <row r="69" spans="1:17" s="115" customFormat="1" ht="16.5">
      <c r="B69" s="116" t="s">
        <v>541</v>
      </c>
      <c r="C69" s="569"/>
      <c r="D69" s="139">
        <v>60000</v>
      </c>
      <c r="E69" s="139"/>
      <c r="F69" s="139"/>
      <c r="G69" s="139">
        <v>60000</v>
      </c>
      <c r="H69" s="139"/>
      <c r="I69" s="139"/>
      <c r="J69" s="139">
        <v>60000</v>
      </c>
      <c r="K69" s="139"/>
      <c r="L69" s="139"/>
      <c r="M69" s="139">
        <v>60000</v>
      </c>
      <c r="N69" s="139"/>
      <c r="O69" s="139"/>
      <c r="P69" s="139">
        <f t="shared" si="16"/>
        <v>240000</v>
      </c>
      <c r="Q69" s="115" t="s">
        <v>1298</v>
      </c>
    </row>
    <row r="70" spans="1:17" s="115" customFormat="1" ht="16.5">
      <c r="B70" s="116" t="s">
        <v>556</v>
      </c>
      <c r="C70" s="569"/>
      <c r="D70" s="139">
        <f t="shared" ref="D70:O70" si="26">SUM(D42:D69)*5%</f>
        <v>23055537.5</v>
      </c>
      <c r="E70" s="139">
        <f t="shared" si="26"/>
        <v>23077400</v>
      </c>
      <c r="F70" s="139">
        <f t="shared" si="26"/>
        <v>23902537.5</v>
      </c>
      <c r="G70" s="139">
        <f t="shared" si="26"/>
        <v>23115400</v>
      </c>
      <c r="H70" s="139">
        <f t="shared" si="26"/>
        <v>23552537.5</v>
      </c>
      <c r="I70" s="139">
        <f t="shared" si="26"/>
        <v>23927400</v>
      </c>
      <c r="J70" s="139">
        <f t="shared" si="26"/>
        <v>23055537.5</v>
      </c>
      <c r="K70" s="139">
        <f t="shared" si="26"/>
        <v>23112400</v>
      </c>
      <c r="L70" s="139">
        <f t="shared" si="26"/>
        <v>23110631.25</v>
      </c>
      <c r="M70" s="139">
        <f t="shared" si="26"/>
        <v>22304462.5</v>
      </c>
      <c r="N70" s="139">
        <f t="shared" si="26"/>
        <v>22260631.25</v>
      </c>
      <c r="O70" s="139">
        <f t="shared" si="26"/>
        <v>23436462.5</v>
      </c>
      <c r="P70" s="139">
        <f t="shared" si="16"/>
        <v>277910937.5</v>
      </c>
      <c r="Q70" s="115" t="s">
        <v>1299</v>
      </c>
    </row>
    <row r="71" spans="1:17" s="115" customFormat="1" ht="17.25" thickBot="1">
      <c r="B71" s="1303" t="s">
        <v>362</v>
      </c>
      <c r="C71" s="1303"/>
      <c r="D71" s="546">
        <f t="shared" ref="D71:P71" si="27">SUM(D42:D70)</f>
        <v>484166287.5</v>
      </c>
      <c r="E71" s="546">
        <f t="shared" si="27"/>
        <v>484625400</v>
      </c>
      <c r="F71" s="546">
        <f t="shared" si="27"/>
        <v>501953287.5</v>
      </c>
      <c r="G71" s="546">
        <f t="shared" si="27"/>
        <v>485423400</v>
      </c>
      <c r="H71" s="546">
        <f t="shared" si="27"/>
        <v>494603287.5</v>
      </c>
      <c r="I71" s="546">
        <f t="shared" si="27"/>
        <v>502475400</v>
      </c>
      <c r="J71" s="546">
        <f t="shared" si="27"/>
        <v>484166287.5</v>
      </c>
      <c r="K71" s="546">
        <f t="shared" si="27"/>
        <v>485360400</v>
      </c>
      <c r="L71" s="546">
        <f t="shared" si="27"/>
        <v>485323256.25</v>
      </c>
      <c r="M71" s="546">
        <f t="shared" si="27"/>
        <v>468393712.5</v>
      </c>
      <c r="N71" s="546">
        <f t="shared" si="27"/>
        <v>467473256.25</v>
      </c>
      <c r="O71" s="546">
        <f t="shared" si="27"/>
        <v>492165712.5</v>
      </c>
      <c r="P71" s="546">
        <f t="shared" si="27"/>
        <v>5836129687.5</v>
      </c>
    </row>
    <row r="72" spans="1:17" s="140" customFormat="1" ht="3.75" customHeight="1">
      <c r="B72" s="59"/>
      <c r="D72" s="140" t="s">
        <v>831</v>
      </c>
    </row>
    <row r="73" spans="1:17" s="140" customFormat="1" ht="17.25" thickBot="1">
      <c r="A73" s="141"/>
      <c r="B73" s="138" t="s">
        <v>643</v>
      </c>
      <c r="C73" s="141"/>
    </row>
    <row r="74" spans="1:17" s="115" customFormat="1" ht="16.5">
      <c r="B74" s="543"/>
      <c r="C74" s="544"/>
      <c r="D74" s="545" t="str">
        <f t="shared" ref="D74:P74" si="28">+D41</f>
        <v>Mois 1</v>
      </c>
      <c r="E74" s="545" t="str">
        <f t="shared" si="28"/>
        <v>Mois 2</v>
      </c>
      <c r="F74" s="545" t="str">
        <f t="shared" si="28"/>
        <v>Mois 3</v>
      </c>
      <c r="G74" s="545" t="str">
        <f t="shared" si="28"/>
        <v>Mois 4</v>
      </c>
      <c r="H74" s="545" t="str">
        <f t="shared" si="28"/>
        <v>Mois 5</v>
      </c>
      <c r="I74" s="545" t="str">
        <f t="shared" si="28"/>
        <v>Mois 6</v>
      </c>
      <c r="J74" s="545" t="str">
        <f t="shared" si="28"/>
        <v>Mois 7</v>
      </c>
      <c r="K74" s="545" t="str">
        <f t="shared" si="28"/>
        <v>Mois 8</v>
      </c>
      <c r="L74" s="545" t="str">
        <f t="shared" si="28"/>
        <v>Mois 9</v>
      </c>
      <c r="M74" s="545" t="str">
        <f t="shared" si="28"/>
        <v>Mois 10</v>
      </c>
      <c r="N74" s="545" t="str">
        <f t="shared" si="28"/>
        <v>Mois 11</v>
      </c>
      <c r="O74" s="545" t="str">
        <f t="shared" si="28"/>
        <v>Mois 12</v>
      </c>
      <c r="P74" s="545" t="str">
        <f t="shared" si="28"/>
        <v>Total</v>
      </c>
    </row>
    <row r="75" spans="1:17" s="115" customFormat="1" ht="16.5">
      <c r="B75" s="116" t="s">
        <v>520</v>
      </c>
      <c r="C75" s="139"/>
      <c r="D75" s="139">
        <f t="shared" ref="D75:P75" si="29">+D71</f>
        <v>484166287.5</v>
      </c>
      <c r="E75" s="139">
        <f t="shared" si="29"/>
        <v>484625400</v>
      </c>
      <c r="F75" s="139">
        <f t="shared" si="29"/>
        <v>501953287.5</v>
      </c>
      <c r="G75" s="139">
        <f t="shared" si="29"/>
        <v>485423400</v>
      </c>
      <c r="H75" s="139">
        <f t="shared" si="29"/>
        <v>494603287.5</v>
      </c>
      <c r="I75" s="139">
        <f t="shared" si="29"/>
        <v>502475400</v>
      </c>
      <c r="J75" s="139">
        <f t="shared" si="29"/>
        <v>484166287.5</v>
      </c>
      <c r="K75" s="139">
        <f t="shared" si="29"/>
        <v>485360400</v>
      </c>
      <c r="L75" s="139">
        <f t="shared" si="29"/>
        <v>485323256.25</v>
      </c>
      <c r="M75" s="139">
        <f t="shared" si="29"/>
        <v>468393712.5</v>
      </c>
      <c r="N75" s="139">
        <f t="shared" si="29"/>
        <v>467473256.25</v>
      </c>
      <c r="O75" s="139">
        <f t="shared" si="29"/>
        <v>492165712.5</v>
      </c>
      <c r="P75" s="139">
        <f t="shared" si="29"/>
        <v>5836129687.5</v>
      </c>
    </row>
    <row r="76" spans="1:17" s="115" customFormat="1" ht="16.5" hidden="1">
      <c r="B76" s="116" t="s">
        <v>521</v>
      </c>
      <c r="C76" s="139"/>
      <c r="D76" s="139"/>
      <c r="E76" s="139"/>
      <c r="F76" s="139"/>
      <c r="G76" s="139"/>
      <c r="H76" s="139"/>
      <c r="I76" s="139"/>
      <c r="J76" s="139"/>
      <c r="K76" s="139"/>
      <c r="L76" s="139"/>
      <c r="M76" s="139"/>
      <c r="N76" s="139"/>
      <c r="O76" s="139"/>
      <c r="P76" s="139"/>
    </row>
    <row r="77" spans="1:17" s="115" customFormat="1" ht="2.25" customHeight="1">
      <c r="B77" s="116"/>
      <c r="C77" s="139"/>
      <c r="D77" s="139"/>
      <c r="E77" s="139"/>
      <c r="F77" s="139"/>
      <c r="G77" s="139"/>
      <c r="H77" s="139"/>
      <c r="I77" s="139"/>
      <c r="J77" s="139"/>
      <c r="K77" s="139"/>
      <c r="L77" s="139"/>
      <c r="M77" s="139"/>
      <c r="N77" s="139"/>
      <c r="O77" s="139"/>
      <c r="P77" s="139">
        <f>SUM(D77:O77)</f>
        <v>0</v>
      </c>
    </row>
    <row r="78" spans="1:17" s="115" customFormat="1" ht="16.5">
      <c r="B78" s="116" t="s">
        <v>522</v>
      </c>
      <c r="C78" s="139"/>
      <c r="D78" s="139">
        <f t="shared" ref="D78:O78" si="30">+D75*0.2</f>
        <v>96833257.5</v>
      </c>
      <c r="E78" s="139">
        <f t="shared" si="30"/>
        <v>96925080</v>
      </c>
      <c r="F78" s="139">
        <f t="shared" si="30"/>
        <v>100390657.5</v>
      </c>
      <c r="G78" s="139">
        <f t="shared" si="30"/>
        <v>97084680</v>
      </c>
      <c r="H78" s="139">
        <f t="shared" si="30"/>
        <v>98920657.5</v>
      </c>
      <c r="I78" s="139">
        <f t="shared" si="30"/>
        <v>100495080</v>
      </c>
      <c r="J78" s="139">
        <f t="shared" si="30"/>
        <v>96833257.5</v>
      </c>
      <c r="K78" s="139">
        <f t="shared" si="30"/>
        <v>97072080</v>
      </c>
      <c r="L78" s="139">
        <f t="shared" si="30"/>
        <v>97064651.25</v>
      </c>
      <c r="M78" s="139">
        <f t="shared" si="30"/>
        <v>93678742.5</v>
      </c>
      <c r="N78" s="139">
        <f t="shared" si="30"/>
        <v>93494651.25</v>
      </c>
      <c r="O78" s="139">
        <f t="shared" si="30"/>
        <v>98433142.5</v>
      </c>
      <c r="P78" s="139">
        <f>SUM(D78:O78)</f>
        <v>1167225937.5</v>
      </c>
    </row>
    <row r="79" spans="1:17" s="115" customFormat="1" ht="17.25" thickBot="1">
      <c r="B79" s="1305" t="s">
        <v>526</v>
      </c>
      <c r="C79" s="1305"/>
      <c r="D79" s="546">
        <f t="shared" ref="D79:O79" si="31">SUM(D75:D78)</f>
        <v>580999545</v>
      </c>
      <c r="E79" s="546">
        <f t="shared" si="31"/>
        <v>581550480</v>
      </c>
      <c r="F79" s="546">
        <f t="shared" si="31"/>
        <v>602343945</v>
      </c>
      <c r="G79" s="546">
        <f t="shared" si="31"/>
        <v>582508080</v>
      </c>
      <c r="H79" s="546">
        <f t="shared" si="31"/>
        <v>593523945</v>
      </c>
      <c r="I79" s="546">
        <f t="shared" si="31"/>
        <v>602970480</v>
      </c>
      <c r="J79" s="546">
        <f t="shared" si="31"/>
        <v>580999545</v>
      </c>
      <c r="K79" s="546">
        <f t="shared" si="31"/>
        <v>582432480</v>
      </c>
      <c r="L79" s="546">
        <f t="shared" si="31"/>
        <v>582387907.5</v>
      </c>
      <c r="M79" s="546">
        <f t="shared" si="31"/>
        <v>562072455</v>
      </c>
      <c r="N79" s="546">
        <f t="shared" si="31"/>
        <v>560967907.5</v>
      </c>
      <c r="O79" s="546">
        <f t="shared" si="31"/>
        <v>590598855</v>
      </c>
      <c r="P79" s="546">
        <f>SUM(D79:O79)</f>
        <v>7003355625</v>
      </c>
    </row>
    <row r="80" spans="1:17" s="140" customFormat="1"/>
    <row r="81" spans="1:17" s="140" customFormat="1" ht="17.25" thickBot="1">
      <c r="B81" s="140" t="s">
        <v>864</v>
      </c>
      <c r="D81" s="139">
        <f t="shared" ref="D81:O81" si="32">+D76*0.05</f>
        <v>0</v>
      </c>
      <c r="E81" s="139">
        <f t="shared" si="32"/>
        <v>0</v>
      </c>
      <c r="F81" s="139">
        <f t="shared" si="32"/>
        <v>0</v>
      </c>
      <c r="G81" s="139">
        <f t="shared" si="32"/>
        <v>0</v>
      </c>
      <c r="H81" s="139">
        <f t="shared" si="32"/>
        <v>0</v>
      </c>
      <c r="I81" s="139">
        <f t="shared" si="32"/>
        <v>0</v>
      </c>
      <c r="J81" s="139">
        <f t="shared" si="32"/>
        <v>0</v>
      </c>
      <c r="K81" s="139">
        <f t="shared" si="32"/>
        <v>0</v>
      </c>
      <c r="L81" s="139">
        <f t="shared" si="32"/>
        <v>0</v>
      </c>
      <c r="M81" s="139">
        <f t="shared" si="32"/>
        <v>0</v>
      </c>
      <c r="N81" s="139">
        <f t="shared" si="32"/>
        <v>0</v>
      </c>
      <c r="O81" s="139">
        <f t="shared" si="32"/>
        <v>0</v>
      </c>
      <c r="P81" s="139">
        <f>SUM(D81:O81)</f>
        <v>0</v>
      </c>
      <c r="Q81" s="231"/>
    </row>
    <row r="82" spans="1:17" s="115" customFormat="1" ht="16.5">
      <c r="B82" s="543" t="s">
        <v>1302</v>
      </c>
      <c r="C82" s="544"/>
      <c r="D82" s="545" t="str">
        <f t="shared" ref="D82:P82" si="33">+D74</f>
        <v>Mois 1</v>
      </c>
      <c r="E82" s="545" t="str">
        <f t="shared" si="33"/>
        <v>Mois 2</v>
      </c>
      <c r="F82" s="545" t="str">
        <f t="shared" si="33"/>
        <v>Mois 3</v>
      </c>
      <c r="G82" s="545" t="str">
        <f t="shared" si="33"/>
        <v>Mois 4</v>
      </c>
      <c r="H82" s="545" t="str">
        <f t="shared" si="33"/>
        <v>Mois 5</v>
      </c>
      <c r="I82" s="545" t="str">
        <f t="shared" si="33"/>
        <v>Mois 6</v>
      </c>
      <c r="J82" s="545" t="str">
        <f t="shared" si="33"/>
        <v>Mois 7</v>
      </c>
      <c r="K82" s="545" t="str">
        <f t="shared" si="33"/>
        <v>Mois 8</v>
      </c>
      <c r="L82" s="545" t="str">
        <f t="shared" si="33"/>
        <v>Mois 9</v>
      </c>
      <c r="M82" s="545" t="str">
        <f t="shared" si="33"/>
        <v>Mois 10</v>
      </c>
      <c r="N82" s="545" t="str">
        <f t="shared" si="33"/>
        <v>Mois 11</v>
      </c>
      <c r="O82" s="545" t="str">
        <f t="shared" si="33"/>
        <v>Mois 12</v>
      </c>
      <c r="P82" s="545" t="str">
        <f t="shared" si="33"/>
        <v>Total</v>
      </c>
    </row>
    <row r="83" spans="1:17" s="140" customFormat="1" ht="16.5">
      <c r="B83" s="234" t="s">
        <v>1300</v>
      </c>
      <c r="D83" s="139">
        <f t="shared" ref="D83:O83" si="34">SUMIF($Q$42:$Q$70,$Q$42,D42:D70)</f>
        <v>8796000</v>
      </c>
      <c r="E83" s="139">
        <f t="shared" si="34"/>
        <v>8536000</v>
      </c>
      <c r="F83" s="139">
        <f t="shared" si="34"/>
        <v>25736000</v>
      </c>
      <c r="G83" s="139">
        <f t="shared" si="34"/>
        <v>9296000</v>
      </c>
      <c r="H83" s="139">
        <f t="shared" si="34"/>
        <v>18736000</v>
      </c>
      <c r="I83" s="139">
        <f t="shared" si="34"/>
        <v>25536000</v>
      </c>
      <c r="J83" s="139">
        <f t="shared" si="34"/>
        <v>8796000</v>
      </c>
      <c r="K83" s="139">
        <f t="shared" si="34"/>
        <v>9236000</v>
      </c>
      <c r="L83" s="139">
        <f t="shared" si="34"/>
        <v>25736000</v>
      </c>
      <c r="M83" s="139">
        <f t="shared" si="34"/>
        <v>8596000</v>
      </c>
      <c r="N83" s="139">
        <f t="shared" si="34"/>
        <v>8736000</v>
      </c>
      <c r="O83" s="139">
        <f t="shared" si="34"/>
        <v>31236000</v>
      </c>
      <c r="P83" s="232">
        <f>SUM(D83:O83)</f>
        <v>188972000</v>
      </c>
      <c r="Q83" s="231"/>
    </row>
    <row r="84" spans="1:17" s="140" customFormat="1">
      <c r="B84" s="234" t="s">
        <v>1301</v>
      </c>
      <c r="D84" s="232">
        <f t="shared" ref="D84:O84" si="35">SUMIF($Q$42:$Q$70,$Q$70,D42:D70)</f>
        <v>475370287.5</v>
      </c>
      <c r="E84" s="232">
        <f t="shared" si="35"/>
        <v>476089400</v>
      </c>
      <c r="F84" s="232">
        <f t="shared" si="35"/>
        <v>476217287.5</v>
      </c>
      <c r="G84" s="232">
        <f t="shared" si="35"/>
        <v>476127400</v>
      </c>
      <c r="H84" s="232">
        <f t="shared" si="35"/>
        <v>475867287.5</v>
      </c>
      <c r="I84" s="232">
        <f t="shared" si="35"/>
        <v>476939400</v>
      </c>
      <c r="J84" s="232">
        <f t="shared" si="35"/>
        <v>475370287.5</v>
      </c>
      <c r="K84" s="232">
        <f t="shared" si="35"/>
        <v>476124400</v>
      </c>
      <c r="L84" s="232">
        <f t="shared" si="35"/>
        <v>459587256.25</v>
      </c>
      <c r="M84" s="232">
        <f t="shared" si="35"/>
        <v>459797712.5</v>
      </c>
      <c r="N84" s="232">
        <f t="shared" si="35"/>
        <v>458737256.25</v>
      </c>
      <c r="O84" s="232">
        <f t="shared" si="35"/>
        <v>460929712.5</v>
      </c>
      <c r="P84" s="232">
        <f>SUM(D84:O84)</f>
        <v>5647157687.5</v>
      </c>
      <c r="Q84" s="231"/>
    </row>
    <row r="85" spans="1:17" s="115" customFormat="1" ht="17.25" thickBot="1">
      <c r="B85" s="1305" t="s">
        <v>362</v>
      </c>
      <c r="C85" s="1305">
        <f t="shared" ref="C85:P85" si="36">SUM(C83:C84)</f>
        <v>0</v>
      </c>
      <c r="D85" s="546">
        <f t="shared" si="36"/>
        <v>484166287.5</v>
      </c>
      <c r="E85" s="546">
        <f t="shared" si="36"/>
        <v>484625400</v>
      </c>
      <c r="F85" s="546">
        <f t="shared" si="36"/>
        <v>501953287.5</v>
      </c>
      <c r="G85" s="546">
        <f t="shared" si="36"/>
        <v>485423400</v>
      </c>
      <c r="H85" s="546">
        <f t="shared" si="36"/>
        <v>494603287.5</v>
      </c>
      <c r="I85" s="546">
        <f t="shared" si="36"/>
        <v>502475400</v>
      </c>
      <c r="J85" s="546">
        <f t="shared" si="36"/>
        <v>484166287.5</v>
      </c>
      <c r="K85" s="546">
        <f t="shared" si="36"/>
        <v>485360400</v>
      </c>
      <c r="L85" s="546">
        <f t="shared" si="36"/>
        <v>485323256.25</v>
      </c>
      <c r="M85" s="546">
        <f t="shared" si="36"/>
        <v>468393712.5</v>
      </c>
      <c r="N85" s="546">
        <f t="shared" si="36"/>
        <v>467473256.25</v>
      </c>
      <c r="O85" s="546">
        <f t="shared" si="36"/>
        <v>492165712.5</v>
      </c>
      <c r="P85" s="546">
        <f t="shared" si="36"/>
        <v>5836129687.5</v>
      </c>
    </row>
    <row r="86" spans="1:17" s="140" customFormat="1">
      <c r="G86" s="232"/>
    </row>
    <row r="87" spans="1:17" s="140" customFormat="1" hidden="1">
      <c r="G87" s="232"/>
      <c r="P87" s="233"/>
    </row>
    <row r="88" spans="1:17" s="140" customFormat="1" hidden="1"/>
    <row r="89" spans="1:17" s="140" customFormat="1" hidden="1">
      <c r="F89" s="232"/>
    </row>
    <row r="90" spans="1:17" s="140" customFormat="1" ht="15" hidden="1">
      <c r="A90" s="234"/>
      <c r="B90" s="234"/>
      <c r="C90" s="622" t="s">
        <v>1123</v>
      </c>
      <c r="D90" s="736" t="str">
        <f>$B$9</f>
        <v>Depart Port Tamatave</v>
      </c>
      <c r="E90" s="737">
        <v>0.05</v>
      </c>
      <c r="F90" s="624" t="s">
        <v>1124</v>
      </c>
      <c r="G90" s="625" t="e">
        <f t="shared" ref="G90:G99" si="37">D90*E90</f>
        <v>#VALUE!</v>
      </c>
    </row>
    <row r="91" spans="1:17" s="140" customFormat="1" ht="15" hidden="1">
      <c r="A91" s="234"/>
      <c r="B91" s="234"/>
      <c r="C91" s="622" t="s">
        <v>1125</v>
      </c>
      <c r="D91" s="626">
        <v>110000</v>
      </c>
      <c r="E91" s="738" t="str">
        <f>$B$4</f>
        <v>Okabe</v>
      </c>
      <c r="F91" s="624" t="s">
        <v>1126</v>
      </c>
      <c r="G91" s="625" t="e">
        <f t="shared" si="37"/>
        <v>#VALUE!</v>
      </c>
    </row>
    <row r="92" spans="1:17" s="140" customFormat="1" ht="15" hidden="1">
      <c r="A92" s="234"/>
      <c r="B92" s="234"/>
      <c r="C92" s="622" t="s">
        <v>1192</v>
      </c>
      <c r="D92" s="626">
        <v>1250000</v>
      </c>
      <c r="E92" s="730">
        <f>$C$22</f>
        <v>0</v>
      </c>
      <c r="F92" s="624" t="s">
        <v>1126</v>
      </c>
      <c r="G92" s="625">
        <f t="shared" si="37"/>
        <v>0</v>
      </c>
    </row>
    <row r="93" spans="1:17" s="140" customFormat="1" ht="15" hidden="1">
      <c r="A93" s="234"/>
      <c r="B93" s="234"/>
      <c r="C93" s="622" t="s">
        <v>1127</v>
      </c>
      <c r="D93" s="626">
        <v>100000</v>
      </c>
      <c r="E93" s="624">
        <v>8</v>
      </c>
      <c r="F93" s="624" t="s">
        <v>1128</v>
      </c>
      <c r="G93" s="625">
        <f t="shared" si="37"/>
        <v>800000</v>
      </c>
    </row>
    <row r="94" spans="1:17" s="140" customFormat="1" ht="15" hidden="1">
      <c r="A94" s="234"/>
      <c r="B94" s="234"/>
      <c r="C94" s="622" t="s">
        <v>1129</v>
      </c>
      <c r="D94" s="626">
        <f>70000*2</f>
        <v>140000</v>
      </c>
      <c r="E94" s="624">
        <v>8</v>
      </c>
      <c r="F94" s="624" t="s">
        <v>1128</v>
      </c>
      <c r="G94" s="625">
        <f t="shared" si="37"/>
        <v>1120000</v>
      </c>
    </row>
    <row r="95" spans="1:17" s="140" customFormat="1" ht="15" hidden="1">
      <c r="A95" s="234"/>
      <c r="B95" s="234"/>
      <c r="C95" s="622" t="s">
        <v>1130</v>
      </c>
      <c r="D95" s="626">
        <v>250000</v>
      </c>
      <c r="E95" s="738">
        <f>$C$23</f>
        <v>0</v>
      </c>
      <c r="F95" s="624" t="s">
        <v>1126</v>
      </c>
      <c r="G95" s="625">
        <f t="shared" si="37"/>
        <v>0</v>
      </c>
    </row>
    <row r="96" spans="1:17" s="140" customFormat="1" ht="15" hidden="1">
      <c r="A96" s="234"/>
      <c r="B96" s="234"/>
      <c r="C96" s="622" t="s">
        <v>1131</v>
      </c>
      <c r="D96" s="626">
        <v>4000</v>
      </c>
      <c r="E96" s="703" t="e">
        <f>$B$6*3</f>
        <v>#VALUE!</v>
      </c>
      <c r="F96" s="703" t="s">
        <v>1188</v>
      </c>
      <c r="G96" s="625" t="e">
        <f t="shared" si="37"/>
        <v>#VALUE!</v>
      </c>
    </row>
    <row r="97" spans="3:16" s="140" customFormat="1" ht="15" hidden="1">
      <c r="C97" s="709" t="s">
        <v>1200</v>
      </c>
      <c r="D97" s="626">
        <v>4900</v>
      </c>
      <c r="E97" s="703">
        <f>13*8</f>
        <v>104</v>
      </c>
      <c r="F97" s="703" t="s">
        <v>1246</v>
      </c>
      <c r="G97" s="625">
        <f t="shared" si="37"/>
        <v>509600</v>
      </c>
      <c r="H97" s="232"/>
      <c r="I97" s="232"/>
      <c r="J97" s="232"/>
      <c r="K97" s="232"/>
      <c r="L97" s="232"/>
      <c r="M97" s="232"/>
      <c r="N97" s="232"/>
      <c r="O97" s="232"/>
      <c r="P97" s="232"/>
    </row>
    <row r="98" spans="3:16" ht="60" hidden="1">
      <c r="C98" s="709" t="s">
        <v>1202</v>
      </c>
      <c r="D98" s="626">
        <v>50000</v>
      </c>
      <c r="E98" s="703">
        <f t="shared" ref="E98:E99" si="38">$C$28</f>
        <v>1250000</v>
      </c>
      <c r="F98" s="703" t="s">
        <v>1128</v>
      </c>
      <c r="G98" s="625">
        <f t="shared" si="37"/>
        <v>62500000000</v>
      </c>
      <c r="P98" s="137"/>
    </row>
    <row r="99" spans="3:16" ht="45" hidden="1">
      <c r="C99" s="710" t="s">
        <v>1205</v>
      </c>
      <c r="D99" s="633">
        <v>20000</v>
      </c>
      <c r="E99" s="634">
        <f t="shared" si="38"/>
        <v>1250000</v>
      </c>
      <c r="F99" s="634" t="s">
        <v>1128</v>
      </c>
      <c r="G99" s="628">
        <f t="shared" si="37"/>
        <v>25000000000</v>
      </c>
    </row>
    <row r="100" spans="3:16" hidden="1"/>
    <row r="101" spans="3:16" hidden="1"/>
    <row r="102" spans="3:16" hidden="1"/>
    <row r="103" spans="3:16" hidden="1"/>
    <row r="104" spans="3:16" hidden="1"/>
    <row r="105" spans="3:16" hidden="1"/>
    <row r="106" spans="3:16" hidden="1"/>
    <row r="107" spans="3:16" hidden="1"/>
    <row r="108" spans="3:16" hidden="1"/>
    <row r="109" spans="3:16" hidden="1"/>
    <row r="110" spans="3:16" hidden="1"/>
    <row r="111" spans="3:16" hidden="1"/>
    <row r="112" spans="3:16" hidden="1"/>
    <row r="113" spans="2:17" hidden="1"/>
    <row r="114" spans="2:17" hidden="1"/>
    <row r="115" spans="2:17" hidden="1"/>
    <row r="116" spans="2:17" hidden="1"/>
    <row r="117" spans="2:17" hidden="1"/>
    <row r="118" spans="2:17" hidden="1"/>
    <row r="119" spans="2:17" hidden="1"/>
    <row r="120" spans="2:17" hidden="1"/>
    <row r="121" spans="2:17" s="140" customFormat="1" ht="12.75" thickBot="1">
      <c r="C121" s="24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2"/>
    </row>
    <row r="122" spans="2:17" s="115" customFormat="1" ht="16.5">
      <c r="B122" s="543" t="s">
        <v>643</v>
      </c>
      <c r="C122" s="545" t="str">
        <f>+Achat!C43</f>
        <v>A.N</v>
      </c>
      <c r="D122" s="545" t="str">
        <f>+Achat!D43</f>
        <v>Mois 1</v>
      </c>
      <c r="E122" s="545" t="str">
        <f>+Achat!E43</f>
        <v>Mois 2</v>
      </c>
      <c r="F122" s="545" t="str">
        <f>+Achat!F43</f>
        <v>Mois 3</v>
      </c>
      <c r="G122" s="545" t="str">
        <f>+Achat!G43</f>
        <v>Mois 4</v>
      </c>
      <c r="H122" s="545" t="str">
        <f>+Achat!H43</f>
        <v>Mois 5</v>
      </c>
      <c r="I122" s="545" t="str">
        <f>+Achat!I43</f>
        <v>Mois 6</v>
      </c>
      <c r="J122" s="545" t="str">
        <f>+Achat!J43</f>
        <v>Mois 7</v>
      </c>
      <c r="K122" s="545" t="str">
        <f>+Achat!K43</f>
        <v>Mois 8</v>
      </c>
      <c r="L122" s="545" t="str">
        <f>+Achat!L43</f>
        <v>Mois 9</v>
      </c>
      <c r="M122" s="545" t="str">
        <f>+Achat!M43</f>
        <v>Mois 10</v>
      </c>
      <c r="N122" s="545" t="str">
        <f>+Achat!N43</f>
        <v>Mois 11</v>
      </c>
      <c r="O122" s="545" t="str">
        <f>+Achat!O43</f>
        <v>Mois 12</v>
      </c>
      <c r="P122" s="545" t="str">
        <f>+Achat!P43</f>
        <v>Total</v>
      </c>
    </row>
    <row r="123" spans="2:17" s="140" customFormat="1" ht="16.5">
      <c r="B123" s="234" t="s">
        <v>669</v>
      </c>
      <c r="D123" s="139">
        <f>+C127</f>
        <v>0</v>
      </c>
      <c r="E123" s="139">
        <f t="shared" ref="E123:O123" si="39">+D127</f>
        <v>0</v>
      </c>
      <c r="F123" s="139">
        <f t="shared" si="39"/>
        <v>0</v>
      </c>
      <c r="G123" s="139">
        <f t="shared" si="39"/>
        <v>0</v>
      </c>
      <c r="H123" s="139">
        <f t="shared" si="39"/>
        <v>0</v>
      </c>
      <c r="I123" s="139">
        <f t="shared" si="39"/>
        <v>0</v>
      </c>
      <c r="J123" s="139">
        <f t="shared" si="39"/>
        <v>0</v>
      </c>
      <c r="K123" s="139">
        <f t="shared" si="39"/>
        <v>580999545</v>
      </c>
      <c r="L123" s="139">
        <f t="shared" si="39"/>
        <v>580999545</v>
      </c>
      <c r="M123" s="139">
        <f t="shared" si="39"/>
        <v>580999545</v>
      </c>
      <c r="N123" s="139">
        <f t="shared" si="39"/>
        <v>580999545</v>
      </c>
      <c r="O123" s="139">
        <f t="shared" si="39"/>
        <v>580999545</v>
      </c>
      <c r="P123" s="232">
        <f>+D123</f>
        <v>0</v>
      </c>
      <c r="Q123" s="231"/>
    </row>
    <row r="124" spans="2:17" s="140" customFormat="1" ht="16.5">
      <c r="B124" s="234" t="str">
        <f>+B73</f>
        <v>Prestataires de services</v>
      </c>
      <c r="D124" s="139">
        <f t="shared" ref="D124:O124" si="40">+D79</f>
        <v>580999545</v>
      </c>
      <c r="E124" s="139">
        <f t="shared" si="40"/>
        <v>581550480</v>
      </c>
      <c r="F124" s="139">
        <f t="shared" si="40"/>
        <v>602343945</v>
      </c>
      <c r="G124" s="139">
        <f t="shared" si="40"/>
        <v>582508080</v>
      </c>
      <c r="H124" s="139">
        <f t="shared" si="40"/>
        <v>593523945</v>
      </c>
      <c r="I124" s="139">
        <f t="shared" si="40"/>
        <v>602970480</v>
      </c>
      <c r="J124" s="139">
        <f t="shared" si="40"/>
        <v>580999545</v>
      </c>
      <c r="K124" s="139">
        <f t="shared" si="40"/>
        <v>582432480</v>
      </c>
      <c r="L124" s="139">
        <f t="shared" si="40"/>
        <v>582387907.5</v>
      </c>
      <c r="M124" s="139">
        <f t="shared" si="40"/>
        <v>562072455</v>
      </c>
      <c r="N124" s="139">
        <f t="shared" si="40"/>
        <v>560967907.5</v>
      </c>
      <c r="O124" s="139">
        <f t="shared" si="40"/>
        <v>590598855</v>
      </c>
      <c r="P124" s="232">
        <f>SUM(D124:O124)</f>
        <v>7003355625</v>
      </c>
      <c r="Q124" s="231"/>
    </row>
    <row r="125" spans="2:17" s="140" customFormat="1" ht="16.5">
      <c r="B125" s="234" t="s">
        <v>671</v>
      </c>
      <c r="D125" s="900">
        <f>-D124</f>
        <v>-580999545</v>
      </c>
      <c r="E125" s="117">
        <f t="shared" ref="E125:O125" si="41">-E124</f>
        <v>-581550480</v>
      </c>
      <c r="F125" s="117">
        <f t="shared" si="41"/>
        <v>-602343945</v>
      </c>
      <c r="G125" s="117">
        <f t="shared" si="41"/>
        <v>-582508080</v>
      </c>
      <c r="H125" s="117">
        <f t="shared" si="41"/>
        <v>-593523945</v>
      </c>
      <c r="I125" s="117">
        <f t="shared" si="41"/>
        <v>-602970480</v>
      </c>
      <c r="J125" s="117">
        <v>0</v>
      </c>
      <c r="K125" s="117">
        <f t="shared" si="41"/>
        <v>-582432480</v>
      </c>
      <c r="L125" s="117">
        <f t="shared" si="41"/>
        <v>-582387907.5</v>
      </c>
      <c r="M125" s="117">
        <f t="shared" si="41"/>
        <v>-562072455</v>
      </c>
      <c r="N125" s="117">
        <f t="shared" si="41"/>
        <v>-560967907.5</v>
      </c>
      <c r="O125" s="117">
        <f t="shared" si="41"/>
        <v>-590598855</v>
      </c>
      <c r="P125" s="232">
        <f>SUM(D125:O125)</f>
        <v>-6422356080</v>
      </c>
      <c r="Q125" s="231"/>
    </row>
    <row r="126" spans="2:17" s="140" customFormat="1">
      <c r="B126" s="234" t="s">
        <v>672</v>
      </c>
      <c r="D126" s="232">
        <v>0</v>
      </c>
      <c r="E126" s="232">
        <f>-E123</f>
        <v>0</v>
      </c>
      <c r="F126" s="232"/>
      <c r="G126" s="232"/>
      <c r="H126" s="232"/>
      <c r="I126" s="232"/>
      <c r="J126" s="232">
        <v>0</v>
      </c>
      <c r="K126" s="232">
        <v>0</v>
      </c>
      <c r="L126" s="232">
        <v>0</v>
      </c>
      <c r="M126" s="232">
        <v>0</v>
      </c>
      <c r="N126" s="232">
        <v>0</v>
      </c>
      <c r="O126" s="232">
        <v>0</v>
      </c>
      <c r="P126" s="232">
        <f>SUM(D126:O126)</f>
        <v>0</v>
      </c>
      <c r="Q126" s="231"/>
    </row>
    <row r="127" spans="2:17" s="115" customFormat="1" ht="17.25" thickBot="1">
      <c r="B127" s="847" t="s">
        <v>673</v>
      </c>
      <c r="C127" s="546">
        <f>+C80</f>
        <v>0</v>
      </c>
      <c r="D127" s="546">
        <f t="shared" ref="D127:P127" si="42">+D123+D124+D125+D126</f>
        <v>0</v>
      </c>
      <c r="E127" s="546">
        <f t="shared" si="42"/>
        <v>0</v>
      </c>
      <c r="F127" s="546">
        <f t="shared" si="42"/>
        <v>0</v>
      </c>
      <c r="G127" s="546">
        <f t="shared" si="42"/>
        <v>0</v>
      </c>
      <c r="H127" s="546">
        <f t="shared" si="42"/>
        <v>0</v>
      </c>
      <c r="I127" s="546">
        <f t="shared" si="42"/>
        <v>0</v>
      </c>
      <c r="J127" s="546">
        <f t="shared" si="42"/>
        <v>580999545</v>
      </c>
      <c r="K127" s="546">
        <f t="shared" si="42"/>
        <v>580999545</v>
      </c>
      <c r="L127" s="546">
        <f t="shared" si="42"/>
        <v>580999545</v>
      </c>
      <c r="M127" s="546">
        <f t="shared" si="42"/>
        <v>580999545</v>
      </c>
      <c r="N127" s="546">
        <f t="shared" si="42"/>
        <v>580999545</v>
      </c>
      <c r="O127" s="546">
        <f t="shared" si="42"/>
        <v>580999545</v>
      </c>
      <c r="P127" s="546">
        <f t="shared" si="42"/>
        <v>580999545</v>
      </c>
    </row>
  </sheetData>
  <mergeCells count="4">
    <mergeCell ref="B71:C71"/>
    <mergeCell ref="B29:C29"/>
    <mergeCell ref="B79:C79"/>
    <mergeCell ref="B85:C85"/>
  </mergeCell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38"/>
  <dimension ref="A1:AA28"/>
  <sheetViews>
    <sheetView topLeftCell="A11" workbookViewId="0">
      <selection activeCell="C37" sqref="C37"/>
    </sheetView>
  </sheetViews>
  <sheetFormatPr baseColWidth="10" defaultRowHeight="15"/>
  <cols>
    <col min="1" max="1" width="21.85546875" style="59" bestFit="1" customWidth="1"/>
    <col min="2" max="2" width="26.85546875" style="59" bestFit="1" customWidth="1"/>
    <col min="3" max="3" width="14.7109375" style="59" bestFit="1" customWidth="1"/>
    <col min="4" max="4" width="15.28515625" style="99" hidden="1" customWidth="1"/>
    <col min="5" max="5" width="9.7109375" style="59" hidden="1" customWidth="1"/>
    <col min="6" max="6" width="15.28515625" style="99" hidden="1" customWidth="1"/>
    <col min="7" max="7" width="9.7109375" style="59" hidden="1" customWidth="1"/>
    <col min="8" max="8" width="15.28515625" style="99" hidden="1" customWidth="1"/>
    <col min="9" max="9" width="9.7109375" style="59" hidden="1" customWidth="1"/>
    <col min="10" max="10" width="15.28515625" style="99" hidden="1" customWidth="1"/>
    <col min="11" max="11" width="9.7109375" style="59" hidden="1" customWidth="1"/>
    <col min="12" max="12" width="15.28515625" style="99" hidden="1" customWidth="1"/>
    <col min="13" max="13" width="9.7109375" style="59" hidden="1" customWidth="1"/>
    <col min="14" max="14" width="15.28515625" style="99" hidden="1" customWidth="1"/>
    <col min="15" max="15" width="9.7109375" style="59" hidden="1" customWidth="1"/>
    <col min="16" max="16" width="15.28515625" style="99" hidden="1" customWidth="1"/>
    <col min="17" max="17" width="9.7109375" style="59" hidden="1" customWidth="1"/>
    <col min="18" max="18" width="15.28515625" style="99" hidden="1" customWidth="1"/>
    <col min="19" max="19" width="9.7109375" style="59" hidden="1" customWidth="1"/>
    <col min="20" max="20" width="15.28515625" style="99" hidden="1" customWidth="1"/>
    <col min="21" max="21" width="9.7109375" style="59" hidden="1" customWidth="1"/>
    <col min="22" max="22" width="15.28515625" style="99" hidden="1" customWidth="1"/>
    <col min="23" max="23" width="9.7109375" style="59" hidden="1" customWidth="1"/>
    <col min="24" max="24" width="15.28515625" style="99" bestFit="1" customWidth="1"/>
    <col min="25" max="25" width="9.7109375" style="59" bestFit="1" customWidth="1"/>
    <col min="26" max="26" width="11.42578125" style="59"/>
    <col min="27" max="27" width="12.85546875" style="59" bestFit="1" customWidth="1"/>
    <col min="28" max="256" width="11.42578125" style="59"/>
    <col min="257" max="257" width="21.85546875" style="59" bestFit="1" customWidth="1"/>
    <col min="258" max="258" width="26.85546875" style="59" bestFit="1" customWidth="1"/>
    <col min="259" max="259" width="14.7109375" style="59" bestFit="1" customWidth="1"/>
    <col min="260" max="279" width="0" style="59" hidden="1" customWidth="1"/>
    <col min="280" max="280" width="15.28515625" style="59" bestFit="1" customWidth="1"/>
    <col min="281" max="281" width="9.7109375" style="59" bestFit="1" customWidth="1"/>
    <col min="282" max="282" width="11.42578125" style="59"/>
    <col min="283" max="283" width="12.85546875" style="59" bestFit="1" customWidth="1"/>
    <col min="284" max="512" width="11.42578125" style="59"/>
    <col min="513" max="513" width="21.85546875" style="59" bestFit="1" customWidth="1"/>
    <col min="514" max="514" width="26.85546875" style="59" bestFit="1" customWidth="1"/>
    <col min="515" max="515" width="14.7109375" style="59" bestFit="1" customWidth="1"/>
    <col min="516" max="535" width="0" style="59" hidden="1" customWidth="1"/>
    <col min="536" max="536" width="15.28515625" style="59" bestFit="1" customWidth="1"/>
    <col min="537" max="537" width="9.7109375" style="59" bestFit="1" customWidth="1"/>
    <col min="538" max="538" width="11.42578125" style="59"/>
    <col min="539" max="539" width="12.85546875" style="59" bestFit="1" customWidth="1"/>
    <col min="540" max="768" width="11.42578125" style="59"/>
    <col min="769" max="769" width="21.85546875" style="59" bestFit="1" customWidth="1"/>
    <col min="770" max="770" width="26.85546875" style="59" bestFit="1" customWidth="1"/>
    <col min="771" max="771" width="14.7109375" style="59" bestFit="1" customWidth="1"/>
    <col min="772" max="791" width="0" style="59" hidden="1" customWidth="1"/>
    <col min="792" max="792" width="15.28515625" style="59" bestFit="1" customWidth="1"/>
    <col min="793" max="793" width="9.7109375" style="59" bestFit="1" customWidth="1"/>
    <col min="794" max="794" width="11.42578125" style="59"/>
    <col min="795" max="795" width="12.85546875" style="59" bestFit="1" customWidth="1"/>
    <col min="796" max="1024" width="11.42578125" style="59"/>
    <col min="1025" max="1025" width="21.85546875" style="59" bestFit="1" customWidth="1"/>
    <col min="1026" max="1026" width="26.85546875" style="59" bestFit="1" customWidth="1"/>
    <col min="1027" max="1027" width="14.7109375" style="59" bestFit="1" customWidth="1"/>
    <col min="1028" max="1047" width="0" style="59" hidden="1" customWidth="1"/>
    <col min="1048" max="1048" width="15.28515625" style="59" bestFit="1" customWidth="1"/>
    <col min="1049" max="1049" width="9.7109375" style="59" bestFit="1" customWidth="1"/>
    <col min="1050" max="1050" width="11.42578125" style="59"/>
    <col min="1051" max="1051" width="12.85546875" style="59" bestFit="1" customWidth="1"/>
    <col min="1052" max="1280" width="11.42578125" style="59"/>
    <col min="1281" max="1281" width="21.85546875" style="59" bestFit="1" customWidth="1"/>
    <col min="1282" max="1282" width="26.85546875" style="59" bestFit="1" customWidth="1"/>
    <col min="1283" max="1283" width="14.7109375" style="59" bestFit="1" customWidth="1"/>
    <col min="1284" max="1303" width="0" style="59" hidden="1" customWidth="1"/>
    <col min="1304" max="1304" width="15.28515625" style="59" bestFit="1" customWidth="1"/>
    <col min="1305" max="1305" width="9.7109375" style="59" bestFit="1" customWidth="1"/>
    <col min="1306" max="1306" width="11.42578125" style="59"/>
    <col min="1307" max="1307" width="12.85546875" style="59" bestFit="1" customWidth="1"/>
    <col min="1308" max="1536" width="11.42578125" style="59"/>
    <col min="1537" max="1537" width="21.85546875" style="59" bestFit="1" customWidth="1"/>
    <col min="1538" max="1538" width="26.85546875" style="59" bestFit="1" customWidth="1"/>
    <col min="1539" max="1539" width="14.7109375" style="59" bestFit="1" customWidth="1"/>
    <col min="1540" max="1559" width="0" style="59" hidden="1" customWidth="1"/>
    <col min="1560" max="1560" width="15.28515625" style="59" bestFit="1" customWidth="1"/>
    <col min="1561" max="1561" width="9.7109375" style="59" bestFit="1" customWidth="1"/>
    <col min="1562" max="1562" width="11.42578125" style="59"/>
    <col min="1563" max="1563" width="12.85546875" style="59" bestFit="1" customWidth="1"/>
    <col min="1564" max="1792" width="11.42578125" style="59"/>
    <col min="1793" max="1793" width="21.85546875" style="59" bestFit="1" customWidth="1"/>
    <col min="1794" max="1794" width="26.85546875" style="59" bestFit="1" customWidth="1"/>
    <col min="1795" max="1795" width="14.7109375" style="59" bestFit="1" customWidth="1"/>
    <col min="1796" max="1815" width="0" style="59" hidden="1" customWidth="1"/>
    <col min="1816" max="1816" width="15.28515625" style="59" bestFit="1" customWidth="1"/>
    <col min="1817" max="1817" width="9.7109375" style="59" bestFit="1" customWidth="1"/>
    <col min="1818" max="1818" width="11.42578125" style="59"/>
    <col min="1819" max="1819" width="12.85546875" style="59" bestFit="1" customWidth="1"/>
    <col min="1820" max="2048" width="11.42578125" style="59"/>
    <col min="2049" max="2049" width="21.85546875" style="59" bestFit="1" customWidth="1"/>
    <col min="2050" max="2050" width="26.85546875" style="59" bestFit="1" customWidth="1"/>
    <col min="2051" max="2051" width="14.7109375" style="59" bestFit="1" customWidth="1"/>
    <col min="2052" max="2071" width="0" style="59" hidden="1" customWidth="1"/>
    <col min="2072" max="2072" width="15.28515625" style="59" bestFit="1" customWidth="1"/>
    <col min="2073" max="2073" width="9.7109375" style="59" bestFit="1" customWidth="1"/>
    <col min="2074" max="2074" width="11.42578125" style="59"/>
    <col min="2075" max="2075" width="12.85546875" style="59" bestFit="1" customWidth="1"/>
    <col min="2076" max="2304" width="11.42578125" style="59"/>
    <col min="2305" max="2305" width="21.85546875" style="59" bestFit="1" customWidth="1"/>
    <col min="2306" max="2306" width="26.85546875" style="59" bestFit="1" customWidth="1"/>
    <col min="2307" max="2307" width="14.7109375" style="59" bestFit="1" customWidth="1"/>
    <col min="2308" max="2327" width="0" style="59" hidden="1" customWidth="1"/>
    <col min="2328" max="2328" width="15.28515625" style="59" bestFit="1" customWidth="1"/>
    <col min="2329" max="2329" width="9.7109375" style="59" bestFit="1" customWidth="1"/>
    <col min="2330" max="2330" width="11.42578125" style="59"/>
    <col min="2331" max="2331" width="12.85546875" style="59" bestFit="1" customWidth="1"/>
    <col min="2332" max="2560" width="11.42578125" style="59"/>
    <col min="2561" max="2561" width="21.85546875" style="59" bestFit="1" customWidth="1"/>
    <col min="2562" max="2562" width="26.85546875" style="59" bestFit="1" customWidth="1"/>
    <col min="2563" max="2563" width="14.7109375" style="59" bestFit="1" customWidth="1"/>
    <col min="2564" max="2583" width="0" style="59" hidden="1" customWidth="1"/>
    <col min="2584" max="2584" width="15.28515625" style="59" bestFit="1" customWidth="1"/>
    <col min="2585" max="2585" width="9.7109375" style="59" bestFit="1" customWidth="1"/>
    <col min="2586" max="2586" width="11.42578125" style="59"/>
    <col min="2587" max="2587" width="12.85546875" style="59" bestFit="1" customWidth="1"/>
    <col min="2588" max="2816" width="11.42578125" style="59"/>
    <col min="2817" max="2817" width="21.85546875" style="59" bestFit="1" customWidth="1"/>
    <col min="2818" max="2818" width="26.85546875" style="59" bestFit="1" customWidth="1"/>
    <col min="2819" max="2819" width="14.7109375" style="59" bestFit="1" customWidth="1"/>
    <col min="2820" max="2839" width="0" style="59" hidden="1" customWidth="1"/>
    <col min="2840" max="2840" width="15.28515625" style="59" bestFit="1" customWidth="1"/>
    <col min="2841" max="2841" width="9.7109375" style="59" bestFit="1" customWidth="1"/>
    <col min="2842" max="2842" width="11.42578125" style="59"/>
    <col min="2843" max="2843" width="12.85546875" style="59" bestFit="1" customWidth="1"/>
    <col min="2844" max="3072" width="11.42578125" style="59"/>
    <col min="3073" max="3073" width="21.85546875" style="59" bestFit="1" customWidth="1"/>
    <col min="3074" max="3074" width="26.85546875" style="59" bestFit="1" customWidth="1"/>
    <col min="3075" max="3075" width="14.7109375" style="59" bestFit="1" customWidth="1"/>
    <col min="3076" max="3095" width="0" style="59" hidden="1" customWidth="1"/>
    <col min="3096" max="3096" width="15.28515625" style="59" bestFit="1" customWidth="1"/>
    <col min="3097" max="3097" width="9.7109375" style="59" bestFit="1" customWidth="1"/>
    <col min="3098" max="3098" width="11.42578125" style="59"/>
    <col min="3099" max="3099" width="12.85546875" style="59" bestFit="1" customWidth="1"/>
    <col min="3100" max="3328" width="11.42578125" style="59"/>
    <col min="3329" max="3329" width="21.85546875" style="59" bestFit="1" customWidth="1"/>
    <col min="3330" max="3330" width="26.85546875" style="59" bestFit="1" customWidth="1"/>
    <col min="3331" max="3331" width="14.7109375" style="59" bestFit="1" customWidth="1"/>
    <col min="3332" max="3351" width="0" style="59" hidden="1" customWidth="1"/>
    <col min="3352" max="3352" width="15.28515625" style="59" bestFit="1" customWidth="1"/>
    <col min="3353" max="3353" width="9.7109375" style="59" bestFit="1" customWidth="1"/>
    <col min="3354" max="3354" width="11.42578125" style="59"/>
    <col min="3355" max="3355" width="12.85546875" style="59" bestFit="1" customWidth="1"/>
    <col min="3356" max="3584" width="11.42578125" style="59"/>
    <col min="3585" max="3585" width="21.85546875" style="59" bestFit="1" customWidth="1"/>
    <col min="3586" max="3586" width="26.85546875" style="59" bestFit="1" customWidth="1"/>
    <col min="3587" max="3587" width="14.7109375" style="59" bestFit="1" customWidth="1"/>
    <col min="3588" max="3607" width="0" style="59" hidden="1" customWidth="1"/>
    <col min="3608" max="3608" width="15.28515625" style="59" bestFit="1" customWidth="1"/>
    <col min="3609" max="3609" width="9.7109375" style="59" bestFit="1" customWidth="1"/>
    <col min="3610" max="3610" width="11.42578125" style="59"/>
    <col min="3611" max="3611" width="12.85546875" style="59" bestFit="1" customWidth="1"/>
    <col min="3612" max="3840" width="11.42578125" style="59"/>
    <col min="3841" max="3841" width="21.85546875" style="59" bestFit="1" customWidth="1"/>
    <col min="3842" max="3842" width="26.85546875" style="59" bestFit="1" customWidth="1"/>
    <col min="3843" max="3843" width="14.7109375" style="59" bestFit="1" customWidth="1"/>
    <col min="3844" max="3863" width="0" style="59" hidden="1" customWidth="1"/>
    <col min="3864" max="3864" width="15.28515625" style="59" bestFit="1" customWidth="1"/>
    <col min="3865" max="3865" width="9.7109375" style="59" bestFit="1" customWidth="1"/>
    <col min="3866" max="3866" width="11.42578125" style="59"/>
    <col min="3867" max="3867" width="12.85546875" style="59" bestFit="1" customWidth="1"/>
    <col min="3868" max="4096" width="11.42578125" style="59"/>
    <col min="4097" max="4097" width="21.85546875" style="59" bestFit="1" customWidth="1"/>
    <col min="4098" max="4098" width="26.85546875" style="59" bestFit="1" customWidth="1"/>
    <col min="4099" max="4099" width="14.7109375" style="59" bestFit="1" customWidth="1"/>
    <col min="4100" max="4119" width="0" style="59" hidden="1" customWidth="1"/>
    <col min="4120" max="4120" width="15.28515625" style="59" bestFit="1" customWidth="1"/>
    <col min="4121" max="4121" width="9.7109375" style="59" bestFit="1" customWidth="1"/>
    <col min="4122" max="4122" width="11.42578125" style="59"/>
    <col min="4123" max="4123" width="12.85546875" style="59" bestFit="1" customWidth="1"/>
    <col min="4124" max="4352" width="11.42578125" style="59"/>
    <col min="4353" max="4353" width="21.85546875" style="59" bestFit="1" customWidth="1"/>
    <col min="4354" max="4354" width="26.85546875" style="59" bestFit="1" customWidth="1"/>
    <col min="4355" max="4355" width="14.7109375" style="59" bestFit="1" customWidth="1"/>
    <col min="4356" max="4375" width="0" style="59" hidden="1" customWidth="1"/>
    <col min="4376" max="4376" width="15.28515625" style="59" bestFit="1" customWidth="1"/>
    <col min="4377" max="4377" width="9.7109375" style="59" bestFit="1" customWidth="1"/>
    <col min="4378" max="4378" width="11.42578125" style="59"/>
    <col min="4379" max="4379" width="12.85546875" style="59" bestFit="1" customWidth="1"/>
    <col min="4380" max="4608" width="11.42578125" style="59"/>
    <col min="4609" max="4609" width="21.85546875" style="59" bestFit="1" customWidth="1"/>
    <col min="4610" max="4610" width="26.85546875" style="59" bestFit="1" customWidth="1"/>
    <col min="4611" max="4611" width="14.7109375" style="59" bestFit="1" customWidth="1"/>
    <col min="4612" max="4631" width="0" style="59" hidden="1" customWidth="1"/>
    <col min="4632" max="4632" width="15.28515625" style="59" bestFit="1" customWidth="1"/>
    <col min="4633" max="4633" width="9.7109375" style="59" bestFit="1" customWidth="1"/>
    <col min="4634" max="4634" width="11.42578125" style="59"/>
    <col min="4635" max="4635" width="12.85546875" style="59" bestFit="1" customWidth="1"/>
    <col min="4636" max="4864" width="11.42578125" style="59"/>
    <col min="4865" max="4865" width="21.85546875" style="59" bestFit="1" customWidth="1"/>
    <col min="4866" max="4866" width="26.85546875" style="59" bestFit="1" customWidth="1"/>
    <col min="4867" max="4867" width="14.7109375" style="59" bestFit="1" customWidth="1"/>
    <col min="4868" max="4887" width="0" style="59" hidden="1" customWidth="1"/>
    <col min="4888" max="4888" width="15.28515625" style="59" bestFit="1" customWidth="1"/>
    <col min="4889" max="4889" width="9.7109375" style="59" bestFit="1" customWidth="1"/>
    <col min="4890" max="4890" width="11.42578125" style="59"/>
    <col min="4891" max="4891" width="12.85546875" style="59" bestFit="1" customWidth="1"/>
    <col min="4892" max="5120" width="11.42578125" style="59"/>
    <col min="5121" max="5121" width="21.85546875" style="59" bestFit="1" customWidth="1"/>
    <col min="5122" max="5122" width="26.85546875" style="59" bestFit="1" customWidth="1"/>
    <col min="5123" max="5123" width="14.7109375" style="59" bestFit="1" customWidth="1"/>
    <col min="5124" max="5143" width="0" style="59" hidden="1" customWidth="1"/>
    <col min="5144" max="5144" width="15.28515625" style="59" bestFit="1" customWidth="1"/>
    <col min="5145" max="5145" width="9.7109375" style="59" bestFit="1" customWidth="1"/>
    <col min="5146" max="5146" width="11.42578125" style="59"/>
    <col min="5147" max="5147" width="12.85546875" style="59" bestFit="1" customWidth="1"/>
    <col min="5148" max="5376" width="11.42578125" style="59"/>
    <col min="5377" max="5377" width="21.85546875" style="59" bestFit="1" customWidth="1"/>
    <col min="5378" max="5378" width="26.85546875" style="59" bestFit="1" customWidth="1"/>
    <col min="5379" max="5379" width="14.7109375" style="59" bestFit="1" customWidth="1"/>
    <col min="5380" max="5399" width="0" style="59" hidden="1" customWidth="1"/>
    <col min="5400" max="5400" width="15.28515625" style="59" bestFit="1" customWidth="1"/>
    <col min="5401" max="5401" width="9.7109375" style="59" bestFit="1" customWidth="1"/>
    <col min="5402" max="5402" width="11.42578125" style="59"/>
    <col min="5403" max="5403" width="12.85546875" style="59" bestFit="1" customWidth="1"/>
    <col min="5404" max="5632" width="11.42578125" style="59"/>
    <col min="5633" max="5633" width="21.85546875" style="59" bestFit="1" customWidth="1"/>
    <col min="5634" max="5634" width="26.85546875" style="59" bestFit="1" customWidth="1"/>
    <col min="5635" max="5635" width="14.7109375" style="59" bestFit="1" customWidth="1"/>
    <col min="5636" max="5655" width="0" style="59" hidden="1" customWidth="1"/>
    <col min="5656" max="5656" width="15.28515625" style="59" bestFit="1" customWidth="1"/>
    <col min="5657" max="5657" width="9.7109375" style="59" bestFit="1" customWidth="1"/>
    <col min="5658" max="5658" width="11.42578125" style="59"/>
    <col min="5659" max="5659" width="12.85546875" style="59" bestFit="1" customWidth="1"/>
    <col min="5660" max="5888" width="11.42578125" style="59"/>
    <col min="5889" max="5889" width="21.85546875" style="59" bestFit="1" customWidth="1"/>
    <col min="5890" max="5890" width="26.85546875" style="59" bestFit="1" customWidth="1"/>
    <col min="5891" max="5891" width="14.7109375" style="59" bestFit="1" customWidth="1"/>
    <col min="5892" max="5911" width="0" style="59" hidden="1" customWidth="1"/>
    <col min="5912" max="5912" width="15.28515625" style="59" bestFit="1" customWidth="1"/>
    <col min="5913" max="5913" width="9.7109375" style="59" bestFit="1" customWidth="1"/>
    <col min="5914" max="5914" width="11.42578125" style="59"/>
    <col min="5915" max="5915" width="12.85546875" style="59" bestFit="1" customWidth="1"/>
    <col min="5916" max="6144" width="11.42578125" style="59"/>
    <col min="6145" max="6145" width="21.85546875" style="59" bestFit="1" customWidth="1"/>
    <col min="6146" max="6146" width="26.85546875" style="59" bestFit="1" customWidth="1"/>
    <col min="6147" max="6147" width="14.7109375" style="59" bestFit="1" customWidth="1"/>
    <col min="6148" max="6167" width="0" style="59" hidden="1" customWidth="1"/>
    <col min="6168" max="6168" width="15.28515625" style="59" bestFit="1" customWidth="1"/>
    <col min="6169" max="6169" width="9.7109375" style="59" bestFit="1" customWidth="1"/>
    <col min="6170" max="6170" width="11.42578125" style="59"/>
    <col min="6171" max="6171" width="12.85546875" style="59" bestFit="1" customWidth="1"/>
    <col min="6172" max="6400" width="11.42578125" style="59"/>
    <col min="6401" max="6401" width="21.85546875" style="59" bestFit="1" customWidth="1"/>
    <col min="6402" max="6402" width="26.85546875" style="59" bestFit="1" customWidth="1"/>
    <col min="6403" max="6403" width="14.7109375" style="59" bestFit="1" customWidth="1"/>
    <col min="6404" max="6423" width="0" style="59" hidden="1" customWidth="1"/>
    <col min="6424" max="6424" width="15.28515625" style="59" bestFit="1" customWidth="1"/>
    <col min="6425" max="6425" width="9.7109375" style="59" bestFit="1" customWidth="1"/>
    <col min="6426" max="6426" width="11.42578125" style="59"/>
    <col min="6427" max="6427" width="12.85546875" style="59" bestFit="1" customWidth="1"/>
    <col min="6428" max="6656" width="11.42578125" style="59"/>
    <col min="6657" max="6657" width="21.85546875" style="59" bestFit="1" customWidth="1"/>
    <col min="6658" max="6658" width="26.85546875" style="59" bestFit="1" customWidth="1"/>
    <col min="6659" max="6659" width="14.7109375" style="59" bestFit="1" customWidth="1"/>
    <col min="6660" max="6679" width="0" style="59" hidden="1" customWidth="1"/>
    <col min="6680" max="6680" width="15.28515625" style="59" bestFit="1" customWidth="1"/>
    <col min="6681" max="6681" width="9.7109375" style="59" bestFit="1" customWidth="1"/>
    <col min="6682" max="6682" width="11.42578125" style="59"/>
    <col min="6683" max="6683" width="12.85546875" style="59" bestFit="1" customWidth="1"/>
    <col min="6684" max="6912" width="11.42578125" style="59"/>
    <col min="6913" max="6913" width="21.85546875" style="59" bestFit="1" customWidth="1"/>
    <col min="6914" max="6914" width="26.85546875" style="59" bestFit="1" customWidth="1"/>
    <col min="6915" max="6915" width="14.7109375" style="59" bestFit="1" customWidth="1"/>
    <col min="6916" max="6935" width="0" style="59" hidden="1" customWidth="1"/>
    <col min="6936" max="6936" width="15.28515625" style="59" bestFit="1" customWidth="1"/>
    <col min="6937" max="6937" width="9.7109375" style="59" bestFit="1" customWidth="1"/>
    <col min="6938" max="6938" width="11.42578125" style="59"/>
    <col min="6939" max="6939" width="12.85546875" style="59" bestFit="1" customWidth="1"/>
    <col min="6940" max="7168" width="11.42578125" style="59"/>
    <col min="7169" max="7169" width="21.85546875" style="59" bestFit="1" customWidth="1"/>
    <col min="7170" max="7170" width="26.85546875" style="59" bestFit="1" customWidth="1"/>
    <col min="7171" max="7171" width="14.7109375" style="59" bestFit="1" customWidth="1"/>
    <col min="7172" max="7191" width="0" style="59" hidden="1" customWidth="1"/>
    <col min="7192" max="7192" width="15.28515625" style="59" bestFit="1" customWidth="1"/>
    <col min="7193" max="7193" width="9.7109375" style="59" bestFit="1" customWidth="1"/>
    <col min="7194" max="7194" width="11.42578125" style="59"/>
    <col min="7195" max="7195" width="12.85546875" style="59" bestFit="1" customWidth="1"/>
    <col min="7196" max="7424" width="11.42578125" style="59"/>
    <col min="7425" max="7425" width="21.85546875" style="59" bestFit="1" customWidth="1"/>
    <col min="7426" max="7426" width="26.85546875" style="59" bestFit="1" customWidth="1"/>
    <col min="7427" max="7427" width="14.7109375" style="59" bestFit="1" customWidth="1"/>
    <col min="7428" max="7447" width="0" style="59" hidden="1" customWidth="1"/>
    <col min="7448" max="7448" width="15.28515625" style="59" bestFit="1" customWidth="1"/>
    <col min="7449" max="7449" width="9.7109375" style="59" bestFit="1" customWidth="1"/>
    <col min="7450" max="7450" width="11.42578125" style="59"/>
    <col min="7451" max="7451" width="12.85546875" style="59" bestFit="1" customWidth="1"/>
    <col min="7452" max="7680" width="11.42578125" style="59"/>
    <col min="7681" max="7681" width="21.85546875" style="59" bestFit="1" customWidth="1"/>
    <col min="7682" max="7682" width="26.85546875" style="59" bestFit="1" customWidth="1"/>
    <col min="7683" max="7683" width="14.7109375" style="59" bestFit="1" customWidth="1"/>
    <col min="7684" max="7703" width="0" style="59" hidden="1" customWidth="1"/>
    <col min="7704" max="7704" width="15.28515625" style="59" bestFit="1" customWidth="1"/>
    <col min="7705" max="7705" width="9.7109375" style="59" bestFit="1" customWidth="1"/>
    <col min="7706" max="7706" width="11.42578125" style="59"/>
    <col min="7707" max="7707" width="12.85546875" style="59" bestFit="1" customWidth="1"/>
    <col min="7708" max="7936" width="11.42578125" style="59"/>
    <col min="7937" max="7937" width="21.85546875" style="59" bestFit="1" customWidth="1"/>
    <col min="7938" max="7938" width="26.85546875" style="59" bestFit="1" customWidth="1"/>
    <col min="7939" max="7939" width="14.7109375" style="59" bestFit="1" customWidth="1"/>
    <col min="7940" max="7959" width="0" style="59" hidden="1" customWidth="1"/>
    <col min="7960" max="7960" width="15.28515625" style="59" bestFit="1" customWidth="1"/>
    <col min="7961" max="7961" width="9.7109375" style="59" bestFit="1" customWidth="1"/>
    <col min="7962" max="7962" width="11.42578125" style="59"/>
    <col min="7963" max="7963" width="12.85546875" style="59" bestFit="1" customWidth="1"/>
    <col min="7964" max="8192" width="11.42578125" style="59"/>
    <col min="8193" max="8193" width="21.85546875" style="59" bestFit="1" customWidth="1"/>
    <col min="8194" max="8194" width="26.85546875" style="59" bestFit="1" customWidth="1"/>
    <col min="8195" max="8195" width="14.7109375" style="59" bestFit="1" customWidth="1"/>
    <col min="8196" max="8215" width="0" style="59" hidden="1" customWidth="1"/>
    <col min="8216" max="8216" width="15.28515625" style="59" bestFit="1" customWidth="1"/>
    <col min="8217" max="8217" width="9.7109375" style="59" bestFit="1" customWidth="1"/>
    <col min="8218" max="8218" width="11.42578125" style="59"/>
    <col min="8219" max="8219" width="12.85546875" style="59" bestFit="1" customWidth="1"/>
    <col min="8220" max="8448" width="11.42578125" style="59"/>
    <col min="8449" max="8449" width="21.85546875" style="59" bestFit="1" customWidth="1"/>
    <col min="8450" max="8450" width="26.85546875" style="59" bestFit="1" customWidth="1"/>
    <col min="8451" max="8451" width="14.7109375" style="59" bestFit="1" customWidth="1"/>
    <col min="8452" max="8471" width="0" style="59" hidden="1" customWidth="1"/>
    <col min="8472" max="8472" width="15.28515625" style="59" bestFit="1" customWidth="1"/>
    <col min="8473" max="8473" width="9.7109375" style="59" bestFit="1" customWidth="1"/>
    <col min="8474" max="8474" width="11.42578125" style="59"/>
    <col min="8475" max="8475" width="12.85546875" style="59" bestFit="1" customWidth="1"/>
    <col min="8476" max="8704" width="11.42578125" style="59"/>
    <col min="8705" max="8705" width="21.85546875" style="59" bestFit="1" customWidth="1"/>
    <col min="8706" max="8706" width="26.85546875" style="59" bestFit="1" customWidth="1"/>
    <col min="8707" max="8707" width="14.7109375" style="59" bestFit="1" customWidth="1"/>
    <col min="8708" max="8727" width="0" style="59" hidden="1" customWidth="1"/>
    <col min="8728" max="8728" width="15.28515625" style="59" bestFit="1" customWidth="1"/>
    <col min="8729" max="8729" width="9.7109375" style="59" bestFit="1" customWidth="1"/>
    <col min="8730" max="8730" width="11.42578125" style="59"/>
    <col min="8731" max="8731" width="12.85546875" style="59" bestFit="1" customWidth="1"/>
    <col min="8732" max="8960" width="11.42578125" style="59"/>
    <col min="8961" max="8961" width="21.85546875" style="59" bestFit="1" customWidth="1"/>
    <col min="8962" max="8962" width="26.85546875" style="59" bestFit="1" customWidth="1"/>
    <col min="8963" max="8963" width="14.7109375" style="59" bestFit="1" customWidth="1"/>
    <col min="8964" max="8983" width="0" style="59" hidden="1" customWidth="1"/>
    <col min="8984" max="8984" width="15.28515625" style="59" bestFit="1" customWidth="1"/>
    <col min="8985" max="8985" width="9.7109375" style="59" bestFit="1" customWidth="1"/>
    <col min="8986" max="8986" width="11.42578125" style="59"/>
    <col min="8987" max="8987" width="12.85546875" style="59" bestFit="1" customWidth="1"/>
    <col min="8988" max="9216" width="11.42578125" style="59"/>
    <col min="9217" max="9217" width="21.85546875" style="59" bestFit="1" customWidth="1"/>
    <col min="9218" max="9218" width="26.85546875" style="59" bestFit="1" customWidth="1"/>
    <col min="9219" max="9219" width="14.7109375" style="59" bestFit="1" customWidth="1"/>
    <col min="9220" max="9239" width="0" style="59" hidden="1" customWidth="1"/>
    <col min="9240" max="9240" width="15.28515625" style="59" bestFit="1" customWidth="1"/>
    <col min="9241" max="9241" width="9.7109375" style="59" bestFit="1" customWidth="1"/>
    <col min="9242" max="9242" width="11.42578125" style="59"/>
    <col min="9243" max="9243" width="12.85546875" style="59" bestFit="1" customWidth="1"/>
    <col min="9244" max="9472" width="11.42578125" style="59"/>
    <col min="9473" max="9473" width="21.85546875" style="59" bestFit="1" customWidth="1"/>
    <col min="9474" max="9474" width="26.85546875" style="59" bestFit="1" customWidth="1"/>
    <col min="9475" max="9475" width="14.7109375" style="59" bestFit="1" customWidth="1"/>
    <col min="9476" max="9495" width="0" style="59" hidden="1" customWidth="1"/>
    <col min="9496" max="9496" width="15.28515625" style="59" bestFit="1" customWidth="1"/>
    <col min="9497" max="9497" width="9.7109375" style="59" bestFit="1" customWidth="1"/>
    <col min="9498" max="9498" width="11.42578125" style="59"/>
    <col min="9499" max="9499" width="12.85546875" style="59" bestFit="1" customWidth="1"/>
    <col min="9500" max="9728" width="11.42578125" style="59"/>
    <col min="9729" max="9729" width="21.85546875" style="59" bestFit="1" customWidth="1"/>
    <col min="9730" max="9730" width="26.85546875" style="59" bestFit="1" customWidth="1"/>
    <col min="9731" max="9731" width="14.7109375" style="59" bestFit="1" customWidth="1"/>
    <col min="9732" max="9751" width="0" style="59" hidden="1" customWidth="1"/>
    <col min="9752" max="9752" width="15.28515625" style="59" bestFit="1" customWidth="1"/>
    <col min="9753" max="9753" width="9.7109375" style="59" bestFit="1" customWidth="1"/>
    <col min="9754" max="9754" width="11.42578125" style="59"/>
    <col min="9755" max="9755" width="12.85546875" style="59" bestFit="1" customWidth="1"/>
    <col min="9756" max="9984" width="11.42578125" style="59"/>
    <col min="9985" max="9985" width="21.85546875" style="59" bestFit="1" customWidth="1"/>
    <col min="9986" max="9986" width="26.85546875" style="59" bestFit="1" customWidth="1"/>
    <col min="9987" max="9987" width="14.7109375" style="59" bestFit="1" customWidth="1"/>
    <col min="9988" max="10007" width="0" style="59" hidden="1" customWidth="1"/>
    <col min="10008" max="10008" width="15.28515625" style="59" bestFit="1" customWidth="1"/>
    <col min="10009" max="10009" width="9.7109375" style="59" bestFit="1" customWidth="1"/>
    <col min="10010" max="10010" width="11.42578125" style="59"/>
    <col min="10011" max="10011" width="12.85546875" style="59" bestFit="1" customWidth="1"/>
    <col min="10012" max="10240" width="11.42578125" style="59"/>
    <col min="10241" max="10241" width="21.85546875" style="59" bestFit="1" customWidth="1"/>
    <col min="10242" max="10242" width="26.85546875" style="59" bestFit="1" customWidth="1"/>
    <col min="10243" max="10243" width="14.7109375" style="59" bestFit="1" customWidth="1"/>
    <col min="10244" max="10263" width="0" style="59" hidden="1" customWidth="1"/>
    <col min="10264" max="10264" width="15.28515625" style="59" bestFit="1" customWidth="1"/>
    <col min="10265" max="10265" width="9.7109375" style="59" bestFit="1" customWidth="1"/>
    <col min="10266" max="10266" width="11.42578125" style="59"/>
    <col min="10267" max="10267" width="12.85546875" style="59" bestFit="1" customWidth="1"/>
    <col min="10268" max="10496" width="11.42578125" style="59"/>
    <col min="10497" max="10497" width="21.85546875" style="59" bestFit="1" customWidth="1"/>
    <col min="10498" max="10498" width="26.85546875" style="59" bestFit="1" customWidth="1"/>
    <col min="10499" max="10499" width="14.7109375" style="59" bestFit="1" customWidth="1"/>
    <col min="10500" max="10519" width="0" style="59" hidden="1" customWidth="1"/>
    <col min="10520" max="10520" width="15.28515625" style="59" bestFit="1" customWidth="1"/>
    <col min="10521" max="10521" width="9.7109375" style="59" bestFit="1" customWidth="1"/>
    <col min="10522" max="10522" width="11.42578125" style="59"/>
    <col min="10523" max="10523" width="12.85546875" style="59" bestFit="1" customWidth="1"/>
    <col min="10524" max="10752" width="11.42578125" style="59"/>
    <col min="10753" max="10753" width="21.85546875" style="59" bestFit="1" customWidth="1"/>
    <col min="10754" max="10754" width="26.85546875" style="59" bestFit="1" customWidth="1"/>
    <col min="10755" max="10755" width="14.7109375" style="59" bestFit="1" customWidth="1"/>
    <col min="10756" max="10775" width="0" style="59" hidden="1" customWidth="1"/>
    <col min="10776" max="10776" width="15.28515625" style="59" bestFit="1" customWidth="1"/>
    <col min="10777" max="10777" width="9.7109375" style="59" bestFit="1" customWidth="1"/>
    <col min="10778" max="10778" width="11.42578125" style="59"/>
    <col min="10779" max="10779" width="12.85546875" style="59" bestFit="1" customWidth="1"/>
    <col min="10780" max="11008" width="11.42578125" style="59"/>
    <col min="11009" max="11009" width="21.85546875" style="59" bestFit="1" customWidth="1"/>
    <col min="11010" max="11010" width="26.85546875" style="59" bestFit="1" customWidth="1"/>
    <col min="11011" max="11011" width="14.7109375" style="59" bestFit="1" customWidth="1"/>
    <col min="11012" max="11031" width="0" style="59" hidden="1" customWidth="1"/>
    <col min="11032" max="11032" width="15.28515625" style="59" bestFit="1" customWidth="1"/>
    <col min="11033" max="11033" width="9.7109375" style="59" bestFit="1" customWidth="1"/>
    <col min="11034" max="11034" width="11.42578125" style="59"/>
    <col min="11035" max="11035" width="12.85546875" style="59" bestFit="1" customWidth="1"/>
    <col min="11036" max="11264" width="11.42578125" style="59"/>
    <col min="11265" max="11265" width="21.85546875" style="59" bestFit="1" customWidth="1"/>
    <col min="11266" max="11266" width="26.85546875" style="59" bestFit="1" customWidth="1"/>
    <col min="11267" max="11267" width="14.7109375" style="59" bestFit="1" customWidth="1"/>
    <col min="11268" max="11287" width="0" style="59" hidden="1" customWidth="1"/>
    <col min="11288" max="11288" width="15.28515625" style="59" bestFit="1" customWidth="1"/>
    <col min="11289" max="11289" width="9.7109375" style="59" bestFit="1" customWidth="1"/>
    <col min="11290" max="11290" width="11.42578125" style="59"/>
    <col min="11291" max="11291" width="12.85546875" style="59" bestFit="1" customWidth="1"/>
    <col min="11292" max="11520" width="11.42578125" style="59"/>
    <col min="11521" max="11521" width="21.85546875" style="59" bestFit="1" customWidth="1"/>
    <col min="11522" max="11522" width="26.85546875" style="59" bestFit="1" customWidth="1"/>
    <col min="11523" max="11523" width="14.7109375" style="59" bestFit="1" customWidth="1"/>
    <col min="11524" max="11543" width="0" style="59" hidden="1" customWidth="1"/>
    <col min="11544" max="11544" width="15.28515625" style="59" bestFit="1" customWidth="1"/>
    <col min="11545" max="11545" width="9.7109375" style="59" bestFit="1" customWidth="1"/>
    <col min="11546" max="11546" width="11.42578125" style="59"/>
    <col min="11547" max="11547" width="12.85546875" style="59" bestFit="1" customWidth="1"/>
    <col min="11548" max="11776" width="11.42578125" style="59"/>
    <col min="11777" max="11777" width="21.85546875" style="59" bestFit="1" customWidth="1"/>
    <col min="11778" max="11778" width="26.85546875" style="59" bestFit="1" customWidth="1"/>
    <col min="11779" max="11779" width="14.7109375" style="59" bestFit="1" customWidth="1"/>
    <col min="11780" max="11799" width="0" style="59" hidden="1" customWidth="1"/>
    <col min="11800" max="11800" width="15.28515625" style="59" bestFit="1" customWidth="1"/>
    <col min="11801" max="11801" width="9.7109375" style="59" bestFit="1" customWidth="1"/>
    <col min="11802" max="11802" width="11.42578125" style="59"/>
    <col min="11803" max="11803" width="12.85546875" style="59" bestFit="1" customWidth="1"/>
    <col min="11804" max="12032" width="11.42578125" style="59"/>
    <col min="12033" max="12033" width="21.85546875" style="59" bestFit="1" customWidth="1"/>
    <col min="12034" max="12034" width="26.85546875" style="59" bestFit="1" customWidth="1"/>
    <col min="12035" max="12035" width="14.7109375" style="59" bestFit="1" customWidth="1"/>
    <col min="12036" max="12055" width="0" style="59" hidden="1" customWidth="1"/>
    <col min="12056" max="12056" width="15.28515625" style="59" bestFit="1" customWidth="1"/>
    <col min="12057" max="12057" width="9.7109375" style="59" bestFit="1" customWidth="1"/>
    <col min="12058" max="12058" width="11.42578125" style="59"/>
    <col min="12059" max="12059" width="12.85546875" style="59" bestFit="1" customWidth="1"/>
    <col min="12060" max="12288" width="11.42578125" style="59"/>
    <col min="12289" max="12289" width="21.85546875" style="59" bestFit="1" customWidth="1"/>
    <col min="12290" max="12290" width="26.85546875" style="59" bestFit="1" customWidth="1"/>
    <col min="12291" max="12291" width="14.7109375" style="59" bestFit="1" customWidth="1"/>
    <col min="12292" max="12311" width="0" style="59" hidden="1" customWidth="1"/>
    <col min="12312" max="12312" width="15.28515625" style="59" bestFit="1" customWidth="1"/>
    <col min="12313" max="12313" width="9.7109375" style="59" bestFit="1" customWidth="1"/>
    <col min="12314" max="12314" width="11.42578125" style="59"/>
    <col min="12315" max="12315" width="12.85546875" style="59" bestFit="1" customWidth="1"/>
    <col min="12316" max="12544" width="11.42578125" style="59"/>
    <col min="12545" max="12545" width="21.85546875" style="59" bestFit="1" customWidth="1"/>
    <col min="12546" max="12546" width="26.85546875" style="59" bestFit="1" customWidth="1"/>
    <col min="12547" max="12547" width="14.7109375" style="59" bestFit="1" customWidth="1"/>
    <col min="12548" max="12567" width="0" style="59" hidden="1" customWidth="1"/>
    <col min="12568" max="12568" width="15.28515625" style="59" bestFit="1" customWidth="1"/>
    <col min="12569" max="12569" width="9.7109375" style="59" bestFit="1" customWidth="1"/>
    <col min="12570" max="12570" width="11.42578125" style="59"/>
    <col min="12571" max="12571" width="12.85546875" style="59" bestFit="1" customWidth="1"/>
    <col min="12572" max="12800" width="11.42578125" style="59"/>
    <col min="12801" max="12801" width="21.85546875" style="59" bestFit="1" customWidth="1"/>
    <col min="12802" max="12802" width="26.85546875" style="59" bestFit="1" customWidth="1"/>
    <col min="12803" max="12803" width="14.7109375" style="59" bestFit="1" customWidth="1"/>
    <col min="12804" max="12823" width="0" style="59" hidden="1" customWidth="1"/>
    <col min="12824" max="12824" width="15.28515625" style="59" bestFit="1" customWidth="1"/>
    <col min="12825" max="12825" width="9.7109375" style="59" bestFit="1" customWidth="1"/>
    <col min="12826" max="12826" width="11.42578125" style="59"/>
    <col min="12827" max="12827" width="12.85546875" style="59" bestFit="1" customWidth="1"/>
    <col min="12828" max="13056" width="11.42578125" style="59"/>
    <col min="13057" max="13057" width="21.85546875" style="59" bestFit="1" customWidth="1"/>
    <col min="13058" max="13058" width="26.85546875" style="59" bestFit="1" customWidth="1"/>
    <col min="13059" max="13059" width="14.7109375" style="59" bestFit="1" customWidth="1"/>
    <col min="13060" max="13079" width="0" style="59" hidden="1" customWidth="1"/>
    <col min="13080" max="13080" width="15.28515625" style="59" bestFit="1" customWidth="1"/>
    <col min="13081" max="13081" width="9.7109375" style="59" bestFit="1" customWidth="1"/>
    <col min="13082" max="13082" width="11.42578125" style="59"/>
    <col min="13083" max="13083" width="12.85546875" style="59" bestFit="1" customWidth="1"/>
    <col min="13084" max="13312" width="11.42578125" style="59"/>
    <col min="13313" max="13313" width="21.85546875" style="59" bestFit="1" customWidth="1"/>
    <col min="13314" max="13314" width="26.85546875" style="59" bestFit="1" customWidth="1"/>
    <col min="13315" max="13315" width="14.7109375" style="59" bestFit="1" customWidth="1"/>
    <col min="13316" max="13335" width="0" style="59" hidden="1" customWidth="1"/>
    <col min="13336" max="13336" width="15.28515625" style="59" bestFit="1" customWidth="1"/>
    <col min="13337" max="13337" width="9.7109375" style="59" bestFit="1" customWidth="1"/>
    <col min="13338" max="13338" width="11.42578125" style="59"/>
    <col min="13339" max="13339" width="12.85546875" style="59" bestFit="1" customWidth="1"/>
    <col min="13340" max="13568" width="11.42578125" style="59"/>
    <col min="13569" max="13569" width="21.85546875" style="59" bestFit="1" customWidth="1"/>
    <col min="13570" max="13570" width="26.85546875" style="59" bestFit="1" customWidth="1"/>
    <col min="13571" max="13571" width="14.7109375" style="59" bestFit="1" customWidth="1"/>
    <col min="13572" max="13591" width="0" style="59" hidden="1" customWidth="1"/>
    <col min="13592" max="13592" width="15.28515625" style="59" bestFit="1" customWidth="1"/>
    <col min="13593" max="13593" width="9.7109375" style="59" bestFit="1" customWidth="1"/>
    <col min="13594" max="13594" width="11.42578125" style="59"/>
    <col min="13595" max="13595" width="12.85546875" style="59" bestFit="1" customWidth="1"/>
    <col min="13596" max="13824" width="11.42578125" style="59"/>
    <col min="13825" max="13825" width="21.85546875" style="59" bestFit="1" customWidth="1"/>
    <col min="13826" max="13826" width="26.85546875" style="59" bestFit="1" customWidth="1"/>
    <col min="13827" max="13827" width="14.7109375" style="59" bestFit="1" customWidth="1"/>
    <col min="13828" max="13847" width="0" style="59" hidden="1" customWidth="1"/>
    <col min="13848" max="13848" width="15.28515625" style="59" bestFit="1" customWidth="1"/>
    <col min="13849" max="13849" width="9.7109375" style="59" bestFit="1" customWidth="1"/>
    <col min="13850" max="13850" width="11.42578125" style="59"/>
    <col min="13851" max="13851" width="12.85546875" style="59" bestFit="1" customWidth="1"/>
    <col min="13852" max="14080" width="11.42578125" style="59"/>
    <col min="14081" max="14081" width="21.85546875" style="59" bestFit="1" customWidth="1"/>
    <col min="14082" max="14082" width="26.85546875" style="59" bestFit="1" customWidth="1"/>
    <col min="14083" max="14083" width="14.7109375" style="59" bestFit="1" customWidth="1"/>
    <col min="14084" max="14103" width="0" style="59" hidden="1" customWidth="1"/>
    <col min="14104" max="14104" width="15.28515625" style="59" bestFit="1" customWidth="1"/>
    <col min="14105" max="14105" width="9.7109375" style="59" bestFit="1" customWidth="1"/>
    <col min="14106" max="14106" width="11.42578125" style="59"/>
    <col min="14107" max="14107" width="12.85546875" style="59" bestFit="1" customWidth="1"/>
    <col min="14108" max="14336" width="11.42578125" style="59"/>
    <col min="14337" max="14337" width="21.85546875" style="59" bestFit="1" customWidth="1"/>
    <col min="14338" max="14338" width="26.85546875" style="59" bestFit="1" customWidth="1"/>
    <col min="14339" max="14339" width="14.7109375" style="59" bestFit="1" customWidth="1"/>
    <col min="14340" max="14359" width="0" style="59" hidden="1" customWidth="1"/>
    <col min="14360" max="14360" width="15.28515625" style="59" bestFit="1" customWidth="1"/>
    <col min="14361" max="14361" width="9.7109375" style="59" bestFit="1" customWidth="1"/>
    <col min="14362" max="14362" width="11.42578125" style="59"/>
    <col min="14363" max="14363" width="12.85546875" style="59" bestFit="1" customWidth="1"/>
    <col min="14364" max="14592" width="11.42578125" style="59"/>
    <col min="14593" max="14593" width="21.85546875" style="59" bestFit="1" customWidth="1"/>
    <col min="14594" max="14594" width="26.85546875" style="59" bestFit="1" customWidth="1"/>
    <col min="14595" max="14595" width="14.7109375" style="59" bestFit="1" customWidth="1"/>
    <col min="14596" max="14615" width="0" style="59" hidden="1" customWidth="1"/>
    <col min="14616" max="14616" width="15.28515625" style="59" bestFit="1" customWidth="1"/>
    <col min="14617" max="14617" width="9.7109375" style="59" bestFit="1" customWidth="1"/>
    <col min="14618" max="14618" width="11.42578125" style="59"/>
    <col min="14619" max="14619" width="12.85546875" style="59" bestFit="1" customWidth="1"/>
    <col min="14620" max="14848" width="11.42578125" style="59"/>
    <col min="14849" max="14849" width="21.85546875" style="59" bestFit="1" customWidth="1"/>
    <col min="14850" max="14850" width="26.85546875" style="59" bestFit="1" customWidth="1"/>
    <col min="14851" max="14851" width="14.7109375" style="59" bestFit="1" customWidth="1"/>
    <col min="14852" max="14871" width="0" style="59" hidden="1" customWidth="1"/>
    <col min="14872" max="14872" width="15.28515625" style="59" bestFit="1" customWidth="1"/>
    <col min="14873" max="14873" width="9.7109375" style="59" bestFit="1" customWidth="1"/>
    <col min="14874" max="14874" width="11.42578125" style="59"/>
    <col min="14875" max="14875" width="12.85546875" style="59" bestFit="1" customWidth="1"/>
    <col min="14876" max="15104" width="11.42578125" style="59"/>
    <col min="15105" max="15105" width="21.85546875" style="59" bestFit="1" customWidth="1"/>
    <col min="15106" max="15106" width="26.85546875" style="59" bestFit="1" customWidth="1"/>
    <col min="15107" max="15107" width="14.7109375" style="59" bestFit="1" customWidth="1"/>
    <col min="15108" max="15127" width="0" style="59" hidden="1" customWidth="1"/>
    <col min="15128" max="15128" width="15.28515625" style="59" bestFit="1" customWidth="1"/>
    <col min="15129" max="15129" width="9.7109375" style="59" bestFit="1" customWidth="1"/>
    <col min="15130" max="15130" width="11.42578125" style="59"/>
    <col min="15131" max="15131" width="12.85546875" style="59" bestFit="1" customWidth="1"/>
    <col min="15132" max="15360" width="11.42578125" style="59"/>
    <col min="15361" max="15361" width="21.85546875" style="59" bestFit="1" customWidth="1"/>
    <col min="15362" max="15362" width="26.85546875" style="59" bestFit="1" customWidth="1"/>
    <col min="15363" max="15363" width="14.7109375" style="59" bestFit="1" customWidth="1"/>
    <col min="15364" max="15383" width="0" style="59" hidden="1" customWidth="1"/>
    <col min="15384" max="15384" width="15.28515625" style="59" bestFit="1" customWidth="1"/>
    <col min="15385" max="15385" width="9.7109375" style="59" bestFit="1" customWidth="1"/>
    <col min="15386" max="15386" width="11.42578125" style="59"/>
    <col min="15387" max="15387" width="12.85546875" style="59" bestFit="1" customWidth="1"/>
    <col min="15388" max="15616" width="11.42578125" style="59"/>
    <col min="15617" max="15617" width="21.85546875" style="59" bestFit="1" customWidth="1"/>
    <col min="15618" max="15618" width="26.85546875" style="59" bestFit="1" customWidth="1"/>
    <col min="15619" max="15619" width="14.7109375" style="59" bestFit="1" customWidth="1"/>
    <col min="15620" max="15639" width="0" style="59" hidden="1" customWidth="1"/>
    <col min="15640" max="15640" width="15.28515625" style="59" bestFit="1" customWidth="1"/>
    <col min="15641" max="15641" width="9.7109375" style="59" bestFit="1" customWidth="1"/>
    <col min="15642" max="15642" width="11.42578125" style="59"/>
    <col min="15643" max="15643" width="12.85546875" style="59" bestFit="1" customWidth="1"/>
    <col min="15644" max="15872" width="11.42578125" style="59"/>
    <col min="15873" max="15873" width="21.85546875" style="59" bestFit="1" customWidth="1"/>
    <col min="15874" max="15874" width="26.85546875" style="59" bestFit="1" customWidth="1"/>
    <col min="15875" max="15875" width="14.7109375" style="59" bestFit="1" customWidth="1"/>
    <col min="15876" max="15895" width="0" style="59" hidden="1" customWidth="1"/>
    <col min="15896" max="15896" width="15.28515625" style="59" bestFit="1" customWidth="1"/>
    <col min="15897" max="15897" width="9.7109375" style="59" bestFit="1" customWidth="1"/>
    <col min="15898" max="15898" width="11.42578125" style="59"/>
    <col min="15899" max="15899" width="12.85546875" style="59" bestFit="1" customWidth="1"/>
    <col min="15900" max="16128" width="11.42578125" style="59"/>
    <col min="16129" max="16129" width="21.85546875" style="59" bestFit="1" customWidth="1"/>
    <col min="16130" max="16130" width="26.85546875" style="59" bestFit="1" customWidth="1"/>
    <col min="16131" max="16131" width="14.7109375" style="59" bestFit="1" customWidth="1"/>
    <col min="16132" max="16151" width="0" style="59" hidden="1" customWidth="1"/>
    <col min="16152" max="16152" width="15.28515625" style="59" bestFit="1" customWidth="1"/>
    <col min="16153" max="16153" width="9.7109375" style="59" bestFit="1" customWidth="1"/>
    <col min="16154" max="16154" width="11.42578125" style="59"/>
    <col min="16155" max="16155" width="12.85546875" style="59" bestFit="1" customWidth="1"/>
    <col min="16156" max="16384" width="11.42578125" style="59"/>
  </cols>
  <sheetData>
    <row r="1" spans="1:25">
      <c r="C1" s="99"/>
      <c r="D1" s="203">
        <f t="shared" ref="D1:Y1" si="0">SUBTOTAL(9,D4:D28)</f>
        <v>11686844.149999999</v>
      </c>
      <c r="E1" s="203">
        <f t="shared" si="0"/>
        <v>47</v>
      </c>
      <c r="F1" s="203">
        <f t="shared" si="0"/>
        <v>11592506.75</v>
      </c>
      <c r="G1" s="203">
        <f t="shared" si="0"/>
        <v>47</v>
      </c>
      <c r="H1" s="203">
        <f t="shared" si="0"/>
        <v>12713596.560000001</v>
      </c>
      <c r="I1" s="203">
        <f t="shared" si="0"/>
        <v>48</v>
      </c>
      <c r="J1" s="203">
        <f t="shared" si="0"/>
        <v>13401700.640000002</v>
      </c>
      <c r="K1" s="203">
        <f t="shared" si="0"/>
        <v>48</v>
      </c>
      <c r="L1" s="203">
        <f t="shared" si="0"/>
        <v>14038094.640000001</v>
      </c>
      <c r="M1" s="203">
        <f t="shared" si="0"/>
        <v>48</v>
      </c>
      <c r="N1" s="203">
        <f t="shared" si="0"/>
        <v>13786545.879999999</v>
      </c>
      <c r="O1" s="203">
        <f t="shared" si="0"/>
        <v>48</v>
      </c>
      <c r="P1" s="203">
        <f t="shared" si="0"/>
        <v>13613055.720000001</v>
      </c>
      <c r="Q1" s="203">
        <f t="shared" si="0"/>
        <v>48</v>
      </c>
      <c r="R1" s="203">
        <f t="shared" si="0"/>
        <v>15375519.210000001</v>
      </c>
      <c r="S1" s="203">
        <f t="shared" si="0"/>
        <v>48</v>
      </c>
      <c r="T1" s="203">
        <f t="shared" si="0"/>
        <v>14408326.43</v>
      </c>
      <c r="U1" s="203">
        <f t="shared" si="0"/>
        <v>48</v>
      </c>
      <c r="V1" s="203">
        <f t="shared" si="0"/>
        <v>12499751.789999999</v>
      </c>
      <c r="W1" s="203">
        <f t="shared" si="0"/>
        <v>49</v>
      </c>
      <c r="X1" s="203">
        <f t="shared" si="0"/>
        <v>12973033.32</v>
      </c>
      <c r="Y1" s="203">
        <f t="shared" si="0"/>
        <v>49</v>
      </c>
    </row>
    <row r="2" spans="1:25">
      <c r="A2" s="204"/>
      <c r="B2" s="205"/>
      <c r="C2" s="205"/>
      <c r="D2" s="1306" t="s">
        <v>853</v>
      </c>
      <c r="E2" s="1307"/>
      <c r="F2" s="1306" t="s">
        <v>854</v>
      </c>
      <c r="G2" s="1307"/>
      <c r="H2" s="1306" t="s">
        <v>855</v>
      </c>
      <c r="I2" s="1307"/>
      <c r="J2" s="1306" t="s">
        <v>710</v>
      </c>
      <c r="K2" s="1307"/>
      <c r="L2" s="1306" t="s">
        <v>711</v>
      </c>
      <c r="M2" s="1307"/>
      <c r="N2" s="1306" t="s">
        <v>712</v>
      </c>
      <c r="O2" s="1307"/>
      <c r="P2" s="1306" t="s">
        <v>713</v>
      </c>
      <c r="Q2" s="1307"/>
      <c r="R2" s="1306" t="s">
        <v>856</v>
      </c>
      <c r="S2" s="1307"/>
      <c r="T2" s="1306" t="s">
        <v>715</v>
      </c>
      <c r="U2" s="1307"/>
      <c r="V2" s="1306" t="s">
        <v>716</v>
      </c>
      <c r="W2" s="1308"/>
      <c r="X2" s="1266" t="s">
        <v>717</v>
      </c>
      <c r="Y2" s="1266"/>
    </row>
    <row r="3" spans="1:25">
      <c r="A3" s="206" t="s">
        <v>857</v>
      </c>
      <c r="B3" s="206" t="s">
        <v>858</v>
      </c>
      <c r="C3" s="206" t="s">
        <v>859</v>
      </c>
      <c r="D3" s="207" t="s">
        <v>21</v>
      </c>
      <c r="E3" s="200" t="s">
        <v>860</v>
      </c>
      <c r="F3" s="207" t="s">
        <v>21</v>
      </c>
      <c r="G3" s="200" t="s">
        <v>860</v>
      </c>
      <c r="H3" s="207" t="s">
        <v>21</v>
      </c>
      <c r="I3" s="200" t="s">
        <v>860</v>
      </c>
      <c r="J3" s="207" t="s">
        <v>21</v>
      </c>
      <c r="K3" s="200" t="s">
        <v>860</v>
      </c>
      <c r="L3" s="207" t="s">
        <v>21</v>
      </c>
      <c r="M3" s="200" t="s">
        <v>860</v>
      </c>
      <c r="N3" s="207" t="s">
        <v>21</v>
      </c>
      <c r="O3" s="200" t="s">
        <v>860</v>
      </c>
      <c r="P3" s="207" t="s">
        <v>21</v>
      </c>
      <c r="Q3" s="200" t="s">
        <v>860</v>
      </c>
      <c r="R3" s="207" t="s">
        <v>21</v>
      </c>
      <c r="S3" s="200" t="s">
        <v>860</v>
      </c>
      <c r="T3" s="207" t="s">
        <v>21</v>
      </c>
      <c r="U3" s="200" t="s">
        <v>860</v>
      </c>
      <c r="V3" s="207" t="s">
        <v>21</v>
      </c>
      <c r="W3" s="200" t="s">
        <v>860</v>
      </c>
      <c r="X3" s="207" t="s">
        <v>21</v>
      </c>
      <c r="Y3" s="200" t="s">
        <v>860</v>
      </c>
    </row>
    <row r="4" spans="1:25">
      <c r="A4" s="206" t="s">
        <v>353</v>
      </c>
      <c r="B4" s="206" t="s">
        <v>125</v>
      </c>
      <c r="C4" s="206" t="s">
        <v>194</v>
      </c>
      <c r="D4" s="208">
        <v>186285.3</v>
      </c>
      <c r="E4" s="67">
        <v>1</v>
      </c>
      <c r="F4" s="208">
        <v>181865.94</v>
      </c>
      <c r="G4" s="67">
        <v>1</v>
      </c>
      <c r="H4" s="208">
        <v>159585</v>
      </c>
      <c r="I4" s="67">
        <v>1</v>
      </c>
      <c r="J4" s="208">
        <v>172408</v>
      </c>
      <c r="K4" s="67">
        <v>1</v>
      </c>
      <c r="L4" s="208">
        <v>279435.57</v>
      </c>
      <c r="M4" s="67">
        <v>1</v>
      </c>
      <c r="N4" s="208">
        <v>228201.18</v>
      </c>
      <c r="O4" s="67">
        <v>1</v>
      </c>
      <c r="P4" s="208">
        <v>178497.76</v>
      </c>
      <c r="Q4" s="67">
        <v>1</v>
      </c>
      <c r="R4" s="208">
        <v>180166.5</v>
      </c>
      <c r="S4" s="67">
        <v>1</v>
      </c>
      <c r="T4" s="208">
        <v>160914.14000000001</v>
      </c>
      <c r="U4" s="67">
        <v>1</v>
      </c>
      <c r="V4" s="208">
        <v>137926.42000000001</v>
      </c>
      <c r="W4" s="67">
        <v>1</v>
      </c>
      <c r="X4" s="208">
        <v>172408</v>
      </c>
      <c r="Y4" s="67">
        <v>1</v>
      </c>
    </row>
    <row r="5" spans="1:25">
      <c r="A5" s="206" t="s">
        <v>353</v>
      </c>
      <c r="B5" s="206" t="s">
        <v>125</v>
      </c>
      <c r="C5" s="209" t="s">
        <v>192</v>
      </c>
      <c r="D5" s="208">
        <v>327753.08</v>
      </c>
      <c r="E5" s="67">
        <v>1</v>
      </c>
      <c r="F5" s="208">
        <v>296334.34999999998</v>
      </c>
      <c r="G5" s="67">
        <v>1</v>
      </c>
      <c r="H5" s="208">
        <v>294374.90999999997</v>
      </c>
      <c r="I5" s="67">
        <v>1</v>
      </c>
      <c r="J5" s="208">
        <v>298863.52</v>
      </c>
      <c r="K5" s="67">
        <v>1</v>
      </c>
      <c r="L5" s="208">
        <v>384680.11</v>
      </c>
      <c r="M5" s="67">
        <v>1</v>
      </c>
      <c r="N5" s="208">
        <v>340692.68</v>
      </c>
      <c r="O5" s="67">
        <v>1</v>
      </c>
      <c r="P5" s="208">
        <v>353450.7</v>
      </c>
      <c r="Q5" s="67">
        <v>1</v>
      </c>
      <c r="R5" s="208">
        <v>567966.74</v>
      </c>
      <c r="S5" s="67">
        <v>1</v>
      </c>
      <c r="T5" s="208">
        <v>229458</v>
      </c>
      <c r="U5" s="67">
        <v>1</v>
      </c>
      <c r="V5" s="208">
        <v>229458</v>
      </c>
      <c r="W5" s="67">
        <v>1</v>
      </c>
      <c r="X5" s="208">
        <v>274261.53000000003</v>
      </c>
      <c r="Y5" s="67">
        <v>1</v>
      </c>
    </row>
    <row r="6" spans="1:25">
      <c r="A6" s="206" t="s">
        <v>353</v>
      </c>
      <c r="B6" s="206" t="s">
        <v>125</v>
      </c>
      <c r="C6" s="209" t="s">
        <v>92</v>
      </c>
      <c r="D6" s="208">
        <v>217145.13</v>
      </c>
      <c r="E6" s="67">
        <v>1</v>
      </c>
      <c r="F6" s="208">
        <v>218495.04</v>
      </c>
      <c r="G6" s="67">
        <v>1</v>
      </c>
      <c r="H6" s="208">
        <v>208145.68</v>
      </c>
      <c r="I6" s="67">
        <v>1</v>
      </c>
      <c r="J6" s="208">
        <v>239574.38</v>
      </c>
      <c r="K6" s="67">
        <v>1</v>
      </c>
      <c r="L6" s="208">
        <v>285634.63</v>
      </c>
      <c r="M6" s="67">
        <v>1</v>
      </c>
      <c r="N6" s="208">
        <v>291578.15000000002</v>
      </c>
      <c r="O6" s="67">
        <v>1</v>
      </c>
      <c r="P6" s="208">
        <v>278099.71000000002</v>
      </c>
      <c r="Q6" s="67">
        <v>1</v>
      </c>
      <c r="R6" s="208">
        <v>374230.73</v>
      </c>
      <c r="S6" s="67">
        <v>1</v>
      </c>
      <c r="T6" s="208">
        <v>287214.53000000003</v>
      </c>
      <c r="U6" s="67">
        <v>1</v>
      </c>
      <c r="V6" s="208">
        <v>210650</v>
      </c>
      <c r="W6" s="67">
        <v>1</v>
      </c>
      <c r="X6" s="208">
        <v>210650</v>
      </c>
      <c r="Y6" s="67">
        <v>1</v>
      </c>
    </row>
    <row r="7" spans="1:25">
      <c r="A7" s="206" t="s">
        <v>353</v>
      </c>
      <c r="B7" s="206" t="s">
        <v>125</v>
      </c>
      <c r="C7" s="209" t="s">
        <v>181</v>
      </c>
      <c r="D7" s="208">
        <v>331651.53000000003</v>
      </c>
      <c r="E7" s="67">
        <v>1</v>
      </c>
      <c r="F7" s="208">
        <v>315108</v>
      </c>
      <c r="G7" s="67">
        <v>1</v>
      </c>
      <c r="H7" s="208">
        <v>319834.71999999997</v>
      </c>
      <c r="I7" s="67">
        <v>1</v>
      </c>
      <c r="J7" s="208">
        <v>340425</v>
      </c>
      <c r="K7" s="67">
        <v>1</v>
      </c>
      <c r="L7" s="208">
        <v>348084.72</v>
      </c>
      <c r="M7" s="67">
        <v>1</v>
      </c>
      <c r="N7" s="208">
        <v>365742</v>
      </c>
      <c r="O7" s="67">
        <v>1</v>
      </c>
      <c r="P7" s="208">
        <v>361734.72</v>
      </c>
      <c r="Q7" s="67">
        <v>1</v>
      </c>
      <c r="R7" s="208">
        <v>409558.86</v>
      </c>
      <c r="S7" s="67">
        <v>1</v>
      </c>
      <c r="T7" s="208">
        <v>423208.87</v>
      </c>
      <c r="U7" s="67">
        <v>1</v>
      </c>
      <c r="V7" s="208">
        <v>340425</v>
      </c>
      <c r="W7" s="67">
        <v>1</v>
      </c>
      <c r="X7" s="208">
        <v>358297.67</v>
      </c>
      <c r="Y7" s="67">
        <v>1</v>
      </c>
    </row>
    <row r="8" spans="1:25">
      <c r="A8" s="206" t="s">
        <v>353</v>
      </c>
      <c r="B8" s="206" t="s">
        <v>125</v>
      </c>
      <c r="C8" s="209" t="s">
        <v>154</v>
      </c>
      <c r="D8" s="208">
        <v>329616</v>
      </c>
      <c r="E8" s="67">
        <v>2</v>
      </c>
      <c r="F8" s="208">
        <v>329616</v>
      </c>
      <c r="G8" s="67">
        <v>2</v>
      </c>
      <c r="H8" s="208">
        <v>329616</v>
      </c>
      <c r="I8" s="67">
        <v>2</v>
      </c>
      <c r="J8" s="208">
        <v>356100</v>
      </c>
      <c r="K8" s="67">
        <v>2</v>
      </c>
      <c r="L8" s="208">
        <v>356100</v>
      </c>
      <c r="M8" s="67">
        <v>2</v>
      </c>
      <c r="N8" s="208">
        <v>382584</v>
      </c>
      <c r="O8" s="67">
        <v>2</v>
      </c>
      <c r="P8" s="208">
        <v>364513.01</v>
      </c>
      <c r="Q8" s="67">
        <v>2</v>
      </c>
      <c r="R8" s="208">
        <v>372946.57</v>
      </c>
      <c r="S8" s="67">
        <v>2</v>
      </c>
      <c r="T8" s="208">
        <v>367183.81</v>
      </c>
      <c r="U8" s="67">
        <v>2</v>
      </c>
      <c r="V8" s="208">
        <v>356100</v>
      </c>
      <c r="W8" s="67">
        <v>2</v>
      </c>
      <c r="X8" s="208">
        <v>365447.79000000004</v>
      </c>
      <c r="Y8" s="67">
        <v>2</v>
      </c>
    </row>
    <row r="9" spans="1:25">
      <c r="A9" s="206" t="s">
        <v>353</v>
      </c>
      <c r="B9" s="206" t="s">
        <v>125</v>
      </c>
      <c r="C9" s="209" t="s">
        <v>152</v>
      </c>
      <c r="D9" s="208">
        <v>182797</v>
      </c>
      <c r="E9" s="67">
        <v>1</v>
      </c>
      <c r="F9" s="208">
        <v>182797</v>
      </c>
      <c r="G9" s="67">
        <v>1</v>
      </c>
      <c r="H9" s="208">
        <v>182797</v>
      </c>
      <c r="I9" s="67">
        <v>1</v>
      </c>
      <c r="J9" s="208">
        <v>197485</v>
      </c>
      <c r="K9" s="67">
        <v>1</v>
      </c>
      <c r="L9" s="208">
        <v>197485</v>
      </c>
      <c r="M9" s="67">
        <v>1</v>
      </c>
      <c r="N9" s="208">
        <v>212173</v>
      </c>
      <c r="O9" s="67">
        <v>1</v>
      </c>
      <c r="P9" s="208">
        <v>197485</v>
      </c>
      <c r="Q9" s="67">
        <v>1</v>
      </c>
      <c r="R9" s="208">
        <v>197485</v>
      </c>
      <c r="S9" s="67">
        <v>1</v>
      </c>
      <c r="T9" s="208">
        <v>197485</v>
      </c>
      <c r="U9" s="67">
        <v>1</v>
      </c>
      <c r="V9" s="208">
        <v>197485</v>
      </c>
      <c r="W9" s="67">
        <v>1</v>
      </c>
      <c r="X9" s="208">
        <v>197485</v>
      </c>
      <c r="Y9" s="67">
        <v>1</v>
      </c>
    </row>
    <row r="10" spans="1:25">
      <c r="A10" s="206" t="s">
        <v>353</v>
      </c>
      <c r="B10" s="206" t="s">
        <v>98</v>
      </c>
      <c r="C10" s="206" t="s">
        <v>194</v>
      </c>
      <c r="D10" s="208">
        <v>159585</v>
      </c>
      <c r="E10" s="67">
        <v>1</v>
      </c>
      <c r="F10" s="208">
        <v>159585</v>
      </c>
      <c r="G10" s="67">
        <v>1</v>
      </c>
      <c r="H10" s="208">
        <v>159585</v>
      </c>
      <c r="I10" s="67">
        <v>1</v>
      </c>
      <c r="J10" s="208">
        <v>172408</v>
      </c>
      <c r="K10" s="67">
        <v>1</v>
      </c>
      <c r="L10" s="208">
        <v>172408</v>
      </c>
      <c r="M10" s="67">
        <v>1</v>
      </c>
      <c r="N10" s="208">
        <v>185231</v>
      </c>
      <c r="O10" s="67">
        <v>1</v>
      </c>
      <c r="P10" s="208">
        <v>172408</v>
      </c>
      <c r="Q10" s="67">
        <v>1</v>
      </c>
      <c r="R10" s="208">
        <v>172408</v>
      </c>
      <c r="S10" s="67">
        <v>1</v>
      </c>
      <c r="T10" s="208">
        <v>172408</v>
      </c>
      <c r="U10" s="67">
        <v>1</v>
      </c>
      <c r="V10" s="208">
        <v>344816</v>
      </c>
      <c r="W10" s="67">
        <v>2</v>
      </c>
      <c r="X10" s="208">
        <v>344816</v>
      </c>
      <c r="Y10" s="67">
        <v>2</v>
      </c>
    </row>
    <row r="11" spans="1:25">
      <c r="A11" s="206" t="s">
        <v>353</v>
      </c>
      <c r="B11" s="206" t="s">
        <v>98</v>
      </c>
      <c r="C11" s="209" t="s">
        <v>226</v>
      </c>
      <c r="D11" s="208">
        <v>312787</v>
      </c>
      <c r="E11" s="67">
        <v>2</v>
      </c>
      <c r="F11" s="208">
        <v>312787</v>
      </c>
      <c r="G11" s="67">
        <v>2</v>
      </c>
      <c r="H11" s="208">
        <v>318010</v>
      </c>
      <c r="I11" s="67">
        <v>2</v>
      </c>
      <c r="J11" s="208">
        <v>339800</v>
      </c>
      <c r="K11" s="67">
        <v>2</v>
      </c>
      <c r="L11" s="208">
        <v>339800</v>
      </c>
      <c r="M11" s="67">
        <v>2</v>
      </c>
      <c r="N11" s="208">
        <v>365072</v>
      </c>
      <c r="O11" s="67">
        <v>2</v>
      </c>
      <c r="P11" s="208">
        <v>339800</v>
      </c>
      <c r="Q11" s="67">
        <v>2</v>
      </c>
      <c r="R11" s="208">
        <v>339800</v>
      </c>
      <c r="S11" s="67">
        <v>2</v>
      </c>
      <c r="T11" s="208">
        <v>339800</v>
      </c>
      <c r="U11" s="67">
        <v>2</v>
      </c>
      <c r="V11" s="208">
        <v>339800</v>
      </c>
      <c r="W11" s="67">
        <v>2</v>
      </c>
      <c r="X11" s="208">
        <v>339800</v>
      </c>
      <c r="Y11" s="67">
        <v>2</v>
      </c>
    </row>
    <row r="12" spans="1:25">
      <c r="A12" s="206" t="s">
        <v>353</v>
      </c>
      <c r="B12" s="206" t="s">
        <v>98</v>
      </c>
      <c r="C12" s="209" t="s">
        <v>861</v>
      </c>
      <c r="D12" s="208">
        <v>161906</v>
      </c>
      <c r="E12" s="67">
        <v>1</v>
      </c>
      <c r="F12" s="208">
        <v>161906</v>
      </c>
      <c r="G12" s="67">
        <v>1</v>
      </c>
      <c r="H12" s="208">
        <v>276809</v>
      </c>
      <c r="I12" s="67">
        <v>1</v>
      </c>
      <c r="J12" s="208">
        <v>216293</v>
      </c>
      <c r="K12" s="67">
        <v>1</v>
      </c>
      <c r="L12" s="208">
        <v>216293</v>
      </c>
      <c r="M12" s="67">
        <v>1</v>
      </c>
      <c r="N12" s="208">
        <v>232379</v>
      </c>
      <c r="O12" s="67">
        <v>1</v>
      </c>
      <c r="P12" s="208">
        <v>216293</v>
      </c>
      <c r="Q12" s="67">
        <v>1</v>
      </c>
      <c r="R12" s="208">
        <v>216293</v>
      </c>
      <c r="S12" s="67">
        <v>1</v>
      </c>
      <c r="T12" s="208">
        <v>216293</v>
      </c>
      <c r="U12" s="67">
        <v>1</v>
      </c>
      <c r="V12" s="208">
        <v>216293</v>
      </c>
      <c r="W12" s="67">
        <v>1</v>
      </c>
      <c r="X12" s="208">
        <v>216293</v>
      </c>
      <c r="Y12" s="67">
        <v>1</v>
      </c>
    </row>
    <row r="13" spans="1:25">
      <c r="A13" s="206" t="s">
        <v>353</v>
      </c>
      <c r="B13" s="206" t="s">
        <v>98</v>
      </c>
      <c r="C13" s="209" t="s">
        <v>218</v>
      </c>
      <c r="D13" s="208">
        <v>155523</v>
      </c>
      <c r="E13" s="67">
        <v>1</v>
      </c>
      <c r="F13" s="208">
        <v>187645.27</v>
      </c>
      <c r="G13" s="67">
        <v>1</v>
      </c>
      <c r="H13" s="208">
        <v>155523</v>
      </c>
      <c r="I13" s="67">
        <v>1</v>
      </c>
      <c r="J13" s="208">
        <v>168019</v>
      </c>
      <c r="K13" s="67">
        <v>1</v>
      </c>
      <c r="L13" s="208">
        <v>168019</v>
      </c>
      <c r="M13" s="67">
        <v>1</v>
      </c>
      <c r="N13" s="208">
        <v>180515</v>
      </c>
      <c r="O13" s="67">
        <v>1</v>
      </c>
      <c r="P13" s="208">
        <v>168019</v>
      </c>
      <c r="Q13" s="67">
        <v>1</v>
      </c>
      <c r="R13" s="208">
        <v>168019</v>
      </c>
      <c r="S13" s="67">
        <v>1</v>
      </c>
      <c r="T13" s="208">
        <v>168019</v>
      </c>
      <c r="U13" s="67">
        <v>1</v>
      </c>
      <c r="V13" s="208">
        <v>168019</v>
      </c>
      <c r="W13" s="67">
        <v>1</v>
      </c>
      <c r="X13" s="208">
        <v>186436.84</v>
      </c>
      <c r="Y13" s="67">
        <v>1</v>
      </c>
    </row>
    <row r="14" spans="1:25">
      <c r="A14" s="206" t="s">
        <v>353</v>
      </c>
      <c r="B14" s="206" t="s">
        <v>98</v>
      </c>
      <c r="C14" s="209" t="s">
        <v>92</v>
      </c>
      <c r="D14" s="208">
        <v>2376297.63</v>
      </c>
      <c r="E14" s="67">
        <v>13</v>
      </c>
      <c r="F14" s="208">
        <v>2096156.62</v>
      </c>
      <c r="G14" s="67">
        <v>12</v>
      </c>
      <c r="H14" s="208">
        <v>2276504.75</v>
      </c>
      <c r="I14" s="67">
        <v>12</v>
      </c>
      <c r="J14" s="208">
        <v>2279990.86</v>
      </c>
      <c r="K14" s="67">
        <v>12</v>
      </c>
      <c r="L14" s="208">
        <v>2737528.77</v>
      </c>
      <c r="M14" s="67">
        <v>12</v>
      </c>
      <c r="N14" s="208">
        <v>2423459.5</v>
      </c>
      <c r="O14" s="67">
        <v>12</v>
      </c>
      <c r="P14" s="208">
        <v>2623630.0099999998</v>
      </c>
      <c r="Q14" s="67">
        <v>12</v>
      </c>
      <c r="R14" s="208">
        <v>3216360.66</v>
      </c>
      <c r="S14" s="67">
        <v>12</v>
      </c>
      <c r="T14" s="208">
        <v>2581763.9699999997</v>
      </c>
      <c r="U14" s="67">
        <v>12</v>
      </c>
      <c r="V14" s="208">
        <v>1965822.33</v>
      </c>
      <c r="W14" s="67">
        <v>12</v>
      </c>
      <c r="X14" s="208">
        <v>2117623.06</v>
      </c>
      <c r="Y14" s="67">
        <v>12</v>
      </c>
    </row>
    <row r="15" spans="1:25">
      <c r="A15" s="206" t="s">
        <v>353</v>
      </c>
      <c r="B15" s="206" t="s">
        <v>98</v>
      </c>
      <c r="C15" s="209" t="s">
        <v>212</v>
      </c>
      <c r="D15" s="208">
        <v>379139.95</v>
      </c>
      <c r="E15" s="67">
        <v>1</v>
      </c>
      <c r="F15" s="208">
        <v>312332.11</v>
      </c>
      <c r="G15" s="67">
        <v>1</v>
      </c>
      <c r="H15" s="208">
        <v>428181.18</v>
      </c>
      <c r="I15" s="67">
        <v>1</v>
      </c>
      <c r="J15" s="208">
        <v>386915.49</v>
      </c>
      <c r="K15" s="67">
        <v>1</v>
      </c>
      <c r="L15" s="208">
        <v>523075.66</v>
      </c>
      <c r="M15" s="67">
        <v>1</v>
      </c>
      <c r="N15" s="208">
        <v>457241.85</v>
      </c>
      <c r="O15" s="67">
        <v>1</v>
      </c>
      <c r="P15" s="208">
        <v>414636.71</v>
      </c>
      <c r="Q15" s="67">
        <v>1</v>
      </c>
      <c r="R15" s="208">
        <v>695686.28</v>
      </c>
      <c r="S15" s="67">
        <v>1</v>
      </c>
      <c r="T15" s="208">
        <v>715875.72</v>
      </c>
      <c r="U15" s="67">
        <v>1</v>
      </c>
      <c r="V15" s="208">
        <v>305317</v>
      </c>
      <c r="W15" s="67">
        <v>1</v>
      </c>
      <c r="X15" s="208">
        <v>431574.89</v>
      </c>
      <c r="Y15" s="67">
        <v>1</v>
      </c>
    </row>
    <row r="16" spans="1:25">
      <c r="A16" s="206" t="s">
        <v>353</v>
      </c>
      <c r="B16" s="206" t="s">
        <v>98</v>
      </c>
      <c r="C16" s="209" t="s">
        <v>154</v>
      </c>
      <c r="D16" s="208">
        <v>164808</v>
      </c>
      <c r="E16" s="67">
        <v>1</v>
      </c>
      <c r="F16" s="208">
        <v>164808</v>
      </c>
      <c r="G16" s="67">
        <v>1</v>
      </c>
      <c r="H16" s="208">
        <v>164808</v>
      </c>
      <c r="I16" s="67">
        <v>1</v>
      </c>
      <c r="J16" s="208">
        <v>178050</v>
      </c>
      <c r="K16" s="67">
        <v>1</v>
      </c>
      <c r="L16" s="208">
        <v>178050</v>
      </c>
      <c r="M16" s="67">
        <v>1</v>
      </c>
      <c r="N16" s="208">
        <v>191292</v>
      </c>
      <c r="O16" s="67">
        <v>1</v>
      </c>
      <c r="P16" s="208">
        <v>178050</v>
      </c>
      <c r="Q16" s="67">
        <v>1</v>
      </c>
      <c r="R16" s="208">
        <v>178050</v>
      </c>
      <c r="S16" s="67">
        <v>1</v>
      </c>
      <c r="T16" s="208">
        <v>178050</v>
      </c>
      <c r="U16" s="67">
        <v>1</v>
      </c>
      <c r="V16" s="208">
        <v>178050</v>
      </c>
      <c r="W16" s="67">
        <v>1</v>
      </c>
      <c r="X16" s="208">
        <v>178050</v>
      </c>
      <c r="Y16" s="67">
        <v>1</v>
      </c>
    </row>
    <row r="17" spans="1:27">
      <c r="A17" s="206" t="s">
        <v>353</v>
      </c>
      <c r="B17" s="206" t="s">
        <v>177</v>
      </c>
      <c r="C17" s="206" t="s">
        <v>194</v>
      </c>
      <c r="D17" s="208">
        <v>171771</v>
      </c>
      <c r="E17" s="67">
        <v>1</v>
      </c>
      <c r="F17" s="208">
        <v>171771</v>
      </c>
      <c r="G17" s="67">
        <v>1</v>
      </c>
      <c r="H17" s="208">
        <v>171771</v>
      </c>
      <c r="I17" s="67">
        <v>1</v>
      </c>
      <c r="J17" s="208">
        <v>185572</v>
      </c>
      <c r="K17" s="67">
        <v>1</v>
      </c>
      <c r="L17" s="208">
        <v>185572</v>
      </c>
      <c r="M17" s="67">
        <v>1</v>
      </c>
      <c r="N17" s="208">
        <v>199373</v>
      </c>
      <c r="O17" s="67">
        <v>1</v>
      </c>
      <c r="P17" s="208">
        <v>185572</v>
      </c>
      <c r="Q17" s="67">
        <v>1</v>
      </c>
      <c r="R17" s="208">
        <v>185572</v>
      </c>
      <c r="S17" s="67">
        <v>1</v>
      </c>
      <c r="T17" s="208">
        <v>185572</v>
      </c>
      <c r="U17" s="67">
        <v>1</v>
      </c>
      <c r="V17" s="208">
        <v>185572</v>
      </c>
      <c r="W17" s="67">
        <v>1</v>
      </c>
      <c r="X17" s="208">
        <v>185572</v>
      </c>
      <c r="Y17" s="67">
        <v>1</v>
      </c>
    </row>
    <row r="18" spans="1:27">
      <c r="A18" s="206" t="s">
        <v>353</v>
      </c>
      <c r="B18" s="206" t="s">
        <v>177</v>
      </c>
      <c r="C18" s="209" t="s">
        <v>169</v>
      </c>
      <c r="D18" s="208">
        <v>213554</v>
      </c>
      <c r="E18" s="67">
        <v>1</v>
      </c>
      <c r="F18" s="208">
        <v>192198.59</v>
      </c>
      <c r="G18" s="67">
        <v>1</v>
      </c>
      <c r="H18" s="208">
        <v>295376</v>
      </c>
      <c r="I18" s="67">
        <v>1</v>
      </c>
      <c r="J18" s="208">
        <v>260179</v>
      </c>
      <c r="K18" s="67">
        <v>1</v>
      </c>
      <c r="L18" s="208">
        <v>260179</v>
      </c>
      <c r="M18" s="67">
        <v>1</v>
      </c>
      <c r="N18" s="208">
        <v>279530</v>
      </c>
      <c r="O18" s="67">
        <v>1</v>
      </c>
      <c r="P18" s="208">
        <v>260179</v>
      </c>
      <c r="Q18" s="67">
        <v>1</v>
      </c>
      <c r="R18" s="208">
        <v>251506.37</v>
      </c>
      <c r="S18" s="67">
        <v>1</v>
      </c>
      <c r="T18" s="208">
        <v>260179</v>
      </c>
      <c r="U18" s="67">
        <v>1</v>
      </c>
      <c r="V18" s="208">
        <v>260179</v>
      </c>
      <c r="W18" s="67">
        <v>1</v>
      </c>
      <c r="X18" s="208">
        <v>260179</v>
      </c>
      <c r="Y18" s="67">
        <v>1</v>
      </c>
    </row>
    <row r="19" spans="1:27">
      <c r="A19" s="206" t="s">
        <v>353</v>
      </c>
      <c r="B19" s="206" t="s">
        <v>177</v>
      </c>
      <c r="C19" s="209" t="s">
        <v>176</v>
      </c>
      <c r="D19" s="208">
        <v>3344958.49</v>
      </c>
      <c r="E19" s="67">
        <v>3</v>
      </c>
      <c r="F19" s="208">
        <v>3744958.49</v>
      </c>
      <c r="G19" s="67">
        <v>4</v>
      </c>
      <c r="H19" s="208">
        <v>4244957</v>
      </c>
      <c r="I19" s="67">
        <v>5</v>
      </c>
      <c r="J19" s="208">
        <v>4245837.3900000006</v>
      </c>
      <c r="K19" s="67">
        <v>5</v>
      </c>
      <c r="L19" s="208">
        <v>4245947.25</v>
      </c>
      <c r="M19" s="67">
        <v>5</v>
      </c>
      <c r="N19" s="208">
        <v>4245947.25</v>
      </c>
      <c r="O19" s="67">
        <v>5</v>
      </c>
      <c r="P19" s="208">
        <v>4245947.25</v>
      </c>
      <c r="Q19" s="67">
        <v>5</v>
      </c>
      <c r="R19" s="208">
        <v>4245947.25</v>
      </c>
      <c r="S19" s="67">
        <v>5</v>
      </c>
      <c r="T19" s="208">
        <v>4245947.25</v>
      </c>
      <c r="U19" s="67">
        <v>5</v>
      </c>
      <c r="V19" s="208">
        <v>4245947.25</v>
      </c>
      <c r="W19" s="67">
        <v>5</v>
      </c>
      <c r="X19" s="208">
        <v>4245947.25</v>
      </c>
      <c r="Y19" s="67">
        <v>5</v>
      </c>
      <c r="AA19" s="93">
        <f>+X19/Y19</f>
        <v>849189.45</v>
      </c>
    </row>
    <row r="20" spans="1:27">
      <c r="A20" s="206" t="s">
        <v>353</v>
      </c>
      <c r="B20" s="206" t="s">
        <v>177</v>
      </c>
      <c r="C20" s="209" t="s">
        <v>212</v>
      </c>
      <c r="D20" s="208">
        <v>123025.5</v>
      </c>
      <c r="E20" s="67">
        <v>1</v>
      </c>
      <c r="F20" s="208">
        <v>123025.5</v>
      </c>
      <c r="G20" s="67">
        <v>1</v>
      </c>
      <c r="H20" s="208">
        <v>214423.05</v>
      </c>
      <c r="I20" s="67">
        <v>1</v>
      </c>
      <c r="J20" s="208">
        <v>305317</v>
      </c>
      <c r="K20" s="67">
        <v>1</v>
      </c>
      <c r="L20" s="208">
        <v>305317</v>
      </c>
      <c r="M20" s="67">
        <v>1</v>
      </c>
      <c r="N20" s="208">
        <v>328024</v>
      </c>
      <c r="O20" s="67">
        <v>1</v>
      </c>
      <c r="P20" s="208">
        <v>305317</v>
      </c>
      <c r="Q20" s="67">
        <v>1</v>
      </c>
      <c r="R20" s="208">
        <v>305317</v>
      </c>
      <c r="S20" s="67">
        <v>1</v>
      </c>
      <c r="T20" s="208">
        <v>305317</v>
      </c>
      <c r="U20" s="67">
        <v>1</v>
      </c>
      <c r="V20" s="208">
        <v>305317</v>
      </c>
      <c r="W20" s="67">
        <v>1</v>
      </c>
      <c r="X20" s="208">
        <v>305317</v>
      </c>
      <c r="Y20" s="67">
        <v>1</v>
      </c>
    </row>
    <row r="21" spans="1:27">
      <c r="A21" s="206" t="s">
        <v>353</v>
      </c>
      <c r="B21" s="206" t="s">
        <v>162</v>
      </c>
      <c r="C21" s="206" t="s">
        <v>92</v>
      </c>
      <c r="D21" s="208">
        <v>677359.26</v>
      </c>
      <c r="E21" s="67">
        <v>4</v>
      </c>
      <c r="F21" s="208">
        <v>659405.6100000001</v>
      </c>
      <c r="G21" s="67">
        <v>4</v>
      </c>
      <c r="H21" s="208">
        <v>657490.56000000006</v>
      </c>
      <c r="I21" s="67">
        <v>4</v>
      </c>
      <c r="J21" s="208">
        <v>946657.32000000007</v>
      </c>
      <c r="K21" s="67">
        <v>4</v>
      </c>
      <c r="L21" s="208">
        <v>740858.02</v>
      </c>
      <c r="M21" s="67">
        <v>4</v>
      </c>
      <c r="N21" s="208">
        <v>769769.72</v>
      </c>
      <c r="O21" s="67">
        <v>4</v>
      </c>
      <c r="P21" s="208">
        <v>746527.69000000006</v>
      </c>
      <c r="Q21" s="67">
        <v>4</v>
      </c>
      <c r="R21" s="208">
        <v>873647.80999999994</v>
      </c>
      <c r="S21" s="67">
        <v>4</v>
      </c>
      <c r="T21" s="208">
        <v>966451.44</v>
      </c>
      <c r="U21" s="67">
        <v>4</v>
      </c>
      <c r="V21" s="208">
        <v>689632</v>
      </c>
      <c r="W21" s="67">
        <v>4</v>
      </c>
      <c r="X21" s="208">
        <v>689632</v>
      </c>
      <c r="Y21" s="67">
        <v>4</v>
      </c>
    </row>
    <row r="22" spans="1:27">
      <c r="A22" s="206" t="s">
        <v>353</v>
      </c>
      <c r="B22" s="206" t="s">
        <v>162</v>
      </c>
      <c r="C22" s="209" t="s">
        <v>161</v>
      </c>
      <c r="D22" s="208">
        <v>355045.34</v>
      </c>
      <c r="E22" s="67">
        <v>2</v>
      </c>
      <c r="F22" s="208">
        <v>344704</v>
      </c>
      <c r="G22" s="67">
        <v>2</v>
      </c>
      <c r="H22" s="208">
        <v>357630.68</v>
      </c>
      <c r="I22" s="67">
        <v>2</v>
      </c>
      <c r="J22" s="208">
        <v>524406.38</v>
      </c>
      <c r="K22" s="67">
        <v>2</v>
      </c>
      <c r="L22" s="208">
        <v>408709.66000000003</v>
      </c>
      <c r="M22" s="67">
        <v>2</v>
      </c>
      <c r="N22" s="208">
        <v>405682.11</v>
      </c>
      <c r="O22" s="67">
        <v>2</v>
      </c>
      <c r="P22" s="208">
        <v>397537.45</v>
      </c>
      <c r="Q22" s="67">
        <v>2</v>
      </c>
      <c r="R22" s="208">
        <v>477998.78</v>
      </c>
      <c r="S22" s="67">
        <v>2</v>
      </c>
      <c r="T22" s="208">
        <v>537619.65</v>
      </c>
      <c r="U22" s="67">
        <v>2</v>
      </c>
      <c r="V22" s="208">
        <v>372400</v>
      </c>
      <c r="W22" s="67">
        <v>2</v>
      </c>
      <c r="X22" s="208">
        <v>372400</v>
      </c>
      <c r="Y22" s="67">
        <v>2</v>
      </c>
    </row>
    <row r="23" spans="1:27">
      <c r="A23" s="206" t="s">
        <v>353</v>
      </c>
      <c r="B23" s="206" t="s">
        <v>158</v>
      </c>
      <c r="C23" s="206" t="s">
        <v>157</v>
      </c>
      <c r="D23" s="208">
        <v>485206.93999999994</v>
      </c>
      <c r="E23" s="67">
        <v>2</v>
      </c>
      <c r="F23" s="208">
        <v>406378.23</v>
      </c>
      <c r="G23" s="67">
        <v>2</v>
      </c>
      <c r="H23" s="208">
        <v>467545.03</v>
      </c>
      <c r="I23" s="67">
        <v>2</v>
      </c>
      <c r="J23" s="208">
        <v>473958.30000000005</v>
      </c>
      <c r="K23" s="67">
        <v>2</v>
      </c>
      <c r="L23" s="208">
        <v>591476.25</v>
      </c>
      <c r="M23" s="67">
        <v>2</v>
      </c>
      <c r="N23" s="208">
        <v>505805.44</v>
      </c>
      <c r="O23" s="67">
        <v>2</v>
      </c>
      <c r="P23" s="208">
        <v>511916.71</v>
      </c>
      <c r="Q23" s="67">
        <v>2</v>
      </c>
      <c r="R23" s="208">
        <v>809659.15</v>
      </c>
      <c r="S23" s="67">
        <v>2</v>
      </c>
      <c r="T23" s="208">
        <v>761871.98</v>
      </c>
      <c r="U23" s="67">
        <v>2</v>
      </c>
      <c r="V23" s="208">
        <v>337101.79000000004</v>
      </c>
      <c r="W23" s="67">
        <v>2</v>
      </c>
      <c r="X23" s="208">
        <v>407401.29000000004</v>
      </c>
      <c r="Y23" s="67">
        <v>2</v>
      </c>
    </row>
    <row r="24" spans="1:27">
      <c r="A24" s="206" t="s">
        <v>353</v>
      </c>
      <c r="B24" s="206" t="s">
        <v>113</v>
      </c>
      <c r="C24" s="206" t="s">
        <v>194</v>
      </c>
      <c r="D24" s="208">
        <v>319170</v>
      </c>
      <c r="E24" s="67">
        <v>2</v>
      </c>
      <c r="F24" s="208">
        <v>319170</v>
      </c>
      <c r="G24" s="67">
        <v>2</v>
      </c>
      <c r="H24" s="208">
        <v>319170</v>
      </c>
      <c r="I24" s="67">
        <v>2</v>
      </c>
      <c r="J24" s="208">
        <v>344816</v>
      </c>
      <c r="K24" s="67">
        <v>2</v>
      </c>
      <c r="L24" s="208">
        <v>344816</v>
      </c>
      <c r="M24" s="67">
        <v>2</v>
      </c>
      <c r="N24" s="208">
        <v>370462</v>
      </c>
      <c r="O24" s="67">
        <v>2</v>
      </c>
      <c r="P24" s="208">
        <v>344816</v>
      </c>
      <c r="Q24" s="67">
        <v>2</v>
      </c>
      <c r="R24" s="208">
        <v>344816</v>
      </c>
      <c r="S24" s="67">
        <v>2</v>
      </c>
      <c r="T24" s="208">
        <v>344816</v>
      </c>
      <c r="U24" s="67">
        <v>2</v>
      </c>
      <c r="V24" s="208">
        <v>344816</v>
      </c>
      <c r="W24" s="67">
        <v>2</v>
      </c>
      <c r="X24" s="208">
        <v>344816</v>
      </c>
      <c r="Y24" s="67">
        <v>2</v>
      </c>
    </row>
    <row r="25" spans="1:27">
      <c r="A25" s="206" t="s">
        <v>353</v>
      </c>
      <c r="B25" s="206" t="s">
        <v>113</v>
      </c>
      <c r="C25" s="209" t="s">
        <v>169</v>
      </c>
      <c r="D25" s="208">
        <v>240828</v>
      </c>
      <c r="E25" s="67">
        <v>1</v>
      </c>
      <c r="F25" s="208">
        <v>240828</v>
      </c>
      <c r="G25" s="67">
        <v>1</v>
      </c>
      <c r="H25" s="208">
        <v>240828</v>
      </c>
      <c r="I25" s="67">
        <v>1</v>
      </c>
      <c r="J25" s="208">
        <v>260179</v>
      </c>
      <c r="K25" s="67">
        <v>1</v>
      </c>
      <c r="L25" s="208">
        <v>260179</v>
      </c>
      <c r="M25" s="67">
        <v>1</v>
      </c>
      <c r="N25" s="208">
        <v>279530</v>
      </c>
      <c r="O25" s="67">
        <v>1</v>
      </c>
      <c r="P25" s="208">
        <v>260179</v>
      </c>
      <c r="Q25" s="67">
        <v>1</v>
      </c>
      <c r="R25" s="208">
        <v>260179</v>
      </c>
      <c r="S25" s="67">
        <v>1</v>
      </c>
      <c r="T25" s="208">
        <v>260179</v>
      </c>
      <c r="U25" s="67">
        <v>1</v>
      </c>
      <c r="V25" s="208">
        <v>260179</v>
      </c>
      <c r="W25" s="67">
        <v>1</v>
      </c>
      <c r="X25" s="208">
        <v>260179</v>
      </c>
      <c r="Y25" s="67">
        <v>1</v>
      </c>
    </row>
    <row r="26" spans="1:27">
      <c r="A26" s="206" t="s">
        <v>353</v>
      </c>
      <c r="B26" s="206" t="s">
        <v>113</v>
      </c>
      <c r="C26" s="209" t="s">
        <v>92</v>
      </c>
      <c r="D26" s="208">
        <v>159585</v>
      </c>
      <c r="E26" s="67">
        <v>1</v>
      </c>
      <c r="F26" s="208">
        <v>159585</v>
      </c>
      <c r="G26" s="67">
        <v>1</v>
      </c>
      <c r="H26" s="208">
        <v>159585</v>
      </c>
      <c r="I26" s="67">
        <v>1</v>
      </c>
      <c r="J26" s="208">
        <v>172408</v>
      </c>
      <c r="K26" s="67">
        <v>1</v>
      </c>
      <c r="L26" s="208">
        <v>172408</v>
      </c>
      <c r="M26" s="67">
        <v>1</v>
      </c>
      <c r="N26" s="208">
        <v>185231</v>
      </c>
      <c r="O26" s="67">
        <v>1</v>
      </c>
      <c r="P26" s="208">
        <v>172408</v>
      </c>
      <c r="Q26" s="67">
        <v>1</v>
      </c>
      <c r="R26" s="208">
        <v>172408</v>
      </c>
      <c r="S26" s="67">
        <v>1</v>
      </c>
      <c r="T26" s="208">
        <v>166661.07</v>
      </c>
      <c r="U26" s="67">
        <v>1</v>
      </c>
      <c r="V26" s="208">
        <v>172408</v>
      </c>
      <c r="W26" s="67">
        <v>1</v>
      </c>
      <c r="X26" s="208">
        <v>172408</v>
      </c>
      <c r="Y26" s="67">
        <v>1</v>
      </c>
    </row>
    <row r="27" spans="1:27">
      <c r="A27" s="206" t="s">
        <v>353</v>
      </c>
      <c r="B27" s="206" t="s">
        <v>120</v>
      </c>
      <c r="C27" s="206" t="s">
        <v>218</v>
      </c>
      <c r="D27" s="208">
        <v>155523</v>
      </c>
      <c r="E27" s="67">
        <v>1</v>
      </c>
      <c r="F27" s="208">
        <v>155523</v>
      </c>
      <c r="G27" s="67">
        <v>1</v>
      </c>
      <c r="H27" s="208">
        <v>155523</v>
      </c>
      <c r="I27" s="67">
        <v>1</v>
      </c>
      <c r="J27" s="208">
        <v>168019</v>
      </c>
      <c r="K27" s="67">
        <v>1</v>
      </c>
      <c r="L27" s="208">
        <v>168019</v>
      </c>
      <c r="M27" s="67">
        <v>1</v>
      </c>
      <c r="N27" s="208">
        <v>180515</v>
      </c>
      <c r="O27" s="67">
        <v>1</v>
      </c>
      <c r="P27" s="208">
        <v>168019</v>
      </c>
      <c r="Q27" s="67">
        <v>1</v>
      </c>
      <c r="R27" s="208">
        <v>191477.51</v>
      </c>
      <c r="S27" s="67">
        <v>1</v>
      </c>
      <c r="T27" s="208">
        <v>168019</v>
      </c>
      <c r="U27" s="67">
        <v>1</v>
      </c>
      <c r="V27" s="208">
        <v>168019</v>
      </c>
      <c r="W27" s="67">
        <v>1</v>
      </c>
      <c r="X27" s="208">
        <v>168019</v>
      </c>
      <c r="Y27" s="67">
        <v>1</v>
      </c>
    </row>
    <row r="28" spans="1:27">
      <c r="A28" s="206" t="s">
        <v>353</v>
      </c>
      <c r="B28" s="206" t="s">
        <v>120</v>
      </c>
      <c r="C28" s="209" t="s">
        <v>92</v>
      </c>
      <c r="D28" s="208">
        <v>155523</v>
      </c>
      <c r="E28" s="67">
        <v>1</v>
      </c>
      <c r="F28" s="208">
        <v>155523</v>
      </c>
      <c r="G28" s="67">
        <v>1</v>
      </c>
      <c r="H28" s="208">
        <v>155523</v>
      </c>
      <c r="I28" s="67">
        <v>1</v>
      </c>
      <c r="J28" s="208">
        <v>168019</v>
      </c>
      <c r="K28" s="67">
        <v>1</v>
      </c>
      <c r="L28" s="208">
        <v>168019</v>
      </c>
      <c r="M28" s="67">
        <v>1</v>
      </c>
      <c r="N28" s="208">
        <v>180515</v>
      </c>
      <c r="O28" s="67">
        <v>1</v>
      </c>
      <c r="P28" s="208">
        <v>168019</v>
      </c>
      <c r="Q28" s="67">
        <v>1</v>
      </c>
      <c r="R28" s="208">
        <v>168019</v>
      </c>
      <c r="S28" s="67">
        <v>1</v>
      </c>
      <c r="T28" s="208">
        <v>168019</v>
      </c>
      <c r="U28" s="67">
        <v>1</v>
      </c>
      <c r="V28" s="208">
        <v>168019</v>
      </c>
      <c r="W28" s="67">
        <v>1</v>
      </c>
      <c r="X28" s="208">
        <v>168019</v>
      </c>
      <c r="Y28" s="67">
        <v>1</v>
      </c>
    </row>
  </sheetData>
  <autoFilter ref="A3:Y28" xr:uid="{00000000-0009-0000-0000-00000F000000}"/>
  <mergeCells count="11">
    <mergeCell ref="N2:O2"/>
    <mergeCell ref="D2:E2"/>
    <mergeCell ref="F2:G2"/>
    <mergeCell ref="H2:I2"/>
    <mergeCell ref="J2:K2"/>
    <mergeCell ref="L2:M2"/>
    <mergeCell ref="P2:Q2"/>
    <mergeCell ref="R2:S2"/>
    <mergeCell ref="T2:U2"/>
    <mergeCell ref="V2:W2"/>
    <mergeCell ref="X2:Y2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4"/>
  <dimension ref="B1:Q17"/>
  <sheetViews>
    <sheetView topLeftCell="B1" zoomScale="96" workbookViewId="0">
      <selection activeCell="B17" sqref="B17"/>
    </sheetView>
  </sheetViews>
  <sheetFormatPr baseColWidth="10" defaultRowHeight="16.5"/>
  <cols>
    <col min="1" max="1" width="5.140625" style="198" customWidth="1"/>
    <col min="2" max="3" width="33.140625" style="198" customWidth="1"/>
    <col min="4" max="4" width="15.7109375" style="198" bestFit="1" customWidth="1"/>
    <col min="5" max="5" width="12.42578125" style="198" bestFit="1" customWidth="1"/>
    <col min="6" max="6" width="13.28515625" style="198" bestFit="1" customWidth="1"/>
    <col min="7" max="15" width="12.28515625" style="198" bestFit="1" customWidth="1"/>
    <col min="16" max="16" width="13.7109375" style="198" bestFit="1" customWidth="1"/>
    <col min="17" max="16384" width="11.42578125" style="198"/>
  </cols>
  <sheetData>
    <row r="1" spans="2:17" ht="17.25" thickBot="1"/>
    <row r="2" spans="2:17" s="115" customFormat="1">
      <c r="B2" s="543" t="s">
        <v>922</v>
      </c>
      <c r="C2" s="849"/>
      <c r="D2" s="543" t="str">
        <f>+Prestation!D18</f>
        <v>Mois 1</v>
      </c>
      <c r="E2" s="545" t="str">
        <f>+Prestation!E18</f>
        <v>Mois 2</v>
      </c>
      <c r="F2" s="545" t="str">
        <f>+Prestation!F18</f>
        <v>Mois 3</v>
      </c>
      <c r="G2" s="545" t="str">
        <f>+Prestation!G18</f>
        <v>Mois 4</v>
      </c>
      <c r="H2" s="545" t="str">
        <f>+Prestation!H18</f>
        <v>Mois 5</v>
      </c>
      <c r="I2" s="545" t="str">
        <f>+Prestation!I18</f>
        <v>Mois 6</v>
      </c>
      <c r="J2" s="545" t="str">
        <f>+Prestation!J18</f>
        <v>Mois 7</v>
      </c>
      <c r="K2" s="545" t="str">
        <f>+Prestation!K18</f>
        <v>Mois 8</v>
      </c>
      <c r="L2" s="545" t="str">
        <f>+Prestation!L18</f>
        <v>Mois 9</v>
      </c>
      <c r="M2" s="545" t="str">
        <f>+Prestation!M18</f>
        <v>Mois 10</v>
      </c>
      <c r="N2" s="545" t="str">
        <f>+Prestation!N18</f>
        <v>Mois 11</v>
      </c>
      <c r="O2" s="545" t="str">
        <f>+Prestation!O18</f>
        <v>Mois 12</v>
      </c>
      <c r="P2" s="545" t="str">
        <f>+Prestation!P18</f>
        <v>Total</v>
      </c>
    </row>
    <row r="3" spans="2:17" s="115" customFormat="1">
      <c r="B3" s="116" t="s">
        <v>600</v>
      </c>
      <c r="C3" s="116"/>
      <c r="D3" s="139">
        <f>+(Commandes!C14+Commandes!C21+Commandes!C25)*' OKB TRA ABR'!$B$22</f>
        <v>2750000</v>
      </c>
      <c r="E3" s="139">
        <f>+(Commandes!D14+Commandes!D21+Commandes!D25)*' OKB TRA ABR'!$B$22</f>
        <v>2750000</v>
      </c>
      <c r="F3" s="139">
        <f>+(Commandes!E14+Commandes!E21+Commandes!E25)*' OKB TRA ABR'!$B$22</f>
        <v>2750000</v>
      </c>
      <c r="G3" s="139">
        <f>+(Commandes!F14+Commandes!F21+Commandes!F25)*' OKB TRA ABR'!$B$22</f>
        <v>2750000</v>
      </c>
      <c r="H3" s="139">
        <f>+(Commandes!G14+Commandes!G21+Commandes!G25)*' OKB TRA ABR'!$B$22</f>
        <v>2750000</v>
      </c>
      <c r="I3" s="139">
        <f>+(Commandes!H14+Commandes!H21+Commandes!H25)*' OKB TRA ABR'!$B$22</f>
        <v>2750000</v>
      </c>
      <c r="J3" s="139">
        <f>+(Commandes!I14+Commandes!I21+Commandes!I25)*' OKB TRA ABR'!$B$22</f>
        <v>2750000</v>
      </c>
      <c r="K3" s="139">
        <f>+(Commandes!J14+Commandes!J21+Commandes!J25)*' OKB TRA ABR'!$B$22</f>
        <v>2750000</v>
      </c>
      <c r="L3" s="139">
        <f>+(Commandes!K14+Commandes!K21+Commandes!K25)*' OKB TRA ABR'!$B$22</f>
        <v>2750000</v>
      </c>
      <c r="M3" s="139">
        <f>+(Commandes!L14+Commandes!L21+Commandes!L25)*' OKB TRA ABR'!$B$22</f>
        <v>2750000</v>
      </c>
      <c r="N3" s="139">
        <f>+(Commandes!M14+Commandes!M21+Commandes!M25)*' OKB TRA ABR'!$B$22</f>
        <v>2750000</v>
      </c>
      <c r="O3" s="139">
        <f>+(Commandes!N14+Commandes!N21+Commandes!N25)*' OKB TRA ABR'!$B$22</f>
        <v>2750000</v>
      </c>
      <c r="P3" s="117">
        <f>SUM(D3:O3)</f>
        <v>33000000</v>
      </c>
      <c r="Q3" s="115" t="s">
        <v>1299</v>
      </c>
    </row>
    <row r="4" spans="2:17" s="115" customFormat="1" hidden="1">
      <c r="B4" s="116" t="s">
        <v>555</v>
      </c>
      <c r="C4" s="116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17">
        <f t="shared" ref="P4:P11" si="0">SUM(D4:O4)</f>
        <v>0</v>
      </c>
    </row>
    <row r="5" spans="2:17" s="115" customFormat="1">
      <c r="B5" s="116" t="s">
        <v>549</v>
      </c>
      <c r="C5" s="116"/>
      <c r="D5" s="139">
        <f>+CA!C50</f>
        <v>60834550</v>
      </c>
      <c r="E5" s="139">
        <f>+CA!D50</f>
        <v>61023200</v>
      </c>
      <c r="F5" s="139">
        <f>+CA!E50</f>
        <v>60834550</v>
      </c>
      <c r="G5" s="139">
        <f>+CA!F50</f>
        <v>61023200</v>
      </c>
      <c r="H5" s="139">
        <f>+CA!G50</f>
        <v>60834550</v>
      </c>
      <c r="I5" s="139">
        <f>+CA!H50</f>
        <v>61023200</v>
      </c>
      <c r="J5" s="139">
        <f>+CA!I50</f>
        <v>60834550</v>
      </c>
      <c r="K5" s="139">
        <f>+CA!J50</f>
        <v>61023200</v>
      </c>
      <c r="L5" s="139">
        <f>+CA!K50</f>
        <v>60834550</v>
      </c>
      <c r="M5" s="139">
        <f>+CA!L50</f>
        <v>61023200</v>
      </c>
      <c r="N5" s="139">
        <f>+CA!M50</f>
        <v>60834550</v>
      </c>
      <c r="O5" s="139">
        <f>+CA!N50</f>
        <v>61023200</v>
      </c>
      <c r="P5" s="117">
        <f t="shared" si="0"/>
        <v>731146500</v>
      </c>
      <c r="Q5" s="115" t="s">
        <v>1299</v>
      </c>
    </row>
    <row r="6" spans="2:17" s="115" customFormat="1">
      <c r="B6" s="116" t="s">
        <v>550</v>
      </c>
      <c r="C6" s="116"/>
      <c r="D6" s="139">
        <v>5000</v>
      </c>
      <c r="E6" s="139">
        <v>5000</v>
      </c>
      <c r="F6" s="139">
        <v>5000</v>
      </c>
      <c r="G6" s="139">
        <v>5000</v>
      </c>
      <c r="H6" s="139">
        <v>5000</v>
      </c>
      <c r="I6" s="139">
        <v>5000</v>
      </c>
      <c r="J6" s="139">
        <v>5000</v>
      </c>
      <c r="K6" s="139">
        <v>5000</v>
      </c>
      <c r="L6" s="139">
        <v>5000</v>
      </c>
      <c r="M6" s="139">
        <v>5000</v>
      </c>
      <c r="N6" s="139">
        <v>5000</v>
      </c>
      <c r="O6" s="139">
        <v>5000</v>
      </c>
      <c r="P6" s="117">
        <f t="shared" si="0"/>
        <v>60000</v>
      </c>
      <c r="Q6" s="115" t="s">
        <v>1298</v>
      </c>
    </row>
    <row r="7" spans="2:17" s="115" customFormat="1">
      <c r="B7" s="116" t="s">
        <v>551</v>
      </c>
      <c r="C7" s="116"/>
      <c r="D7" s="139">
        <v>20000</v>
      </c>
      <c r="E7" s="139">
        <v>20000</v>
      </c>
      <c r="F7" s="139">
        <v>20000</v>
      </c>
      <c r="G7" s="139">
        <v>20000</v>
      </c>
      <c r="H7" s="139">
        <v>20000</v>
      </c>
      <c r="I7" s="139">
        <v>20000</v>
      </c>
      <c r="J7" s="139">
        <v>20000</v>
      </c>
      <c r="K7" s="139">
        <v>20000</v>
      </c>
      <c r="L7" s="139">
        <v>20000</v>
      </c>
      <c r="M7" s="139">
        <v>20000</v>
      </c>
      <c r="N7" s="139">
        <v>20000</v>
      </c>
      <c r="O7" s="139">
        <v>20000</v>
      </c>
      <c r="P7" s="117">
        <f t="shared" si="0"/>
        <v>240000</v>
      </c>
      <c r="Q7" s="115" t="s">
        <v>1298</v>
      </c>
    </row>
    <row r="8" spans="2:17" s="115" customFormat="1">
      <c r="B8" s="116" t="s">
        <v>552</v>
      </c>
      <c r="C8" s="116"/>
      <c r="D8" s="139">
        <v>75000</v>
      </c>
      <c r="E8" s="139">
        <v>75000</v>
      </c>
      <c r="F8" s="139">
        <v>75000</v>
      </c>
      <c r="G8" s="139">
        <v>75000</v>
      </c>
      <c r="H8" s="139">
        <v>75000</v>
      </c>
      <c r="I8" s="139">
        <v>75000</v>
      </c>
      <c r="J8" s="139">
        <v>75000</v>
      </c>
      <c r="K8" s="139">
        <v>75000</v>
      </c>
      <c r="L8" s="139">
        <v>75000</v>
      </c>
      <c r="M8" s="139">
        <v>75000</v>
      </c>
      <c r="N8" s="139">
        <v>75000</v>
      </c>
      <c r="O8" s="139">
        <v>75000</v>
      </c>
      <c r="P8" s="117">
        <f t="shared" si="0"/>
        <v>900000</v>
      </c>
      <c r="Q8" s="115" t="s">
        <v>1298</v>
      </c>
    </row>
    <row r="9" spans="2:17" s="115" customFormat="1">
      <c r="B9" s="116" t="s">
        <v>599</v>
      </c>
      <c r="C9" s="116"/>
      <c r="D9" s="139"/>
      <c r="E9" s="139"/>
      <c r="F9" s="139">
        <v>25000000</v>
      </c>
      <c r="G9" s="139"/>
      <c r="H9" s="139"/>
      <c r="I9" s="139"/>
      <c r="J9" s="139"/>
      <c r="K9" s="139"/>
      <c r="L9" s="139"/>
      <c r="M9" s="139"/>
      <c r="N9" s="139"/>
      <c r="O9" s="139"/>
      <c r="P9" s="117">
        <f t="shared" si="0"/>
        <v>25000000</v>
      </c>
      <c r="Q9" s="115" t="s">
        <v>1298</v>
      </c>
    </row>
    <row r="10" spans="2:17" s="115" customFormat="1">
      <c r="B10" s="116" t="s">
        <v>553</v>
      </c>
      <c r="C10" s="116"/>
      <c r="D10" s="139"/>
      <c r="E10" s="139"/>
      <c r="F10" s="139"/>
      <c r="G10" s="139"/>
      <c r="H10" s="139"/>
      <c r="I10" s="139">
        <v>1600000</v>
      </c>
      <c r="J10" s="139"/>
      <c r="K10" s="139"/>
      <c r="L10" s="139"/>
      <c r="M10" s="139"/>
      <c r="N10" s="139"/>
      <c r="O10" s="139"/>
      <c r="P10" s="117">
        <f t="shared" si="0"/>
        <v>1600000</v>
      </c>
      <c r="Q10" s="115" t="s">
        <v>1298</v>
      </c>
    </row>
    <row r="11" spans="2:17" s="115" customFormat="1" hidden="1">
      <c r="B11" s="116" t="s">
        <v>554</v>
      </c>
      <c r="C11" s="116"/>
      <c r="D11" s="139">
        <f>+Achat!D37+Prestation!D81</f>
        <v>0</v>
      </c>
      <c r="E11" s="139">
        <f>+Achat!E37+Prestation!E81</f>
        <v>0</v>
      </c>
      <c r="F11" s="139">
        <f>+Achat!F37+Prestation!F81</f>
        <v>0</v>
      </c>
      <c r="G11" s="139">
        <f>+Achat!G37+Prestation!G81</f>
        <v>0</v>
      </c>
      <c r="H11" s="139">
        <f>+Achat!H37+Prestation!H81</f>
        <v>0</v>
      </c>
      <c r="I11" s="139">
        <f>+Achat!I37+Prestation!I81</f>
        <v>0</v>
      </c>
      <c r="J11" s="139">
        <f>+Achat!J37+Prestation!J81</f>
        <v>0</v>
      </c>
      <c r="K11" s="139">
        <f>+Achat!K37+Prestation!K81</f>
        <v>0</v>
      </c>
      <c r="L11" s="139">
        <f>+Achat!L37+Prestation!L81</f>
        <v>0</v>
      </c>
      <c r="M11" s="139">
        <f>+Achat!M37+Prestation!M81</f>
        <v>0</v>
      </c>
      <c r="N11" s="139">
        <f>+Achat!N37+Prestation!N81</f>
        <v>0</v>
      </c>
      <c r="O11" s="139">
        <f>+Achat!O37+Prestation!O81</f>
        <v>0</v>
      </c>
      <c r="P11" s="117">
        <f t="shared" si="0"/>
        <v>0</v>
      </c>
    </row>
    <row r="12" spans="2:17" s="115" customFormat="1" ht="17.25" thickBot="1">
      <c r="B12" s="552" t="s">
        <v>362</v>
      </c>
      <c r="C12" s="552"/>
      <c r="D12" s="546">
        <f>SUM(D3:D10)</f>
        <v>63684550</v>
      </c>
      <c r="E12" s="546">
        <f t="shared" ref="E12:P12" si="1">SUM(E3:E10)</f>
        <v>63873200</v>
      </c>
      <c r="F12" s="546">
        <f t="shared" si="1"/>
        <v>88684550</v>
      </c>
      <c r="G12" s="546">
        <f t="shared" si="1"/>
        <v>63873200</v>
      </c>
      <c r="H12" s="546">
        <f t="shared" si="1"/>
        <v>63684550</v>
      </c>
      <c r="I12" s="546">
        <f t="shared" si="1"/>
        <v>65473200</v>
      </c>
      <c r="J12" s="546">
        <f t="shared" si="1"/>
        <v>63684550</v>
      </c>
      <c r="K12" s="546">
        <f t="shared" si="1"/>
        <v>63873200</v>
      </c>
      <c r="L12" s="546">
        <f t="shared" si="1"/>
        <v>63684550</v>
      </c>
      <c r="M12" s="546">
        <f t="shared" si="1"/>
        <v>63873200</v>
      </c>
      <c r="N12" s="546">
        <f t="shared" si="1"/>
        <v>63684550</v>
      </c>
      <c r="O12" s="546">
        <f t="shared" si="1"/>
        <v>63873200</v>
      </c>
      <c r="P12" s="546">
        <f t="shared" si="1"/>
        <v>791946500</v>
      </c>
    </row>
    <row r="13" spans="2:17" ht="17.25" thickBot="1"/>
    <row r="14" spans="2:17" s="115" customFormat="1">
      <c r="B14" s="543"/>
      <c r="C14" s="849"/>
      <c r="D14" s="543" t="str">
        <f>+D2</f>
        <v>Mois 1</v>
      </c>
      <c r="E14" s="545" t="str">
        <f t="shared" ref="E14:P14" si="2">+E2</f>
        <v>Mois 2</v>
      </c>
      <c r="F14" s="545" t="str">
        <f t="shared" si="2"/>
        <v>Mois 3</v>
      </c>
      <c r="G14" s="545" t="str">
        <f t="shared" si="2"/>
        <v>Mois 4</v>
      </c>
      <c r="H14" s="545" t="str">
        <f t="shared" si="2"/>
        <v>Mois 5</v>
      </c>
      <c r="I14" s="545" t="str">
        <f t="shared" si="2"/>
        <v>Mois 6</v>
      </c>
      <c r="J14" s="545" t="str">
        <f t="shared" si="2"/>
        <v>Mois 7</v>
      </c>
      <c r="K14" s="545" t="str">
        <f t="shared" si="2"/>
        <v>Mois 8</v>
      </c>
      <c r="L14" s="545" t="str">
        <f t="shared" si="2"/>
        <v>Mois 9</v>
      </c>
      <c r="M14" s="545" t="str">
        <f t="shared" si="2"/>
        <v>Mois 10</v>
      </c>
      <c r="N14" s="545" t="str">
        <f t="shared" si="2"/>
        <v>Mois 11</v>
      </c>
      <c r="O14" s="545" t="str">
        <f t="shared" si="2"/>
        <v>Mois 12</v>
      </c>
      <c r="P14" s="545" t="str">
        <f t="shared" si="2"/>
        <v>Total</v>
      </c>
    </row>
    <row r="15" spans="2:17">
      <c r="B15" s="406" t="s">
        <v>1303</v>
      </c>
      <c r="C15" s="406"/>
      <c r="D15" s="139">
        <f>SUMIF($Q$3:$Q$10,"F",D3:D10)</f>
        <v>100000</v>
      </c>
      <c r="E15" s="139">
        <f t="shared" ref="E15:O15" si="3">SUMIF($Q$3:$Q$10,"F",E3:E10)</f>
        <v>100000</v>
      </c>
      <c r="F15" s="139">
        <f t="shared" si="3"/>
        <v>25100000</v>
      </c>
      <c r="G15" s="139">
        <f t="shared" si="3"/>
        <v>100000</v>
      </c>
      <c r="H15" s="139">
        <f t="shared" si="3"/>
        <v>100000</v>
      </c>
      <c r="I15" s="139">
        <f t="shared" si="3"/>
        <v>1700000</v>
      </c>
      <c r="J15" s="139">
        <f t="shared" si="3"/>
        <v>100000</v>
      </c>
      <c r="K15" s="139">
        <f t="shared" si="3"/>
        <v>100000</v>
      </c>
      <c r="L15" s="139">
        <f t="shared" si="3"/>
        <v>100000</v>
      </c>
      <c r="M15" s="139">
        <f t="shared" si="3"/>
        <v>100000</v>
      </c>
      <c r="N15" s="139">
        <f t="shared" si="3"/>
        <v>100000</v>
      </c>
      <c r="O15" s="139">
        <f t="shared" si="3"/>
        <v>100000</v>
      </c>
      <c r="P15" s="117">
        <f>SUM(D15:O15)</f>
        <v>27800000</v>
      </c>
    </row>
    <row r="16" spans="2:17">
      <c r="B16" s="406" t="s">
        <v>1324</v>
      </c>
      <c r="C16" s="406"/>
      <c r="D16" s="139">
        <f>SUMIF($Q$3:$Q$10,"V",D3:D10)</f>
        <v>63584550</v>
      </c>
      <c r="E16" s="139">
        <f t="shared" ref="E16:O16" si="4">SUMIF($Q$3:$Q$10,"V",E3:E10)</f>
        <v>63773200</v>
      </c>
      <c r="F16" s="139">
        <f t="shared" si="4"/>
        <v>63584550</v>
      </c>
      <c r="G16" s="139">
        <f t="shared" si="4"/>
        <v>63773200</v>
      </c>
      <c r="H16" s="139">
        <f t="shared" si="4"/>
        <v>63584550</v>
      </c>
      <c r="I16" s="139">
        <f t="shared" si="4"/>
        <v>63773200</v>
      </c>
      <c r="J16" s="139">
        <f t="shared" si="4"/>
        <v>63584550</v>
      </c>
      <c r="K16" s="139">
        <f t="shared" si="4"/>
        <v>63773200</v>
      </c>
      <c r="L16" s="139">
        <f t="shared" si="4"/>
        <v>63584550</v>
      </c>
      <c r="M16" s="139">
        <f t="shared" si="4"/>
        <v>63773200</v>
      </c>
      <c r="N16" s="139">
        <f t="shared" si="4"/>
        <v>63584550</v>
      </c>
      <c r="O16" s="139">
        <f t="shared" si="4"/>
        <v>63773200</v>
      </c>
      <c r="P16" s="117">
        <f t="shared" ref="P16" si="5">SUM(D16:O16)</f>
        <v>764146500</v>
      </c>
    </row>
    <row r="17" spans="2:16" s="115" customFormat="1" ht="17.25" thickBot="1">
      <c r="B17" s="552" t="s">
        <v>362</v>
      </c>
      <c r="C17" s="552"/>
      <c r="D17" s="546">
        <f>SUM(D15:D16)</f>
        <v>63684550</v>
      </c>
      <c r="E17" s="546">
        <f t="shared" ref="E17:O17" si="6">SUM(E15:E16)</f>
        <v>63873200</v>
      </c>
      <c r="F17" s="546">
        <f t="shared" si="6"/>
        <v>88684550</v>
      </c>
      <c r="G17" s="546">
        <f t="shared" si="6"/>
        <v>63873200</v>
      </c>
      <c r="H17" s="546">
        <f t="shared" si="6"/>
        <v>63684550</v>
      </c>
      <c r="I17" s="546">
        <f t="shared" si="6"/>
        <v>65473200</v>
      </c>
      <c r="J17" s="546">
        <f t="shared" si="6"/>
        <v>63684550</v>
      </c>
      <c r="K17" s="546">
        <f t="shared" si="6"/>
        <v>63873200</v>
      </c>
      <c r="L17" s="546">
        <f t="shared" si="6"/>
        <v>63684550</v>
      </c>
      <c r="M17" s="546">
        <f t="shared" si="6"/>
        <v>63873200</v>
      </c>
      <c r="N17" s="546">
        <f t="shared" si="6"/>
        <v>63684550</v>
      </c>
      <c r="O17" s="546">
        <f t="shared" si="6"/>
        <v>63873200</v>
      </c>
      <c r="P17" s="546">
        <f>SUM(D17:O17)</f>
        <v>791946500</v>
      </c>
    </row>
  </sheetData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6"/>
  <dimension ref="B1:P5"/>
  <sheetViews>
    <sheetView topLeftCell="B1" workbookViewId="0">
      <selection activeCell="O5" sqref="O5"/>
    </sheetView>
  </sheetViews>
  <sheetFormatPr baseColWidth="10" defaultRowHeight="16.5"/>
  <cols>
    <col min="1" max="1" width="11.42578125" style="198"/>
    <col min="2" max="2" width="34.7109375" style="198" bestFit="1" customWidth="1"/>
    <col min="3" max="14" width="11.42578125" style="198"/>
    <col min="15" max="15" width="12.7109375" style="198" bestFit="1" customWidth="1"/>
    <col min="16" max="16384" width="11.42578125" style="198"/>
  </cols>
  <sheetData>
    <row r="1" spans="2:16" ht="17.25" thickBot="1"/>
    <row r="2" spans="2:16" s="115" customFormat="1">
      <c r="B2" s="543" t="str">
        <f>+'I&amp;T'!B2</f>
        <v>Rubriques</v>
      </c>
      <c r="C2" s="543" t="str">
        <f>+Prestation!D18</f>
        <v>Mois 1</v>
      </c>
      <c r="D2" s="545" t="str">
        <f>+Prestation!E18</f>
        <v>Mois 2</v>
      </c>
      <c r="E2" s="545" t="str">
        <f>+Prestation!F18</f>
        <v>Mois 3</v>
      </c>
      <c r="F2" s="545" t="str">
        <f>+Prestation!G18</f>
        <v>Mois 4</v>
      </c>
      <c r="G2" s="545" t="str">
        <f>+Prestation!H18</f>
        <v>Mois 5</v>
      </c>
      <c r="H2" s="545" t="str">
        <f>+Prestation!I18</f>
        <v>Mois 6</v>
      </c>
      <c r="I2" s="545" t="str">
        <f>+Prestation!J18</f>
        <v>Mois 7</v>
      </c>
      <c r="J2" s="545" t="str">
        <f>+Prestation!K18</f>
        <v>Mois 8</v>
      </c>
      <c r="K2" s="545" t="str">
        <f>+Prestation!L18</f>
        <v>Mois 9</v>
      </c>
      <c r="L2" s="545" t="str">
        <f>+Prestation!M18</f>
        <v>Mois 10</v>
      </c>
      <c r="M2" s="545" t="str">
        <f>+Prestation!N18</f>
        <v>Mois 11</v>
      </c>
      <c r="N2" s="545" t="str">
        <f>+Prestation!O18</f>
        <v>Mois 12</v>
      </c>
      <c r="O2" s="545" t="str">
        <f>+Prestation!P18</f>
        <v>Total</v>
      </c>
    </row>
    <row r="3" spans="2:16" s="115" customFormat="1">
      <c r="B3" s="115" t="s">
        <v>557</v>
      </c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>
        <v>5400000</v>
      </c>
      <c r="O3" s="117">
        <f>SUM(C3:N3)</f>
        <v>5400000</v>
      </c>
      <c r="P3" s="115" t="s">
        <v>1298</v>
      </c>
    </row>
    <row r="4" spans="2:16" s="115" customFormat="1">
      <c r="B4" s="115" t="s">
        <v>558</v>
      </c>
      <c r="C4" s="139"/>
      <c r="D4" s="139"/>
      <c r="E4" s="139">
        <v>100000</v>
      </c>
      <c r="F4" s="139"/>
      <c r="G4" s="139"/>
      <c r="H4" s="139">
        <v>100000</v>
      </c>
      <c r="I4" s="139"/>
      <c r="J4" s="139"/>
      <c r="K4" s="139">
        <v>100000</v>
      </c>
      <c r="L4" s="139"/>
      <c r="M4" s="139"/>
      <c r="N4" s="139">
        <v>100000</v>
      </c>
      <c r="O4" s="117">
        <f t="shared" ref="O4" si="0">SUM(C4:N4)</f>
        <v>400000</v>
      </c>
      <c r="P4" s="115" t="s">
        <v>1298</v>
      </c>
    </row>
    <row r="5" spans="2:16" s="115" customFormat="1" ht="17.25" thickBot="1">
      <c r="B5" s="552" t="s">
        <v>362</v>
      </c>
      <c r="C5" s="546">
        <f t="shared" ref="C5:O5" si="1">SUM(C3:C4)</f>
        <v>0</v>
      </c>
      <c r="D5" s="546">
        <f t="shared" si="1"/>
        <v>0</v>
      </c>
      <c r="E5" s="546">
        <f t="shared" si="1"/>
        <v>100000</v>
      </c>
      <c r="F5" s="546">
        <f t="shared" si="1"/>
        <v>0</v>
      </c>
      <c r="G5" s="546">
        <f t="shared" si="1"/>
        <v>0</v>
      </c>
      <c r="H5" s="546">
        <f t="shared" si="1"/>
        <v>100000</v>
      </c>
      <c r="I5" s="546">
        <f t="shared" si="1"/>
        <v>0</v>
      </c>
      <c r="J5" s="546">
        <f t="shared" si="1"/>
        <v>0</v>
      </c>
      <c r="K5" s="546">
        <f t="shared" si="1"/>
        <v>100000</v>
      </c>
      <c r="L5" s="546">
        <f t="shared" si="1"/>
        <v>0</v>
      </c>
      <c r="M5" s="546">
        <f t="shared" si="1"/>
        <v>0</v>
      </c>
      <c r="N5" s="546">
        <f t="shared" si="1"/>
        <v>5500000</v>
      </c>
      <c r="O5" s="546">
        <f t="shared" si="1"/>
        <v>5800000</v>
      </c>
    </row>
  </sheetData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18"/>
  <dimension ref="B1:P17"/>
  <sheetViews>
    <sheetView workbookViewId="0">
      <selection activeCell="B10" sqref="B10"/>
    </sheetView>
  </sheetViews>
  <sheetFormatPr baseColWidth="10" defaultRowHeight="15"/>
  <cols>
    <col min="1" max="1" width="11.42578125" style="59"/>
    <col min="2" max="2" width="43.42578125" style="59" customWidth="1"/>
    <col min="3" max="3" width="12.42578125" style="59" bestFit="1" customWidth="1"/>
    <col min="4" max="7" width="12.28515625" style="59" bestFit="1" customWidth="1"/>
    <col min="8" max="8" width="13.42578125" style="59" bestFit="1" customWidth="1"/>
    <col min="9" max="14" width="12.28515625" style="59" bestFit="1" customWidth="1"/>
    <col min="15" max="15" width="13.7109375" style="59" bestFit="1" customWidth="1"/>
    <col min="16" max="16384" width="11.42578125" style="59"/>
  </cols>
  <sheetData>
    <row r="1" spans="2:16" ht="15.75" thickBot="1"/>
    <row r="2" spans="2:16" s="115" customFormat="1" ht="16.5">
      <c r="B2" s="543" t="s">
        <v>922</v>
      </c>
      <c r="C2" s="545" t="str">
        <f>+Prestation!D18</f>
        <v>Mois 1</v>
      </c>
      <c r="D2" s="545" t="str">
        <f>+Prestation!E18</f>
        <v>Mois 2</v>
      </c>
      <c r="E2" s="545" t="str">
        <f>+Prestation!F18</f>
        <v>Mois 3</v>
      </c>
      <c r="F2" s="545" t="str">
        <f>+Prestation!G18</f>
        <v>Mois 4</v>
      </c>
      <c r="G2" s="545" t="str">
        <f>+Prestation!H18</f>
        <v>Mois 5</v>
      </c>
      <c r="H2" s="545" t="str">
        <f>+Prestation!I18</f>
        <v>Mois 6</v>
      </c>
      <c r="I2" s="545" t="str">
        <f>+Prestation!J18</f>
        <v>Mois 7</v>
      </c>
      <c r="J2" s="545" t="str">
        <f>+Prestation!K18</f>
        <v>Mois 8</v>
      </c>
      <c r="K2" s="545" t="str">
        <f>+Prestation!L18</f>
        <v>Mois 9</v>
      </c>
      <c r="L2" s="545" t="str">
        <f>+Prestation!M18</f>
        <v>Mois 10</v>
      </c>
      <c r="M2" s="545" t="str">
        <f>+Prestation!N18</f>
        <v>Mois 11</v>
      </c>
      <c r="N2" s="545" t="str">
        <f>+Prestation!O18</f>
        <v>Mois 12</v>
      </c>
      <c r="O2" s="545" t="str">
        <f>+Prestation!P18</f>
        <v>Total</v>
      </c>
    </row>
    <row r="3" spans="2:16" s="115" customFormat="1" ht="16.5">
      <c r="B3" s="116" t="s">
        <v>559</v>
      </c>
      <c r="C3" s="139">
        <f>+'Invest FD'!C22</f>
        <v>1335500.8799999997</v>
      </c>
      <c r="D3" s="139">
        <f>+'Invest FD'!D22</f>
        <v>1335500.8799999997</v>
      </c>
      <c r="E3" s="139">
        <f>+'Invest FD'!E22</f>
        <v>1335500.8799999997</v>
      </c>
      <c r="F3" s="139">
        <f>+'Invest FD'!F22</f>
        <v>1335500.8799999997</v>
      </c>
      <c r="G3" s="139">
        <f>+'Invest FD'!G22</f>
        <v>1335500.8799999997</v>
      </c>
      <c r="H3" s="139">
        <f>+'Invest FD'!H22</f>
        <v>1335500.8799999997</v>
      </c>
      <c r="I3" s="139">
        <f>+'Invest FD'!I22</f>
        <v>1335500.8799999997</v>
      </c>
      <c r="J3" s="139">
        <f>+'Invest FD'!J22</f>
        <v>1335500.8799999997</v>
      </c>
      <c r="K3" s="139">
        <f>+'Invest FD'!K22</f>
        <v>1335500.8799999997</v>
      </c>
      <c r="L3" s="139">
        <f>+'Invest FD'!L22</f>
        <v>1335500.8799999997</v>
      </c>
      <c r="M3" s="139">
        <f>+'Invest FD'!M22</f>
        <v>1335500.8799999997</v>
      </c>
      <c r="N3" s="139">
        <f>+'Invest FD'!N22</f>
        <v>1335500.8799999997</v>
      </c>
      <c r="O3" s="117">
        <f>SUM(C3:N3)</f>
        <v>16026010.559999993</v>
      </c>
      <c r="P3" s="115" t="s">
        <v>1298</v>
      </c>
    </row>
    <row r="4" spans="2:16" s="115" customFormat="1" ht="16.5">
      <c r="B4" s="116" t="s">
        <v>560</v>
      </c>
      <c r="C4" s="139">
        <f>+'Invest FD'!C23</f>
        <v>2251818.75</v>
      </c>
      <c r="D4" s="139">
        <f>+'Invest FD'!D23</f>
        <v>2251818.75</v>
      </c>
      <c r="E4" s="139">
        <f>+'Invest FD'!E23</f>
        <v>2251818.75</v>
      </c>
      <c r="F4" s="139">
        <f>+'Invest FD'!F23</f>
        <v>2251818.75</v>
      </c>
      <c r="G4" s="139">
        <f>+'Invest FD'!G23</f>
        <v>2251818.75</v>
      </c>
      <c r="H4" s="139">
        <f>+'Invest FD'!H23</f>
        <v>2251818.75</v>
      </c>
      <c r="I4" s="139">
        <f>+'Invest FD'!I23</f>
        <v>2251818.75</v>
      </c>
      <c r="J4" s="139">
        <f>+'Invest FD'!J23</f>
        <v>2251818.75</v>
      </c>
      <c r="K4" s="139">
        <f>+'Invest FD'!K23</f>
        <v>2251818.75</v>
      </c>
      <c r="L4" s="139">
        <f>+'Invest FD'!L23</f>
        <v>2251818.75</v>
      </c>
      <c r="M4" s="139">
        <f>+'Invest FD'!M23</f>
        <v>2251818.75</v>
      </c>
      <c r="N4" s="139">
        <f>+'Invest FD'!N23</f>
        <v>2251818.75</v>
      </c>
      <c r="O4" s="117">
        <f t="shared" ref="O4:O14" si="0">SUM(C4:N4)</f>
        <v>27021825</v>
      </c>
      <c r="P4" s="115" t="s">
        <v>1298</v>
      </c>
    </row>
    <row r="5" spans="2:16" s="115" customFormat="1" ht="16.5">
      <c r="B5" s="116" t="e">
        <f>"DOT.AMORT"&amp; " "&amp;  'Invest FD'!B4</f>
        <v>#REF!</v>
      </c>
      <c r="C5" s="139">
        <f>+'Invest FD'!C24</f>
        <v>0</v>
      </c>
      <c r="D5" s="139">
        <f>+'Invest FD'!D24</f>
        <v>333333.33333333331</v>
      </c>
      <c r="E5" s="139">
        <f>+'Invest FD'!E24</f>
        <v>333333.33333333331</v>
      </c>
      <c r="F5" s="139">
        <f>+'Invest FD'!F24</f>
        <v>333333.33333333331</v>
      </c>
      <c r="G5" s="139">
        <f>+'Invest FD'!G24</f>
        <v>333333.33333333331</v>
      </c>
      <c r="H5" s="139">
        <f>+'Invest FD'!H24</f>
        <v>333333.33333333331</v>
      </c>
      <c r="I5" s="139">
        <f>+'Invest FD'!I24</f>
        <v>333333.33333333331</v>
      </c>
      <c r="J5" s="139">
        <f>+'Invest FD'!J24</f>
        <v>333333.33333333331</v>
      </c>
      <c r="K5" s="139">
        <f>+'Invest FD'!K24</f>
        <v>333333.33333333331</v>
      </c>
      <c r="L5" s="139">
        <f>+'Invest FD'!L24</f>
        <v>333333.33333333331</v>
      </c>
      <c r="M5" s="139">
        <f>+'Invest FD'!M24</f>
        <v>333333.33333333331</v>
      </c>
      <c r="N5" s="139">
        <f>+'Invest FD'!N24</f>
        <v>333333.33333333331</v>
      </c>
      <c r="O5" s="117">
        <f t="shared" si="0"/>
        <v>3666666.666666667</v>
      </c>
      <c r="P5" s="115" t="s">
        <v>1298</v>
      </c>
    </row>
    <row r="6" spans="2:16" s="115" customFormat="1" ht="16.5">
      <c r="B6" s="116" t="str">
        <f>"DOT.AMORT"&amp; " "&amp;  'Invest FD'!B5</f>
        <v>DOT.AMORT Reparations toitures</v>
      </c>
      <c r="C6" s="139">
        <f>+'Invest FD'!C25</f>
        <v>0</v>
      </c>
      <c r="D6" s="139">
        <f>+'Invest FD'!D25</f>
        <v>5000000</v>
      </c>
      <c r="E6" s="139">
        <f>+'Invest FD'!E25</f>
        <v>5000000</v>
      </c>
      <c r="F6" s="139">
        <f>+'Invest FD'!F25</f>
        <v>5000000</v>
      </c>
      <c r="G6" s="139">
        <f>+'Invest FD'!G25</f>
        <v>5000000</v>
      </c>
      <c r="H6" s="139">
        <f>+'Invest FD'!H25</f>
        <v>5000000</v>
      </c>
      <c r="I6" s="139">
        <f>+'Invest FD'!I25</f>
        <v>5000000</v>
      </c>
      <c r="J6" s="139">
        <f>+'Invest FD'!J25</f>
        <v>5000000</v>
      </c>
      <c r="K6" s="139">
        <f>+'Invest FD'!K25</f>
        <v>5000000</v>
      </c>
      <c r="L6" s="139">
        <f>+'Invest FD'!L25</f>
        <v>5000000</v>
      </c>
      <c r="M6" s="139">
        <f>+'Invest FD'!M25</f>
        <v>5000000</v>
      </c>
      <c r="N6" s="139">
        <f>+'Invest FD'!N25</f>
        <v>5000000</v>
      </c>
      <c r="O6" s="117">
        <f t="shared" si="0"/>
        <v>55000000</v>
      </c>
      <c r="P6" s="115" t="s">
        <v>1298</v>
      </c>
    </row>
    <row r="7" spans="2:16" s="115" customFormat="1" ht="16.5">
      <c r="B7" s="116" t="e">
        <f>"DOT.AMORT"&amp; " "&amp;  'Invest FD'!B6</f>
        <v>#REF!</v>
      </c>
      <c r="C7" s="139">
        <f>+'Invest FD'!C26</f>
        <v>0</v>
      </c>
      <c r="D7" s="139">
        <f>+'Invest FD'!D26</f>
        <v>83333.333333333328</v>
      </c>
      <c r="E7" s="139">
        <f>+'Invest FD'!E26</f>
        <v>83333.333333333328</v>
      </c>
      <c r="F7" s="139">
        <f>+'Invest FD'!F26</f>
        <v>83333.333333333328</v>
      </c>
      <c r="G7" s="139">
        <f>+'Invest FD'!G26</f>
        <v>83333.333333333328</v>
      </c>
      <c r="H7" s="139">
        <f>+'Invest FD'!H26</f>
        <v>83333.333333333328</v>
      </c>
      <c r="I7" s="139">
        <f>+'Invest FD'!I26</f>
        <v>83333.333333333328</v>
      </c>
      <c r="J7" s="139">
        <f>+'Invest FD'!J26</f>
        <v>83333.333333333328</v>
      </c>
      <c r="K7" s="139">
        <f>+'Invest FD'!K26</f>
        <v>83333.333333333328</v>
      </c>
      <c r="L7" s="139">
        <f>+'Invest FD'!L26</f>
        <v>83333.333333333328</v>
      </c>
      <c r="M7" s="139">
        <f>+'Invest FD'!M26</f>
        <v>83333.333333333328</v>
      </c>
      <c r="N7" s="139">
        <f>+'Invest FD'!N26</f>
        <v>83333.333333333328</v>
      </c>
      <c r="O7" s="117">
        <f t="shared" si="0"/>
        <v>916666.66666666674</v>
      </c>
      <c r="P7" s="115" t="s">
        <v>1298</v>
      </c>
    </row>
    <row r="8" spans="2:16" s="115" customFormat="1" ht="16.5">
      <c r="B8" s="116" t="e">
        <f>"DOT.AMORT"&amp; " "&amp;  'Invest FD'!B7</f>
        <v>#REF!</v>
      </c>
      <c r="C8" s="139">
        <f>+'Invest FD'!C27</f>
        <v>0</v>
      </c>
      <c r="D8" s="139">
        <f>+'Invest FD'!D27</f>
        <v>0</v>
      </c>
      <c r="E8" s="139">
        <f>+'Invest FD'!E27</f>
        <v>0</v>
      </c>
      <c r="F8" s="139">
        <f>+'Invest FD'!F27</f>
        <v>0</v>
      </c>
      <c r="G8" s="139">
        <f>+'Invest FD'!G27</f>
        <v>0</v>
      </c>
      <c r="H8" s="139">
        <f>+'Invest FD'!H27</f>
        <v>0</v>
      </c>
      <c r="I8" s="139">
        <f>+'Invest FD'!I27</f>
        <v>0</v>
      </c>
      <c r="J8" s="139">
        <f>+'Invest FD'!J27</f>
        <v>0</v>
      </c>
      <c r="K8" s="139">
        <f>+'Invest FD'!K27</f>
        <v>0</v>
      </c>
      <c r="L8" s="139">
        <f>+'Invest FD'!L27</f>
        <v>0</v>
      </c>
      <c r="M8" s="139">
        <f>+'Invest FD'!M27</f>
        <v>0</v>
      </c>
      <c r="N8" s="139">
        <f>+'Invest FD'!N27</f>
        <v>0</v>
      </c>
      <c r="O8" s="117">
        <f t="shared" si="0"/>
        <v>0</v>
      </c>
      <c r="P8" s="115" t="s">
        <v>1298</v>
      </c>
    </row>
    <row r="9" spans="2:16" s="115" customFormat="1" ht="16.5">
      <c r="B9" s="116" t="s">
        <v>561</v>
      </c>
      <c r="C9" s="139">
        <f>+'Invest FD'!C28</f>
        <v>0</v>
      </c>
      <c r="D9" s="139">
        <f>+'Invest FD'!D28</f>
        <v>0</v>
      </c>
      <c r="E9" s="139">
        <f>+'Invest FD'!E28</f>
        <v>0</v>
      </c>
      <c r="F9" s="139">
        <f>+'Invest FD'!F28</f>
        <v>0</v>
      </c>
      <c r="G9" s="139">
        <f>+'Invest FD'!G28</f>
        <v>0</v>
      </c>
      <c r="H9" s="139">
        <f>+'Invest FD'!H28</f>
        <v>0</v>
      </c>
      <c r="I9" s="139">
        <f>+'Invest FD'!I28</f>
        <v>0</v>
      </c>
      <c r="J9" s="139">
        <f>+'Invest FD'!J28</f>
        <v>0</v>
      </c>
      <c r="K9" s="139">
        <f>+'Invest FD'!K28</f>
        <v>0</v>
      </c>
      <c r="L9" s="139">
        <f>+'Invest FD'!L28</f>
        <v>0</v>
      </c>
      <c r="M9" s="139">
        <f>+'Invest FD'!M28</f>
        <v>0</v>
      </c>
      <c r="N9" s="139">
        <f>+'Invest FD'!N28</f>
        <v>0</v>
      </c>
      <c r="O9" s="117">
        <f t="shared" si="0"/>
        <v>0</v>
      </c>
      <c r="P9" s="115" t="s">
        <v>1298</v>
      </c>
    </row>
    <row r="10" spans="2:16" ht="16.5">
      <c r="B10" s="116" t="s">
        <v>562</v>
      </c>
      <c r="C10" s="139">
        <f>+'Invest FD'!C29</f>
        <v>11834.212500000001</v>
      </c>
      <c r="D10" s="139">
        <f>+'Invest FD'!D29</f>
        <v>11834.212500000001</v>
      </c>
      <c r="E10" s="139">
        <f>+'Invest FD'!E29</f>
        <v>11834.212500000001</v>
      </c>
      <c r="F10" s="139">
        <f>+'Invest FD'!F29</f>
        <v>11834.212500000001</v>
      </c>
      <c r="G10" s="139">
        <f>+'Invest FD'!G29</f>
        <v>11834.212500000001</v>
      </c>
      <c r="H10" s="139">
        <f>+'Invest FD'!H29</f>
        <v>11834.212500000001</v>
      </c>
      <c r="I10" s="139">
        <f>+'Invest FD'!I29</f>
        <v>11834.212500000001</v>
      </c>
      <c r="J10" s="139">
        <f>+'Invest FD'!J29</f>
        <v>11834.212500000001</v>
      </c>
      <c r="K10" s="139">
        <f>+'Invest FD'!K29</f>
        <v>11834.212500000001</v>
      </c>
      <c r="L10" s="139">
        <f>+'Invest FD'!L29</f>
        <v>11834.212500000001</v>
      </c>
      <c r="M10" s="139">
        <f>+'Invest FD'!M29</f>
        <v>11834.212500000001</v>
      </c>
      <c r="N10" s="139">
        <f>+'Invest FD'!N29</f>
        <v>11834.212500000001</v>
      </c>
      <c r="O10" s="117">
        <f t="shared" si="0"/>
        <v>142010.54999999999</v>
      </c>
      <c r="P10" s="115" t="s">
        <v>1298</v>
      </c>
    </row>
    <row r="11" spans="2:16" ht="16.5">
      <c r="B11" s="116" t="s">
        <v>563</v>
      </c>
      <c r="C11" s="139">
        <f>+'Invest FD'!C30</f>
        <v>1868404.264375</v>
      </c>
      <c r="D11" s="139">
        <f>+'Invest FD'!D30</f>
        <v>1868404.264375</v>
      </c>
      <c r="E11" s="139">
        <f>+'Invest FD'!E30</f>
        <v>1868404.264375</v>
      </c>
      <c r="F11" s="139">
        <f>+'Invest FD'!F30</f>
        <v>1868404.264375</v>
      </c>
      <c r="G11" s="139">
        <f>+'Invest FD'!G30</f>
        <v>1868404.264375</v>
      </c>
      <c r="H11" s="139">
        <f>+'Invest FD'!H30</f>
        <v>1868404.264375</v>
      </c>
      <c r="I11" s="139">
        <f>+'Invest FD'!I30</f>
        <v>1868404.264375</v>
      </c>
      <c r="J11" s="139">
        <f>+'Invest FD'!J30</f>
        <v>1868404.264375</v>
      </c>
      <c r="K11" s="139">
        <f>+'Invest FD'!K30</f>
        <v>1868404.264375</v>
      </c>
      <c r="L11" s="139">
        <f>+'Invest FD'!L30</f>
        <v>1868404.264375</v>
      </c>
      <c r="M11" s="139">
        <f>+'Invest FD'!M30</f>
        <v>1868404.264375</v>
      </c>
      <c r="N11" s="139">
        <f>+'Invest FD'!N30</f>
        <v>1868404.264375</v>
      </c>
      <c r="O11" s="117">
        <f t="shared" si="0"/>
        <v>22420851.172500003</v>
      </c>
      <c r="P11" s="115" t="s">
        <v>1298</v>
      </c>
    </row>
    <row r="12" spans="2:16" ht="16.5">
      <c r="B12" s="116" t="s">
        <v>564</v>
      </c>
      <c r="C12" s="139">
        <f>+'Invest FD'!C31</f>
        <v>160894.78453124993</v>
      </c>
      <c r="D12" s="139">
        <f>+'Invest FD'!D31</f>
        <v>160894.78453124993</v>
      </c>
      <c r="E12" s="139">
        <f>+'Invest FD'!E31</f>
        <v>160894.78453124993</v>
      </c>
      <c r="F12" s="139">
        <f>+'Invest FD'!F31</f>
        <v>160894.78453124993</v>
      </c>
      <c r="G12" s="139">
        <f>+'Invest FD'!G31</f>
        <v>160894.78453124993</v>
      </c>
      <c r="H12" s="139">
        <f>+'Invest FD'!H31</f>
        <v>160894.78453124993</v>
      </c>
      <c r="I12" s="139">
        <f>+'Invest FD'!I31</f>
        <v>160894.78453124993</v>
      </c>
      <c r="J12" s="139">
        <f>+'Invest FD'!J31</f>
        <v>160894.78453124993</v>
      </c>
      <c r="K12" s="139">
        <f>+'Invest FD'!K31</f>
        <v>160894.78453124993</v>
      </c>
      <c r="L12" s="139">
        <f>+'Invest FD'!L31</f>
        <v>160894.78453124993</v>
      </c>
      <c r="M12" s="139">
        <f>+'Invest FD'!M31</f>
        <v>160894.78453124993</v>
      </c>
      <c r="N12" s="139">
        <f>+'Invest FD'!N31</f>
        <v>160894.78453124993</v>
      </c>
      <c r="O12" s="117">
        <f t="shared" si="0"/>
        <v>1930737.414374999</v>
      </c>
      <c r="P12" s="115" t="s">
        <v>1298</v>
      </c>
    </row>
    <row r="13" spans="2:16" ht="16.5">
      <c r="B13" s="116" t="s">
        <v>565</v>
      </c>
      <c r="C13" s="139">
        <f>+'Invest FD'!C32</f>
        <v>265637.77037760412</v>
      </c>
      <c r="D13" s="139">
        <f>+'Invest FD'!D32</f>
        <v>265637.77037760412</v>
      </c>
      <c r="E13" s="139">
        <f>+'Invest FD'!E32</f>
        <v>265637.77037760412</v>
      </c>
      <c r="F13" s="139">
        <f>+'Invest FD'!F32</f>
        <v>265637.77037760412</v>
      </c>
      <c r="G13" s="139">
        <f>+'Invest FD'!G32</f>
        <v>265637.77037760412</v>
      </c>
      <c r="H13" s="139">
        <f>+'Invest FD'!H32</f>
        <v>265637.77037760412</v>
      </c>
      <c r="I13" s="139">
        <f>+'Invest FD'!I32</f>
        <v>265637.77037760412</v>
      </c>
      <c r="J13" s="139">
        <f>+'Invest FD'!J32</f>
        <v>265637.77037760412</v>
      </c>
      <c r="K13" s="139">
        <f>+'Invest FD'!K32</f>
        <v>265637.77037760412</v>
      </c>
      <c r="L13" s="139">
        <f>+'Invest FD'!L32</f>
        <v>265637.77037760412</v>
      </c>
      <c r="M13" s="139">
        <f>+'Invest FD'!M32</f>
        <v>265637.77037760412</v>
      </c>
      <c r="N13" s="139">
        <f>+'Invest FD'!N32</f>
        <v>265637.77037760412</v>
      </c>
      <c r="O13" s="117">
        <f t="shared" si="0"/>
        <v>3187653.2445312501</v>
      </c>
      <c r="P13" s="115" t="s">
        <v>1298</v>
      </c>
    </row>
    <row r="14" spans="2:16" ht="16.5">
      <c r="B14" s="116" t="e">
        <f>+'Invest FD'!B34</f>
        <v>#REF!</v>
      </c>
      <c r="C14" s="139">
        <f>+'Invest FD'!C34</f>
        <v>0</v>
      </c>
      <c r="D14" s="139">
        <f>+'Invest FD'!D34</f>
        <v>145833.33333333334</v>
      </c>
      <c r="E14" s="139">
        <f>+'Invest FD'!E34</f>
        <v>145833.33333333334</v>
      </c>
      <c r="F14" s="139">
        <f>+'Invest FD'!F34</f>
        <v>145833.33333333334</v>
      </c>
      <c r="G14" s="139">
        <f>+'Invest FD'!G34</f>
        <v>145833.33333333334</v>
      </c>
      <c r="H14" s="139">
        <f>+'Invest FD'!H34</f>
        <v>145833.33333333334</v>
      </c>
      <c r="I14" s="139">
        <f>+'Invest FD'!I34</f>
        <v>145833.33333333334</v>
      </c>
      <c r="J14" s="139">
        <f>+'Invest FD'!J34</f>
        <v>145833.33333333334</v>
      </c>
      <c r="K14" s="139">
        <f>+'Invest FD'!K34</f>
        <v>145833.33333333334</v>
      </c>
      <c r="L14" s="139">
        <f>+'Invest FD'!L34</f>
        <v>145833.33333333334</v>
      </c>
      <c r="M14" s="139">
        <f>+'Invest FD'!M34</f>
        <v>145833.33333333334</v>
      </c>
      <c r="N14" s="139">
        <f>+'Invest FD'!N34</f>
        <v>145833.33333333334</v>
      </c>
      <c r="O14" s="117">
        <f t="shared" si="0"/>
        <v>1604166.6666666665</v>
      </c>
      <c r="P14" s="115" t="s">
        <v>1298</v>
      </c>
    </row>
    <row r="15" spans="2:16" ht="15.75" thickBot="1">
      <c r="B15" s="570"/>
      <c r="C15" s="571">
        <f>SUM(C3:C14)</f>
        <v>5894090.6617838535</v>
      </c>
      <c r="D15" s="571">
        <f t="shared" ref="D15:O15" si="1">SUM(D3:D14)</f>
        <v>11456590.661783855</v>
      </c>
      <c r="E15" s="571">
        <f t="shared" si="1"/>
        <v>11456590.661783855</v>
      </c>
      <c r="F15" s="571">
        <f t="shared" si="1"/>
        <v>11456590.661783855</v>
      </c>
      <c r="G15" s="571">
        <f t="shared" si="1"/>
        <v>11456590.661783855</v>
      </c>
      <c r="H15" s="571">
        <f t="shared" si="1"/>
        <v>11456590.661783855</v>
      </c>
      <c r="I15" s="571">
        <f t="shared" si="1"/>
        <v>11456590.661783855</v>
      </c>
      <c r="J15" s="571">
        <f t="shared" si="1"/>
        <v>11456590.661783855</v>
      </c>
      <c r="K15" s="571">
        <f t="shared" si="1"/>
        <v>11456590.661783855</v>
      </c>
      <c r="L15" s="571">
        <f t="shared" si="1"/>
        <v>11456590.661783855</v>
      </c>
      <c r="M15" s="571">
        <f t="shared" si="1"/>
        <v>11456590.661783855</v>
      </c>
      <c r="N15" s="571">
        <f t="shared" si="1"/>
        <v>11456590.661783855</v>
      </c>
      <c r="O15" s="571">
        <f t="shared" si="1"/>
        <v>131916587.94140624</v>
      </c>
    </row>
    <row r="17" spans="15:15">
      <c r="O17" s="129"/>
    </row>
  </sheetData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7"/>
  <dimension ref="B1:P13"/>
  <sheetViews>
    <sheetView workbookViewId="0">
      <selection activeCell="H16" sqref="H16"/>
    </sheetView>
  </sheetViews>
  <sheetFormatPr baseColWidth="10" defaultRowHeight="15"/>
  <cols>
    <col min="1" max="1" width="3.42578125" style="59" customWidth="1"/>
    <col min="2" max="2" width="34.7109375" style="59" bestFit="1" customWidth="1"/>
    <col min="3" max="14" width="12.28515625" style="59" bestFit="1" customWidth="1"/>
    <col min="15" max="15" width="13.7109375" style="59" bestFit="1" customWidth="1"/>
    <col min="16" max="16384" width="11.42578125" style="59"/>
  </cols>
  <sheetData>
    <row r="1" spans="2:16" ht="15.75" thickBot="1"/>
    <row r="2" spans="2:16" s="115" customFormat="1" ht="16.5">
      <c r="B2" s="543" t="s">
        <v>924</v>
      </c>
      <c r="C2" s="543" t="str">
        <f>+Prestation!D18</f>
        <v>Mois 1</v>
      </c>
      <c r="D2" s="545" t="str">
        <f>+Prestation!E18</f>
        <v>Mois 2</v>
      </c>
      <c r="E2" s="545" t="str">
        <f>+Prestation!F18</f>
        <v>Mois 3</v>
      </c>
      <c r="F2" s="545" t="str">
        <f>+Prestation!G18</f>
        <v>Mois 4</v>
      </c>
      <c r="G2" s="545" t="str">
        <f>+Prestation!H18</f>
        <v>Mois 5</v>
      </c>
      <c r="H2" s="545" t="str">
        <f>+Prestation!I18</f>
        <v>Mois 6</v>
      </c>
      <c r="I2" s="545" t="str">
        <f>+Prestation!J18</f>
        <v>Mois 7</v>
      </c>
      <c r="J2" s="545" t="str">
        <f>+Prestation!K18</f>
        <v>Mois 8</v>
      </c>
      <c r="K2" s="545" t="str">
        <f>+Prestation!L18</f>
        <v>Mois 9</v>
      </c>
      <c r="L2" s="545" t="str">
        <f>+Prestation!M18</f>
        <v>Mois 10</v>
      </c>
      <c r="M2" s="545" t="str">
        <f>+Prestation!N18</f>
        <v>Mois 11</v>
      </c>
      <c r="N2" s="545" t="str">
        <f>+Prestation!O18</f>
        <v>Mois 12</v>
      </c>
      <c r="O2" s="545" t="str">
        <f>+Prestation!P18</f>
        <v>Total</v>
      </c>
    </row>
    <row r="3" spans="2:16" s="115" customFormat="1" ht="16.5">
      <c r="B3" s="115" t="s">
        <v>603</v>
      </c>
      <c r="C3" s="139">
        <f>+'Détails FF FD'!C3</f>
        <v>66666666.666666664</v>
      </c>
      <c r="D3" s="139">
        <f>+'Détails FF FD'!D3</f>
        <v>66666666.666666664</v>
      </c>
      <c r="E3" s="139">
        <f>+'Détails FF FD'!E3</f>
        <v>66666666.666666664</v>
      </c>
      <c r="F3" s="139">
        <f>+'Détails FF FD'!F3</f>
        <v>66666666.666666664</v>
      </c>
      <c r="G3" s="139">
        <f>+'Détails FF FD'!G3</f>
        <v>66666666.666666664</v>
      </c>
      <c r="H3" s="139">
        <f>+'Détails FF FD'!H3</f>
        <v>66666666.666666664</v>
      </c>
      <c r="I3" s="139">
        <f>+'Détails FF FD'!I3</f>
        <v>66666666.666666664</v>
      </c>
      <c r="J3" s="139">
        <f>+'Détails FF FD'!J3</f>
        <v>64935804.845852904</v>
      </c>
      <c r="K3" s="139">
        <f>+'Détails FF FD'!K3</f>
        <v>63176095.328025587</v>
      </c>
      <c r="L3" s="139">
        <f>+'Détails FF FD'!L3</f>
        <v>61387057.318234473</v>
      </c>
      <c r="M3" s="139">
        <f>+'Détails FF FD'!M3</f>
        <v>59568202.00828018</v>
      </c>
      <c r="N3" s="139">
        <f>+'Détails FF FD'!N3</f>
        <v>57719032.443159983</v>
      </c>
      <c r="O3" s="117">
        <f>SUM(C3:N3)</f>
        <v>773452858.61021972</v>
      </c>
      <c r="P3" s="115" t="s">
        <v>1298</v>
      </c>
    </row>
    <row r="4" spans="2:16" s="115" customFormat="1" ht="17.25" thickBot="1">
      <c r="B4" s="552" t="s">
        <v>362</v>
      </c>
      <c r="C4" s="546">
        <f t="shared" ref="C4:O4" si="0">SUM(C3:C3)</f>
        <v>66666666.666666664</v>
      </c>
      <c r="D4" s="546">
        <f t="shared" si="0"/>
        <v>66666666.666666664</v>
      </c>
      <c r="E4" s="546">
        <f t="shared" si="0"/>
        <v>66666666.666666664</v>
      </c>
      <c r="F4" s="546">
        <f>SUM(F3:F3)</f>
        <v>66666666.666666664</v>
      </c>
      <c r="G4" s="546">
        <f t="shared" si="0"/>
        <v>66666666.666666664</v>
      </c>
      <c r="H4" s="546">
        <f t="shared" si="0"/>
        <v>66666666.666666664</v>
      </c>
      <c r="I4" s="546">
        <f t="shared" si="0"/>
        <v>66666666.666666664</v>
      </c>
      <c r="J4" s="546">
        <f t="shared" si="0"/>
        <v>64935804.845852904</v>
      </c>
      <c r="K4" s="546">
        <f t="shared" si="0"/>
        <v>63176095.328025587</v>
      </c>
      <c r="L4" s="546">
        <f t="shared" si="0"/>
        <v>61387057.318234473</v>
      </c>
      <c r="M4" s="546">
        <f t="shared" si="0"/>
        <v>59568202.00828018</v>
      </c>
      <c r="N4" s="546">
        <f t="shared" si="0"/>
        <v>57719032.443159983</v>
      </c>
      <c r="O4" s="546">
        <f t="shared" si="0"/>
        <v>773452858.61021972</v>
      </c>
    </row>
    <row r="8" spans="2:16" ht="16.5">
      <c r="E8" s="139"/>
    </row>
    <row r="10" spans="2:16" ht="16.5">
      <c r="E10" s="139"/>
    </row>
    <row r="11" spans="2:16" ht="16.5">
      <c r="E11" s="139"/>
    </row>
    <row r="13" spans="2:16" ht="16.5">
      <c r="E13" s="139"/>
    </row>
  </sheetData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0"/>
  <dimension ref="B1:U79"/>
  <sheetViews>
    <sheetView topLeftCell="D24" zoomScale="106" zoomScaleNormal="106" workbookViewId="0">
      <selection activeCell="O37" sqref="O37"/>
    </sheetView>
  </sheetViews>
  <sheetFormatPr baseColWidth="10" defaultRowHeight="13.5"/>
  <cols>
    <col min="1" max="1" width="2.140625" style="858" customWidth="1"/>
    <col min="2" max="2" width="44.140625" style="858" customWidth="1"/>
    <col min="3" max="4" width="12.7109375" style="858" bestFit="1" customWidth="1"/>
    <col min="5" max="5" width="13.28515625" style="858" bestFit="1" customWidth="1"/>
    <col min="6" max="14" width="12.7109375" style="858" bestFit="1" customWidth="1"/>
    <col min="15" max="15" width="13.42578125" style="859" bestFit="1" customWidth="1"/>
    <col min="16" max="16" width="13.140625" style="858" bestFit="1" customWidth="1"/>
    <col min="17" max="17" width="13.28515625" style="858" bestFit="1" customWidth="1"/>
    <col min="18" max="18" width="15.85546875" style="858" bestFit="1" customWidth="1"/>
    <col min="19" max="19" width="12.42578125" style="858" bestFit="1" customWidth="1"/>
    <col min="20" max="251" width="11.42578125" style="858"/>
    <col min="252" max="252" width="7.7109375" style="858" customWidth="1"/>
    <col min="253" max="253" width="44.140625" style="858" customWidth="1"/>
    <col min="254" max="258" width="0" style="858" hidden="1" customWidth="1"/>
    <col min="259" max="269" width="12.140625" style="858" customWidth="1"/>
    <col min="270" max="270" width="13.140625" style="858" customWidth="1"/>
    <col min="271" max="271" width="13.42578125" style="858" bestFit="1" customWidth="1"/>
    <col min="272" max="507" width="11.42578125" style="858"/>
    <col min="508" max="508" width="7.7109375" style="858" customWidth="1"/>
    <col min="509" max="509" width="44.140625" style="858" customWidth="1"/>
    <col min="510" max="514" width="0" style="858" hidden="1" customWidth="1"/>
    <col min="515" max="525" width="12.140625" style="858" customWidth="1"/>
    <col min="526" max="526" width="13.140625" style="858" customWidth="1"/>
    <col min="527" max="527" width="13.42578125" style="858" bestFit="1" customWidth="1"/>
    <col min="528" max="763" width="11.42578125" style="858"/>
    <col min="764" max="764" width="7.7109375" style="858" customWidth="1"/>
    <col min="765" max="765" width="44.140625" style="858" customWidth="1"/>
    <col min="766" max="770" width="0" style="858" hidden="1" customWidth="1"/>
    <col min="771" max="781" width="12.140625" style="858" customWidth="1"/>
    <col min="782" max="782" width="13.140625" style="858" customWidth="1"/>
    <col min="783" max="783" width="13.42578125" style="858" bestFit="1" customWidth="1"/>
    <col min="784" max="1019" width="11.42578125" style="858"/>
    <col min="1020" max="1020" width="7.7109375" style="858" customWidth="1"/>
    <col min="1021" max="1021" width="44.140625" style="858" customWidth="1"/>
    <col min="1022" max="1026" width="0" style="858" hidden="1" customWidth="1"/>
    <col min="1027" max="1037" width="12.140625" style="858" customWidth="1"/>
    <col min="1038" max="1038" width="13.140625" style="858" customWidth="1"/>
    <col min="1039" max="1039" width="13.42578125" style="858" bestFit="1" customWidth="1"/>
    <col min="1040" max="1275" width="11.42578125" style="858"/>
    <col min="1276" max="1276" width="7.7109375" style="858" customWidth="1"/>
    <col min="1277" max="1277" width="44.140625" style="858" customWidth="1"/>
    <col min="1278" max="1282" width="0" style="858" hidden="1" customWidth="1"/>
    <col min="1283" max="1293" width="12.140625" style="858" customWidth="1"/>
    <col min="1294" max="1294" width="13.140625" style="858" customWidth="1"/>
    <col min="1295" max="1295" width="13.42578125" style="858" bestFit="1" customWidth="1"/>
    <col min="1296" max="1531" width="11.42578125" style="858"/>
    <col min="1532" max="1532" width="7.7109375" style="858" customWidth="1"/>
    <col min="1533" max="1533" width="44.140625" style="858" customWidth="1"/>
    <col min="1534" max="1538" width="0" style="858" hidden="1" customWidth="1"/>
    <col min="1539" max="1549" width="12.140625" style="858" customWidth="1"/>
    <col min="1550" max="1550" width="13.140625" style="858" customWidth="1"/>
    <col min="1551" max="1551" width="13.42578125" style="858" bestFit="1" customWidth="1"/>
    <col min="1552" max="1787" width="11.42578125" style="858"/>
    <col min="1788" max="1788" width="7.7109375" style="858" customWidth="1"/>
    <col min="1789" max="1789" width="44.140625" style="858" customWidth="1"/>
    <col min="1790" max="1794" width="0" style="858" hidden="1" customWidth="1"/>
    <col min="1795" max="1805" width="12.140625" style="858" customWidth="1"/>
    <col min="1806" max="1806" width="13.140625" style="858" customWidth="1"/>
    <col min="1807" max="1807" width="13.42578125" style="858" bestFit="1" customWidth="1"/>
    <col min="1808" max="2043" width="11.42578125" style="858"/>
    <col min="2044" max="2044" width="7.7109375" style="858" customWidth="1"/>
    <col min="2045" max="2045" width="44.140625" style="858" customWidth="1"/>
    <col min="2046" max="2050" width="0" style="858" hidden="1" customWidth="1"/>
    <col min="2051" max="2061" width="12.140625" style="858" customWidth="1"/>
    <col min="2062" max="2062" width="13.140625" style="858" customWidth="1"/>
    <col min="2063" max="2063" width="13.42578125" style="858" bestFit="1" customWidth="1"/>
    <col min="2064" max="2299" width="11.42578125" style="858"/>
    <col min="2300" max="2300" width="7.7109375" style="858" customWidth="1"/>
    <col min="2301" max="2301" width="44.140625" style="858" customWidth="1"/>
    <col min="2302" max="2306" width="0" style="858" hidden="1" customWidth="1"/>
    <col min="2307" max="2317" width="12.140625" style="858" customWidth="1"/>
    <col min="2318" max="2318" width="13.140625" style="858" customWidth="1"/>
    <col min="2319" max="2319" width="13.42578125" style="858" bestFit="1" customWidth="1"/>
    <col min="2320" max="2555" width="11.42578125" style="858"/>
    <col min="2556" max="2556" width="7.7109375" style="858" customWidth="1"/>
    <col min="2557" max="2557" width="44.140625" style="858" customWidth="1"/>
    <col min="2558" max="2562" width="0" style="858" hidden="1" customWidth="1"/>
    <col min="2563" max="2573" width="12.140625" style="858" customWidth="1"/>
    <col min="2574" max="2574" width="13.140625" style="858" customWidth="1"/>
    <col min="2575" max="2575" width="13.42578125" style="858" bestFit="1" customWidth="1"/>
    <col min="2576" max="2811" width="11.42578125" style="858"/>
    <col min="2812" max="2812" width="7.7109375" style="858" customWidth="1"/>
    <col min="2813" max="2813" width="44.140625" style="858" customWidth="1"/>
    <col min="2814" max="2818" width="0" style="858" hidden="1" customWidth="1"/>
    <col min="2819" max="2829" width="12.140625" style="858" customWidth="1"/>
    <col min="2830" max="2830" width="13.140625" style="858" customWidth="1"/>
    <col min="2831" max="2831" width="13.42578125" style="858" bestFit="1" customWidth="1"/>
    <col min="2832" max="3067" width="11.42578125" style="858"/>
    <col min="3068" max="3068" width="7.7109375" style="858" customWidth="1"/>
    <col min="3069" max="3069" width="44.140625" style="858" customWidth="1"/>
    <col min="3070" max="3074" width="0" style="858" hidden="1" customWidth="1"/>
    <col min="3075" max="3085" width="12.140625" style="858" customWidth="1"/>
    <col min="3086" max="3086" width="13.140625" style="858" customWidth="1"/>
    <col min="3087" max="3087" width="13.42578125" style="858" bestFit="1" customWidth="1"/>
    <col min="3088" max="3323" width="11.42578125" style="858"/>
    <col min="3324" max="3324" width="7.7109375" style="858" customWidth="1"/>
    <col min="3325" max="3325" width="44.140625" style="858" customWidth="1"/>
    <col min="3326" max="3330" width="0" style="858" hidden="1" customWidth="1"/>
    <col min="3331" max="3341" width="12.140625" style="858" customWidth="1"/>
    <col min="3342" max="3342" width="13.140625" style="858" customWidth="1"/>
    <col min="3343" max="3343" width="13.42578125" style="858" bestFit="1" customWidth="1"/>
    <col min="3344" max="3579" width="11.42578125" style="858"/>
    <col min="3580" max="3580" width="7.7109375" style="858" customWidth="1"/>
    <col min="3581" max="3581" width="44.140625" style="858" customWidth="1"/>
    <col min="3582" max="3586" width="0" style="858" hidden="1" customWidth="1"/>
    <col min="3587" max="3597" width="12.140625" style="858" customWidth="1"/>
    <col min="3598" max="3598" width="13.140625" style="858" customWidth="1"/>
    <col min="3599" max="3599" width="13.42578125" style="858" bestFit="1" customWidth="1"/>
    <col min="3600" max="3835" width="11.42578125" style="858"/>
    <col min="3836" max="3836" width="7.7109375" style="858" customWidth="1"/>
    <col min="3837" max="3837" width="44.140625" style="858" customWidth="1"/>
    <col min="3838" max="3842" width="0" style="858" hidden="1" customWidth="1"/>
    <col min="3843" max="3853" width="12.140625" style="858" customWidth="1"/>
    <col min="3854" max="3854" width="13.140625" style="858" customWidth="1"/>
    <col min="3855" max="3855" width="13.42578125" style="858" bestFit="1" customWidth="1"/>
    <col min="3856" max="4091" width="11.42578125" style="858"/>
    <col min="4092" max="4092" width="7.7109375" style="858" customWidth="1"/>
    <col min="4093" max="4093" width="44.140625" style="858" customWidth="1"/>
    <col min="4094" max="4098" width="0" style="858" hidden="1" customWidth="1"/>
    <col min="4099" max="4109" width="12.140625" style="858" customWidth="1"/>
    <col min="4110" max="4110" width="13.140625" style="858" customWidth="1"/>
    <col min="4111" max="4111" width="13.42578125" style="858" bestFit="1" customWidth="1"/>
    <col min="4112" max="4347" width="11.42578125" style="858"/>
    <col min="4348" max="4348" width="7.7109375" style="858" customWidth="1"/>
    <col min="4349" max="4349" width="44.140625" style="858" customWidth="1"/>
    <col min="4350" max="4354" width="0" style="858" hidden="1" customWidth="1"/>
    <col min="4355" max="4365" width="12.140625" style="858" customWidth="1"/>
    <col min="4366" max="4366" width="13.140625" style="858" customWidth="1"/>
    <col min="4367" max="4367" width="13.42578125" style="858" bestFit="1" customWidth="1"/>
    <col min="4368" max="4603" width="11.42578125" style="858"/>
    <col min="4604" max="4604" width="7.7109375" style="858" customWidth="1"/>
    <col min="4605" max="4605" width="44.140625" style="858" customWidth="1"/>
    <col min="4606" max="4610" width="0" style="858" hidden="1" customWidth="1"/>
    <col min="4611" max="4621" width="12.140625" style="858" customWidth="1"/>
    <col min="4622" max="4622" width="13.140625" style="858" customWidth="1"/>
    <col min="4623" max="4623" width="13.42578125" style="858" bestFit="1" customWidth="1"/>
    <col min="4624" max="4859" width="11.42578125" style="858"/>
    <col min="4860" max="4860" width="7.7109375" style="858" customWidth="1"/>
    <col min="4861" max="4861" width="44.140625" style="858" customWidth="1"/>
    <col min="4862" max="4866" width="0" style="858" hidden="1" customWidth="1"/>
    <col min="4867" max="4877" width="12.140625" style="858" customWidth="1"/>
    <col min="4878" max="4878" width="13.140625" style="858" customWidth="1"/>
    <col min="4879" max="4879" width="13.42578125" style="858" bestFit="1" customWidth="1"/>
    <col min="4880" max="5115" width="11.42578125" style="858"/>
    <col min="5116" max="5116" width="7.7109375" style="858" customWidth="1"/>
    <col min="5117" max="5117" width="44.140625" style="858" customWidth="1"/>
    <col min="5118" max="5122" width="0" style="858" hidden="1" customWidth="1"/>
    <col min="5123" max="5133" width="12.140625" style="858" customWidth="1"/>
    <col min="5134" max="5134" width="13.140625" style="858" customWidth="1"/>
    <col min="5135" max="5135" width="13.42578125" style="858" bestFit="1" customWidth="1"/>
    <col min="5136" max="5371" width="11.42578125" style="858"/>
    <col min="5372" max="5372" width="7.7109375" style="858" customWidth="1"/>
    <col min="5373" max="5373" width="44.140625" style="858" customWidth="1"/>
    <col min="5374" max="5378" width="0" style="858" hidden="1" customWidth="1"/>
    <col min="5379" max="5389" width="12.140625" style="858" customWidth="1"/>
    <col min="5390" max="5390" width="13.140625" style="858" customWidth="1"/>
    <col min="5391" max="5391" width="13.42578125" style="858" bestFit="1" customWidth="1"/>
    <col min="5392" max="5627" width="11.42578125" style="858"/>
    <col min="5628" max="5628" width="7.7109375" style="858" customWidth="1"/>
    <col min="5629" max="5629" width="44.140625" style="858" customWidth="1"/>
    <col min="5630" max="5634" width="0" style="858" hidden="1" customWidth="1"/>
    <col min="5635" max="5645" width="12.140625" style="858" customWidth="1"/>
    <col min="5646" max="5646" width="13.140625" style="858" customWidth="1"/>
    <col min="5647" max="5647" width="13.42578125" style="858" bestFit="1" customWidth="1"/>
    <col min="5648" max="5883" width="11.42578125" style="858"/>
    <col min="5884" max="5884" width="7.7109375" style="858" customWidth="1"/>
    <col min="5885" max="5885" width="44.140625" style="858" customWidth="1"/>
    <col min="5886" max="5890" width="0" style="858" hidden="1" customWidth="1"/>
    <col min="5891" max="5901" width="12.140625" style="858" customWidth="1"/>
    <col min="5902" max="5902" width="13.140625" style="858" customWidth="1"/>
    <col min="5903" max="5903" width="13.42578125" style="858" bestFit="1" customWidth="1"/>
    <col min="5904" max="6139" width="11.42578125" style="858"/>
    <col min="6140" max="6140" width="7.7109375" style="858" customWidth="1"/>
    <col min="6141" max="6141" width="44.140625" style="858" customWidth="1"/>
    <col min="6142" max="6146" width="0" style="858" hidden="1" customWidth="1"/>
    <col min="6147" max="6157" width="12.140625" style="858" customWidth="1"/>
    <col min="6158" max="6158" width="13.140625" style="858" customWidth="1"/>
    <col min="6159" max="6159" width="13.42578125" style="858" bestFit="1" customWidth="1"/>
    <col min="6160" max="6395" width="11.42578125" style="858"/>
    <col min="6396" max="6396" width="7.7109375" style="858" customWidth="1"/>
    <col min="6397" max="6397" width="44.140625" style="858" customWidth="1"/>
    <col min="6398" max="6402" width="0" style="858" hidden="1" customWidth="1"/>
    <col min="6403" max="6413" width="12.140625" style="858" customWidth="1"/>
    <col min="6414" max="6414" width="13.140625" style="858" customWidth="1"/>
    <col min="6415" max="6415" width="13.42578125" style="858" bestFit="1" customWidth="1"/>
    <col min="6416" max="6651" width="11.42578125" style="858"/>
    <col min="6652" max="6652" width="7.7109375" style="858" customWidth="1"/>
    <col min="6653" max="6653" width="44.140625" style="858" customWidth="1"/>
    <col min="6654" max="6658" width="0" style="858" hidden="1" customWidth="1"/>
    <col min="6659" max="6669" width="12.140625" style="858" customWidth="1"/>
    <col min="6670" max="6670" width="13.140625" style="858" customWidth="1"/>
    <col min="6671" max="6671" width="13.42578125" style="858" bestFit="1" customWidth="1"/>
    <col min="6672" max="6907" width="11.42578125" style="858"/>
    <col min="6908" max="6908" width="7.7109375" style="858" customWidth="1"/>
    <col min="6909" max="6909" width="44.140625" style="858" customWidth="1"/>
    <col min="6910" max="6914" width="0" style="858" hidden="1" customWidth="1"/>
    <col min="6915" max="6925" width="12.140625" style="858" customWidth="1"/>
    <col min="6926" max="6926" width="13.140625" style="858" customWidth="1"/>
    <col min="6927" max="6927" width="13.42578125" style="858" bestFit="1" customWidth="1"/>
    <col min="6928" max="7163" width="11.42578125" style="858"/>
    <col min="7164" max="7164" width="7.7109375" style="858" customWidth="1"/>
    <col min="7165" max="7165" width="44.140625" style="858" customWidth="1"/>
    <col min="7166" max="7170" width="0" style="858" hidden="1" customWidth="1"/>
    <col min="7171" max="7181" width="12.140625" style="858" customWidth="1"/>
    <col min="7182" max="7182" width="13.140625" style="858" customWidth="1"/>
    <col min="7183" max="7183" width="13.42578125" style="858" bestFit="1" customWidth="1"/>
    <col min="7184" max="7419" width="11.42578125" style="858"/>
    <col min="7420" max="7420" width="7.7109375" style="858" customWidth="1"/>
    <col min="7421" max="7421" width="44.140625" style="858" customWidth="1"/>
    <col min="7422" max="7426" width="0" style="858" hidden="1" customWidth="1"/>
    <col min="7427" max="7437" width="12.140625" style="858" customWidth="1"/>
    <col min="7438" max="7438" width="13.140625" style="858" customWidth="1"/>
    <col min="7439" max="7439" width="13.42578125" style="858" bestFit="1" customWidth="1"/>
    <col min="7440" max="7675" width="11.42578125" style="858"/>
    <col min="7676" max="7676" width="7.7109375" style="858" customWidth="1"/>
    <col min="7677" max="7677" width="44.140625" style="858" customWidth="1"/>
    <col min="7678" max="7682" width="0" style="858" hidden="1" customWidth="1"/>
    <col min="7683" max="7693" width="12.140625" style="858" customWidth="1"/>
    <col min="7694" max="7694" width="13.140625" style="858" customWidth="1"/>
    <col min="7695" max="7695" width="13.42578125" style="858" bestFit="1" customWidth="1"/>
    <col min="7696" max="7931" width="11.42578125" style="858"/>
    <col min="7932" max="7932" width="7.7109375" style="858" customWidth="1"/>
    <col min="7933" max="7933" width="44.140625" style="858" customWidth="1"/>
    <col min="7934" max="7938" width="0" style="858" hidden="1" customWidth="1"/>
    <col min="7939" max="7949" width="12.140625" style="858" customWidth="1"/>
    <col min="7950" max="7950" width="13.140625" style="858" customWidth="1"/>
    <col min="7951" max="7951" width="13.42578125" style="858" bestFit="1" customWidth="1"/>
    <col min="7952" max="8187" width="11.42578125" style="858"/>
    <col min="8188" max="8188" width="7.7109375" style="858" customWidth="1"/>
    <col min="8189" max="8189" width="44.140625" style="858" customWidth="1"/>
    <col min="8190" max="8194" width="0" style="858" hidden="1" customWidth="1"/>
    <col min="8195" max="8205" width="12.140625" style="858" customWidth="1"/>
    <col min="8206" max="8206" width="13.140625" style="858" customWidth="1"/>
    <col min="8207" max="8207" width="13.42578125" style="858" bestFit="1" customWidth="1"/>
    <col min="8208" max="8443" width="11.42578125" style="858"/>
    <col min="8444" max="8444" width="7.7109375" style="858" customWidth="1"/>
    <col min="8445" max="8445" width="44.140625" style="858" customWidth="1"/>
    <col min="8446" max="8450" width="0" style="858" hidden="1" customWidth="1"/>
    <col min="8451" max="8461" width="12.140625" style="858" customWidth="1"/>
    <col min="8462" max="8462" width="13.140625" style="858" customWidth="1"/>
    <col min="8463" max="8463" width="13.42578125" style="858" bestFit="1" customWidth="1"/>
    <col min="8464" max="8699" width="11.42578125" style="858"/>
    <col min="8700" max="8700" width="7.7109375" style="858" customWidth="1"/>
    <col min="8701" max="8701" width="44.140625" style="858" customWidth="1"/>
    <col min="8702" max="8706" width="0" style="858" hidden="1" customWidth="1"/>
    <col min="8707" max="8717" width="12.140625" style="858" customWidth="1"/>
    <col min="8718" max="8718" width="13.140625" style="858" customWidth="1"/>
    <col min="8719" max="8719" width="13.42578125" style="858" bestFit="1" customWidth="1"/>
    <col min="8720" max="8955" width="11.42578125" style="858"/>
    <col min="8956" max="8956" width="7.7109375" style="858" customWidth="1"/>
    <col min="8957" max="8957" width="44.140625" style="858" customWidth="1"/>
    <col min="8958" max="8962" width="0" style="858" hidden="1" customWidth="1"/>
    <col min="8963" max="8973" width="12.140625" style="858" customWidth="1"/>
    <col min="8974" max="8974" width="13.140625" style="858" customWidth="1"/>
    <col min="8975" max="8975" width="13.42578125" style="858" bestFit="1" customWidth="1"/>
    <col min="8976" max="9211" width="11.42578125" style="858"/>
    <col min="9212" max="9212" width="7.7109375" style="858" customWidth="1"/>
    <col min="9213" max="9213" width="44.140625" style="858" customWidth="1"/>
    <col min="9214" max="9218" width="0" style="858" hidden="1" customWidth="1"/>
    <col min="9219" max="9229" width="12.140625" style="858" customWidth="1"/>
    <col min="9230" max="9230" width="13.140625" style="858" customWidth="1"/>
    <col min="9231" max="9231" width="13.42578125" style="858" bestFit="1" customWidth="1"/>
    <col min="9232" max="9467" width="11.42578125" style="858"/>
    <col min="9468" max="9468" width="7.7109375" style="858" customWidth="1"/>
    <col min="9469" max="9469" width="44.140625" style="858" customWidth="1"/>
    <col min="9470" max="9474" width="0" style="858" hidden="1" customWidth="1"/>
    <col min="9475" max="9485" width="12.140625" style="858" customWidth="1"/>
    <col min="9486" max="9486" width="13.140625" style="858" customWidth="1"/>
    <col min="9487" max="9487" width="13.42578125" style="858" bestFit="1" customWidth="1"/>
    <col min="9488" max="9723" width="11.42578125" style="858"/>
    <col min="9724" max="9724" width="7.7109375" style="858" customWidth="1"/>
    <col min="9725" max="9725" width="44.140625" style="858" customWidth="1"/>
    <col min="9726" max="9730" width="0" style="858" hidden="1" customWidth="1"/>
    <col min="9731" max="9741" width="12.140625" style="858" customWidth="1"/>
    <col min="9742" max="9742" width="13.140625" style="858" customWidth="1"/>
    <col min="9743" max="9743" width="13.42578125" style="858" bestFit="1" customWidth="1"/>
    <col min="9744" max="9979" width="11.42578125" style="858"/>
    <col min="9980" max="9980" width="7.7109375" style="858" customWidth="1"/>
    <col min="9981" max="9981" width="44.140625" style="858" customWidth="1"/>
    <col min="9982" max="9986" width="0" style="858" hidden="1" customWidth="1"/>
    <col min="9987" max="9997" width="12.140625" style="858" customWidth="1"/>
    <col min="9998" max="9998" width="13.140625" style="858" customWidth="1"/>
    <col min="9999" max="9999" width="13.42578125" style="858" bestFit="1" customWidth="1"/>
    <col min="10000" max="10235" width="11.42578125" style="858"/>
    <col min="10236" max="10236" width="7.7109375" style="858" customWidth="1"/>
    <col min="10237" max="10237" width="44.140625" style="858" customWidth="1"/>
    <col min="10238" max="10242" width="0" style="858" hidden="1" customWidth="1"/>
    <col min="10243" max="10253" width="12.140625" style="858" customWidth="1"/>
    <col min="10254" max="10254" width="13.140625" style="858" customWidth="1"/>
    <col min="10255" max="10255" width="13.42578125" style="858" bestFit="1" customWidth="1"/>
    <col min="10256" max="10491" width="11.42578125" style="858"/>
    <col min="10492" max="10492" width="7.7109375" style="858" customWidth="1"/>
    <col min="10493" max="10493" width="44.140625" style="858" customWidth="1"/>
    <col min="10494" max="10498" width="0" style="858" hidden="1" customWidth="1"/>
    <col min="10499" max="10509" width="12.140625" style="858" customWidth="1"/>
    <col min="10510" max="10510" width="13.140625" style="858" customWidth="1"/>
    <col min="10511" max="10511" width="13.42578125" style="858" bestFit="1" customWidth="1"/>
    <col min="10512" max="10747" width="11.42578125" style="858"/>
    <col min="10748" max="10748" width="7.7109375" style="858" customWidth="1"/>
    <col min="10749" max="10749" width="44.140625" style="858" customWidth="1"/>
    <col min="10750" max="10754" width="0" style="858" hidden="1" customWidth="1"/>
    <col min="10755" max="10765" width="12.140625" style="858" customWidth="1"/>
    <col min="10766" max="10766" width="13.140625" style="858" customWidth="1"/>
    <col min="10767" max="10767" width="13.42578125" style="858" bestFit="1" customWidth="1"/>
    <col min="10768" max="11003" width="11.42578125" style="858"/>
    <col min="11004" max="11004" width="7.7109375" style="858" customWidth="1"/>
    <col min="11005" max="11005" width="44.140625" style="858" customWidth="1"/>
    <col min="11006" max="11010" width="0" style="858" hidden="1" customWidth="1"/>
    <col min="11011" max="11021" width="12.140625" style="858" customWidth="1"/>
    <col min="11022" max="11022" width="13.140625" style="858" customWidth="1"/>
    <col min="11023" max="11023" width="13.42578125" style="858" bestFit="1" customWidth="1"/>
    <col min="11024" max="11259" width="11.42578125" style="858"/>
    <col min="11260" max="11260" width="7.7109375" style="858" customWidth="1"/>
    <col min="11261" max="11261" width="44.140625" style="858" customWidth="1"/>
    <col min="11262" max="11266" width="0" style="858" hidden="1" customWidth="1"/>
    <col min="11267" max="11277" width="12.140625" style="858" customWidth="1"/>
    <col min="11278" max="11278" width="13.140625" style="858" customWidth="1"/>
    <col min="11279" max="11279" width="13.42578125" style="858" bestFit="1" customWidth="1"/>
    <col min="11280" max="11515" width="11.42578125" style="858"/>
    <col min="11516" max="11516" width="7.7109375" style="858" customWidth="1"/>
    <col min="11517" max="11517" width="44.140625" style="858" customWidth="1"/>
    <col min="11518" max="11522" width="0" style="858" hidden="1" customWidth="1"/>
    <col min="11523" max="11533" width="12.140625" style="858" customWidth="1"/>
    <col min="11534" max="11534" width="13.140625" style="858" customWidth="1"/>
    <col min="11535" max="11535" width="13.42578125" style="858" bestFit="1" customWidth="1"/>
    <col min="11536" max="11771" width="11.42578125" style="858"/>
    <col min="11772" max="11772" width="7.7109375" style="858" customWidth="1"/>
    <col min="11773" max="11773" width="44.140625" style="858" customWidth="1"/>
    <col min="11774" max="11778" width="0" style="858" hidden="1" customWidth="1"/>
    <col min="11779" max="11789" width="12.140625" style="858" customWidth="1"/>
    <col min="11790" max="11790" width="13.140625" style="858" customWidth="1"/>
    <col min="11791" max="11791" width="13.42578125" style="858" bestFit="1" customWidth="1"/>
    <col min="11792" max="12027" width="11.42578125" style="858"/>
    <col min="12028" max="12028" width="7.7109375" style="858" customWidth="1"/>
    <col min="12029" max="12029" width="44.140625" style="858" customWidth="1"/>
    <col min="12030" max="12034" width="0" style="858" hidden="1" customWidth="1"/>
    <col min="12035" max="12045" width="12.140625" style="858" customWidth="1"/>
    <col min="12046" max="12046" width="13.140625" style="858" customWidth="1"/>
    <col min="12047" max="12047" width="13.42578125" style="858" bestFit="1" customWidth="1"/>
    <col min="12048" max="12283" width="11.42578125" style="858"/>
    <col min="12284" max="12284" width="7.7109375" style="858" customWidth="1"/>
    <col min="12285" max="12285" width="44.140625" style="858" customWidth="1"/>
    <col min="12286" max="12290" width="0" style="858" hidden="1" customWidth="1"/>
    <col min="12291" max="12301" width="12.140625" style="858" customWidth="1"/>
    <col min="12302" max="12302" width="13.140625" style="858" customWidth="1"/>
    <col min="12303" max="12303" width="13.42578125" style="858" bestFit="1" customWidth="1"/>
    <col min="12304" max="12539" width="11.42578125" style="858"/>
    <col min="12540" max="12540" width="7.7109375" style="858" customWidth="1"/>
    <col min="12541" max="12541" width="44.140625" style="858" customWidth="1"/>
    <col min="12542" max="12546" width="0" style="858" hidden="1" customWidth="1"/>
    <col min="12547" max="12557" width="12.140625" style="858" customWidth="1"/>
    <col min="12558" max="12558" width="13.140625" style="858" customWidth="1"/>
    <col min="12559" max="12559" width="13.42578125" style="858" bestFit="1" customWidth="1"/>
    <col min="12560" max="12795" width="11.42578125" style="858"/>
    <col min="12796" max="12796" width="7.7109375" style="858" customWidth="1"/>
    <col min="12797" max="12797" width="44.140625" style="858" customWidth="1"/>
    <col min="12798" max="12802" width="0" style="858" hidden="1" customWidth="1"/>
    <col min="12803" max="12813" width="12.140625" style="858" customWidth="1"/>
    <col min="12814" max="12814" width="13.140625" style="858" customWidth="1"/>
    <col min="12815" max="12815" width="13.42578125" style="858" bestFit="1" customWidth="1"/>
    <col min="12816" max="13051" width="11.42578125" style="858"/>
    <col min="13052" max="13052" width="7.7109375" style="858" customWidth="1"/>
    <col min="13053" max="13053" width="44.140625" style="858" customWidth="1"/>
    <col min="13054" max="13058" width="0" style="858" hidden="1" customWidth="1"/>
    <col min="13059" max="13069" width="12.140625" style="858" customWidth="1"/>
    <col min="13070" max="13070" width="13.140625" style="858" customWidth="1"/>
    <col min="13071" max="13071" width="13.42578125" style="858" bestFit="1" customWidth="1"/>
    <col min="13072" max="13307" width="11.42578125" style="858"/>
    <col min="13308" max="13308" width="7.7109375" style="858" customWidth="1"/>
    <col min="13309" max="13309" width="44.140625" style="858" customWidth="1"/>
    <col min="13310" max="13314" width="0" style="858" hidden="1" customWidth="1"/>
    <col min="13315" max="13325" width="12.140625" style="858" customWidth="1"/>
    <col min="13326" max="13326" width="13.140625" style="858" customWidth="1"/>
    <col min="13327" max="13327" width="13.42578125" style="858" bestFit="1" customWidth="1"/>
    <col min="13328" max="13563" width="11.42578125" style="858"/>
    <col min="13564" max="13564" width="7.7109375" style="858" customWidth="1"/>
    <col min="13565" max="13565" width="44.140625" style="858" customWidth="1"/>
    <col min="13566" max="13570" width="0" style="858" hidden="1" customWidth="1"/>
    <col min="13571" max="13581" width="12.140625" style="858" customWidth="1"/>
    <col min="13582" max="13582" width="13.140625" style="858" customWidth="1"/>
    <col min="13583" max="13583" width="13.42578125" style="858" bestFit="1" customWidth="1"/>
    <col min="13584" max="13819" width="11.42578125" style="858"/>
    <col min="13820" max="13820" width="7.7109375" style="858" customWidth="1"/>
    <col min="13821" max="13821" width="44.140625" style="858" customWidth="1"/>
    <col min="13822" max="13826" width="0" style="858" hidden="1" customWidth="1"/>
    <col min="13827" max="13837" width="12.140625" style="858" customWidth="1"/>
    <col min="13838" max="13838" width="13.140625" style="858" customWidth="1"/>
    <col min="13839" max="13839" width="13.42578125" style="858" bestFit="1" customWidth="1"/>
    <col min="13840" max="14075" width="11.42578125" style="858"/>
    <col min="14076" max="14076" width="7.7109375" style="858" customWidth="1"/>
    <col min="14077" max="14077" width="44.140625" style="858" customWidth="1"/>
    <col min="14078" max="14082" width="0" style="858" hidden="1" customWidth="1"/>
    <col min="14083" max="14093" width="12.140625" style="858" customWidth="1"/>
    <col min="14094" max="14094" width="13.140625" style="858" customWidth="1"/>
    <col min="14095" max="14095" width="13.42578125" style="858" bestFit="1" customWidth="1"/>
    <col min="14096" max="14331" width="11.42578125" style="858"/>
    <col min="14332" max="14332" width="7.7109375" style="858" customWidth="1"/>
    <col min="14333" max="14333" width="44.140625" style="858" customWidth="1"/>
    <col min="14334" max="14338" width="0" style="858" hidden="1" customWidth="1"/>
    <col min="14339" max="14349" width="12.140625" style="858" customWidth="1"/>
    <col min="14350" max="14350" width="13.140625" style="858" customWidth="1"/>
    <col min="14351" max="14351" width="13.42578125" style="858" bestFit="1" customWidth="1"/>
    <col min="14352" max="14587" width="11.42578125" style="858"/>
    <col min="14588" max="14588" width="7.7109375" style="858" customWidth="1"/>
    <col min="14589" max="14589" width="44.140625" style="858" customWidth="1"/>
    <col min="14590" max="14594" width="0" style="858" hidden="1" customWidth="1"/>
    <col min="14595" max="14605" width="12.140625" style="858" customWidth="1"/>
    <col min="14606" max="14606" width="13.140625" style="858" customWidth="1"/>
    <col min="14607" max="14607" width="13.42578125" style="858" bestFit="1" customWidth="1"/>
    <col min="14608" max="14843" width="11.42578125" style="858"/>
    <col min="14844" max="14844" width="7.7109375" style="858" customWidth="1"/>
    <col min="14845" max="14845" width="44.140625" style="858" customWidth="1"/>
    <col min="14846" max="14850" width="0" style="858" hidden="1" customWidth="1"/>
    <col min="14851" max="14861" width="12.140625" style="858" customWidth="1"/>
    <col min="14862" max="14862" width="13.140625" style="858" customWidth="1"/>
    <col min="14863" max="14863" width="13.42578125" style="858" bestFit="1" customWidth="1"/>
    <col min="14864" max="15099" width="11.42578125" style="858"/>
    <col min="15100" max="15100" width="7.7109375" style="858" customWidth="1"/>
    <col min="15101" max="15101" width="44.140625" style="858" customWidth="1"/>
    <col min="15102" max="15106" width="0" style="858" hidden="1" customWidth="1"/>
    <col min="15107" max="15117" width="12.140625" style="858" customWidth="1"/>
    <col min="15118" max="15118" width="13.140625" style="858" customWidth="1"/>
    <col min="15119" max="15119" width="13.42578125" style="858" bestFit="1" customWidth="1"/>
    <col min="15120" max="15355" width="11.42578125" style="858"/>
    <col min="15356" max="15356" width="7.7109375" style="858" customWidth="1"/>
    <col min="15357" max="15357" width="44.140625" style="858" customWidth="1"/>
    <col min="15358" max="15362" width="0" style="858" hidden="1" customWidth="1"/>
    <col min="15363" max="15373" width="12.140625" style="858" customWidth="1"/>
    <col min="15374" max="15374" width="13.140625" style="858" customWidth="1"/>
    <col min="15375" max="15375" width="13.42578125" style="858" bestFit="1" customWidth="1"/>
    <col min="15376" max="15611" width="11.42578125" style="858"/>
    <col min="15612" max="15612" width="7.7109375" style="858" customWidth="1"/>
    <col min="15613" max="15613" width="44.140625" style="858" customWidth="1"/>
    <col min="15614" max="15618" width="0" style="858" hidden="1" customWidth="1"/>
    <col min="15619" max="15629" width="12.140625" style="858" customWidth="1"/>
    <col min="15630" max="15630" width="13.140625" style="858" customWidth="1"/>
    <col min="15631" max="15631" width="13.42578125" style="858" bestFit="1" customWidth="1"/>
    <col min="15632" max="15867" width="11.42578125" style="858"/>
    <col min="15868" max="15868" width="7.7109375" style="858" customWidth="1"/>
    <col min="15869" max="15869" width="44.140625" style="858" customWidth="1"/>
    <col min="15870" max="15874" width="0" style="858" hidden="1" customWidth="1"/>
    <col min="15875" max="15885" width="12.140625" style="858" customWidth="1"/>
    <col min="15886" max="15886" width="13.140625" style="858" customWidth="1"/>
    <col min="15887" max="15887" width="13.42578125" style="858" bestFit="1" customWidth="1"/>
    <col min="15888" max="16123" width="11.42578125" style="858"/>
    <col min="16124" max="16124" width="7.7109375" style="858" customWidth="1"/>
    <col min="16125" max="16125" width="44.140625" style="858" customWidth="1"/>
    <col min="16126" max="16130" width="0" style="858" hidden="1" customWidth="1"/>
    <col min="16131" max="16141" width="12.140625" style="858" customWidth="1"/>
    <col min="16142" max="16142" width="13.140625" style="858" customWidth="1"/>
    <col min="16143" max="16143" width="13.42578125" style="858" bestFit="1" customWidth="1"/>
    <col min="16144" max="16384" width="11.42578125" style="858"/>
  </cols>
  <sheetData>
    <row r="1" spans="2:17" ht="14.25" thickBot="1">
      <c r="B1" s="860"/>
      <c r="C1" s="1141"/>
    </row>
    <row r="2" spans="2:17" ht="11.25" customHeight="1">
      <c r="B2" s="891" t="s">
        <v>566</v>
      </c>
      <c r="C2" s="892" t="s">
        <v>473</v>
      </c>
      <c r="D2" s="892" t="s">
        <v>474</v>
      </c>
      <c r="E2" s="892" t="s">
        <v>475</v>
      </c>
      <c r="F2" s="892" t="s">
        <v>476</v>
      </c>
      <c r="G2" s="892" t="s">
        <v>477</v>
      </c>
      <c r="H2" s="892" t="s">
        <v>478</v>
      </c>
      <c r="I2" s="892" t="s">
        <v>479</v>
      </c>
      <c r="J2" s="892" t="s">
        <v>480</v>
      </c>
      <c r="K2" s="892" t="s">
        <v>481</v>
      </c>
      <c r="L2" s="892" t="s">
        <v>482</v>
      </c>
      <c r="M2" s="892" t="s">
        <v>483</v>
      </c>
      <c r="N2" s="892" t="s">
        <v>484</v>
      </c>
      <c r="O2" s="893" t="s">
        <v>362</v>
      </c>
    </row>
    <row r="3" spans="2:17">
      <c r="B3" s="883" t="s">
        <v>567</v>
      </c>
      <c r="C3" s="884"/>
      <c r="D3" s="884"/>
      <c r="E3" s="884"/>
      <c r="F3" s="884"/>
      <c r="G3" s="884"/>
      <c r="H3" s="884"/>
      <c r="I3" s="884"/>
      <c r="J3" s="884"/>
      <c r="K3" s="884"/>
      <c r="L3" s="884"/>
      <c r="M3" s="884"/>
      <c r="N3" s="884"/>
      <c r="O3" s="884"/>
    </row>
    <row r="4" spans="2:17">
      <c r="B4" s="885" t="str">
        <f>+CA!B18</f>
        <v>TRA COUPE</v>
      </c>
      <c r="C4" s="884">
        <f>+SUM(CA!C19:C22)</f>
        <v>623609000</v>
      </c>
      <c r="D4" s="884">
        <f>+SUM(CA!D19:D22)</f>
        <v>627382000</v>
      </c>
      <c r="E4" s="884">
        <f>+SUM(CA!E19:E22)</f>
        <v>623609000</v>
      </c>
      <c r="F4" s="884">
        <f>+SUM(CA!F19:F22)</f>
        <v>627382000</v>
      </c>
      <c r="G4" s="884">
        <f>+SUM(CA!G19:G22)</f>
        <v>623609000</v>
      </c>
      <c r="H4" s="884">
        <f>+SUM(CA!H19:H22)</f>
        <v>627382000</v>
      </c>
      <c r="I4" s="884">
        <f>+SUM(CA!I19:I22)</f>
        <v>623609000</v>
      </c>
      <c r="J4" s="884">
        <f>+SUM(CA!J19:J22)</f>
        <v>627382000</v>
      </c>
      <c r="K4" s="884">
        <f>+SUM(CA!K19:K22)</f>
        <v>623609000</v>
      </c>
      <c r="L4" s="884">
        <f>+SUM(CA!L19:L22)</f>
        <v>627382000</v>
      </c>
      <c r="M4" s="884">
        <f>+SUM(CA!M19:M22)</f>
        <v>623609000</v>
      </c>
      <c r="N4" s="884">
        <f>+SUM(CA!N19:N22)</f>
        <v>627382000</v>
      </c>
      <c r="O4" s="884">
        <f t="shared" ref="O4:O9" si="0">+SUM(C4:N4)</f>
        <v>7505946000</v>
      </c>
      <c r="P4" s="861"/>
      <c r="Q4" s="861"/>
    </row>
    <row r="5" spans="2:17">
      <c r="B5" s="885" t="str">
        <f>+CA!B23</f>
        <v>ABR COUPE</v>
      </c>
      <c r="C5" s="884">
        <f>+SUM(CA!C24:C27)</f>
        <v>593082000</v>
      </c>
      <c r="D5" s="884">
        <f>+SUM(CA!D24:D27)</f>
        <v>593082000</v>
      </c>
      <c r="E5" s="884">
        <f>+SUM(CA!E24:E27)</f>
        <v>593082000</v>
      </c>
      <c r="F5" s="884">
        <f>+SUM(CA!F24:F27)</f>
        <v>593082000</v>
      </c>
      <c r="G5" s="884">
        <f>+SUM(CA!G24:G27)</f>
        <v>593082000</v>
      </c>
      <c r="H5" s="884">
        <f>+SUM(CA!H24:H27)</f>
        <v>593082000</v>
      </c>
      <c r="I5" s="884">
        <f>+SUM(CA!I24:I27)</f>
        <v>593082000</v>
      </c>
      <c r="J5" s="884">
        <f>+SUM(CA!J24:J27)</f>
        <v>593082000</v>
      </c>
      <c r="K5" s="884">
        <f>+SUM(CA!K24:K27)</f>
        <v>593082000</v>
      </c>
      <c r="L5" s="884">
        <f>+SUM(CA!L24:L27)</f>
        <v>593082000</v>
      </c>
      <c r="M5" s="884">
        <f>+SUM(CA!M24:M27)</f>
        <v>593082000</v>
      </c>
      <c r="N5" s="884">
        <f>+SUM(CA!N24:N27)</f>
        <v>593082000</v>
      </c>
      <c r="O5" s="884">
        <f t="shared" si="0"/>
        <v>7116984000</v>
      </c>
      <c r="P5" s="861"/>
      <c r="Q5" s="861"/>
    </row>
    <row r="6" spans="2:17">
      <c r="B6" s="885" t="str">
        <f>+CA!B28</f>
        <v>FP1 COUPE</v>
      </c>
      <c r="C6" s="884">
        <f>+CA!C28</f>
        <v>0</v>
      </c>
      <c r="D6" s="884">
        <f>+CA!D28</f>
        <v>0</v>
      </c>
      <c r="E6" s="884">
        <f>+CA!E28</f>
        <v>0</v>
      </c>
      <c r="F6" s="884">
        <f>+CA!F28</f>
        <v>0</v>
      </c>
      <c r="G6" s="884">
        <f>+CA!G28</f>
        <v>0</v>
      </c>
      <c r="H6" s="884">
        <f>+CA!H28</f>
        <v>0</v>
      </c>
      <c r="I6" s="884">
        <f>+CA!I28</f>
        <v>0</v>
      </c>
      <c r="J6" s="884">
        <f>+CA!J28</f>
        <v>0</v>
      </c>
      <c r="K6" s="884">
        <f>+CA!K28</f>
        <v>0</v>
      </c>
      <c r="L6" s="884">
        <f>+CA!L28</f>
        <v>0</v>
      </c>
      <c r="M6" s="884">
        <f>+CA!M28</f>
        <v>0</v>
      </c>
      <c r="N6" s="884">
        <f>+CA!N28</f>
        <v>0</v>
      </c>
      <c r="O6" s="884">
        <f t="shared" si="0"/>
        <v>0</v>
      </c>
      <c r="P6" s="861"/>
      <c r="Q6" s="861"/>
    </row>
    <row r="7" spans="2:17">
      <c r="B7" s="885" t="str">
        <f>+CA!B30</f>
        <v xml:space="preserve">LOYER VILLA BERYL BAS </v>
      </c>
      <c r="C7" s="884">
        <f>+CA!C30</f>
        <v>1050000</v>
      </c>
      <c r="D7" s="884">
        <f>+CA!D30</f>
        <v>1050000</v>
      </c>
      <c r="E7" s="884">
        <f>+CA!E30</f>
        <v>1050000</v>
      </c>
      <c r="F7" s="884">
        <f>+CA!F30</f>
        <v>1050000</v>
      </c>
      <c r="G7" s="884">
        <f>+CA!G30</f>
        <v>1050000</v>
      </c>
      <c r="H7" s="884">
        <f>+CA!H30</f>
        <v>1050000</v>
      </c>
      <c r="I7" s="884">
        <f>+CA!I30</f>
        <v>1050000</v>
      </c>
      <c r="J7" s="884">
        <f>+CA!J30</f>
        <v>1050000</v>
      </c>
      <c r="K7" s="884">
        <f>+CA!K30</f>
        <v>1050000</v>
      </c>
      <c r="L7" s="884">
        <f>+CA!L30</f>
        <v>1050000</v>
      </c>
      <c r="M7" s="884">
        <f>+CA!M30</f>
        <v>1050000</v>
      </c>
      <c r="N7" s="884">
        <f>+CA!N30</f>
        <v>1050000</v>
      </c>
      <c r="O7" s="884">
        <f t="shared" si="0"/>
        <v>12600000</v>
      </c>
      <c r="P7" s="861"/>
      <c r="Q7" s="861"/>
    </row>
    <row r="8" spans="2:17">
      <c r="B8" s="885" t="str">
        <f>+CA!B31</f>
        <v>LOYER VILLA BERYL HAUT</v>
      </c>
      <c r="C8" s="884">
        <f>+CA!C31</f>
        <v>918750</v>
      </c>
      <c r="D8" s="884">
        <f>+CA!D31</f>
        <v>918750</v>
      </c>
      <c r="E8" s="884">
        <f>+CA!E31</f>
        <v>918750</v>
      </c>
      <c r="F8" s="884">
        <f>+CA!F31</f>
        <v>918750</v>
      </c>
      <c r="G8" s="884">
        <f>+CA!G31</f>
        <v>918750</v>
      </c>
      <c r="H8" s="884">
        <f>+CA!H31</f>
        <v>918750</v>
      </c>
      <c r="I8" s="884">
        <f>+CA!I31</f>
        <v>918750</v>
      </c>
      <c r="J8" s="884">
        <f>+CA!J31</f>
        <v>918750</v>
      </c>
      <c r="K8" s="884">
        <f>+CA!K31</f>
        <v>918750</v>
      </c>
      <c r="L8" s="884">
        <f>+CA!L31</f>
        <v>918750</v>
      </c>
      <c r="M8" s="884">
        <f>+CA!M31</f>
        <v>918750</v>
      </c>
      <c r="N8" s="884">
        <f>+CA!N31</f>
        <v>918750</v>
      </c>
      <c r="O8" s="884">
        <f t="shared" si="0"/>
        <v>11025000</v>
      </c>
      <c r="P8" s="861"/>
      <c r="Q8" s="861"/>
    </row>
    <row r="9" spans="2:17">
      <c r="B9" s="883" t="s">
        <v>1759</v>
      </c>
      <c r="C9" s="884">
        <f>IFERROR(+Production!D65,"")</f>
        <v>19009890.279635184</v>
      </c>
      <c r="D9" s="884">
        <f>IFERROR(+Production!E65,"")</f>
        <v>18717430.429179259</v>
      </c>
      <c r="E9" s="884">
        <f>IFERROR(+Production!F65,"")</f>
        <v>19009890.279635191</v>
      </c>
      <c r="F9" s="884">
        <f>IFERROR(+Production!G65,"")</f>
        <v>18717430.429179251</v>
      </c>
      <c r="G9" s="884">
        <f>IFERROR(+Production!H65,"")</f>
        <v>19009890.279635191</v>
      </c>
      <c r="H9" s="884">
        <f>IFERROR(+Production!I65,"")</f>
        <v>18717430.429179251</v>
      </c>
      <c r="I9" s="884">
        <f>IFERROR(+Production!J65,"")</f>
        <v>19009890.279635191</v>
      </c>
      <c r="J9" s="884">
        <f>IFERROR(+Production!K65,"")</f>
        <v>18717430.429179251</v>
      </c>
      <c r="K9" s="884">
        <f>IFERROR(+Production!L65,"")</f>
        <v>-20472189.5319148</v>
      </c>
      <c r="L9" s="884">
        <f>IFERROR(+Production!M65,"")</f>
        <v>-19302350.130091116</v>
      </c>
      <c r="M9" s="884">
        <f>IFERROR(+Production!N65,"")</f>
        <v>-20472189.531914815</v>
      </c>
      <c r="N9" s="884">
        <f>IFERROR(+Production!O65,"")</f>
        <v>-19302350.130091116</v>
      </c>
      <c r="O9" s="884">
        <f t="shared" si="0"/>
        <v>71360203.511245921</v>
      </c>
      <c r="P9" s="861"/>
      <c r="Q9" s="861"/>
    </row>
    <row r="10" spans="2:17">
      <c r="B10" s="894" t="s">
        <v>568</v>
      </c>
      <c r="C10" s="895">
        <f>SUM(C3:C9)</f>
        <v>1237669640.2796352</v>
      </c>
      <c r="D10" s="895">
        <f t="shared" ref="D10:O10" si="1">SUM(D3:D9)</f>
        <v>1241150180.4291792</v>
      </c>
      <c r="E10" s="895">
        <f t="shared" si="1"/>
        <v>1237669640.2796352</v>
      </c>
      <c r="F10" s="895">
        <f t="shared" si="1"/>
        <v>1241150180.4291792</v>
      </c>
      <c r="G10" s="895">
        <f t="shared" si="1"/>
        <v>1237669640.2796352</v>
      </c>
      <c r="H10" s="895">
        <f t="shared" si="1"/>
        <v>1241150180.4291792</v>
      </c>
      <c r="I10" s="895">
        <f t="shared" si="1"/>
        <v>1237669640.2796352</v>
      </c>
      <c r="J10" s="895">
        <f t="shared" si="1"/>
        <v>1241150180.4291792</v>
      </c>
      <c r="K10" s="895">
        <f t="shared" si="1"/>
        <v>1198187560.4680853</v>
      </c>
      <c r="L10" s="895">
        <f t="shared" si="1"/>
        <v>1203130399.8699088</v>
      </c>
      <c r="M10" s="895">
        <f t="shared" si="1"/>
        <v>1198187560.4680853</v>
      </c>
      <c r="N10" s="895">
        <f t="shared" si="1"/>
        <v>1203130399.8699088</v>
      </c>
      <c r="O10" s="895">
        <f t="shared" si="1"/>
        <v>14717915203.511246</v>
      </c>
      <c r="P10" s="861">
        <f>+CA!O32-O10+O9</f>
        <v>1.9371509552001953E-7</v>
      </c>
      <c r="Q10" s="861"/>
    </row>
    <row r="11" spans="2:17">
      <c r="B11" s="883" t="s">
        <v>569</v>
      </c>
      <c r="C11" s="884">
        <f>+Achat!D29</f>
        <v>242186910</v>
      </c>
      <c r="D11" s="884">
        <f>+Achat!E29</f>
        <v>242925480</v>
      </c>
      <c r="E11" s="884">
        <f>+Achat!F29</f>
        <v>242186910</v>
      </c>
      <c r="F11" s="884">
        <f>+Achat!G29</f>
        <v>242925480</v>
      </c>
      <c r="G11" s="884">
        <f>+Achat!H29</f>
        <v>242186910</v>
      </c>
      <c r="H11" s="884">
        <f>+Achat!I29</f>
        <v>253425480</v>
      </c>
      <c r="I11" s="884">
        <f>+Achat!J29</f>
        <v>242186910</v>
      </c>
      <c r="J11" s="884">
        <f>+Achat!K29</f>
        <v>242925480</v>
      </c>
      <c r="K11" s="884">
        <f>+Achat!L29</f>
        <v>239768077.5</v>
      </c>
      <c r="L11" s="884">
        <f>+Achat!M29</f>
        <v>240906645</v>
      </c>
      <c r="M11" s="884">
        <f>+Achat!N29</f>
        <v>239768077.5</v>
      </c>
      <c r="N11" s="884">
        <f>+Achat!O29</f>
        <v>251406645</v>
      </c>
      <c r="O11" s="884">
        <f>SUM(C11:N11)</f>
        <v>2922799005</v>
      </c>
      <c r="P11" s="861">
        <f>+Achat!P31-O11</f>
        <v>0</v>
      </c>
      <c r="Q11" s="861"/>
    </row>
    <row r="12" spans="2:17">
      <c r="B12" s="883" t="s">
        <v>570</v>
      </c>
      <c r="C12" s="884">
        <f>+Prestation!D71</f>
        <v>484166287.5</v>
      </c>
      <c r="D12" s="884">
        <f>+Prestation!E71</f>
        <v>484625400</v>
      </c>
      <c r="E12" s="884">
        <f>+Prestation!F71</f>
        <v>501953287.5</v>
      </c>
      <c r="F12" s="884">
        <f>+Prestation!G71</f>
        <v>485423400</v>
      </c>
      <c r="G12" s="884">
        <f>+Prestation!H71</f>
        <v>494603287.5</v>
      </c>
      <c r="H12" s="884">
        <f>+Prestation!I71</f>
        <v>502475400</v>
      </c>
      <c r="I12" s="884">
        <f>+Prestation!J71</f>
        <v>484166287.5</v>
      </c>
      <c r="J12" s="884">
        <f>+Prestation!K71</f>
        <v>485360400</v>
      </c>
      <c r="K12" s="884">
        <f>+Prestation!L71</f>
        <v>485323256.25</v>
      </c>
      <c r="L12" s="884">
        <f>+Prestation!M71</f>
        <v>468393712.5</v>
      </c>
      <c r="M12" s="884">
        <f>+Prestation!N71</f>
        <v>467473256.25</v>
      </c>
      <c r="N12" s="884">
        <f>+Prestation!O71</f>
        <v>492165712.5</v>
      </c>
      <c r="O12" s="884">
        <f>+Prestation!P71</f>
        <v>5836129687.5</v>
      </c>
      <c r="P12" s="861">
        <f>+Prestation!P71-O12</f>
        <v>0</v>
      </c>
      <c r="Q12" s="861"/>
    </row>
    <row r="13" spans="2:17">
      <c r="B13" s="894" t="s">
        <v>571</v>
      </c>
      <c r="C13" s="895">
        <f t="shared" ref="C13:N13" si="2">SUM(C11:C12)</f>
        <v>726353197.5</v>
      </c>
      <c r="D13" s="895">
        <f t="shared" si="2"/>
        <v>727550880</v>
      </c>
      <c r="E13" s="895">
        <f t="shared" si="2"/>
        <v>744140197.5</v>
      </c>
      <c r="F13" s="895">
        <f t="shared" si="2"/>
        <v>728348880</v>
      </c>
      <c r="G13" s="895">
        <f t="shared" si="2"/>
        <v>736790197.5</v>
      </c>
      <c r="H13" s="895">
        <f t="shared" si="2"/>
        <v>755900880</v>
      </c>
      <c r="I13" s="895">
        <f t="shared" si="2"/>
        <v>726353197.5</v>
      </c>
      <c r="J13" s="895">
        <f t="shared" si="2"/>
        <v>728285880</v>
      </c>
      <c r="K13" s="895">
        <f t="shared" si="2"/>
        <v>725091333.75</v>
      </c>
      <c r="L13" s="895">
        <f t="shared" si="2"/>
        <v>709300357.5</v>
      </c>
      <c r="M13" s="895">
        <f t="shared" si="2"/>
        <v>707241333.75</v>
      </c>
      <c r="N13" s="895">
        <f t="shared" si="2"/>
        <v>743572357.5</v>
      </c>
      <c r="O13" s="895">
        <f>SUM(C13:N13)</f>
        <v>8758928692.5</v>
      </c>
      <c r="P13" s="861"/>
      <c r="Q13" s="861"/>
    </row>
    <row r="14" spans="2:17">
      <c r="B14" s="894" t="s">
        <v>572</v>
      </c>
      <c r="C14" s="895">
        <f t="shared" ref="C14:O14" si="3">C10-C13</f>
        <v>511316442.77963519</v>
      </c>
      <c r="D14" s="895">
        <f t="shared" si="3"/>
        <v>513599300.42917919</v>
      </c>
      <c r="E14" s="895">
        <f t="shared" si="3"/>
        <v>493529442.77963519</v>
      </c>
      <c r="F14" s="895">
        <f t="shared" si="3"/>
        <v>512801300.42917919</v>
      </c>
      <c r="G14" s="895">
        <f t="shared" si="3"/>
        <v>500879442.77963519</v>
      </c>
      <c r="H14" s="895">
        <f t="shared" si="3"/>
        <v>485249300.42917919</v>
      </c>
      <c r="I14" s="895">
        <f t="shared" si="3"/>
        <v>511316442.77963519</v>
      </c>
      <c r="J14" s="895">
        <f t="shared" si="3"/>
        <v>512864300.42917919</v>
      </c>
      <c r="K14" s="895">
        <f t="shared" si="3"/>
        <v>473096226.71808529</v>
      </c>
      <c r="L14" s="895">
        <f t="shared" si="3"/>
        <v>493830042.36990881</v>
      </c>
      <c r="M14" s="895">
        <f t="shared" si="3"/>
        <v>490946226.71808529</v>
      </c>
      <c r="N14" s="895">
        <f t="shared" si="3"/>
        <v>459558042.36990881</v>
      </c>
      <c r="O14" s="895">
        <f t="shared" si="3"/>
        <v>5958986511.0112457</v>
      </c>
      <c r="P14" s="861"/>
      <c r="Q14" s="861"/>
    </row>
    <row r="15" spans="2:17">
      <c r="B15" s="858" t="s">
        <v>573</v>
      </c>
      <c r="C15" s="884">
        <f>+Sal!D174</f>
        <v>61500056</v>
      </c>
      <c r="D15" s="884">
        <f>+Sal!E174</f>
        <v>61591860</v>
      </c>
      <c r="E15" s="884">
        <f>+Sal!F174</f>
        <v>61500056</v>
      </c>
      <c r="F15" s="884">
        <f>+Sal!G174</f>
        <v>61591860</v>
      </c>
      <c r="G15" s="884">
        <f>+Sal!H174</f>
        <v>61500056</v>
      </c>
      <c r="H15" s="884">
        <f>+Sal!I174</f>
        <v>61591860</v>
      </c>
      <c r="I15" s="884">
        <f>+Sal!J174</f>
        <v>61500056</v>
      </c>
      <c r="J15" s="884">
        <f>+Sal!K174</f>
        <v>61591860</v>
      </c>
      <c r="K15" s="884">
        <f>+Sal!L174</f>
        <v>60269080</v>
      </c>
      <c r="L15" s="884">
        <f>+Sal!M174</f>
        <v>60404426</v>
      </c>
      <c r="M15" s="884">
        <f>+Sal!N174</f>
        <v>60269080</v>
      </c>
      <c r="N15" s="884">
        <f>+Sal!O174</f>
        <v>60404426</v>
      </c>
      <c r="O15" s="884">
        <f>SUM(C15:N15)</f>
        <v>733714676</v>
      </c>
      <c r="P15" s="861">
        <f>+Sal!P174-O15</f>
        <v>0</v>
      </c>
      <c r="Q15" s="861"/>
    </row>
    <row r="16" spans="2:17">
      <c r="B16" s="883" t="s">
        <v>574</v>
      </c>
      <c r="C16" s="884">
        <f>+'I&amp;T'!D12</f>
        <v>63684550</v>
      </c>
      <c r="D16" s="884">
        <f>+'I&amp;T'!E12</f>
        <v>63873200</v>
      </c>
      <c r="E16" s="884">
        <f>+'I&amp;T'!F12</f>
        <v>88684550</v>
      </c>
      <c r="F16" s="884">
        <f>+'I&amp;T'!G12</f>
        <v>63873200</v>
      </c>
      <c r="G16" s="884">
        <f>+'I&amp;T'!H12</f>
        <v>63684550</v>
      </c>
      <c r="H16" s="884">
        <f>+'I&amp;T'!I12</f>
        <v>65473200</v>
      </c>
      <c r="I16" s="884">
        <f>+'I&amp;T'!J12</f>
        <v>63684550</v>
      </c>
      <c r="J16" s="884">
        <f>+'I&amp;T'!K12</f>
        <v>63873200</v>
      </c>
      <c r="K16" s="884">
        <f>+'I&amp;T'!L12</f>
        <v>63684550</v>
      </c>
      <c r="L16" s="884">
        <f>+'I&amp;T'!M12</f>
        <v>63873200</v>
      </c>
      <c r="M16" s="884">
        <f>+'I&amp;T'!N12</f>
        <v>63684550</v>
      </c>
      <c r="N16" s="884">
        <f>+'I&amp;T'!O12</f>
        <v>63873200</v>
      </c>
      <c r="O16" s="884">
        <f>SUM(C16:N16)</f>
        <v>791946500</v>
      </c>
      <c r="P16" s="861">
        <f>+'I&amp;T'!P12-O16</f>
        <v>0</v>
      </c>
      <c r="Q16" s="861"/>
    </row>
    <row r="17" spans="2:21">
      <c r="B17" s="894" t="s">
        <v>575</v>
      </c>
      <c r="C17" s="895">
        <f t="shared" ref="C17:N17" si="4">C14-C15-C16</f>
        <v>386131836.77963519</v>
      </c>
      <c r="D17" s="895">
        <f t="shared" si="4"/>
        <v>388134240.42917919</v>
      </c>
      <c r="E17" s="895">
        <f t="shared" si="4"/>
        <v>343344836.77963519</v>
      </c>
      <c r="F17" s="895">
        <f t="shared" si="4"/>
        <v>387336240.42917919</v>
      </c>
      <c r="G17" s="895">
        <f t="shared" si="4"/>
        <v>375694836.77963519</v>
      </c>
      <c r="H17" s="895">
        <f t="shared" si="4"/>
        <v>358184240.42917919</v>
      </c>
      <c r="I17" s="895">
        <f t="shared" si="4"/>
        <v>386131836.77963519</v>
      </c>
      <c r="J17" s="895">
        <f t="shared" si="4"/>
        <v>387399240.42917919</v>
      </c>
      <c r="K17" s="895">
        <f t="shared" si="4"/>
        <v>349142596.71808529</v>
      </c>
      <c r="L17" s="895">
        <f t="shared" si="4"/>
        <v>369552416.36990881</v>
      </c>
      <c r="M17" s="895">
        <f t="shared" si="4"/>
        <v>366992596.71808529</v>
      </c>
      <c r="N17" s="895">
        <f t="shared" si="4"/>
        <v>335280416.36990881</v>
      </c>
      <c r="O17" s="895">
        <f>SUM(C17:N17)</f>
        <v>4433325335.0112457</v>
      </c>
      <c r="P17" s="861"/>
      <c r="Q17" s="861"/>
    </row>
    <row r="18" spans="2:21">
      <c r="B18" s="883" t="s">
        <v>576</v>
      </c>
      <c r="C18" s="884">
        <v>0</v>
      </c>
      <c r="D18" s="884">
        <v>0</v>
      </c>
      <c r="E18" s="884">
        <v>0</v>
      </c>
      <c r="F18" s="884">
        <v>0</v>
      </c>
      <c r="G18" s="884">
        <v>0</v>
      </c>
      <c r="H18" s="884">
        <v>0</v>
      </c>
      <c r="I18" s="884">
        <v>0</v>
      </c>
      <c r="J18" s="884">
        <v>0</v>
      </c>
      <c r="K18" s="884">
        <v>0</v>
      </c>
      <c r="L18" s="884">
        <v>0</v>
      </c>
      <c r="M18" s="884">
        <v>0</v>
      </c>
      <c r="N18" s="884">
        <v>0</v>
      </c>
      <c r="O18" s="884">
        <f>+SUM(C18:N18)</f>
        <v>0</v>
      </c>
      <c r="P18" s="861"/>
      <c r="Q18" s="861"/>
    </row>
    <row r="19" spans="2:21">
      <c r="B19" s="883" t="s">
        <v>577</v>
      </c>
      <c r="C19" s="884">
        <f>+Autres!C5</f>
        <v>0</v>
      </c>
      <c r="D19" s="884">
        <f>+Autres!D5</f>
        <v>0</v>
      </c>
      <c r="E19" s="884">
        <f>+Autres!E5</f>
        <v>100000</v>
      </c>
      <c r="F19" s="884">
        <f>+Autres!F5</f>
        <v>0</v>
      </c>
      <c r="G19" s="884">
        <f>+Autres!G5</f>
        <v>0</v>
      </c>
      <c r="H19" s="884">
        <f>+Autres!H5</f>
        <v>100000</v>
      </c>
      <c r="I19" s="884">
        <f>+Autres!I5</f>
        <v>0</v>
      </c>
      <c r="J19" s="884">
        <f>+Autres!J5</f>
        <v>0</v>
      </c>
      <c r="K19" s="884">
        <f>+Autres!K5</f>
        <v>100000</v>
      </c>
      <c r="L19" s="884">
        <f>+Autres!L5</f>
        <v>0</v>
      </c>
      <c r="M19" s="884">
        <f>+Autres!M5</f>
        <v>0</v>
      </c>
      <c r="N19" s="884">
        <f>+Autres!N5</f>
        <v>5500000</v>
      </c>
      <c r="O19" s="884">
        <f>+SUM(C19:N19)</f>
        <v>5800000</v>
      </c>
      <c r="P19" s="861">
        <f>+Autres!O5-O19</f>
        <v>0</v>
      </c>
      <c r="Q19" s="861"/>
    </row>
    <row r="20" spans="2:21">
      <c r="B20" s="858" t="s">
        <v>578</v>
      </c>
      <c r="C20" s="884">
        <f>+Amort!C15</f>
        <v>5894090.6617838535</v>
      </c>
      <c r="D20" s="884">
        <f>+Amort!D15</f>
        <v>11456590.661783855</v>
      </c>
      <c r="E20" s="884">
        <f>+Amort!E15</f>
        <v>11456590.661783855</v>
      </c>
      <c r="F20" s="884">
        <f>+Amort!F15</f>
        <v>11456590.661783855</v>
      </c>
      <c r="G20" s="884">
        <f>+Amort!G15</f>
        <v>11456590.661783855</v>
      </c>
      <c r="H20" s="884">
        <f>+Amort!H15</f>
        <v>11456590.661783855</v>
      </c>
      <c r="I20" s="884">
        <f>+Amort!I15</f>
        <v>11456590.661783855</v>
      </c>
      <c r="J20" s="884">
        <f>+Amort!J15</f>
        <v>11456590.661783855</v>
      </c>
      <c r="K20" s="884">
        <f>+Amort!K15</f>
        <v>11456590.661783855</v>
      </c>
      <c r="L20" s="884">
        <f>+Amort!L15</f>
        <v>11456590.661783855</v>
      </c>
      <c r="M20" s="884">
        <f>+Amort!M15</f>
        <v>11456590.661783855</v>
      </c>
      <c r="N20" s="884">
        <f>+Amort!N15</f>
        <v>11456590.661783855</v>
      </c>
      <c r="O20" s="884">
        <f>+SUM(C20:N20)</f>
        <v>131916587.94140629</v>
      </c>
      <c r="P20" s="861">
        <f>+Amort!O15-O20</f>
        <v>0</v>
      </c>
      <c r="Q20" s="861"/>
    </row>
    <row r="21" spans="2:21">
      <c r="B21" s="858" t="s">
        <v>579</v>
      </c>
      <c r="C21" s="884">
        <v>0</v>
      </c>
      <c r="D21" s="884">
        <v>0</v>
      </c>
      <c r="E21" s="884">
        <v>0</v>
      </c>
      <c r="F21" s="884">
        <v>0</v>
      </c>
      <c r="G21" s="884">
        <v>0</v>
      </c>
      <c r="H21" s="884">
        <v>0</v>
      </c>
      <c r="I21" s="884">
        <v>0</v>
      </c>
      <c r="J21" s="884">
        <v>0</v>
      </c>
      <c r="K21" s="884">
        <v>0</v>
      </c>
      <c r="L21" s="884">
        <v>0</v>
      </c>
      <c r="M21" s="884">
        <v>0</v>
      </c>
      <c r="N21" s="884">
        <v>0</v>
      </c>
      <c r="O21" s="884">
        <f>+SUM(C21:N21)</f>
        <v>0</v>
      </c>
      <c r="P21" s="861"/>
      <c r="Q21" s="861"/>
    </row>
    <row r="22" spans="2:21">
      <c r="B22" s="858" t="s">
        <v>580</v>
      </c>
      <c r="C22" s="884"/>
      <c r="D22" s="884"/>
      <c r="E22" s="884"/>
      <c r="F22" s="884"/>
      <c r="G22" s="884"/>
      <c r="H22" s="884"/>
      <c r="I22" s="884"/>
      <c r="J22" s="884"/>
      <c r="K22" s="884"/>
      <c r="L22" s="884"/>
      <c r="M22" s="884"/>
      <c r="N22" s="886"/>
      <c r="O22" s="884">
        <f>+SUM(C22:N22)</f>
        <v>0</v>
      </c>
      <c r="P22" s="861"/>
      <c r="Q22" s="861"/>
    </row>
    <row r="23" spans="2:21">
      <c r="B23" s="894" t="s">
        <v>581</v>
      </c>
      <c r="C23" s="895">
        <f t="shared" ref="C23:N23" si="5">C17+C18-C19-C20+C22</f>
        <v>380237746.11785132</v>
      </c>
      <c r="D23" s="895">
        <f t="shared" si="5"/>
        <v>376677649.76739532</v>
      </c>
      <c r="E23" s="895">
        <f t="shared" si="5"/>
        <v>331788246.11785132</v>
      </c>
      <c r="F23" s="895">
        <f t="shared" si="5"/>
        <v>375879649.76739532</v>
      </c>
      <c r="G23" s="895">
        <f t="shared" si="5"/>
        <v>364238246.11785132</v>
      </c>
      <c r="H23" s="895">
        <f t="shared" si="5"/>
        <v>346627649.76739532</v>
      </c>
      <c r="I23" s="895">
        <f t="shared" si="5"/>
        <v>374675246.11785132</v>
      </c>
      <c r="J23" s="895">
        <f t="shared" si="5"/>
        <v>375942649.76739532</v>
      </c>
      <c r="K23" s="895">
        <f t="shared" si="5"/>
        <v>337586006.05630141</v>
      </c>
      <c r="L23" s="895">
        <f t="shared" si="5"/>
        <v>358095825.70812494</v>
      </c>
      <c r="M23" s="895">
        <f t="shared" si="5"/>
        <v>355536006.05630141</v>
      </c>
      <c r="N23" s="895">
        <f t="shared" si="5"/>
        <v>318323825.70812494</v>
      </c>
      <c r="O23" s="895">
        <f>SUM(C23:N23)</f>
        <v>4295608747.0698395</v>
      </c>
      <c r="P23" s="861"/>
      <c r="Q23" s="861"/>
    </row>
    <row r="24" spans="2:21">
      <c r="B24" s="858" t="s">
        <v>582</v>
      </c>
      <c r="C24" s="884">
        <v>0</v>
      </c>
      <c r="D24" s="884">
        <v>0</v>
      </c>
      <c r="E24" s="884">
        <v>0</v>
      </c>
      <c r="F24" s="884">
        <v>0</v>
      </c>
      <c r="G24" s="884">
        <v>0</v>
      </c>
      <c r="H24" s="884">
        <v>0</v>
      </c>
      <c r="I24" s="884">
        <v>0</v>
      </c>
      <c r="J24" s="884">
        <v>0</v>
      </c>
      <c r="K24" s="884">
        <v>0</v>
      </c>
      <c r="L24" s="884">
        <v>0</v>
      </c>
      <c r="M24" s="884">
        <v>0</v>
      </c>
      <c r="N24" s="884">
        <v>0</v>
      </c>
      <c r="O24" s="884">
        <f>SUM(C24:N24)</f>
        <v>0</v>
      </c>
      <c r="P24" s="861"/>
      <c r="Q24" s="861"/>
    </row>
    <row r="25" spans="2:21">
      <c r="B25" s="883" t="s">
        <v>583</v>
      </c>
      <c r="C25" s="884">
        <f>+'Frais financier'!C3</f>
        <v>66666666.666666664</v>
      </c>
      <c r="D25" s="884">
        <f>+'Frais financier'!D3</f>
        <v>66666666.666666664</v>
      </c>
      <c r="E25" s="884">
        <f>+'Frais financier'!E3</f>
        <v>66666666.666666664</v>
      </c>
      <c r="F25" s="884">
        <f>+'Frais financier'!F3</f>
        <v>66666666.666666664</v>
      </c>
      <c r="G25" s="884">
        <f>+'Frais financier'!G3</f>
        <v>66666666.666666664</v>
      </c>
      <c r="H25" s="884">
        <f>+'Frais financier'!H3</f>
        <v>66666666.666666664</v>
      </c>
      <c r="I25" s="884">
        <f>+'Frais financier'!I3</f>
        <v>66666666.666666664</v>
      </c>
      <c r="J25" s="884">
        <f>+'Frais financier'!J3</f>
        <v>64935804.845852904</v>
      </c>
      <c r="K25" s="884">
        <f>+'Frais financier'!K3</f>
        <v>63176095.328025587</v>
      </c>
      <c r="L25" s="884">
        <f>+'Frais financier'!L3</f>
        <v>61387057.318234473</v>
      </c>
      <c r="M25" s="884">
        <f>+'Frais financier'!M3</f>
        <v>59568202.00828018</v>
      </c>
      <c r="N25" s="884">
        <f>+'Frais financier'!N3</f>
        <v>57719032.443159983</v>
      </c>
      <c r="O25" s="884">
        <f>SUM(C25:N25)</f>
        <v>773452858.61021972</v>
      </c>
      <c r="P25" s="861">
        <f>+'Frais financier'!O4-O25</f>
        <v>0</v>
      </c>
      <c r="Q25" s="861"/>
    </row>
    <row r="26" spans="2:21">
      <c r="B26" s="894" t="s">
        <v>584</v>
      </c>
      <c r="C26" s="895">
        <f>+C24-C25</f>
        <v>-66666666.666666664</v>
      </c>
      <c r="D26" s="895">
        <f>+D24-D25</f>
        <v>-66666666.666666664</v>
      </c>
      <c r="E26" s="895">
        <f t="shared" ref="E26:O26" si="6">+E24-E25</f>
        <v>-66666666.666666664</v>
      </c>
      <c r="F26" s="895">
        <f t="shared" si="6"/>
        <v>-66666666.666666664</v>
      </c>
      <c r="G26" s="895">
        <f t="shared" si="6"/>
        <v>-66666666.666666664</v>
      </c>
      <c r="H26" s="895">
        <f t="shared" si="6"/>
        <v>-66666666.666666664</v>
      </c>
      <c r="I26" s="895">
        <f t="shared" si="6"/>
        <v>-66666666.666666664</v>
      </c>
      <c r="J26" s="895">
        <f t="shared" si="6"/>
        <v>-64935804.845852904</v>
      </c>
      <c r="K26" s="895">
        <f t="shared" si="6"/>
        <v>-63176095.328025587</v>
      </c>
      <c r="L26" s="895">
        <f t="shared" si="6"/>
        <v>-61387057.318234473</v>
      </c>
      <c r="M26" s="895">
        <f t="shared" si="6"/>
        <v>-59568202.00828018</v>
      </c>
      <c r="N26" s="895">
        <f t="shared" si="6"/>
        <v>-57719032.443159983</v>
      </c>
      <c r="O26" s="895">
        <f t="shared" si="6"/>
        <v>-773452858.61021972</v>
      </c>
      <c r="P26" s="861"/>
      <c r="Q26" s="861"/>
    </row>
    <row r="27" spans="2:21">
      <c r="B27" s="894" t="s">
        <v>585</v>
      </c>
      <c r="C27" s="895">
        <f t="shared" ref="C27:N27" si="7">C23+C26</f>
        <v>313571079.45118463</v>
      </c>
      <c r="D27" s="895">
        <f t="shared" si="7"/>
        <v>310010983.10072863</v>
      </c>
      <c r="E27" s="895">
        <f>E23+E26</f>
        <v>265121579.45118466</v>
      </c>
      <c r="F27" s="895">
        <f t="shared" si="7"/>
        <v>309212983.10072863</v>
      </c>
      <c r="G27" s="895">
        <f t="shared" si="7"/>
        <v>297571579.45118463</v>
      </c>
      <c r="H27" s="895">
        <f t="shared" si="7"/>
        <v>279960983.10072863</v>
      </c>
      <c r="I27" s="895">
        <f t="shared" si="7"/>
        <v>308008579.45118463</v>
      </c>
      <c r="J27" s="895">
        <f t="shared" si="7"/>
        <v>311006844.92154241</v>
      </c>
      <c r="K27" s="895">
        <f t="shared" si="7"/>
        <v>274409910.72827584</v>
      </c>
      <c r="L27" s="895">
        <f t="shared" si="7"/>
        <v>296708768.38989043</v>
      </c>
      <c r="M27" s="895">
        <f t="shared" si="7"/>
        <v>295967804.04802126</v>
      </c>
      <c r="N27" s="895">
        <f t="shared" si="7"/>
        <v>260604793.26496494</v>
      </c>
      <c r="O27" s="895">
        <f>SUM(C27:N27)</f>
        <v>3522155888.4596195</v>
      </c>
      <c r="P27" s="861"/>
      <c r="Q27" s="861"/>
    </row>
    <row r="28" spans="2:21">
      <c r="B28" s="883" t="s">
        <v>586</v>
      </c>
      <c r="C28" s="887"/>
      <c r="D28" s="887"/>
      <c r="E28" s="887"/>
      <c r="F28" s="887"/>
      <c r="G28" s="887"/>
      <c r="H28" s="887"/>
      <c r="I28" s="887"/>
      <c r="J28" s="887"/>
      <c r="K28" s="887"/>
      <c r="L28" s="887"/>
      <c r="M28" s="887"/>
      <c r="N28" s="884">
        <f>ROUNDUP(IF((+O39-SUM(O42:O46)-SUM(O51:O57))&lt;0,O39*5/1000+320000,(+O39-SUM(O42:O46)-SUM(O51:O57))*0.2),-3)</f>
        <v>704432000</v>
      </c>
      <c r="O28" s="884">
        <f>+SUM(C28:N28)</f>
        <v>704432000</v>
      </c>
      <c r="P28" s="861"/>
      <c r="Q28" s="861"/>
    </row>
    <row r="29" spans="2:21">
      <c r="B29" s="883" t="s">
        <v>587</v>
      </c>
      <c r="C29" s="887">
        <v>0</v>
      </c>
      <c r="D29" s="887">
        <v>0</v>
      </c>
      <c r="E29" s="887">
        <v>0</v>
      </c>
      <c r="F29" s="887">
        <v>0</v>
      </c>
      <c r="G29" s="887">
        <v>0</v>
      </c>
      <c r="H29" s="887">
        <v>0</v>
      </c>
      <c r="I29" s="887">
        <v>0</v>
      </c>
      <c r="J29" s="887">
        <v>0</v>
      </c>
      <c r="K29" s="887">
        <v>0</v>
      </c>
      <c r="L29" s="887">
        <v>0</v>
      </c>
      <c r="M29" s="887">
        <v>0</v>
      </c>
      <c r="N29" s="887">
        <v>0</v>
      </c>
      <c r="O29" s="884"/>
      <c r="P29" s="861"/>
      <c r="Q29" s="861"/>
    </row>
    <row r="30" spans="2:21">
      <c r="B30" s="894" t="s">
        <v>588</v>
      </c>
      <c r="C30" s="895">
        <f t="shared" ref="C30:N30" si="8">C10+C18+C22+C24</f>
        <v>1237669640.2796352</v>
      </c>
      <c r="D30" s="895">
        <f t="shared" si="8"/>
        <v>1241150180.4291792</v>
      </c>
      <c r="E30" s="895">
        <f t="shared" si="8"/>
        <v>1237669640.2796352</v>
      </c>
      <c r="F30" s="895">
        <f t="shared" si="8"/>
        <v>1241150180.4291792</v>
      </c>
      <c r="G30" s="895">
        <f t="shared" si="8"/>
        <v>1237669640.2796352</v>
      </c>
      <c r="H30" s="895">
        <f t="shared" si="8"/>
        <v>1241150180.4291792</v>
      </c>
      <c r="I30" s="895">
        <f t="shared" si="8"/>
        <v>1237669640.2796352</v>
      </c>
      <c r="J30" s="895">
        <f t="shared" si="8"/>
        <v>1241150180.4291792</v>
      </c>
      <c r="K30" s="895">
        <f t="shared" si="8"/>
        <v>1198187560.4680853</v>
      </c>
      <c r="L30" s="895">
        <f t="shared" si="8"/>
        <v>1203130399.8699088</v>
      </c>
      <c r="M30" s="895">
        <f t="shared" si="8"/>
        <v>1198187560.4680853</v>
      </c>
      <c r="N30" s="895">
        <f t="shared" si="8"/>
        <v>1203130399.8699088</v>
      </c>
      <c r="O30" s="895">
        <f>+SUM(C30:N30)</f>
        <v>14717915203.511248</v>
      </c>
      <c r="P30" s="861"/>
      <c r="Q30" s="861"/>
      <c r="R30" s="888"/>
      <c r="S30" s="888"/>
      <c r="T30" s="888"/>
    </row>
    <row r="31" spans="2:21">
      <c r="B31" s="894" t="s">
        <v>589</v>
      </c>
      <c r="C31" s="895">
        <f>C13+C15+C16+C19+C20+C25+C28+C29</f>
        <v>924098560.82845044</v>
      </c>
      <c r="D31" s="895">
        <f t="shared" ref="D31:N31" si="9">D13+D15+D16+D19+D20+D25+D28+D29</f>
        <v>931139197.32845044</v>
      </c>
      <c r="E31" s="895">
        <f t="shared" si="9"/>
        <v>972548060.82845044</v>
      </c>
      <c r="F31" s="895">
        <f t="shared" si="9"/>
        <v>931937197.32845044</v>
      </c>
      <c r="G31" s="895">
        <f t="shared" si="9"/>
        <v>940098060.82845044</v>
      </c>
      <c r="H31" s="895">
        <f t="shared" si="9"/>
        <v>961189197.32845044</v>
      </c>
      <c r="I31" s="895">
        <f t="shared" si="9"/>
        <v>929661060.82845044</v>
      </c>
      <c r="J31" s="895">
        <f t="shared" si="9"/>
        <v>930143335.50763667</v>
      </c>
      <c r="K31" s="895">
        <f t="shared" si="9"/>
        <v>923777649.73980939</v>
      </c>
      <c r="L31" s="895">
        <f t="shared" si="9"/>
        <v>906421631.48001826</v>
      </c>
      <c r="M31" s="895">
        <f t="shared" si="9"/>
        <v>902219756.42006397</v>
      </c>
      <c r="N31" s="895">
        <f t="shared" si="9"/>
        <v>1646957606.6049438</v>
      </c>
      <c r="O31" s="895">
        <f>SUM(C31:N31)</f>
        <v>11900191315.051626</v>
      </c>
      <c r="P31" s="861"/>
      <c r="Q31" s="861"/>
      <c r="R31" s="889"/>
      <c r="S31" s="889"/>
      <c r="T31" s="889"/>
      <c r="U31" s="890"/>
    </row>
    <row r="32" spans="2:21">
      <c r="B32" s="894" t="s">
        <v>590</v>
      </c>
      <c r="C32" s="895">
        <f t="shared" ref="C32:N32" si="10">+C30-C31</f>
        <v>313571079.45118475</v>
      </c>
      <c r="D32" s="895">
        <f t="shared" si="10"/>
        <v>310010983.10072875</v>
      </c>
      <c r="E32" s="895">
        <f>+E30-E31</f>
        <v>265121579.45118475</v>
      </c>
      <c r="F32" s="895">
        <f t="shared" si="10"/>
        <v>309212983.10072875</v>
      </c>
      <c r="G32" s="895">
        <f t="shared" si="10"/>
        <v>297571579.45118475</v>
      </c>
      <c r="H32" s="895">
        <f t="shared" si="10"/>
        <v>279960983.10072875</v>
      </c>
      <c r="I32" s="895">
        <f t="shared" si="10"/>
        <v>308008579.45118475</v>
      </c>
      <c r="J32" s="895">
        <f t="shared" si="10"/>
        <v>311006844.92154253</v>
      </c>
      <c r="K32" s="895">
        <f t="shared" si="10"/>
        <v>274409910.7282759</v>
      </c>
      <c r="L32" s="895">
        <f t="shared" si="10"/>
        <v>296708768.38989055</v>
      </c>
      <c r="M32" s="895">
        <f t="shared" si="10"/>
        <v>295967804.04802132</v>
      </c>
      <c r="N32" s="895">
        <f t="shared" si="10"/>
        <v>-443827206.73503494</v>
      </c>
      <c r="O32" s="895">
        <f>+O30-O31</f>
        <v>2817723888.4596214</v>
      </c>
      <c r="P32" s="861"/>
      <c r="Q32" s="861"/>
      <c r="R32" s="889"/>
      <c r="S32" s="889"/>
      <c r="T32" s="889"/>
      <c r="U32" s="890"/>
    </row>
    <row r="33" spans="2:20">
      <c r="B33" s="883" t="s">
        <v>591</v>
      </c>
      <c r="C33" s="886"/>
      <c r="D33" s="886"/>
      <c r="E33" s="886"/>
      <c r="F33" s="886"/>
      <c r="G33" s="886"/>
      <c r="H33" s="886"/>
      <c r="I33" s="886"/>
      <c r="J33" s="886"/>
      <c r="K33" s="886"/>
      <c r="L33" s="886"/>
      <c r="M33" s="886"/>
      <c r="N33" s="886"/>
      <c r="O33" s="884"/>
      <c r="P33" s="861"/>
      <c r="Q33" s="861"/>
      <c r="R33" s="862"/>
      <c r="S33" s="862"/>
      <c r="T33" s="862"/>
    </row>
    <row r="34" spans="2:20">
      <c r="B34" s="883" t="s">
        <v>592</v>
      </c>
      <c r="C34" s="886"/>
      <c r="D34" s="886"/>
      <c r="E34" s="886"/>
      <c r="F34" s="886"/>
      <c r="G34" s="886"/>
      <c r="H34" s="886"/>
      <c r="I34" s="886"/>
      <c r="J34" s="886"/>
      <c r="K34" s="886"/>
      <c r="L34" s="886"/>
      <c r="M34" s="886"/>
      <c r="N34" s="886"/>
      <c r="O34" s="884"/>
      <c r="P34" s="861"/>
      <c r="Q34" s="861"/>
    </row>
    <row r="35" spans="2:20">
      <c r="B35" s="894" t="s">
        <v>593</v>
      </c>
      <c r="C35" s="895">
        <v>0</v>
      </c>
      <c r="D35" s="895">
        <v>0</v>
      </c>
      <c r="E35" s="895">
        <v>0</v>
      </c>
      <c r="F35" s="895">
        <v>0</v>
      </c>
      <c r="G35" s="895">
        <v>0</v>
      </c>
      <c r="H35" s="895">
        <v>0</v>
      </c>
      <c r="I35" s="895">
        <v>0</v>
      </c>
      <c r="J35" s="895">
        <v>0</v>
      </c>
      <c r="K35" s="895">
        <v>0</v>
      </c>
      <c r="L35" s="895">
        <v>0</v>
      </c>
      <c r="M35" s="895">
        <v>0</v>
      </c>
      <c r="N35" s="895">
        <v>0</v>
      </c>
      <c r="O35" s="895">
        <v>0</v>
      </c>
      <c r="P35" s="861"/>
      <c r="Q35" s="861"/>
    </row>
    <row r="36" spans="2:20" ht="14.25" thickBot="1">
      <c r="B36" s="896" t="s">
        <v>594</v>
      </c>
      <c r="C36" s="897">
        <f t="shared" ref="C36:O36" si="11">C32+C35</f>
        <v>313571079.45118475</v>
      </c>
      <c r="D36" s="897">
        <f t="shared" si="11"/>
        <v>310010983.10072875</v>
      </c>
      <c r="E36" s="897">
        <f t="shared" si="11"/>
        <v>265121579.45118475</v>
      </c>
      <c r="F36" s="897">
        <f t="shared" si="11"/>
        <v>309212983.10072875</v>
      </c>
      <c r="G36" s="897">
        <f t="shared" si="11"/>
        <v>297571579.45118475</v>
      </c>
      <c r="H36" s="897">
        <f t="shared" si="11"/>
        <v>279960983.10072875</v>
      </c>
      <c r="I36" s="897">
        <f t="shared" si="11"/>
        <v>308008579.45118475</v>
      </c>
      <c r="J36" s="897">
        <f t="shared" si="11"/>
        <v>311006844.92154253</v>
      </c>
      <c r="K36" s="897">
        <f t="shared" si="11"/>
        <v>274409910.7282759</v>
      </c>
      <c r="L36" s="897">
        <f t="shared" si="11"/>
        <v>296708768.38989055</v>
      </c>
      <c r="M36" s="897">
        <f t="shared" si="11"/>
        <v>295967804.04802132</v>
      </c>
      <c r="N36" s="897">
        <f t="shared" si="11"/>
        <v>-443827206.73503494</v>
      </c>
      <c r="O36" s="897">
        <f t="shared" si="11"/>
        <v>2817723888.4596214</v>
      </c>
      <c r="P36" s="861"/>
      <c r="Q36" s="861"/>
    </row>
    <row r="37" spans="2:20" ht="14.25" thickBot="1">
      <c r="C37" s="861"/>
      <c r="O37" s="863">
        <f>+O36/O10</f>
        <v>0.19144857471304078</v>
      </c>
    </row>
    <row r="38" spans="2:20">
      <c r="B38" s="864" t="s">
        <v>922</v>
      </c>
      <c r="C38" s="865" t="str">
        <f t="shared" ref="C38:O38" si="12">+C2</f>
        <v>Janvier</v>
      </c>
      <c r="D38" s="865" t="str">
        <f t="shared" si="12"/>
        <v>Février</v>
      </c>
      <c r="E38" s="865" t="str">
        <f t="shared" si="12"/>
        <v>Mars</v>
      </c>
      <c r="F38" s="865" t="str">
        <f t="shared" si="12"/>
        <v>Avril</v>
      </c>
      <c r="G38" s="865" t="str">
        <f t="shared" si="12"/>
        <v>Mai</v>
      </c>
      <c r="H38" s="865" t="str">
        <f t="shared" si="12"/>
        <v>Juin</v>
      </c>
      <c r="I38" s="865" t="str">
        <f t="shared" si="12"/>
        <v>Juillet</v>
      </c>
      <c r="J38" s="865" t="str">
        <f t="shared" si="12"/>
        <v>Août</v>
      </c>
      <c r="K38" s="865" t="str">
        <f t="shared" si="12"/>
        <v>Septembre</v>
      </c>
      <c r="L38" s="865" t="str">
        <f t="shared" si="12"/>
        <v>Octobre</v>
      </c>
      <c r="M38" s="865" t="str">
        <f t="shared" si="12"/>
        <v>Novembre</v>
      </c>
      <c r="N38" s="865" t="str">
        <f t="shared" si="12"/>
        <v>Décembre</v>
      </c>
      <c r="O38" s="865" t="str">
        <f t="shared" si="12"/>
        <v>Total</v>
      </c>
    </row>
    <row r="39" spans="2:20">
      <c r="B39" s="866" t="s">
        <v>1311</v>
      </c>
      <c r="C39" s="862">
        <v>1237669640.2796352</v>
      </c>
      <c r="D39" s="862">
        <v>1241150180.4291792</v>
      </c>
      <c r="E39" s="862">
        <v>1237669640.2796352</v>
      </c>
      <c r="F39" s="862">
        <v>1241150180.4291792</v>
      </c>
      <c r="G39" s="862">
        <v>1237669640.2796352</v>
      </c>
      <c r="H39" s="862">
        <v>1241150180.4291792</v>
      </c>
      <c r="I39" s="862">
        <v>1237669640.2796352</v>
      </c>
      <c r="J39" s="862">
        <v>1241150180.4291792</v>
      </c>
      <c r="K39" s="862">
        <v>1198187560.4680853</v>
      </c>
      <c r="L39" s="862">
        <v>1203130399.8699088</v>
      </c>
      <c r="M39" s="862">
        <v>1198187560.4680853</v>
      </c>
      <c r="N39" s="862">
        <v>1203130399.8699088</v>
      </c>
      <c r="O39" s="862">
        <v>14717915203.511246</v>
      </c>
      <c r="P39" s="861">
        <f>+O39-O10</f>
        <v>0</v>
      </c>
      <c r="Q39" s="861"/>
    </row>
    <row r="40" spans="2:20" ht="6.75" customHeight="1">
      <c r="B40" s="866"/>
      <c r="C40" s="862"/>
      <c r="D40" s="862"/>
      <c r="E40" s="862"/>
      <c r="F40" s="862"/>
      <c r="G40" s="862"/>
      <c r="H40" s="862"/>
      <c r="I40" s="862"/>
      <c r="J40" s="862"/>
      <c r="K40" s="862"/>
      <c r="L40" s="862"/>
      <c r="M40" s="862"/>
      <c r="N40" s="862"/>
      <c r="O40" s="862"/>
    </row>
    <row r="41" spans="2:20">
      <c r="B41" s="867" t="s">
        <v>1310</v>
      </c>
      <c r="C41" s="868">
        <f>+SUM(C42:C47)</f>
        <v>806484503.5</v>
      </c>
      <c r="D41" s="868">
        <f t="shared" ref="D41:O41" si="13">+SUM(D42:D47)</f>
        <v>808222640</v>
      </c>
      <c r="E41" s="868">
        <f t="shared" si="13"/>
        <v>807331503.5</v>
      </c>
      <c r="F41" s="868">
        <f t="shared" si="13"/>
        <v>808260640</v>
      </c>
      <c r="G41" s="868">
        <f t="shared" si="13"/>
        <v>806981503.5</v>
      </c>
      <c r="H41" s="868">
        <f t="shared" si="13"/>
        <v>809572640</v>
      </c>
      <c r="I41" s="868">
        <f t="shared" si="13"/>
        <v>806484503.5</v>
      </c>
      <c r="J41" s="868">
        <f t="shared" si="13"/>
        <v>808257640</v>
      </c>
      <c r="K41" s="868">
        <f t="shared" si="13"/>
        <v>787051663.75</v>
      </c>
      <c r="L41" s="868">
        <f t="shared" si="13"/>
        <v>788724683.5</v>
      </c>
      <c r="M41" s="868">
        <f t="shared" si="13"/>
        <v>786201663.75</v>
      </c>
      <c r="N41" s="868">
        <f t="shared" si="13"/>
        <v>1494788683.5</v>
      </c>
      <c r="O41" s="868">
        <f t="shared" si="13"/>
        <v>10318362268.5</v>
      </c>
      <c r="Q41" s="861"/>
    </row>
    <row r="42" spans="2:20">
      <c r="B42" s="869" t="str">
        <f>+Achat!B39</f>
        <v>Achats variables</v>
      </c>
      <c r="C42" s="861">
        <f>+Achat!D39</f>
        <v>233092910</v>
      </c>
      <c r="D42" s="861">
        <f>+Achat!E39</f>
        <v>233831480</v>
      </c>
      <c r="E42" s="861">
        <f>+Achat!F39</f>
        <v>233092910</v>
      </c>
      <c r="F42" s="861">
        <f>+Achat!G39</f>
        <v>233831480</v>
      </c>
      <c r="G42" s="861">
        <f>+Achat!H39</f>
        <v>233092910</v>
      </c>
      <c r="H42" s="861">
        <f>+Achat!I39</f>
        <v>234331480</v>
      </c>
      <c r="I42" s="861">
        <f>+Achat!J39</f>
        <v>233092910</v>
      </c>
      <c r="J42" s="861">
        <f>+Achat!K39</f>
        <v>233831480</v>
      </c>
      <c r="K42" s="861">
        <f>+Achat!L39</f>
        <v>230674077.5</v>
      </c>
      <c r="L42" s="861">
        <f>+Achat!M39</f>
        <v>231812645</v>
      </c>
      <c r="M42" s="861">
        <f>+Achat!N39</f>
        <v>230674077.5</v>
      </c>
      <c r="N42" s="861">
        <f>+Achat!O39</f>
        <v>232312645</v>
      </c>
      <c r="O42" s="861">
        <f>SUM(C42:N42)</f>
        <v>2793671005</v>
      </c>
    </row>
    <row r="43" spans="2:20">
      <c r="B43" s="869" t="s">
        <v>1766</v>
      </c>
      <c r="C43" s="861"/>
      <c r="D43" s="861"/>
      <c r="E43" s="861"/>
      <c r="F43" s="861"/>
      <c r="G43" s="861"/>
      <c r="H43" s="861"/>
      <c r="I43" s="861"/>
      <c r="J43" s="861"/>
      <c r="K43" s="861"/>
      <c r="L43" s="861"/>
      <c r="M43" s="861"/>
      <c r="N43" s="861"/>
      <c r="O43" s="861">
        <f>SUM(C43:N43)</f>
        <v>0</v>
      </c>
    </row>
    <row r="44" spans="2:20">
      <c r="B44" s="869" t="str">
        <f>+Prestation!B84</f>
        <v>Prestations variables</v>
      </c>
      <c r="C44" s="861">
        <f>+Prestation!D84</f>
        <v>475370287.5</v>
      </c>
      <c r="D44" s="861">
        <f>+Prestation!E84</f>
        <v>476089400</v>
      </c>
      <c r="E44" s="861">
        <f>+Prestation!F84</f>
        <v>476217287.5</v>
      </c>
      <c r="F44" s="861">
        <f>+Prestation!G84</f>
        <v>476127400</v>
      </c>
      <c r="G44" s="861">
        <f>+Prestation!H84</f>
        <v>475867287.5</v>
      </c>
      <c r="H44" s="861">
        <f>+Prestation!I84</f>
        <v>476939400</v>
      </c>
      <c r="I44" s="861">
        <f>+Prestation!J84</f>
        <v>475370287.5</v>
      </c>
      <c r="J44" s="861">
        <f>+Prestation!K84</f>
        <v>476124400</v>
      </c>
      <c r="K44" s="861">
        <f>+Prestation!L84</f>
        <v>459587256.25</v>
      </c>
      <c r="L44" s="861">
        <f>+Prestation!M84</f>
        <v>459797712.5</v>
      </c>
      <c r="M44" s="861">
        <f>+Prestation!N84</f>
        <v>458737256.25</v>
      </c>
      <c r="N44" s="861">
        <f>+Prestation!O84</f>
        <v>460929712.5</v>
      </c>
      <c r="O44" s="861">
        <f t="shared" ref="O44:O47" si="14">SUM(C44:N44)</f>
        <v>5647157687.5</v>
      </c>
    </row>
    <row r="45" spans="2:20">
      <c r="B45" s="869" t="str">
        <f>+'I&amp;T'!B16</f>
        <v>I&amp;T Variables</v>
      </c>
      <c r="C45" s="861">
        <f>+'I&amp;T'!D16</f>
        <v>63584550</v>
      </c>
      <c r="D45" s="861">
        <f>+'I&amp;T'!E16</f>
        <v>63773200</v>
      </c>
      <c r="E45" s="861">
        <f>+'I&amp;T'!F16</f>
        <v>63584550</v>
      </c>
      <c r="F45" s="861">
        <f>+'I&amp;T'!G16</f>
        <v>63773200</v>
      </c>
      <c r="G45" s="861">
        <f>+'I&amp;T'!H16</f>
        <v>63584550</v>
      </c>
      <c r="H45" s="861">
        <f>+'I&amp;T'!I16</f>
        <v>63773200</v>
      </c>
      <c r="I45" s="861">
        <f>+'I&amp;T'!J16</f>
        <v>63584550</v>
      </c>
      <c r="J45" s="861">
        <f>+'I&amp;T'!K16</f>
        <v>63773200</v>
      </c>
      <c r="K45" s="861">
        <f>+'I&amp;T'!L16</f>
        <v>63584550</v>
      </c>
      <c r="L45" s="861">
        <f>+'I&amp;T'!M16</f>
        <v>63773200</v>
      </c>
      <c r="M45" s="861">
        <f>+'I&amp;T'!N16</f>
        <v>63584550</v>
      </c>
      <c r="N45" s="861">
        <f>+'I&amp;T'!O16</f>
        <v>63773200</v>
      </c>
      <c r="O45" s="861">
        <f t="shared" si="14"/>
        <v>764146500</v>
      </c>
    </row>
    <row r="46" spans="2:20">
      <c r="B46" s="869" t="s">
        <v>1314</v>
      </c>
      <c r="C46" s="861">
        <f>+Sal!D184+Sal!D186</f>
        <v>34436756</v>
      </c>
      <c r="D46" s="861">
        <f>+Sal!E184+Sal!E186</f>
        <v>34528560</v>
      </c>
      <c r="E46" s="861">
        <f>+Sal!F184+Sal!F186</f>
        <v>34436756</v>
      </c>
      <c r="F46" s="861">
        <f>+Sal!G184+Sal!G186</f>
        <v>34528560</v>
      </c>
      <c r="G46" s="861">
        <f>+Sal!H184+Sal!H186</f>
        <v>34436756</v>
      </c>
      <c r="H46" s="861">
        <f>+Sal!I184+Sal!I186</f>
        <v>34528560</v>
      </c>
      <c r="I46" s="861">
        <f>+Sal!J184+Sal!J186</f>
        <v>34436756</v>
      </c>
      <c r="J46" s="861">
        <f>+Sal!K184+Sal!K186</f>
        <v>34528560</v>
      </c>
      <c r="K46" s="861">
        <f>+Sal!L184+Sal!L186</f>
        <v>33205780</v>
      </c>
      <c r="L46" s="861">
        <f>+Sal!M184+Sal!M186</f>
        <v>33341126</v>
      </c>
      <c r="M46" s="861">
        <f>+Sal!N184+Sal!N186</f>
        <v>33205780</v>
      </c>
      <c r="N46" s="861">
        <f>+Sal!O184+Sal!O186</f>
        <v>33341126</v>
      </c>
      <c r="O46" s="861">
        <f t="shared" si="14"/>
        <v>408955076</v>
      </c>
    </row>
    <row r="47" spans="2:20">
      <c r="B47" s="870" t="s">
        <v>649</v>
      </c>
      <c r="C47" s="871"/>
      <c r="D47" s="871"/>
      <c r="E47" s="871"/>
      <c r="F47" s="871"/>
      <c r="G47" s="871"/>
      <c r="H47" s="871"/>
      <c r="I47" s="871"/>
      <c r="J47" s="871"/>
      <c r="K47" s="871"/>
      <c r="L47" s="871"/>
      <c r="M47" s="871"/>
      <c r="N47" s="871">
        <f>ROUNDUP(IF((+O39-SUM(O42:O46)-SUM(O51:O57))&lt;0,O39*5/1000+320000,(+O39-SUM(O42:O46)-SUM(O51:O57))*0.2),-3)</f>
        <v>704432000</v>
      </c>
      <c r="O47" s="861">
        <f t="shared" si="14"/>
        <v>704432000</v>
      </c>
    </row>
    <row r="48" spans="2:20">
      <c r="B48" s="867" t="s">
        <v>1312</v>
      </c>
      <c r="C48" s="868">
        <f>+C39-C41</f>
        <v>431185136.77963519</v>
      </c>
      <c r="D48" s="868">
        <f t="shared" ref="D48:O48" si="15">+D39-D41</f>
        <v>432927540.42917919</v>
      </c>
      <c r="E48" s="868">
        <f t="shared" si="15"/>
        <v>430338136.77963519</v>
      </c>
      <c r="F48" s="868">
        <f t="shared" si="15"/>
        <v>432889540.42917919</v>
      </c>
      <c r="G48" s="868">
        <f t="shared" si="15"/>
        <v>430688136.77963519</v>
      </c>
      <c r="H48" s="868">
        <f t="shared" si="15"/>
        <v>431577540.42917919</v>
      </c>
      <c r="I48" s="868">
        <f t="shared" si="15"/>
        <v>431185136.77963519</v>
      </c>
      <c r="J48" s="868">
        <f t="shared" si="15"/>
        <v>432892540.42917919</v>
      </c>
      <c r="K48" s="868">
        <f t="shared" si="15"/>
        <v>411135896.71808529</v>
      </c>
      <c r="L48" s="868">
        <f t="shared" si="15"/>
        <v>414405716.36990881</v>
      </c>
      <c r="M48" s="868">
        <f t="shared" si="15"/>
        <v>411985896.71808529</v>
      </c>
      <c r="N48" s="868">
        <f t="shared" si="15"/>
        <v>-291658283.63009119</v>
      </c>
      <c r="O48" s="868">
        <f t="shared" si="15"/>
        <v>4399552935.0112457</v>
      </c>
    </row>
    <row r="49" spans="2:15">
      <c r="B49" s="872" t="s">
        <v>1321</v>
      </c>
      <c r="C49" s="873">
        <f t="shared" ref="C49:O49" si="16">+C48/C39</f>
        <v>0.34838467612586388</v>
      </c>
      <c r="D49" s="873">
        <f t="shared" si="16"/>
        <v>0.34881156789541495</v>
      </c>
      <c r="E49" s="873">
        <f t="shared" si="16"/>
        <v>0.34770032549429419</v>
      </c>
      <c r="F49" s="873">
        <f t="shared" si="16"/>
        <v>0.34878095113315755</v>
      </c>
      <c r="G49" s="873">
        <f t="shared" si="16"/>
        <v>0.34798311501147178</v>
      </c>
      <c r="H49" s="873">
        <f t="shared" si="16"/>
        <v>0.34772386713100534</v>
      </c>
      <c r="I49" s="873">
        <f t="shared" si="16"/>
        <v>0.34838467612586388</v>
      </c>
      <c r="J49" s="873">
        <f t="shared" si="16"/>
        <v>0.34878336824596734</v>
      </c>
      <c r="K49" s="873">
        <f t="shared" si="16"/>
        <v>0.3431315015133945</v>
      </c>
      <c r="L49" s="873">
        <f t="shared" si="16"/>
        <v>0.34443956898995931</v>
      </c>
      <c r="M49" s="873">
        <f t="shared" si="16"/>
        <v>0.34384090630780578</v>
      </c>
      <c r="N49" s="873">
        <f t="shared" si="16"/>
        <v>-0.24241618669233808</v>
      </c>
      <c r="O49" s="873">
        <f t="shared" si="16"/>
        <v>0.29892500902312896</v>
      </c>
    </row>
    <row r="50" spans="2:15">
      <c r="B50" s="866" t="s">
        <v>1306</v>
      </c>
      <c r="C50" s="862">
        <f>+SUM(C51:C57)</f>
        <v>117614057.32845052</v>
      </c>
      <c r="D50" s="862">
        <f t="shared" ref="D50:O50" si="17">+SUM(D51:D57)</f>
        <v>122916557.32845052</v>
      </c>
      <c r="E50" s="862">
        <f t="shared" si="17"/>
        <v>165216557.3284505</v>
      </c>
      <c r="F50" s="862">
        <f t="shared" si="17"/>
        <v>123676557.32845052</v>
      </c>
      <c r="G50" s="862">
        <f t="shared" si="17"/>
        <v>133116557.32845052</v>
      </c>
      <c r="H50" s="862">
        <f t="shared" si="17"/>
        <v>151616557.3284505</v>
      </c>
      <c r="I50" s="862">
        <f t="shared" si="17"/>
        <v>123176557.32845052</v>
      </c>
      <c r="J50" s="862">
        <f t="shared" si="17"/>
        <v>121885695.50763677</v>
      </c>
      <c r="K50" s="862">
        <f t="shared" si="17"/>
        <v>136725985.98980942</v>
      </c>
      <c r="L50" s="862">
        <f t="shared" si="17"/>
        <v>117696947.98001833</v>
      </c>
      <c r="M50" s="862">
        <f t="shared" si="17"/>
        <v>116018092.67006405</v>
      </c>
      <c r="N50" s="862">
        <f t="shared" si="17"/>
        <v>152168923.10494384</v>
      </c>
      <c r="O50" s="862">
        <f t="shared" si="17"/>
        <v>1581829046.551626</v>
      </c>
    </row>
    <row r="51" spans="2:15">
      <c r="B51" s="869" t="str">
        <f>+Achat!B40</f>
        <v>Achats fixes</v>
      </c>
      <c r="C51" s="861">
        <f>+Achat!D40</f>
        <v>9094000</v>
      </c>
      <c r="D51" s="861">
        <f>+Achat!E40</f>
        <v>9094000</v>
      </c>
      <c r="E51" s="861">
        <f>+Achat!F40</f>
        <v>9094000</v>
      </c>
      <c r="F51" s="861">
        <f>+Achat!G40</f>
        <v>9094000</v>
      </c>
      <c r="G51" s="861">
        <f>+Achat!H40</f>
        <v>9094000</v>
      </c>
      <c r="H51" s="861">
        <f>+Achat!I40</f>
        <v>19094000</v>
      </c>
      <c r="I51" s="861">
        <f>+Achat!J40</f>
        <v>9094000</v>
      </c>
      <c r="J51" s="861">
        <f>+Achat!K40</f>
        <v>9094000</v>
      </c>
      <c r="K51" s="861">
        <f>+Achat!L40</f>
        <v>9094000</v>
      </c>
      <c r="L51" s="861">
        <f>+Achat!M40</f>
        <v>9094000</v>
      </c>
      <c r="M51" s="861">
        <f>+Achat!N40</f>
        <v>9094000</v>
      </c>
      <c r="N51" s="861">
        <f>+Achat!O40</f>
        <v>19094000</v>
      </c>
      <c r="O51" s="861">
        <f>SUM(C51:N51)</f>
        <v>129128000</v>
      </c>
    </row>
    <row r="52" spans="2:15">
      <c r="B52" s="869" t="str">
        <f>+Prestation!B83</f>
        <v>Prestations fixes</v>
      </c>
      <c r="C52" s="861">
        <f>+Prestation!D83</f>
        <v>8796000</v>
      </c>
      <c r="D52" s="861">
        <f>+Prestation!E83</f>
        <v>8536000</v>
      </c>
      <c r="E52" s="861">
        <f>+Prestation!F83</f>
        <v>25736000</v>
      </c>
      <c r="F52" s="861">
        <f>+Prestation!G83</f>
        <v>9296000</v>
      </c>
      <c r="G52" s="861">
        <f>+Prestation!H83</f>
        <v>18736000</v>
      </c>
      <c r="H52" s="861">
        <f>+Prestation!I83</f>
        <v>25536000</v>
      </c>
      <c r="I52" s="861">
        <f>+Prestation!J83</f>
        <v>8796000</v>
      </c>
      <c r="J52" s="861">
        <f>+Prestation!K83</f>
        <v>9236000</v>
      </c>
      <c r="K52" s="861">
        <f>+Prestation!L83</f>
        <v>25736000</v>
      </c>
      <c r="L52" s="861">
        <f>+Prestation!M83</f>
        <v>8596000</v>
      </c>
      <c r="M52" s="861">
        <f>+Prestation!N83</f>
        <v>8736000</v>
      </c>
      <c r="N52" s="861">
        <f>+Prestation!O83</f>
        <v>31236000</v>
      </c>
      <c r="O52" s="861">
        <f t="shared" ref="O52:O57" si="18">SUM(C52:N52)</f>
        <v>188972000</v>
      </c>
    </row>
    <row r="53" spans="2:15">
      <c r="B53" s="869" t="str">
        <f>+'I&amp;T'!B15</f>
        <v>I&amp;T Fixes</v>
      </c>
      <c r="C53" s="861">
        <f>+'I&amp;T'!D15</f>
        <v>100000</v>
      </c>
      <c r="D53" s="861">
        <f>+'I&amp;T'!E15</f>
        <v>100000</v>
      </c>
      <c r="E53" s="861">
        <f>+'I&amp;T'!F15</f>
        <v>25100000</v>
      </c>
      <c r="F53" s="861">
        <f>+'I&amp;T'!G15</f>
        <v>100000</v>
      </c>
      <c r="G53" s="861">
        <f>+'I&amp;T'!H15</f>
        <v>100000</v>
      </c>
      <c r="H53" s="861">
        <f>+'I&amp;T'!I15</f>
        <v>1700000</v>
      </c>
      <c r="I53" s="861">
        <f>+'I&amp;T'!J15</f>
        <v>100000</v>
      </c>
      <c r="J53" s="861">
        <f>+'I&amp;T'!K15</f>
        <v>100000</v>
      </c>
      <c r="K53" s="861">
        <f>+'I&amp;T'!L15</f>
        <v>100000</v>
      </c>
      <c r="L53" s="861">
        <f>+'I&amp;T'!M15</f>
        <v>100000</v>
      </c>
      <c r="M53" s="861">
        <f>+'I&amp;T'!N15</f>
        <v>100000</v>
      </c>
      <c r="N53" s="861">
        <f>+'I&amp;T'!O15</f>
        <v>100000</v>
      </c>
      <c r="O53" s="861">
        <f t="shared" si="18"/>
        <v>27800000</v>
      </c>
    </row>
    <row r="54" spans="2:15">
      <c r="B54" s="869" t="s">
        <v>1328</v>
      </c>
      <c r="C54" s="861">
        <f>+Sal!D183+Sal!D185</f>
        <v>27063300</v>
      </c>
      <c r="D54" s="861">
        <f>+Sal!E183+Sal!E185</f>
        <v>27063300</v>
      </c>
      <c r="E54" s="861">
        <f>+Sal!F183+Sal!F185</f>
        <v>27063300</v>
      </c>
      <c r="F54" s="861">
        <f>+Sal!G183+Sal!G185</f>
        <v>27063300</v>
      </c>
      <c r="G54" s="861">
        <f>+Sal!H183+Sal!H185</f>
        <v>27063300</v>
      </c>
      <c r="H54" s="861">
        <f>+Sal!I183+Sal!I185</f>
        <v>27063300</v>
      </c>
      <c r="I54" s="861">
        <f>+Sal!J183+Sal!J185</f>
        <v>27063300</v>
      </c>
      <c r="J54" s="861">
        <f>+Sal!K183+Sal!K185</f>
        <v>27063300</v>
      </c>
      <c r="K54" s="861">
        <f>+Sal!L183+Sal!L185</f>
        <v>27063300</v>
      </c>
      <c r="L54" s="861">
        <f>+Sal!M183+Sal!M185</f>
        <v>27063300</v>
      </c>
      <c r="M54" s="861">
        <f>+Sal!N183+Sal!N185</f>
        <v>27063300</v>
      </c>
      <c r="N54" s="861">
        <f>+Sal!O183+Sal!O185</f>
        <v>27063300</v>
      </c>
      <c r="O54" s="861">
        <f t="shared" si="18"/>
        <v>324759600</v>
      </c>
    </row>
    <row r="55" spans="2:15">
      <c r="B55" s="869" t="s">
        <v>1307</v>
      </c>
      <c r="C55" s="861">
        <f>+Autres!C5</f>
        <v>0</v>
      </c>
      <c r="D55" s="861">
        <f>+Autres!D5</f>
        <v>0</v>
      </c>
      <c r="E55" s="861">
        <f>+Autres!E5</f>
        <v>100000</v>
      </c>
      <c r="F55" s="861">
        <f>+Autres!F5</f>
        <v>0</v>
      </c>
      <c r="G55" s="861">
        <f>+Autres!G5</f>
        <v>0</v>
      </c>
      <c r="H55" s="861">
        <f>+Autres!H5</f>
        <v>100000</v>
      </c>
      <c r="I55" s="861">
        <f>+Autres!I5</f>
        <v>0</v>
      </c>
      <c r="J55" s="861">
        <f>+Autres!J5</f>
        <v>0</v>
      </c>
      <c r="K55" s="861">
        <f>+Autres!K5</f>
        <v>100000</v>
      </c>
      <c r="L55" s="861">
        <f>+Autres!L5</f>
        <v>0</v>
      </c>
      <c r="M55" s="861">
        <f>+Autres!M5</f>
        <v>0</v>
      </c>
      <c r="N55" s="861">
        <f>+Autres!N5</f>
        <v>5500000</v>
      </c>
      <c r="O55" s="861">
        <f t="shared" si="18"/>
        <v>5800000</v>
      </c>
    </row>
    <row r="56" spans="2:15">
      <c r="B56" s="869" t="s">
        <v>1308</v>
      </c>
      <c r="C56" s="861">
        <f>+'Frais financier'!C4</f>
        <v>66666666.666666664</v>
      </c>
      <c r="D56" s="861">
        <f>+'Frais financier'!D4</f>
        <v>66666666.666666664</v>
      </c>
      <c r="E56" s="861">
        <f>+'Frais financier'!E4</f>
        <v>66666666.666666664</v>
      </c>
      <c r="F56" s="861">
        <f>+'Frais financier'!F4</f>
        <v>66666666.666666664</v>
      </c>
      <c r="G56" s="861">
        <f>+'Frais financier'!G4</f>
        <v>66666666.666666664</v>
      </c>
      <c r="H56" s="861">
        <f>+'Frais financier'!H4</f>
        <v>66666666.666666664</v>
      </c>
      <c r="I56" s="861">
        <f>+'Frais financier'!I4</f>
        <v>66666666.666666664</v>
      </c>
      <c r="J56" s="861">
        <f>+'Frais financier'!J4</f>
        <v>64935804.845852904</v>
      </c>
      <c r="K56" s="861">
        <f>+'Frais financier'!K4</f>
        <v>63176095.328025587</v>
      </c>
      <c r="L56" s="861">
        <f>+'Frais financier'!L4</f>
        <v>61387057.318234473</v>
      </c>
      <c r="M56" s="861">
        <f>+'Frais financier'!M4</f>
        <v>59568202.00828018</v>
      </c>
      <c r="N56" s="861">
        <f>+'Frais financier'!N4</f>
        <v>57719032.443159983</v>
      </c>
      <c r="O56" s="861">
        <f t="shared" si="18"/>
        <v>773452858.61021972</v>
      </c>
    </row>
    <row r="57" spans="2:15">
      <c r="B57" s="869" t="s">
        <v>1309</v>
      </c>
      <c r="C57" s="861">
        <f>+Amort!C15</f>
        <v>5894090.6617838535</v>
      </c>
      <c r="D57" s="861">
        <f>+Amort!D15</f>
        <v>11456590.661783855</v>
      </c>
      <c r="E57" s="861">
        <f>+Amort!E15</f>
        <v>11456590.661783855</v>
      </c>
      <c r="F57" s="861">
        <f>+Amort!F15</f>
        <v>11456590.661783855</v>
      </c>
      <c r="G57" s="861">
        <f>+Amort!G15</f>
        <v>11456590.661783855</v>
      </c>
      <c r="H57" s="861">
        <f>+Amort!H15</f>
        <v>11456590.661783855</v>
      </c>
      <c r="I57" s="861">
        <f>+Amort!I15</f>
        <v>11456590.661783855</v>
      </c>
      <c r="J57" s="861">
        <f>+Amort!J15</f>
        <v>11456590.661783855</v>
      </c>
      <c r="K57" s="861">
        <f>+Amort!K15</f>
        <v>11456590.661783855</v>
      </c>
      <c r="L57" s="861">
        <f>+Amort!L15</f>
        <v>11456590.661783855</v>
      </c>
      <c r="M57" s="861">
        <f>+Amort!M15</f>
        <v>11456590.661783855</v>
      </c>
      <c r="N57" s="861">
        <f>+Amort!N15</f>
        <v>11456590.661783855</v>
      </c>
      <c r="O57" s="861">
        <f t="shared" si="18"/>
        <v>131916587.94140629</v>
      </c>
    </row>
    <row r="58" spans="2:15" ht="14.25" thickBot="1">
      <c r="B58" s="874" t="s">
        <v>1313</v>
      </c>
      <c r="C58" s="875">
        <f>+C48-C50</f>
        <v>313571079.45118469</v>
      </c>
      <c r="D58" s="875">
        <f t="shared" ref="D58:O58" si="19">+D48-D50</f>
        <v>310010983.10072869</v>
      </c>
      <c r="E58" s="875">
        <f t="shared" si="19"/>
        <v>265121579.45118469</v>
      </c>
      <c r="F58" s="875">
        <f t="shared" si="19"/>
        <v>309212983.10072869</v>
      </c>
      <c r="G58" s="875">
        <f t="shared" si="19"/>
        <v>297571579.45118469</v>
      </c>
      <c r="H58" s="875">
        <f t="shared" si="19"/>
        <v>279960983.10072869</v>
      </c>
      <c r="I58" s="875">
        <f t="shared" si="19"/>
        <v>308008579.45118469</v>
      </c>
      <c r="J58" s="875">
        <f t="shared" si="19"/>
        <v>311006844.92154241</v>
      </c>
      <c r="K58" s="875">
        <f t="shared" si="19"/>
        <v>274409910.7282759</v>
      </c>
      <c r="L58" s="875">
        <f t="shared" si="19"/>
        <v>296708768.38989049</v>
      </c>
      <c r="M58" s="875">
        <f t="shared" si="19"/>
        <v>295967804.04802126</v>
      </c>
      <c r="N58" s="875">
        <f t="shared" si="19"/>
        <v>-443827206.73503506</v>
      </c>
      <c r="O58" s="875">
        <f t="shared" si="19"/>
        <v>2817723888.4596195</v>
      </c>
    </row>
    <row r="59" spans="2:15">
      <c r="B59" s="876" t="s">
        <v>595</v>
      </c>
      <c r="C59" s="877">
        <f>+C58-C36</f>
        <v>0</v>
      </c>
      <c r="D59" s="877">
        <f t="shared" ref="D59:O59" si="20">+D58-D36</f>
        <v>0</v>
      </c>
      <c r="E59" s="877">
        <f t="shared" si="20"/>
        <v>0</v>
      </c>
      <c r="F59" s="877">
        <f t="shared" si="20"/>
        <v>0</v>
      </c>
      <c r="G59" s="877">
        <f t="shared" si="20"/>
        <v>0</v>
      </c>
      <c r="H59" s="877">
        <f t="shared" si="20"/>
        <v>0</v>
      </c>
      <c r="I59" s="877">
        <f t="shared" si="20"/>
        <v>0</v>
      </c>
      <c r="J59" s="877">
        <f t="shared" si="20"/>
        <v>0</v>
      </c>
      <c r="K59" s="877">
        <f t="shared" si="20"/>
        <v>0</v>
      </c>
      <c r="L59" s="877">
        <f t="shared" si="20"/>
        <v>0</v>
      </c>
      <c r="M59" s="877">
        <f t="shared" si="20"/>
        <v>0</v>
      </c>
      <c r="N59" s="877">
        <f t="shared" si="20"/>
        <v>0</v>
      </c>
      <c r="O59" s="877">
        <f t="shared" si="20"/>
        <v>0</v>
      </c>
    </row>
    <row r="60" spans="2:15" ht="14.25" thickBot="1">
      <c r="C60" s="878"/>
      <c r="D60" s="878"/>
      <c r="E60" s="878"/>
      <c r="F60" s="878"/>
      <c r="G60" s="878"/>
      <c r="H60" s="878"/>
      <c r="I60" s="878"/>
      <c r="J60" s="878"/>
      <c r="K60" s="878"/>
      <c r="L60" s="878"/>
      <c r="M60" s="878"/>
      <c r="N60" s="878"/>
      <c r="O60" s="878"/>
    </row>
    <row r="61" spans="2:15">
      <c r="B61" s="864" t="s">
        <v>1323</v>
      </c>
      <c r="C61" s="865" t="str">
        <f>+C38</f>
        <v>Janvier</v>
      </c>
      <c r="D61" s="865" t="str">
        <f t="shared" ref="D61:O61" si="21">+D38</f>
        <v>Février</v>
      </c>
      <c r="E61" s="865" t="str">
        <f t="shared" si="21"/>
        <v>Mars</v>
      </c>
      <c r="F61" s="865" t="str">
        <f t="shared" si="21"/>
        <v>Avril</v>
      </c>
      <c r="G61" s="865" t="str">
        <f t="shared" si="21"/>
        <v>Mai</v>
      </c>
      <c r="H61" s="865" t="str">
        <f t="shared" si="21"/>
        <v>Juin</v>
      </c>
      <c r="I61" s="865" t="str">
        <f t="shared" si="21"/>
        <v>Juillet</v>
      </c>
      <c r="J61" s="865" t="str">
        <f t="shared" si="21"/>
        <v>Août</v>
      </c>
      <c r="K61" s="865" t="str">
        <f t="shared" si="21"/>
        <v>Septembre</v>
      </c>
      <c r="L61" s="865" t="str">
        <f t="shared" si="21"/>
        <v>Octobre</v>
      </c>
      <c r="M61" s="865" t="str">
        <f t="shared" si="21"/>
        <v>Novembre</v>
      </c>
      <c r="N61" s="865" t="str">
        <f t="shared" si="21"/>
        <v>Décembre</v>
      </c>
      <c r="O61" s="865" t="str">
        <f t="shared" si="21"/>
        <v>Total</v>
      </c>
    </row>
    <row r="62" spans="2:15">
      <c r="B62" s="879" t="s">
        <v>1325</v>
      </c>
      <c r="C62" s="880">
        <f>+C50/C49</f>
        <v>337598250.98035914</v>
      </c>
      <c r="D62" s="880">
        <f t="shared" ref="D62:O62" si="22">+D50/D49</f>
        <v>352386699.98841578</v>
      </c>
      <c r="E62" s="880">
        <f t="shared" si="22"/>
        <v>475169406.56750041</v>
      </c>
      <c r="F62" s="880">
        <f t="shared" si="22"/>
        <v>354596651.3556335</v>
      </c>
      <c r="G62" s="880">
        <f t="shared" si="22"/>
        <v>382537403.64403063</v>
      </c>
      <c r="H62" s="880">
        <f t="shared" si="22"/>
        <v>436025742.43581849</v>
      </c>
      <c r="I62" s="880">
        <f t="shared" si="22"/>
        <v>353564797.10361737</v>
      </c>
      <c r="J62" s="880">
        <f t="shared" si="22"/>
        <v>349459597.57370406</v>
      </c>
      <c r="K62" s="880">
        <f t="shared" si="22"/>
        <v>398465268.81610775</v>
      </c>
      <c r="L62" s="880">
        <f t="shared" si="22"/>
        <v>341705653.4043256</v>
      </c>
      <c r="M62" s="880">
        <f t="shared" si="22"/>
        <v>337417946.91003066</v>
      </c>
      <c r="N62" s="880">
        <f t="shared" si="22"/>
        <v>-627717666.79948914</v>
      </c>
      <c r="O62" s="880">
        <f t="shared" si="22"/>
        <v>5291725345.165863</v>
      </c>
    </row>
    <row r="63" spans="2:15">
      <c r="B63" s="881" t="s">
        <v>1327</v>
      </c>
      <c r="C63" s="861">
        <f>IF(C62&gt;0,-(+C41/C39*C62),"")</f>
        <v>-219984193.65190861</v>
      </c>
      <c r="D63" s="861">
        <f t="shared" ref="D63:N63" si="23">IF(D62&gt;0,-(+D41/D39*D62),"")</f>
        <v>-229470142.65996525</v>
      </c>
      <c r="E63" s="861">
        <f t="shared" si="23"/>
        <v>-309952849.23904991</v>
      </c>
      <c r="F63" s="861">
        <f t="shared" si="23"/>
        <v>-230920094.027183</v>
      </c>
      <c r="G63" s="861">
        <f t="shared" si="23"/>
        <v>-249420846.31558013</v>
      </c>
      <c r="H63" s="861">
        <f t="shared" si="23"/>
        <v>-284409185.10736799</v>
      </c>
      <c r="I63" s="861">
        <f t="shared" si="23"/>
        <v>-230388239.77516687</v>
      </c>
      <c r="J63" s="861">
        <f t="shared" si="23"/>
        <v>-227573902.06606728</v>
      </c>
      <c r="K63" s="861">
        <f t="shared" si="23"/>
        <v>-261739282.8262983</v>
      </c>
      <c r="L63" s="861">
        <f t="shared" si="23"/>
        <v>-224008705.42430726</v>
      </c>
      <c r="M63" s="861">
        <f t="shared" si="23"/>
        <v>-221399854.23996663</v>
      </c>
      <c r="N63" s="861" t="str">
        <f t="shared" si="23"/>
        <v/>
      </c>
      <c r="O63" s="862">
        <f>IF(O62&gt;0,-(+O41/O39*O62),"")</f>
        <v>-3709896298.6142373</v>
      </c>
    </row>
    <row r="64" spans="2:15">
      <c r="B64" s="881" t="s">
        <v>1306</v>
      </c>
      <c r="C64" s="861">
        <f>IF(C62&gt;0,-C50,"")</f>
        <v>-117614057.32845052</v>
      </c>
      <c r="D64" s="861">
        <f>IF(D62&gt;0,-D50,"")</f>
        <v>-122916557.32845052</v>
      </c>
      <c r="E64" s="861">
        <f t="shared" ref="E64:N64" si="24">IF(E62&gt;0,-E50,"")</f>
        <v>-165216557.3284505</v>
      </c>
      <c r="F64" s="861">
        <f t="shared" si="24"/>
        <v>-123676557.32845052</v>
      </c>
      <c r="G64" s="861">
        <f t="shared" si="24"/>
        <v>-133116557.32845052</v>
      </c>
      <c r="H64" s="861">
        <f t="shared" si="24"/>
        <v>-151616557.3284505</v>
      </c>
      <c r="I64" s="861">
        <f t="shared" si="24"/>
        <v>-123176557.32845052</v>
      </c>
      <c r="J64" s="861">
        <f t="shared" si="24"/>
        <v>-121885695.50763677</v>
      </c>
      <c r="K64" s="861">
        <f t="shared" si="24"/>
        <v>-136725985.98980942</v>
      </c>
      <c r="L64" s="861">
        <f t="shared" si="24"/>
        <v>-117696947.98001833</v>
      </c>
      <c r="M64" s="861">
        <f t="shared" si="24"/>
        <v>-116018092.67006405</v>
      </c>
      <c r="N64" s="861" t="str">
        <f t="shared" si="24"/>
        <v/>
      </c>
      <c r="O64" s="862">
        <f>IF(O62&gt;0,-O50,"")</f>
        <v>-1581829046.551626</v>
      </c>
    </row>
    <row r="65" spans="2:15">
      <c r="B65" s="879" t="s">
        <v>1313</v>
      </c>
      <c r="C65" s="880">
        <f>IF(C62&gt;0,SUM(C62:C64),"")</f>
        <v>0</v>
      </c>
      <c r="D65" s="880">
        <f>IF(D62&gt;0,SUM(D62:D64),"")</f>
        <v>0</v>
      </c>
      <c r="E65" s="880">
        <f t="shared" ref="E65:O65" si="25">IF(E62&gt;0,SUM(E62:E64),"")</f>
        <v>0</v>
      </c>
      <c r="F65" s="880">
        <f t="shared" si="25"/>
        <v>0</v>
      </c>
      <c r="G65" s="880">
        <f t="shared" si="25"/>
        <v>0</v>
      </c>
      <c r="H65" s="880">
        <f t="shared" si="25"/>
        <v>0</v>
      </c>
      <c r="I65" s="880">
        <f t="shared" si="25"/>
        <v>0</v>
      </c>
      <c r="J65" s="880">
        <f t="shared" si="25"/>
        <v>0</v>
      </c>
      <c r="K65" s="880">
        <f t="shared" si="25"/>
        <v>0</v>
      </c>
      <c r="L65" s="880">
        <f t="shared" si="25"/>
        <v>0</v>
      </c>
      <c r="M65" s="880">
        <f t="shared" si="25"/>
        <v>0</v>
      </c>
      <c r="N65" s="880" t="str">
        <f t="shared" si="25"/>
        <v/>
      </c>
      <c r="O65" s="880">
        <f t="shared" si="25"/>
        <v>0</v>
      </c>
    </row>
    <row r="66" spans="2:15" ht="14.25" thickBot="1">
      <c r="B66" s="882" t="s">
        <v>1326</v>
      </c>
      <c r="C66" s="875">
        <f>IFERROR((+C62-C7-C8)/CA!C53,"")</f>
        <v>185.64997535099849</v>
      </c>
      <c r="D66" s="875">
        <f>IFERROR((+D62-D7-D8)/CA!D53,"")</f>
        <v>193.86249805990045</v>
      </c>
      <c r="E66" s="875">
        <f>IFERROR((+E62-E7-E8)/CA!E53,"")</f>
        <v>261.74603236970421</v>
      </c>
      <c r="F66" s="875">
        <f>IFERROR((+F62-F7-F8)/CA!F53,"")</f>
        <v>195.0851143461206</v>
      </c>
      <c r="G66" s="875">
        <f>IFERROR((+G62-G7-G8)/CA!G53,"")</f>
        <v>210.50760127463144</v>
      </c>
      <c r="H66" s="875">
        <f>IFERROR((+H62-H7-H8)/CA!H53,"")</f>
        <v>240.13431063322201</v>
      </c>
      <c r="I66" s="875">
        <f>IFERROR((+I62-I7-I8)/CA!I53,"")</f>
        <v>194.48170464048349</v>
      </c>
      <c r="J66" s="875">
        <f>IFERROR((+J62-J7-J8)/CA!J53,"")</f>
        <v>192.24313071238888</v>
      </c>
      <c r="K66" s="875">
        <f>IFERROR((+K62-K7-K8)/CA!K53,"")</f>
        <v>219.31793459739615</v>
      </c>
      <c r="L66" s="875">
        <f>IFERROR((+L62-L7-L8)/CA!L53,"")</f>
        <v>187.95339901758729</v>
      </c>
      <c r="M66" s="875">
        <f>IFERROR((+M62-M7-M8)/CA!M53,"")</f>
        <v>185.55024202566685</v>
      </c>
      <c r="N66" s="875">
        <f>IFERROR((+N62-N7-N8)/CA!N53,"")</f>
        <v>-348.36281006487292</v>
      </c>
      <c r="O66" s="875">
        <f>IFERROR((+O62-O7-O8)/CA!O53,"")</f>
        <v>2914.2393017073664</v>
      </c>
    </row>
    <row r="67" spans="2:15">
      <c r="C67" s="861"/>
    </row>
    <row r="70" spans="2:15" ht="14.25" thickBot="1"/>
    <row r="71" spans="2:15">
      <c r="B71" s="864" t="s">
        <v>1859</v>
      </c>
      <c r="C71" s="865" t="str">
        <f>+C61</f>
        <v>Janvier</v>
      </c>
      <c r="D71" s="865" t="str">
        <f t="shared" ref="D71:O71" si="26">+D61</f>
        <v>Février</v>
      </c>
      <c r="E71" s="865" t="str">
        <f t="shared" si="26"/>
        <v>Mars</v>
      </c>
      <c r="F71" s="865" t="str">
        <f t="shared" si="26"/>
        <v>Avril</v>
      </c>
      <c r="G71" s="865" t="str">
        <f t="shared" si="26"/>
        <v>Mai</v>
      </c>
      <c r="H71" s="865" t="str">
        <f t="shared" si="26"/>
        <v>Juin</v>
      </c>
      <c r="I71" s="865" t="str">
        <f t="shared" si="26"/>
        <v>Juillet</v>
      </c>
      <c r="J71" s="865" t="str">
        <f t="shared" si="26"/>
        <v>Août</v>
      </c>
      <c r="K71" s="865" t="str">
        <f t="shared" si="26"/>
        <v>Septembre</v>
      </c>
      <c r="L71" s="865" t="str">
        <f t="shared" si="26"/>
        <v>Octobre</v>
      </c>
      <c r="M71" s="865" t="str">
        <f t="shared" si="26"/>
        <v>Novembre</v>
      </c>
      <c r="N71" s="865" t="str">
        <f t="shared" si="26"/>
        <v>Décembre</v>
      </c>
      <c r="O71" s="865" t="str">
        <f t="shared" si="26"/>
        <v>Total</v>
      </c>
    </row>
    <row r="72" spans="2:15">
      <c r="B72" s="1144" t="s">
        <v>1853</v>
      </c>
      <c r="C72" s="1142">
        <f>+Commandes!C2</f>
        <v>673</v>
      </c>
      <c r="D72" s="1142">
        <f>+Commandes!D2</f>
        <v>675.2</v>
      </c>
      <c r="E72" s="1142">
        <f>+Commandes!E2</f>
        <v>673</v>
      </c>
      <c r="F72" s="1142">
        <f>+Commandes!F2</f>
        <v>675.2</v>
      </c>
      <c r="G72" s="1142">
        <f>+Commandes!G2</f>
        <v>673</v>
      </c>
      <c r="H72" s="1142">
        <f>+Commandes!H2</f>
        <v>675.2</v>
      </c>
      <c r="I72" s="1142">
        <f>+Commandes!I2</f>
        <v>673</v>
      </c>
      <c r="J72" s="1142">
        <f>+Commandes!J2</f>
        <v>675.2</v>
      </c>
      <c r="K72" s="1142">
        <f>+Commandes!K2</f>
        <v>673</v>
      </c>
      <c r="L72" s="1142">
        <f>+Commandes!L2</f>
        <v>675.2</v>
      </c>
      <c r="M72" s="1142">
        <f>+Commandes!M2</f>
        <v>673</v>
      </c>
      <c r="N72" s="1142">
        <f>+Commandes!N2</f>
        <v>675.2</v>
      </c>
      <c r="O72" s="1142">
        <f>SUM(C72:N72)</f>
        <v>8089.2</v>
      </c>
    </row>
    <row r="73" spans="2:15">
      <c r="B73" s="1144" t="s">
        <v>1854</v>
      </c>
      <c r="C73" s="1142">
        <f t="shared" ref="C73:N73" si="27">+C31</f>
        <v>924098560.82845044</v>
      </c>
      <c r="D73" s="1142">
        <f t="shared" si="27"/>
        <v>931139197.32845044</v>
      </c>
      <c r="E73" s="1142">
        <f t="shared" si="27"/>
        <v>972548060.82845044</v>
      </c>
      <c r="F73" s="1142">
        <f t="shared" si="27"/>
        <v>931937197.32845044</v>
      </c>
      <c r="G73" s="1142">
        <f t="shared" si="27"/>
        <v>940098060.82845044</v>
      </c>
      <c r="H73" s="1142">
        <f t="shared" si="27"/>
        <v>961189197.32845044</v>
      </c>
      <c r="I73" s="1142">
        <f t="shared" si="27"/>
        <v>929661060.82845044</v>
      </c>
      <c r="J73" s="1142">
        <f t="shared" si="27"/>
        <v>930143335.50763667</v>
      </c>
      <c r="K73" s="1142">
        <f t="shared" si="27"/>
        <v>923777649.73980939</v>
      </c>
      <c r="L73" s="1142">
        <f t="shared" si="27"/>
        <v>906421631.48001826</v>
      </c>
      <c r="M73" s="1142">
        <f t="shared" si="27"/>
        <v>902219756.42006397</v>
      </c>
      <c r="N73" s="1142">
        <f t="shared" si="27"/>
        <v>1646957606.6049438</v>
      </c>
      <c r="O73" s="1142">
        <f t="shared" ref="O73:O75" si="28">SUM(C73:N73)</f>
        <v>11900191315.051626</v>
      </c>
    </row>
    <row r="74" spans="2:15">
      <c r="B74" s="1144" t="s">
        <v>1855</v>
      </c>
      <c r="C74" s="1142">
        <f>IFERROR(+C73/C72,"")</f>
        <v>1373103.3593290497</v>
      </c>
      <c r="D74" s="1142">
        <f t="shared" ref="D74:O74" si="29">IFERROR(+D73/D72,"")</f>
        <v>1379056.8680812358</v>
      </c>
      <c r="E74" s="1142">
        <f t="shared" si="29"/>
        <v>1445093.7010823928</v>
      </c>
      <c r="F74" s="1142">
        <f t="shared" si="29"/>
        <v>1380238.7401191504</v>
      </c>
      <c r="G74" s="1142">
        <f t="shared" si="29"/>
        <v>1396876.7620036411</v>
      </c>
      <c r="H74" s="1142">
        <f t="shared" si="29"/>
        <v>1423562.1998347903</v>
      </c>
      <c r="I74" s="1142">
        <f t="shared" si="29"/>
        <v>1381368.5896410854</v>
      </c>
      <c r="J74" s="1142">
        <f t="shared" si="29"/>
        <v>1377581.9542470921</v>
      </c>
      <c r="K74" s="1142">
        <f t="shared" si="29"/>
        <v>1372626.5226445906</v>
      </c>
      <c r="L74" s="1142">
        <f t="shared" si="29"/>
        <v>1342449.098755951</v>
      </c>
      <c r="M74" s="1142">
        <f t="shared" si="29"/>
        <v>1340593.9917088617</v>
      </c>
      <c r="N74" s="1142">
        <f t="shared" si="29"/>
        <v>2439214.4647585065</v>
      </c>
      <c r="O74" s="1142">
        <f t="shared" si="29"/>
        <v>1471120.9161662001</v>
      </c>
    </row>
    <row r="75" spans="2:15">
      <c r="B75" s="1144" t="s">
        <v>1856</v>
      </c>
      <c r="C75" s="1142">
        <f t="shared" ref="C75:N75" si="30">+SUM(C4:C6)</f>
        <v>1216691000</v>
      </c>
      <c r="D75" s="1142">
        <f t="shared" si="30"/>
        <v>1220464000</v>
      </c>
      <c r="E75" s="1142">
        <f t="shared" si="30"/>
        <v>1216691000</v>
      </c>
      <c r="F75" s="1142">
        <f t="shared" si="30"/>
        <v>1220464000</v>
      </c>
      <c r="G75" s="1142">
        <f t="shared" si="30"/>
        <v>1216691000</v>
      </c>
      <c r="H75" s="1142">
        <f t="shared" si="30"/>
        <v>1220464000</v>
      </c>
      <c r="I75" s="1142">
        <f t="shared" si="30"/>
        <v>1216691000</v>
      </c>
      <c r="J75" s="1142">
        <f t="shared" si="30"/>
        <v>1220464000</v>
      </c>
      <c r="K75" s="1142">
        <f t="shared" si="30"/>
        <v>1216691000</v>
      </c>
      <c r="L75" s="1142">
        <f t="shared" si="30"/>
        <v>1220464000</v>
      </c>
      <c r="M75" s="1142">
        <f t="shared" si="30"/>
        <v>1216691000</v>
      </c>
      <c r="N75" s="1142">
        <f t="shared" si="30"/>
        <v>1220464000</v>
      </c>
      <c r="O75" s="1142">
        <f t="shared" si="28"/>
        <v>14622930000</v>
      </c>
    </row>
    <row r="76" spans="2:15">
      <c r="B76" s="1144" t="s">
        <v>1857</v>
      </c>
      <c r="C76" s="1142">
        <f>IFERROR(+C75/C72,"")</f>
        <v>1807861.8127786033</v>
      </c>
      <c r="D76" s="1142">
        <f t="shared" ref="D76:O76" si="31">IFERROR(+D75/D72,"")</f>
        <v>1807559.2417061611</v>
      </c>
      <c r="E76" s="1142">
        <f t="shared" si="31"/>
        <v>1807861.8127786033</v>
      </c>
      <c r="F76" s="1142">
        <f t="shared" si="31"/>
        <v>1807559.2417061611</v>
      </c>
      <c r="G76" s="1142">
        <f t="shared" si="31"/>
        <v>1807861.8127786033</v>
      </c>
      <c r="H76" s="1142">
        <f t="shared" si="31"/>
        <v>1807559.2417061611</v>
      </c>
      <c r="I76" s="1142">
        <f t="shared" si="31"/>
        <v>1807861.8127786033</v>
      </c>
      <c r="J76" s="1142">
        <f t="shared" si="31"/>
        <v>1807559.2417061611</v>
      </c>
      <c r="K76" s="1142">
        <f t="shared" si="31"/>
        <v>1807861.8127786033</v>
      </c>
      <c r="L76" s="1142">
        <f t="shared" si="31"/>
        <v>1807559.2417061611</v>
      </c>
      <c r="M76" s="1142">
        <f t="shared" si="31"/>
        <v>1807861.8127786033</v>
      </c>
      <c r="N76" s="1142">
        <f t="shared" si="31"/>
        <v>1807559.2417061611</v>
      </c>
      <c r="O76" s="1142">
        <f t="shared" si="31"/>
        <v>1807710.2803738317</v>
      </c>
    </row>
    <row r="77" spans="2:15">
      <c r="B77" s="1144" t="s">
        <v>1858</v>
      </c>
      <c r="C77" s="1142">
        <f>IFERROR(+C76-C74,"")</f>
        <v>434758.45344955358</v>
      </c>
      <c r="D77" s="1142">
        <f t="shared" ref="D77:O77" si="32">IFERROR(+D76-D74,"")</f>
        <v>428502.37362492527</v>
      </c>
      <c r="E77" s="1142">
        <f t="shared" si="32"/>
        <v>362768.11169621046</v>
      </c>
      <c r="F77" s="1142">
        <f t="shared" si="32"/>
        <v>427320.50158701069</v>
      </c>
      <c r="G77" s="1142">
        <f t="shared" si="32"/>
        <v>410985.05077496218</v>
      </c>
      <c r="H77" s="1142">
        <f t="shared" si="32"/>
        <v>383997.04187137075</v>
      </c>
      <c r="I77" s="1142">
        <f t="shared" si="32"/>
        <v>426493.22313751793</v>
      </c>
      <c r="J77" s="1142">
        <f t="shared" si="32"/>
        <v>429977.28745906893</v>
      </c>
      <c r="K77" s="1142">
        <f t="shared" si="32"/>
        <v>435235.2901340127</v>
      </c>
      <c r="L77" s="1142">
        <f t="shared" si="32"/>
        <v>465110.14295021002</v>
      </c>
      <c r="M77" s="1142">
        <f t="shared" si="32"/>
        <v>467267.82106974162</v>
      </c>
      <c r="N77" s="1142">
        <f t="shared" si="32"/>
        <v>-631655.22305234545</v>
      </c>
      <c r="O77" s="1142">
        <f t="shared" si="32"/>
        <v>336589.36420763168</v>
      </c>
    </row>
    <row r="78" spans="2:15">
      <c r="B78" s="1144" t="s">
        <v>1860</v>
      </c>
      <c r="C78" s="1142">
        <f>+C62</f>
        <v>337598250.98035914</v>
      </c>
      <c r="D78" s="1142">
        <f t="shared" ref="D78:O78" si="33">+D62</f>
        <v>352386699.98841578</v>
      </c>
      <c r="E78" s="1142">
        <f t="shared" si="33"/>
        <v>475169406.56750041</v>
      </c>
      <c r="F78" s="1142">
        <f t="shared" si="33"/>
        <v>354596651.3556335</v>
      </c>
      <c r="G78" s="1142">
        <f t="shared" si="33"/>
        <v>382537403.64403063</v>
      </c>
      <c r="H78" s="1142">
        <f t="shared" si="33"/>
        <v>436025742.43581849</v>
      </c>
      <c r="I78" s="1142">
        <f t="shared" si="33"/>
        <v>353564797.10361737</v>
      </c>
      <c r="J78" s="1142">
        <f t="shared" si="33"/>
        <v>349459597.57370406</v>
      </c>
      <c r="K78" s="1142">
        <f t="shared" si="33"/>
        <v>398465268.81610775</v>
      </c>
      <c r="L78" s="1142">
        <f t="shared" si="33"/>
        <v>341705653.4043256</v>
      </c>
      <c r="M78" s="1142">
        <f t="shared" si="33"/>
        <v>337417946.91003066</v>
      </c>
      <c r="N78" s="1142">
        <f t="shared" si="33"/>
        <v>-627717666.79948914</v>
      </c>
      <c r="O78" s="1142">
        <f t="shared" si="33"/>
        <v>5291725345.165863</v>
      </c>
    </row>
    <row r="79" spans="2:15" ht="14.25" thickBot="1">
      <c r="B79" s="1145" t="s">
        <v>1861</v>
      </c>
      <c r="C79" s="1143">
        <f>+C66</f>
        <v>185.64997535099849</v>
      </c>
      <c r="D79" s="1143">
        <f t="shared" ref="D79:O79" si="34">+D66</f>
        <v>193.86249805990045</v>
      </c>
      <c r="E79" s="1143">
        <f t="shared" si="34"/>
        <v>261.74603236970421</v>
      </c>
      <c r="F79" s="1143">
        <f t="shared" si="34"/>
        <v>195.0851143461206</v>
      </c>
      <c r="G79" s="1143">
        <f t="shared" si="34"/>
        <v>210.50760127463144</v>
      </c>
      <c r="H79" s="1143">
        <f t="shared" si="34"/>
        <v>240.13431063322201</v>
      </c>
      <c r="I79" s="1143">
        <f t="shared" si="34"/>
        <v>194.48170464048349</v>
      </c>
      <c r="J79" s="1143">
        <f t="shared" si="34"/>
        <v>192.24313071238888</v>
      </c>
      <c r="K79" s="1143">
        <f t="shared" si="34"/>
        <v>219.31793459739615</v>
      </c>
      <c r="L79" s="1143">
        <f t="shared" si="34"/>
        <v>187.95339901758729</v>
      </c>
      <c r="M79" s="1143">
        <f t="shared" si="34"/>
        <v>185.55024202566685</v>
      </c>
      <c r="N79" s="1143">
        <f t="shared" si="34"/>
        <v>-348.36281006487292</v>
      </c>
      <c r="O79" s="1143">
        <f t="shared" si="34"/>
        <v>2914.2393017073664</v>
      </c>
    </row>
  </sheetData>
  <pageMargins left="0.89" right="0" top="0.39370078740157483" bottom="0" header="0" footer="0"/>
  <pageSetup paperSize="9" scale="95" orientation="portrait" horizontalDpi="4294967295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23">
    <pageSetUpPr fitToPage="1"/>
  </sheetPr>
  <dimension ref="B1:R2807"/>
  <sheetViews>
    <sheetView showGridLines="0" topLeftCell="A19" workbookViewId="0">
      <selection activeCell="K37" sqref="K37"/>
    </sheetView>
  </sheetViews>
  <sheetFormatPr baseColWidth="10" defaultColWidth="12.5703125" defaultRowHeight="12.75"/>
  <cols>
    <col min="1" max="1" width="4.28515625" style="285" customWidth="1"/>
    <col min="2" max="2" width="49.28515625" style="400" customWidth="1"/>
    <col min="3" max="3" width="11.5703125" style="400" customWidth="1"/>
    <col min="4" max="13" width="11" style="400" bestFit="1" customWidth="1"/>
    <col min="14" max="15" width="11.85546875" style="400" bestFit="1" customWidth="1"/>
    <col min="16" max="16" width="11.85546875" style="285" bestFit="1" customWidth="1"/>
    <col min="17" max="17" width="1.28515625" style="285" customWidth="1"/>
    <col min="18" max="18" width="22.28515625" style="285" customWidth="1"/>
    <col min="19" max="197" width="12.5703125" style="285" customWidth="1"/>
    <col min="198" max="207" width="12.5703125" style="285"/>
    <col min="208" max="208" width="29" style="285" customWidth="1"/>
    <col min="209" max="209" width="12.85546875" style="285" customWidth="1"/>
    <col min="210" max="210" width="2.140625" style="285" bestFit="1" customWidth="1"/>
    <col min="211" max="211" width="6.5703125" style="285" customWidth="1"/>
    <col min="212" max="212" width="12.5703125" style="285" customWidth="1"/>
    <col min="213" max="213" width="11.140625" style="285" customWidth="1"/>
    <col min="214" max="225" width="12.7109375" style="285" customWidth="1"/>
    <col min="226" max="226" width="1.28515625" style="285" customWidth="1"/>
    <col min="227" max="227" width="13.28515625" style="285" customWidth="1"/>
    <col min="228" max="228" width="1.28515625" style="285" customWidth="1"/>
    <col min="229" max="229" width="11.42578125" style="285" customWidth="1"/>
    <col min="230" max="230" width="1.140625" style="285" customWidth="1"/>
    <col min="231" max="231" width="11.5703125" style="285" customWidth="1"/>
    <col min="232" max="232" width="1.5703125" style="285" customWidth="1"/>
    <col min="233" max="233" width="10.85546875" style="285" customWidth="1"/>
    <col min="234" max="234" width="2.140625" style="285" customWidth="1"/>
    <col min="235" max="235" width="12.5703125" style="285" customWidth="1"/>
    <col min="236" max="236" width="2.85546875" style="285" customWidth="1"/>
    <col min="237" max="237" width="12.5703125" style="285" customWidth="1"/>
    <col min="238" max="238" width="2.42578125" style="285" customWidth="1"/>
    <col min="239" max="241" width="12.5703125" style="285" customWidth="1"/>
    <col min="242" max="242" width="13.5703125" style="285" customWidth="1"/>
    <col min="243" max="243" width="12.5703125" style="285" customWidth="1"/>
    <col min="244" max="244" width="4.140625" style="285" customWidth="1"/>
    <col min="245" max="245" width="13.7109375" style="285" customWidth="1"/>
    <col min="246" max="453" width="12.5703125" style="285" customWidth="1"/>
    <col min="454" max="463" width="12.5703125" style="285"/>
    <col min="464" max="464" width="29" style="285" customWidth="1"/>
    <col min="465" max="465" width="12.85546875" style="285" customWidth="1"/>
    <col min="466" max="466" width="2.140625" style="285" bestFit="1" customWidth="1"/>
    <col min="467" max="467" width="6.5703125" style="285" customWidth="1"/>
    <col min="468" max="468" width="12.5703125" style="285" customWidth="1"/>
    <col min="469" max="469" width="11.140625" style="285" customWidth="1"/>
    <col min="470" max="481" width="12.7109375" style="285" customWidth="1"/>
    <col min="482" max="482" width="1.28515625" style="285" customWidth="1"/>
    <col min="483" max="483" width="13.28515625" style="285" customWidth="1"/>
    <col min="484" max="484" width="1.28515625" style="285" customWidth="1"/>
    <col min="485" max="485" width="11.42578125" style="285" customWidth="1"/>
    <col min="486" max="486" width="1.140625" style="285" customWidth="1"/>
    <col min="487" max="487" width="11.5703125" style="285" customWidth="1"/>
    <col min="488" max="488" width="1.5703125" style="285" customWidth="1"/>
    <col min="489" max="489" width="10.85546875" style="285" customWidth="1"/>
    <col min="490" max="490" width="2.140625" style="285" customWidth="1"/>
    <col min="491" max="491" width="12.5703125" style="285" customWidth="1"/>
    <col min="492" max="492" width="2.85546875" style="285" customWidth="1"/>
    <col min="493" max="493" width="12.5703125" style="285" customWidth="1"/>
    <col min="494" max="494" width="2.42578125" style="285" customWidth="1"/>
    <col min="495" max="497" width="12.5703125" style="285" customWidth="1"/>
    <col min="498" max="498" width="13.5703125" style="285" customWidth="1"/>
    <col min="499" max="499" width="12.5703125" style="285" customWidth="1"/>
    <col min="500" max="500" width="4.140625" style="285" customWidth="1"/>
    <col min="501" max="501" width="13.7109375" style="285" customWidth="1"/>
    <col min="502" max="709" width="12.5703125" style="285" customWidth="1"/>
    <col min="710" max="719" width="12.5703125" style="285"/>
    <col min="720" max="720" width="29" style="285" customWidth="1"/>
    <col min="721" max="721" width="12.85546875" style="285" customWidth="1"/>
    <col min="722" max="722" width="2.140625" style="285" bestFit="1" customWidth="1"/>
    <col min="723" max="723" width="6.5703125" style="285" customWidth="1"/>
    <col min="724" max="724" width="12.5703125" style="285" customWidth="1"/>
    <col min="725" max="725" width="11.140625" style="285" customWidth="1"/>
    <col min="726" max="737" width="12.7109375" style="285" customWidth="1"/>
    <col min="738" max="738" width="1.28515625" style="285" customWidth="1"/>
    <col min="739" max="739" width="13.28515625" style="285" customWidth="1"/>
    <col min="740" max="740" width="1.28515625" style="285" customWidth="1"/>
    <col min="741" max="741" width="11.42578125" style="285" customWidth="1"/>
    <col min="742" max="742" width="1.140625" style="285" customWidth="1"/>
    <col min="743" max="743" width="11.5703125" style="285" customWidth="1"/>
    <col min="744" max="744" width="1.5703125" style="285" customWidth="1"/>
    <col min="745" max="745" width="10.85546875" style="285" customWidth="1"/>
    <col min="746" max="746" width="2.140625" style="285" customWidth="1"/>
    <col min="747" max="747" width="12.5703125" style="285" customWidth="1"/>
    <col min="748" max="748" width="2.85546875" style="285" customWidth="1"/>
    <col min="749" max="749" width="12.5703125" style="285" customWidth="1"/>
    <col min="750" max="750" width="2.42578125" style="285" customWidth="1"/>
    <col min="751" max="753" width="12.5703125" style="285" customWidth="1"/>
    <col min="754" max="754" width="13.5703125" style="285" customWidth="1"/>
    <col min="755" max="755" width="12.5703125" style="285" customWidth="1"/>
    <col min="756" max="756" width="4.140625" style="285" customWidth="1"/>
    <col min="757" max="757" width="13.7109375" style="285" customWidth="1"/>
    <col min="758" max="965" width="12.5703125" style="285" customWidth="1"/>
    <col min="966" max="975" width="12.5703125" style="285"/>
    <col min="976" max="976" width="29" style="285" customWidth="1"/>
    <col min="977" max="977" width="12.85546875" style="285" customWidth="1"/>
    <col min="978" max="978" width="2.140625" style="285" bestFit="1" customWidth="1"/>
    <col min="979" max="979" width="6.5703125" style="285" customWidth="1"/>
    <col min="980" max="980" width="12.5703125" style="285" customWidth="1"/>
    <col min="981" max="981" width="11.140625" style="285" customWidth="1"/>
    <col min="982" max="993" width="12.7109375" style="285" customWidth="1"/>
    <col min="994" max="994" width="1.28515625" style="285" customWidth="1"/>
    <col min="995" max="995" width="13.28515625" style="285" customWidth="1"/>
    <col min="996" max="996" width="1.28515625" style="285" customWidth="1"/>
    <col min="997" max="997" width="11.42578125" style="285" customWidth="1"/>
    <col min="998" max="998" width="1.140625" style="285" customWidth="1"/>
    <col min="999" max="999" width="11.5703125" style="285" customWidth="1"/>
    <col min="1000" max="1000" width="1.5703125" style="285" customWidth="1"/>
    <col min="1001" max="1001" width="10.85546875" style="285" customWidth="1"/>
    <col min="1002" max="1002" width="2.140625" style="285" customWidth="1"/>
    <col min="1003" max="1003" width="12.5703125" style="285" customWidth="1"/>
    <col min="1004" max="1004" width="2.85546875" style="285" customWidth="1"/>
    <col min="1005" max="1005" width="12.5703125" style="285" customWidth="1"/>
    <col min="1006" max="1006" width="2.42578125" style="285" customWidth="1"/>
    <col min="1007" max="1009" width="12.5703125" style="285" customWidth="1"/>
    <col min="1010" max="1010" width="13.5703125" style="285" customWidth="1"/>
    <col min="1011" max="1011" width="12.5703125" style="285" customWidth="1"/>
    <col min="1012" max="1012" width="4.140625" style="285" customWidth="1"/>
    <col min="1013" max="1013" width="13.7109375" style="285" customWidth="1"/>
    <col min="1014" max="1221" width="12.5703125" style="285" customWidth="1"/>
    <col min="1222" max="1231" width="12.5703125" style="285"/>
    <col min="1232" max="1232" width="29" style="285" customWidth="1"/>
    <col min="1233" max="1233" width="12.85546875" style="285" customWidth="1"/>
    <col min="1234" max="1234" width="2.140625" style="285" bestFit="1" customWidth="1"/>
    <col min="1235" max="1235" width="6.5703125" style="285" customWidth="1"/>
    <col min="1236" max="1236" width="12.5703125" style="285" customWidth="1"/>
    <col min="1237" max="1237" width="11.140625" style="285" customWidth="1"/>
    <col min="1238" max="1249" width="12.7109375" style="285" customWidth="1"/>
    <col min="1250" max="1250" width="1.28515625" style="285" customWidth="1"/>
    <col min="1251" max="1251" width="13.28515625" style="285" customWidth="1"/>
    <col min="1252" max="1252" width="1.28515625" style="285" customWidth="1"/>
    <col min="1253" max="1253" width="11.42578125" style="285" customWidth="1"/>
    <col min="1254" max="1254" width="1.140625" style="285" customWidth="1"/>
    <col min="1255" max="1255" width="11.5703125" style="285" customWidth="1"/>
    <col min="1256" max="1256" width="1.5703125" style="285" customWidth="1"/>
    <col min="1257" max="1257" width="10.85546875" style="285" customWidth="1"/>
    <col min="1258" max="1258" width="2.140625" style="285" customWidth="1"/>
    <col min="1259" max="1259" width="12.5703125" style="285" customWidth="1"/>
    <col min="1260" max="1260" width="2.85546875" style="285" customWidth="1"/>
    <col min="1261" max="1261" width="12.5703125" style="285" customWidth="1"/>
    <col min="1262" max="1262" width="2.42578125" style="285" customWidth="1"/>
    <col min="1263" max="1265" width="12.5703125" style="285" customWidth="1"/>
    <col min="1266" max="1266" width="13.5703125" style="285" customWidth="1"/>
    <col min="1267" max="1267" width="12.5703125" style="285" customWidth="1"/>
    <col min="1268" max="1268" width="4.140625" style="285" customWidth="1"/>
    <col min="1269" max="1269" width="13.7109375" style="285" customWidth="1"/>
    <col min="1270" max="1477" width="12.5703125" style="285" customWidth="1"/>
    <col min="1478" max="1487" width="12.5703125" style="285"/>
    <col min="1488" max="1488" width="29" style="285" customWidth="1"/>
    <col min="1489" max="1489" width="12.85546875" style="285" customWidth="1"/>
    <col min="1490" max="1490" width="2.140625" style="285" bestFit="1" customWidth="1"/>
    <col min="1491" max="1491" width="6.5703125" style="285" customWidth="1"/>
    <col min="1492" max="1492" width="12.5703125" style="285" customWidth="1"/>
    <col min="1493" max="1493" width="11.140625" style="285" customWidth="1"/>
    <col min="1494" max="1505" width="12.7109375" style="285" customWidth="1"/>
    <col min="1506" max="1506" width="1.28515625" style="285" customWidth="1"/>
    <col min="1507" max="1507" width="13.28515625" style="285" customWidth="1"/>
    <col min="1508" max="1508" width="1.28515625" style="285" customWidth="1"/>
    <col min="1509" max="1509" width="11.42578125" style="285" customWidth="1"/>
    <col min="1510" max="1510" width="1.140625" style="285" customWidth="1"/>
    <col min="1511" max="1511" width="11.5703125" style="285" customWidth="1"/>
    <col min="1512" max="1512" width="1.5703125" style="285" customWidth="1"/>
    <col min="1513" max="1513" width="10.85546875" style="285" customWidth="1"/>
    <col min="1514" max="1514" width="2.140625" style="285" customWidth="1"/>
    <col min="1515" max="1515" width="12.5703125" style="285" customWidth="1"/>
    <col min="1516" max="1516" width="2.85546875" style="285" customWidth="1"/>
    <col min="1517" max="1517" width="12.5703125" style="285" customWidth="1"/>
    <col min="1518" max="1518" width="2.42578125" style="285" customWidth="1"/>
    <col min="1519" max="1521" width="12.5703125" style="285" customWidth="1"/>
    <col min="1522" max="1522" width="13.5703125" style="285" customWidth="1"/>
    <col min="1523" max="1523" width="12.5703125" style="285" customWidth="1"/>
    <col min="1524" max="1524" width="4.140625" style="285" customWidth="1"/>
    <col min="1525" max="1525" width="13.7109375" style="285" customWidth="1"/>
    <col min="1526" max="1733" width="12.5703125" style="285" customWidth="1"/>
    <col min="1734" max="1743" width="12.5703125" style="285"/>
    <col min="1744" max="1744" width="29" style="285" customWidth="1"/>
    <col min="1745" max="1745" width="12.85546875" style="285" customWidth="1"/>
    <col min="1746" max="1746" width="2.140625" style="285" bestFit="1" customWidth="1"/>
    <col min="1747" max="1747" width="6.5703125" style="285" customWidth="1"/>
    <col min="1748" max="1748" width="12.5703125" style="285" customWidth="1"/>
    <col min="1749" max="1749" width="11.140625" style="285" customWidth="1"/>
    <col min="1750" max="1761" width="12.7109375" style="285" customWidth="1"/>
    <col min="1762" max="1762" width="1.28515625" style="285" customWidth="1"/>
    <col min="1763" max="1763" width="13.28515625" style="285" customWidth="1"/>
    <col min="1764" max="1764" width="1.28515625" style="285" customWidth="1"/>
    <col min="1765" max="1765" width="11.42578125" style="285" customWidth="1"/>
    <col min="1766" max="1766" width="1.140625" style="285" customWidth="1"/>
    <col min="1767" max="1767" width="11.5703125" style="285" customWidth="1"/>
    <col min="1768" max="1768" width="1.5703125" style="285" customWidth="1"/>
    <col min="1769" max="1769" width="10.85546875" style="285" customWidth="1"/>
    <col min="1770" max="1770" width="2.140625" style="285" customWidth="1"/>
    <col min="1771" max="1771" width="12.5703125" style="285" customWidth="1"/>
    <col min="1772" max="1772" width="2.85546875" style="285" customWidth="1"/>
    <col min="1773" max="1773" width="12.5703125" style="285" customWidth="1"/>
    <col min="1774" max="1774" width="2.42578125" style="285" customWidth="1"/>
    <col min="1775" max="1777" width="12.5703125" style="285" customWidth="1"/>
    <col min="1778" max="1778" width="13.5703125" style="285" customWidth="1"/>
    <col min="1779" max="1779" width="12.5703125" style="285" customWidth="1"/>
    <col min="1780" max="1780" width="4.140625" style="285" customWidth="1"/>
    <col min="1781" max="1781" width="13.7109375" style="285" customWidth="1"/>
    <col min="1782" max="1989" width="12.5703125" style="285" customWidth="1"/>
    <col min="1990" max="1999" width="12.5703125" style="285"/>
    <col min="2000" max="2000" width="29" style="285" customWidth="1"/>
    <col min="2001" max="2001" width="12.85546875" style="285" customWidth="1"/>
    <col min="2002" max="2002" width="2.140625" style="285" bestFit="1" customWidth="1"/>
    <col min="2003" max="2003" width="6.5703125" style="285" customWidth="1"/>
    <col min="2004" max="2004" width="12.5703125" style="285" customWidth="1"/>
    <col min="2005" max="2005" width="11.140625" style="285" customWidth="1"/>
    <col min="2006" max="2017" width="12.7109375" style="285" customWidth="1"/>
    <col min="2018" max="2018" width="1.28515625" style="285" customWidth="1"/>
    <col min="2019" max="2019" width="13.28515625" style="285" customWidth="1"/>
    <col min="2020" max="2020" width="1.28515625" style="285" customWidth="1"/>
    <col min="2021" max="2021" width="11.42578125" style="285" customWidth="1"/>
    <col min="2022" max="2022" width="1.140625" style="285" customWidth="1"/>
    <col min="2023" max="2023" width="11.5703125" style="285" customWidth="1"/>
    <col min="2024" max="2024" width="1.5703125" style="285" customWidth="1"/>
    <col min="2025" max="2025" width="10.85546875" style="285" customWidth="1"/>
    <col min="2026" max="2026" width="2.140625" style="285" customWidth="1"/>
    <col min="2027" max="2027" width="12.5703125" style="285" customWidth="1"/>
    <col min="2028" max="2028" width="2.85546875" style="285" customWidth="1"/>
    <col min="2029" max="2029" width="12.5703125" style="285" customWidth="1"/>
    <col min="2030" max="2030" width="2.42578125" style="285" customWidth="1"/>
    <col min="2031" max="2033" width="12.5703125" style="285" customWidth="1"/>
    <col min="2034" max="2034" width="13.5703125" style="285" customWidth="1"/>
    <col min="2035" max="2035" width="12.5703125" style="285" customWidth="1"/>
    <col min="2036" max="2036" width="4.140625" style="285" customWidth="1"/>
    <col min="2037" max="2037" width="13.7109375" style="285" customWidth="1"/>
    <col min="2038" max="2245" width="12.5703125" style="285" customWidth="1"/>
    <col min="2246" max="2255" width="12.5703125" style="285"/>
    <col min="2256" max="2256" width="29" style="285" customWidth="1"/>
    <col min="2257" max="2257" width="12.85546875" style="285" customWidth="1"/>
    <col min="2258" max="2258" width="2.140625" style="285" bestFit="1" customWidth="1"/>
    <col min="2259" max="2259" width="6.5703125" style="285" customWidth="1"/>
    <col min="2260" max="2260" width="12.5703125" style="285" customWidth="1"/>
    <col min="2261" max="2261" width="11.140625" style="285" customWidth="1"/>
    <col min="2262" max="2273" width="12.7109375" style="285" customWidth="1"/>
    <col min="2274" max="2274" width="1.28515625" style="285" customWidth="1"/>
    <col min="2275" max="2275" width="13.28515625" style="285" customWidth="1"/>
    <col min="2276" max="2276" width="1.28515625" style="285" customWidth="1"/>
    <col min="2277" max="2277" width="11.42578125" style="285" customWidth="1"/>
    <col min="2278" max="2278" width="1.140625" style="285" customWidth="1"/>
    <col min="2279" max="2279" width="11.5703125" style="285" customWidth="1"/>
    <col min="2280" max="2280" width="1.5703125" style="285" customWidth="1"/>
    <col min="2281" max="2281" width="10.85546875" style="285" customWidth="1"/>
    <col min="2282" max="2282" width="2.140625" style="285" customWidth="1"/>
    <col min="2283" max="2283" width="12.5703125" style="285" customWidth="1"/>
    <col min="2284" max="2284" width="2.85546875" style="285" customWidth="1"/>
    <col min="2285" max="2285" width="12.5703125" style="285" customWidth="1"/>
    <col min="2286" max="2286" width="2.42578125" style="285" customWidth="1"/>
    <col min="2287" max="2289" width="12.5703125" style="285" customWidth="1"/>
    <col min="2290" max="2290" width="13.5703125" style="285" customWidth="1"/>
    <col min="2291" max="2291" width="12.5703125" style="285" customWidth="1"/>
    <col min="2292" max="2292" width="4.140625" style="285" customWidth="1"/>
    <col min="2293" max="2293" width="13.7109375" style="285" customWidth="1"/>
    <col min="2294" max="2501" width="12.5703125" style="285" customWidth="1"/>
    <col min="2502" max="2511" width="12.5703125" style="285"/>
    <col min="2512" max="2512" width="29" style="285" customWidth="1"/>
    <col min="2513" max="2513" width="12.85546875" style="285" customWidth="1"/>
    <col min="2514" max="2514" width="2.140625" style="285" bestFit="1" customWidth="1"/>
    <col min="2515" max="2515" width="6.5703125" style="285" customWidth="1"/>
    <col min="2516" max="2516" width="12.5703125" style="285" customWidth="1"/>
    <col min="2517" max="2517" width="11.140625" style="285" customWidth="1"/>
    <col min="2518" max="2529" width="12.7109375" style="285" customWidth="1"/>
    <col min="2530" max="2530" width="1.28515625" style="285" customWidth="1"/>
    <col min="2531" max="2531" width="13.28515625" style="285" customWidth="1"/>
    <col min="2532" max="2532" width="1.28515625" style="285" customWidth="1"/>
    <col min="2533" max="2533" width="11.42578125" style="285" customWidth="1"/>
    <col min="2534" max="2534" width="1.140625" style="285" customWidth="1"/>
    <col min="2535" max="2535" width="11.5703125" style="285" customWidth="1"/>
    <col min="2536" max="2536" width="1.5703125" style="285" customWidth="1"/>
    <col min="2537" max="2537" width="10.85546875" style="285" customWidth="1"/>
    <col min="2538" max="2538" width="2.140625" style="285" customWidth="1"/>
    <col min="2539" max="2539" width="12.5703125" style="285" customWidth="1"/>
    <col min="2540" max="2540" width="2.85546875" style="285" customWidth="1"/>
    <col min="2541" max="2541" width="12.5703125" style="285" customWidth="1"/>
    <col min="2542" max="2542" width="2.42578125" style="285" customWidth="1"/>
    <col min="2543" max="2545" width="12.5703125" style="285" customWidth="1"/>
    <col min="2546" max="2546" width="13.5703125" style="285" customWidth="1"/>
    <col min="2547" max="2547" width="12.5703125" style="285" customWidth="1"/>
    <col min="2548" max="2548" width="4.140625" style="285" customWidth="1"/>
    <col min="2549" max="2549" width="13.7109375" style="285" customWidth="1"/>
    <col min="2550" max="2757" width="12.5703125" style="285" customWidth="1"/>
    <col min="2758" max="2767" width="12.5703125" style="285"/>
    <col min="2768" max="2768" width="29" style="285" customWidth="1"/>
    <col min="2769" max="2769" width="12.85546875" style="285" customWidth="1"/>
    <col min="2770" max="2770" width="2.140625" style="285" bestFit="1" customWidth="1"/>
    <col min="2771" max="2771" width="6.5703125" style="285" customWidth="1"/>
    <col min="2772" max="2772" width="12.5703125" style="285" customWidth="1"/>
    <col min="2773" max="2773" width="11.140625" style="285" customWidth="1"/>
    <col min="2774" max="2785" width="12.7109375" style="285" customWidth="1"/>
    <col min="2786" max="2786" width="1.28515625" style="285" customWidth="1"/>
    <col min="2787" max="2787" width="13.28515625" style="285" customWidth="1"/>
    <col min="2788" max="2788" width="1.28515625" style="285" customWidth="1"/>
    <col min="2789" max="2789" width="11.42578125" style="285" customWidth="1"/>
    <col min="2790" max="2790" width="1.140625" style="285" customWidth="1"/>
    <col min="2791" max="2791" width="11.5703125" style="285" customWidth="1"/>
    <col min="2792" max="2792" width="1.5703125" style="285" customWidth="1"/>
    <col min="2793" max="2793" width="10.85546875" style="285" customWidth="1"/>
    <col min="2794" max="2794" width="2.140625" style="285" customWidth="1"/>
    <col min="2795" max="2795" width="12.5703125" style="285" customWidth="1"/>
    <col min="2796" max="2796" width="2.85546875" style="285" customWidth="1"/>
    <col min="2797" max="2797" width="12.5703125" style="285" customWidth="1"/>
    <col min="2798" max="2798" width="2.42578125" style="285" customWidth="1"/>
    <col min="2799" max="2801" width="12.5703125" style="285" customWidth="1"/>
    <col min="2802" max="2802" width="13.5703125" style="285" customWidth="1"/>
    <col min="2803" max="2803" width="12.5703125" style="285" customWidth="1"/>
    <col min="2804" max="2804" width="4.140625" style="285" customWidth="1"/>
    <col min="2805" max="2805" width="13.7109375" style="285" customWidth="1"/>
    <col min="2806" max="3013" width="12.5703125" style="285" customWidth="1"/>
    <col min="3014" max="3023" width="12.5703125" style="285"/>
    <col min="3024" max="3024" width="29" style="285" customWidth="1"/>
    <col min="3025" max="3025" width="12.85546875" style="285" customWidth="1"/>
    <col min="3026" max="3026" width="2.140625" style="285" bestFit="1" customWidth="1"/>
    <col min="3027" max="3027" width="6.5703125" style="285" customWidth="1"/>
    <col min="3028" max="3028" width="12.5703125" style="285" customWidth="1"/>
    <col min="3029" max="3029" width="11.140625" style="285" customWidth="1"/>
    <col min="3030" max="3041" width="12.7109375" style="285" customWidth="1"/>
    <col min="3042" max="3042" width="1.28515625" style="285" customWidth="1"/>
    <col min="3043" max="3043" width="13.28515625" style="285" customWidth="1"/>
    <col min="3044" max="3044" width="1.28515625" style="285" customWidth="1"/>
    <col min="3045" max="3045" width="11.42578125" style="285" customWidth="1"/>
    <col min="3046" max="3046" width="1.140625" style="285" customWidth="1"/>
    <col min="3047" max="3047" width="11.5703125" style="285" customWidth="1"/>
    <col min="3048" max="3048" width="1.5703125" style="285" customWidth="1"/>
    <col min="3049" max="3049" width="10.85546875" style="285" customWidth="1"/>
    <col min="3050" max="3050" width="2.140625" style="285" customWidth="1"/>
    <col min="3051" max="3051" width="12.5703125" style="285" customWidth="1"/>
    <col min="3052" max="3052" width="2.85546875" style="285" customWidth="1"/>
    <col min="3053" max="3053" width="12.5703125" style="285" customWidth="1"/>
    <col min="3054" max="3054" width="2.42578125" style="285" customWidth="1"/>
    <col min="3055" max="3057" width="12.5703125" style="285" customWidth="1"/>
    <col min="3058" max="3058" width="13.5703125" style="285" customWidth="1"/>
    <col min="3059" max="3059" width="12.5703125" style="285" customWidth="1"/>
    <col min="3060" max="3060" width="4.140625" style="285" customWidth="1"/>
    <col min="3061" max="3061" width="13.7109375" style="285" customWidth="1"/>
    <col min="3062" max="3269" width="12.5703125" style="285" customWidth="1"/>
    <col min="3270" max="3279" width="12.5703125" style="285"/>
    <col min="3280" max="3280" width="29" style="285" customWidth="1"/>
    <col min="3281" max="3281" width="12.85546875" style="285" customWidth="1"/>
    <col min="3282" max="3282" width="2.140625" style="285" bestFit="1" customWidth="1"/>
    <col min="3283" max="3283" width="6.5703125" style="285" customWidth="1"/>
    <col min="3284" max="3284" width="12.5703125" style="285" customWidth="1"/>
    <col min="3285" max="3285" width="11.140625" style="285" customWidth="1"/>
    <col min="3286" max="3297" width="12.7109375" style="285" customWidth="1"/>
    <col min="3298" max="3298" width="1.28515625" style="285" customWidth="1"/>
    <col min="3299" max="3299" width="13.28515625" style="285" customWidth="1"/>
    <col min="3300" max="3300" width="1.28515625" style="285" customWidth="1"/>
    <col min="3301" max="3301" width="11.42578125" style="285" customWidth="1"/>
    <col min="3302" max="3302" width="1.140625" style="285" customWidth="1"/>
    <col min="3303" max="3303" width="11.5703125" style="285" customWidth="1"/>
    <col min="3304" max="3304" width="1.5703125" style="285" customWidth="1"/>
    <col min="3305" max="3305" width="10.85546875" style="285" customWidth="1"/>
    <col min="3306" max="3306" width="2.140625" style="285" customWidth="1"/>
    <col min="3307" max="3307" width="12.5703125" style="285" customWidth="1"/>
    <col min="3308" max="3308" width="2.85546875" style="285" customWidth="1"/>
    <col min="3309" max="3309" width="12.5703125" style="285" customWidth="1"/>
    <col min="3310" max="3310" width="2.42578125" style="285" customWidth="1"/>
    <col min="3311" max="3313" width="12.5703125" style="285" customWidth="1"/>
    <col min="3314" max="3314" width="13.5703125" style="285" customWidth="1"/>
    <col min="3315" max="3315" width="12.5703125" style="285" customWidth="1"/>
    <col min="3316" max="3316" width="4.140625" style="285" customWidth="1"/>
    <col min="3317" max="3317" width="13.7109375" style="285" customWidth="1"/>
    <col min="3318" max="3525" width="12.5703125" style="285" customWidth="1"/>
    <col min="3526" max="3535" width="12.5703125" style="285"/>
    <col min="3536" max="3536" width="29" style="285" customWidth="1"/>
    <col min="3537" max="3537" width="12.85546875" style="285" customWidth="1"/>
    <col min="3538" max="3538" width="2.140625" style="285" bestFit="1" customWidth="1"/>
    <col min="3539" max="3539" width="6.5703125" style="285" customWidth="1"/>
    <col min="3540" max="3540" width="12.5703125" style="285" customWidth="1"/>
    <col min="3541" max="3541" width="11.140625" style="285" customWidth="1"/>
    <col min="3542" max="3553" width="12.7109375" style="285" customWidth="1"/>
    <col min="3554" max="3554" width="1.28515625" style="285" customWidth="1"/>
    <col min="3555" max="3555" width="13.28515625" style="285" customWidth="1"/>
    <col min="3556" max="3556" width="1.28515625" style="285" customWidth="1"/>
    <col min="3557" max="3557" width="11.42578125" style="285" customWidth="1"/>
    <col min="3558" max="3558" width="1.140625" style="285" customWidth="1"/>
    <col min="3559" max="3559" width="11.5703125" style="285" customWidth="1"/>
    <col min="3560" max="3560" width="1.5703125" style="285" customWidth="1"/>
    <col min="3561" max="3561" width="10.85546875" style="285" customWidth="1"/>
    <col min="3562" max="3562" width="2.140625" style="285" customWidth="1"/>
    <col min="3563" max="3563" width="12.5703125" style="285" customWidth="1"/>
    <col min="3564" max="3564" width="2.85546875" style="285" customWidth="1"/>
    <col min="3565" max="3565" width="12.5703125" style="285" customWidth="1"/>
    <col min="3566" max="3566" width="2.42578125" style="285" customWidth="1"/>
    <col min="3567" max="3569" width="12.5703125" style="285" customWidth="1"/>
    <col min="3570" max="3570" width="13.5703125" style="285" customWidth="1"/>
    <col min="3571" max="3571" width="12.5703125" style="285" customWidth="1"/>
    <col min="3572" max="3572" width="4.140625" style="285" customWidth="1"/>
    <col min="3573" max="3573" width="13.7109375" style="285" customWidth="1"/>
    <col min="3574" max="3781" width="12.5703125" style="285" customWidth="1"/>
    <col min="3782" max="3791" width="12.5703125" style="285"/>
    <col min="3792" max="3792" width="29" style="285" customWidth="1"/>
    <col min="3793" max="3793" width="12.85546875" style="285" customWidth="1"/>
    <col min="3794" max="3794" width="2.140625" style="285" bestFit="1" customWidth="1"/>
    <col min="3795" max="3795" width="6.5703125" style="285" customWidth="1"/>
    <col min="3796" max="3796" width="12.5703125" style="285" customWidth="1"/>
    <col min="3797" max="3797" width="11.140625" style="285" customWidth="1"/>
    <col min="3798" max="3809" width="12.7109375" style="285" customWidth="1"/>
    <col min="3810" max="3810" width="1.28515625" style="285" customWidth="1"/>
    <col min="3811" max="3811" width="13.28515625" style="285" customWidth="1"/>
    <col min="3812" max="3812" width="1.28515625" style="285" customWidth="1"/>
    <col min="3813" max="3813" width="11.42578125" style="285" customWidth="1"/>
    <col min="3814" max="3814" width="1.140625" style="285" customWidth="1"/>
    <col min="3815" max="3815" width="11.5703125" style="285" customWidth="1"/>
    <col min="3816" max="3816" width="1.5703125" style="285" customWidth="1"/>
    <col min="3817" max="3817" width="10.85546875" style="285" customWidth="1"/>
    <col min="3818" max="3818" width="2.140625" style="285" customWidth="1"/>
    <col min="3819" max="3819" width="12.5703125" style="285" customWidth="1"/>
    <col min="3820" max="3820" width="2.85546875" style="285" customWidth="1"/>
    <col min="3821" max="3821" width="12.5703125" style="285" customWidth="1"/>
    <col min="3822" max="3822" width="2.42578125" style="285" customWidth="1"/>
    <col min="3823" max="3825" width="12.5703125" style="285" customWidth="1"/>
    <col min="3826" max="3826" width="13.5703125" style="285" customWidth="1"/>
    <col min="3827" max="3827" width="12.5703125" style="285" customWidth="1"/>
    <col min="3828" max="3828" width="4.140625" style="285" customWidth="1"/>
    <col min="3829" max="3829" width="13.7109375" style="285" customWidth="1"/>
    <col min="3830" max="4037" width="12.5703125" style="285" customWidth="1"/>
    <col min="4038" max="4047" width="12.5703125" style="285"/>
    <col min="4048" max="4048" width="29" style="285" customWidth="1"/>
    <col min="4049" max="4049" width="12.85546875" style="285" customWidth="1"/>
    <col min="4050" max="4050" width="2.140625" style="285" bestFit="1" customWidth="1"/>
    <col min="4051" max="4051" width="6.5703125" style="285" customWidth="1"/>
    <col min="4052" max="4052" width="12.5703125" style="285" customWidth="1"/>
    <col min="4053" max="4053" width="11.140625" style="285" customWidth="1"/>
    <col min="4054" max="4065" width="12.7109375" style="285" customWidth="1"/>
    <col min="4066" max="4066" width="1.28515625" style="285" customWidth="1"/>
    <col min="4067" max="4067" width="13.28515625" style="285" customWidth="1"/>
    <col min="4068" max="4068" width="1.28515625" style="285" customWidth="1"/>
    <col min="4069" max="4069" width="11.42578125" style="285" customWidth="1"/>
    <col min="4070" max="4070" width="1.140625" style="285" customWidth="1"/>
    <col min="4071" max="4071" width="11.5703125" style="285" customWidth="1"/>
    <col min="4072" max="4072" width="1.5703125" style="285" customWidth="1"/>
    <col min="4073" max="4073" width="10.85546875" style="285" customWidth="1"/>
    <col min="4074" max="4074" width="2.140625" style="285" customWidth="1"/>
    <col min="4075" max="4075" width="12.5703125" style="285" customWidth="1"/>
    <col min="4076" max="4076" width="2.85546875" style="285" customWidth="1"/>
    <col min="4077" max="4077" width="12.5703125" style="285" customWidth="1"/>
    <col min="4078" max="4078" width="2.42578125" style="285" customWidth="1"/>
    <col min="4079" max="4081" width="12.5703125" style="285" customWidth="1"/>
    <col min="4082" max="4082" width="13.5703125" style="285" customWidth="1"/>
    <col min="4083" max="4083" width="12.5703125" style="285" customWidth="1"/>
    <col min="4084" max="4084" width="4.140625" style="285" customWidth="1"/>
    <col min="4085" max="4085" width="13.7109375" style="285" customWidth="1"/>
    <col min="4086" max="4293" width="12.5703125" style="285" customWidth="1"/>
    <col min="4294" max="4303" width="12.5703125" style="285"/>
    <col min="4304" max="4304" width="29" style="285" customWidth="1"/>
    <col min="4305" max="4305" width="12.85546875" style="285" customWidth="1"/>
    <col min="4306" max="4306" width="2.140625" style="285" bestFit="1" customWidth="1"/>
    <col min="4307" max="4307" width="6.5703125" style="285" customWidth="1"/>
    <col min="4308" max="4308" width="12.5703125" style="285" customWidth="1"/>
    <col min="4309" max="4309" width="11.140625" style="285" customWidth="1"/>
    <col min="4310" max="4321" width="12.7109375" style="285" customWidth="1"/>
    <col min="4322" max="4322" width="1.28515625" style="285" customWidth="1"/>
    <col min="4323" max="4323" width="13.28515625" style="285" customWidth="1"/>
    <col min="4324" max="4324" width="1.28515625" style="285" customWidth="1"/>
    <col min="4325" max="4325" width="11.42578125" style="285" customWidth="1"/>
    <col min="4326" max="4326" width="1.140625" style="285" customWidth="1"/>
    <col min="4327" max="4327" width="11.5703125" style="285" customWidth="1"/>
    <col min="4328" max="4328" width="1.5703125" style="285" customWidth="1"/>
    <col min="4329" max="4329" width="10.85546875" style="285" customWidth="1"/>
    <col min="4330" max="4330" width="2.140625" style="285" customWidth="1"/>
    <col min="4331" max="4331" width="12.5703125" style="285" customWidth="1"/>
    <col min="4332" max="4332" width="2.85546875" style="285" customWidth="1"/>
    <col min="4333" max="4333" width="12.5703125" style="285" customWidth="1"/>
    <col min="4334" max="4334" width="2.42578125" style="285" customWidth="1"/>
    <col min="4335" max="4337" width="12.5703125" style="285" customWidth="1"/>
    <col min="4338" max="4338" width="13.5703125" style="285" customWidth="1"/>
    <col min="4339" max="4339" width="12.5703125" style="285" customWidth="1"/>
    <col min="4340" max="4340" width="4.140625" style="285" customWidth="1"/>
    <col min="4341" max="4341" width="13.7109375" style="285" customWidth="1"/>
    <col min="4342" max="4549" width="12.5703125" style="285" customWidth="1"/>
    <col min="4550" max="4559" width="12.5703125" style="285"/>
    <col min="4560" max="4560" width="29" style="285" customWidth="1"/>
    <col min="4561" max="4561" width="12.85546875" style="285" customWidth="1"/>
    <col min="4562" max="4562" width="2.140625" style="285" bestFit="1" customWidth="1"/>
    <col min="4563" max="4563" width="6.5703125" style="285" customWidth="1"/>
    <col min="4564" max="4564" width="12.5703125" style="285" customWidth="1"/>
    <col min="4565" max="4565" width="11.140625" style="285" customWidth="1"/>
    <col min="4566" max="4577" width="12.7109375" style="285" customWidth="1"/>
    <col min="4578" max="4578" width="1.28515625" style="285" customWidth="1"/>
    <col min="4579" max="4579" width="13.28515625" style="285" customWidth="1"/>
    <col min="4580" max="4580" width="1.28515625" style="285" customWidth="1"/>
    <col min="4581" max="4581" width="11.42578125" style="285" customWidth="1"/>
    <col min="4582" max="4582" width="1.140625" style="285" customWidth="1"/>
    <col min="4583" max="4583" width="11.5703125" style="285" customWidth="1"/>
    <col min="4584" max="4584" width="1.5703125" style="285" customWidth="1"/>
    <col min="4585" max="4585" width="10.85546875" style="285" customWidth="1"/>
    <col min="4586" max="4586" width="2.140625" style="285" customWidth="1"/>
    <col min="4587" max="4587" width="12.5703125" style="285" customWidth="1"/>
    <col min="4588" max="4588" width="2.85546875" style="285" customWidth="1"/>
    <col min="4589" max="4589" width="12.5703125" style="285" customWidth="1"/>
    <col min="4590" max="4590" width="2.42578125" style="285" customWidth="1"/>
    <col min="4591" max="4593" width="12.5703125" style="285" customWidth="1"/>
    <col min="4594" max="4594" width="13.5703125" style="285" customWidth="1"/>
    <col min="4595" max="4595" width="12.5703125" style="285" customWidth="1"/>
    <col min="4596" max="4596" width="4.140625" style="285" customWidth="1"/>
    <col min="4597" max="4597" width="13.7109375" style="285" customWidth="1"/>
    <col min="4598" max="4805" width="12.5703125" style="285" customWidth="1"/>
    <col min="4806" max="4815" width="12.5703125" style="285"/>
    <col min="4816" max="4816" width="29" style="285" customWidth="1"/>
    <col min="4817" max="4817" width="12.85546875" style="285" customWidth="1"/>
    <col min="4818" max="4818" width="2.140625" style="285" bestFit="1" customWidth="1"/>
    <col min="4819" max="4819" width="6.5703125" style="285" customWidth="1"/>
    <col min="4820" max="4820" width="12.5703125" style="285" customWidth="1"/>
    <col min="4821" max="4821" width="11.140625" style="285" customWidth="1"/>
    <col min="4822" max="4833" width="12.7109375" style="285" customWidth="1"/>
    <col min="4834" max="4834" width="1.28515625" style="285" customWidth="1"/>
    <col min="4835" max="4835" width="13.28515625" style="285" customWidth="1"/>
    <col min="4836" max="4836" width="1.28515625" style="285" customWidth="1"/>
    <col min="4837" max="4837" width="11.42578125" style="285" customWidth="1"/>
    <col min="4838" max="4838" width="1.140625" style="285" customWidth="1"/>
    <col min="4839" max="4839" width="11.5703125" style="285" customWidth="1"/>
    <col min="4840" max="4840" width="1.5703125" style="285" customWidth="1"/>
    <col min="4841" max="4841" width="10.85546875" style="285" customWidth="1"/>
    <col min="4842" max="4842" width="2.140625" style="285" customWidth="1"/>
    <col min="4843" max="4843" width="12.5703125" style="285" customWidth="1"/>
    <col min="4844" max="4844" width="2.85546875" style="285" customWidth="1"/>
    <col min="4845" max="4845" width="12.5703125" style="285" customWidth="1"/>
    <col min="4846" max="4846" width="2.42578125" style="285" customWidth="1"/>
    <col min="4847" max="4849" width="12.5703125" style="285" customWidth="1"/>
    <col min="4850" max="4850" width="13.5703125" style="285" customWidth="1"/>
    <col min="4851" max="4851" width="12.5703125" style="285" customWidth="1"/>
    <col min="4852" max="4852" width="4.140625" style="285" customWidth="1"/>
    <col min="4853" max="4853" width="13.7109375" style="285" customWidth="1"/>
    <col min="4854" max="5061" width="12.5703125" style="285" customWidth="1"/>
    <col min="5062" max="5071" width="12.5703125" style="285"/>
    <col min="5072" max="5072" width="29" style="285" customWidth="1"/>
    <col min="5073" max="5073" width="12.85546875" style="285" customWidth="1"/>
    <col min="5074" max="5074" width="2.140625" style="285" bestFit="1" customWidth="1"/>
    <col min="5075" max="5075" width="6.5703125" style="285" customWidth="1"/>
    <col min="5076" max="5076" width="12.5703125" style="285" customWidth="1"/>
    <col min="5077" max="5077" width="11.140625" style="285" customWidth="1"/>
    <col min="5078" max="5089" width="12.7109375" style="285" customWidth="1"/>
    <col min="5090" max="5090" width="1.28515625" style="285" customWidth="1"/>
    <col min="5091" max="5091" width="13.28515625" style="285" customWidth="1"/>
    <col min="5092" max="5092" width="1.28515625" style="285" customWidth="1"/>
    <col min="5093" max="5093" width="11.42578125" style="285" customWidth="1"/>
    <col min="5094" max="5094" width="1.140625" style="285" customWidth="1"/>
    <col min="5095" max="5095" width="11.5703125" style="285" customWidth="1"/>
    <col min="5096" max="5096" width="1.5703125" style="285" customWidth="1"/>
    <col min="5097" max="5097" width="10.85546875" style="285" customWidth="1"/>
    <col min="5098" max="5098" width="2.140625" style="285" customWidth="1"/>
    <col min="5099" max="5099" width="12.5703125" style="285" customWidth="1"/>
    <col min="5100" max="5100" width="2.85546875" style="285" customWidth="1"/>
    <col min="5101" max="5101" width="12.5703125" style="285" customWidth="1"/>
    <col min="5102" max="5102" width="2.42578125" style="285" customWidth="1"/>
    <col min="5103" max="5105" width="12.5703125" style="285" customWidth="1"/>
    <col min="5106" max="5106" width="13.5703125" style="285" customWidth="1"/>
    <col min="5107" max="5107" width="12.5703125" style="285" customWidth="1"/>
    <col min="5108" max="5108" width="4.140625" style="285" customWidth="1"/>
    <col min="5109" max="5109" width="13.7109375" style="285" customWidth="1"/>
    <col min="5110" max="5317" width="12.5703125" style="285" customWidth="1"/>
    <col min="5318" max="5327" width="12.5703125" style="285"/>
    <col min="5328" max="5328" width="29" style="285" customWidth="1"/>
    <col min="5329" max="5329" width="12.85546875" style="285" customWidth="1"/>
    <col min="5330" max="5330" width="2.140625" style="285" bestFit="1" customWidth="1"/>
    <col min="5331" max="5331" width="6.5703125" style="285" customWidth="1"/>
    <col min="5332" max="5332" width="12.5703125" style="285" customWidth="1"/>
    <col min="5333" max="5333" width="11.140625" style="285" customWidth="1"/>
    <col min="5334" max="5345" width="12.7109375" style="285" customWidth="1"/>
    <col min="5346" max="5346" width="1.28515625" style="285" customWidth="1"/>
    <col min="5347" max="5347" width="13.28515625" style="285" customWidth="1"/>
    <col min="5348" max="5348" width="1.28515625" style="285" customWidth="1"/>
    <col min="5349" max="5349" width="11.42578125" style="285" customWidth="1"/>
    <col min="5350" max="5350" width="1.140625" style="285" customWidth="1"/>
    <col min="5351" max="5351" width="11.5703125" style="285" customWidth="1"/>
    <col min="5352" max="5352" width="1.5703125" style="285" customWidth="1"/>
    <col min="5353" max="5353" width="10.85546875" style="285" customWidth="1"/>
    <col min="5354" max="5354" width="2.140625" style="285" customWidth="1"/>
    <col min="5355" max="5355" width="12.5703125" style="285" customWidth="1"/>
    <col min="5356" max="5356" width="2.85546875" style="285" customWidth="1"/>
    <col min="5357" max="5357" width="12.5703125" style="285" customWidth="1"/>
    <col min="5358" max="5358" width="2.42578125" style="285" customWidth="1"/>
    <col min="5359" max="5361" width="12.5703125" style="285" customWidth="1"/>
    <col min="5362" max="5362" width="13.5703125" style="285" customWidth="1"/>
    <col min="5363" max="5363" width="12.5703125" style="285" customWidth="1"/>
    <col min="5364" max="5364" width="4.140625" style="285" customWidth="1"/>
    <col min="5365" max="5365" width="13.7109375" style="285" customWidth="1"/>
    <col min="5366" max="5573" width="12.5703125" style="285" customWidth="1"/>
    <col min="5574" max="5583" width="12.5703125" style="285"/>
    <col min="5584" max="5584" width="29" style="285" customWidth="1"/>
    <col min="5585" max="5585" width="12.85546875" style="285" customWidth="1"/>
    <col min="5586" max="5586" width="2.140625" style="285" bestFit="1" customWidth="1"/>
    <col min="5587" max="5587" width="6.5703125" style="285" customWidth="1"/>
    <col min="5588" max="5588" width="12.5703125" style="285" customWidth="1"/>
    <col min="5589" max="5589" width="11.140625" style="285" customWidth="1"/>
    <col min="5590" max="5601" width="12.7109375" style="285" customWidth="1"/>
    <col min="5602" max="5602" width="1.28515625" style="285" customWidth="1"/>
    <col min="5603" max="5603" width="13.28515625" style="285" customWidth="1"/>
    <col min="5604" max="5604" width="1.28515625" style="285" customWidth="1"/>
    <col min="5605" max="5605" width="11.42578125" style="285" customWidth="1"/>
    <col min="5606" max="5606" width="1.140625" style="285" customWidth="1"/>
    <col min="5607" max="5607" width="11.5703125" style="285" customWidth="1"/>
    <col min="5608" max="5608" width="1.5703125" style="285" customWidth="1"/>
    <col min="5609" max="5609" width="10.85546875" style="285" customWidth="1"/>
    <col min="5610" max="5610" width="2.140625" style="285" customWidth="1"/>
    <col min="5611" max="5611" width="12.5703125" style="285" customWidth="1"/>
    <col min="5612" max="5612" width="2.85546875" style="285" customWidth="1"/>
    <col min="5613" max="5613" width="12.5703125" style="285" customWidth="1"/>
    <col min="5614" max="5614" width="2.42578125" style="285" customWidth="1"/>
    <col min="5615" max="5617" width="12.5703125" style="285" customWidth="1"/>
    <col min="5618" max="5618" width="13.5703125" style="285" customWidth="1"/>
    <col min="5619" max="5619" width="12.5703125" style="285" customWidth="1"/>
    <col min="5620" max="5620" width="4.140625" style="285" customWidth="1"/>
    <col min="5621" max="5621" width="13.7109375" style="285" customWidth="1"/>
    <col min="5622" max="5829" width="12.5703125" style="285" customWidth="1"/>
    <col min="5830" max="5839" width="12.5703125" style="285"/>
    <col min="5840" max="5840" width="29" style="285" customWidth="1"/>
    <col min="5841" max="5841" width="12.85546875" style="285" customWidth="1"/>
    <col min="5842" max="5842" width="2.140625" style="285" bestFit="1" customWidth="1"/>
    <col min="5843" max="5843" width="6.5703125" style="285" customWidth="1"/>
    <col min="5844" max="5844" width="12.5703125" style="285" customWidth="1"/>
    <col min="5845" max="5845" width="11.140625" style="285" customWidth="1"/>
    <col min="5846" max="5857" width="12.7109375" style="285" customWidth="1"/>
    <col min="5858" max="5858" width="1.28515625" style="285" customWidth="1"/>
    <col min="5859" max="5859" width="13.28515625" style="285" customWidth="1"/>
    <col min="5860" max="5860" width="1.28515625" style="285" customWidth="1"/>
    <col min="5861" max="5861" width="11.42578125" style="285" customWidth="1"/>
    <col min="5862" max="5862" width="1.140625" style="285" customWidth="1"/>
    <col min="5863" max="5863" width="11.5703125" style="285" customWidth="1"/>
    <col min="5864" max="5864" width="1.5703125" style="285" customWidth="1"/>
    <col min="5865" max="5865" width="10.85546875" style="285" customWidth="1"/>
    <col min="5866" max="5866" width="2.140625" style="285" customWidth="1"/>
    <col min="5867" max="5867" width="12.5703125" style="285" customWidth="1"/>
    <col min="5868" max="5868" width="2.85546875" style="285" customWidth="1"/>
    <col min="5869" max="5869" width="12.5703125" style="285" customWidth="1"/>
    <col min="5870" max="5870" width="2.42578125" style="285" customWidth="1"/>
    <col min="5871" max="5873" width="12.5703125" style="285" customWidth="1"/>
    <col min="5874" max="5874" width="13.5703125" style="285" customWidth="1"/>
    <col min="5875" max="5875" width="12.5703125" style="285" customWidth="1"/>
    <col min="5876" max="5876" width="4.140625" style="285" customWidth="1"/>
    <col min="5877" max="5877" width="13.7109375" style="285" customWidth="1"/>
    <col min="5878" max="6085" width="12.5703125" style="285" customWidth="1"/>
    <col min="6086" max="6095" width="12.5703125" style="285"/>
    <col min="6096" max="6096" width="29" style="285" customWidth="1"/>
    <col min="6097" max="6097" width="12.85546875" style="285" customWidth="1"/>
    <col min="6098" max="6098" width="2.140625" style="285" bestFit="1" customWidth="1"/>
    <col min="6099" max="6099" width="6.5703125" style="285" customWidth="1"/>
    <col min="6100" max="6100" width="12.5703125" style="285" customWidth="1"/>
    <col min="6101" max="6101" width="11.140625" style="285" customWidth="1"/>
    <col min="6102" max="6113" width="12.7109375" style="285" customWidth="1"/>
    <col min="6114" max="6114" width="1.28515625" style="285" customWidth="1"/>
    <col min="6115" max="6115" width="13.28515625" style="285" customWidth="1"/>
    <col min="6116" max="6116" width="1.28515625" style="285" customWidth="1"/>
    <col min="6117" max="6117" width="11.42578125" style="285" customWidth="1"/>
    <col min="6118" max="6118" width="1.140625" style="285" customWidth="1"/>
    <col min="6119" max="6119" width="11.5703125" style="285" customWidth="1"/>
    <col min="6120" max="6120" width="1.5703125" style="285" customWidth="1"/>
    <col min="6121" max="6121" width="10.85546875" style="285" customWidth="1"/>
    <col min="6122" max="6122" width="2.140625" style="285" customWidth="1"/>
    <col min="6123" max="6123" width="12.5703125" style="285" customWidth="1"/>
    <col min="6124" max="6124" width="2.85546875" style="285" customWidth="1"/>
    <col min="6125" max="6125" width="12.5703125" style="285" customWidth="1"/>
    <col min="6126" max="6126" width="2.42578125" style="285" customWidth="1"/>
    <col min="6127" max="6129" width="12.5703125" style="285" customWidth="1"/>
    <col min="6130" max="6130" width="13.5703125" style="285" customWidth="1"/>
    <col min="6131" max="6131" width="12.5703125" style="285" customWidth="1"/>
    <col min="6132" max="6132" width="4.140625" style="285" customWidth="1"/>
    <col min="6133" max="6133" width="13.7109375" style="285" customWidth="1"/>
    <col min="6134" max="6341" width="12.5703125" style="285" customWidth="1"/>
    <col min="6342" max="6351" width="12.5703125" style="285"/>
    <col min="6352" max="6352" width="29" style="285" customWidth="1"/>
    <col min="6353" max="6353" width="12.85546875" style="285" customWidth="1"/>
    <col min="6354" max="6354" width="2.140625" style="285" bestFit="1" customWidth="1"/>
    <col min="6355" max="6355" width="6.5703125" style="285" customWidth="1"/>
    <col min="6356" max="6356" width="12.5703125" style="285" customWidth="1"/>
    <col min="6357" max="6357" width="11.140625" style="285" customWidth="1"/>
    <col min="6358" max="6369" width="12.7109375" style="285" customWidth="1"/>
    <col min="6370" max="6370" width="1.28515625" style="285" customWidth="1"/>
    <col min="6371" max="6371" width="13.28515625" style="285" customWidth="1"/>
    <col min="6372" max="6372" width="1.28515625" style="285" customWidth="1"/>
    <col min="6373" max="6373" width="11.42578125" style="285" customWidth="1"/>
    <col min="6374" max="6374" width="1.140625" style="285" customWidth="1"/>
    <col min="6375" max="6375" width="11.5703125" style="285" customWidth="1"/>
    <col min="6376" max="6376" width="1.5703125" style="285" customWidth="1"/>
    <col min="6377" max="6377" width="10.85546875" style="285" customWidth="1"/>
    <col min="6378" max="6378" width="2.140625" style="285" customWidth="1"/>
    <col min="6379" max="6379" width="12.5703125" style="285" customWidth="1"/>
    <col min="6380" max="6380" width="2.85546875" style="285" customWidth="1"/>
    <col min="6381" max="6381" width="12.5703125" style="285" customWidth="1"/>
    <col min="6382" max="6382" width="2.42578125" style="285" customWidth="1"/>
    <col min="6383" max="6385" width="12.5703125" style="285" customWidth="1"/>
    <col min="6386" max="6386" width="13.5703125" style="285" customWidth="1"/>
    <col min="6387" max="6387" width="12.5703125" style="285" customWidth="1"/>
    <col min="6388" max="6388" width="4.140625" style="285" customWidth="1"/>
    <col min="6389" max="6389" width="13.7109375" style="285" customWidth="1"/>
    <col min="6390" max="6597" width="12.5703125" style="285" customWidth="1"/>
    <col min="6598" max="6607" width="12.5703125" style="285"/>
    <col min="6608" max="6608" width="29" style="285" customWidth="1"/>
    <col min="6609" max="6609" width="12.85546875" style="285" customWidth="1"/>
    <col min="6610" max="6610" width="2.140625" style="285" bestFit="1" customWidth="1"/>
    <col min="6611" max="6611" width="6.5703125" style="285" customWidth="1"/>
    <col min="6612" max="6612" width="12.5703125" style="285" customWidth="1"/>
    <col min="6613" max="6613" width="11.140625" style="285" customWidth="1"/>
    <col min="6614" max="6625" width="12.7109375" style="285" customWidth="1"/>
    <col min="6626" max="6626" width="1.28515625" style="285" customWidth="1"/>
    <col min="6627" max="6627" width="13.28515625" style="285" customWidth="1"/>
    <col min="6628" max="6628" width="1.28515625" style="285" customWidth="1"/>
    <col min="6629" max="6629" width="11.42578125" style="285" customWidth="1"/>
    <col min="6630" max="6630" width="1.140625" style="285" customWidth="1"/>
    <col min="6631" max="6631" width="11.5703125" style="285" customWidth="1"/>
    <col min="6632" max="6632" width="1.5703125" style="285" customWidth="1"/>
    <col min="6633" max="6633" width="10.85546875" style="285" customWidth="1"/>
    <col min="6634" max="6634" width="2.140625" style="285" customWidth="1"/>
    <col min="6635" max="6635" width="12.5703125" style="285" customWidth="1"/>
    <col min="6636" max="6636" width="2.85546875" style="285" customWidth="1"/>
    <col min="6637" max="6637" width="12.5703125" style="285" customWidth="1"/>
    <col min="6638" max="6638" width="2.42578125" style="285" customWidth="1"/>
    <col min="6639" max="6641" width="12.5703125" style="285" customWidth="1"/>
    <col min="6642" max="6642" width="13.5703125" style="285" customWidth="1"/>
    <col min="6643" max="6643" width="12.5703125" style="285" customWidth="1"/>
    <col min="6644" max="6644" width="4.140625" style="285" customWidth="1"/>
    <col min="6645" max="6645" width="13.7109375" style="285" customWidth="1"/>
    <col min="6646" max="6853" width="12.5703125" style="285" customWidth="1"/>
    <col min="6854" max="6863" width="12.5703125" style="285"/>
    <col min="6864" max="6864" width="29" style="285" customWidth="1"/>
    <col min="6865" max="6865" width="12.85546875" style="285" customWidth="1"/>
    <col min="6866" max="6866" width="2.140625" style="285" bestFit="1" customWidth="1"/>
    <col min="6867" max="6867" width="6.5703125" style="285" customWidth="1"/>
    <col min="6868" max="6868" width="12.5703125" style="285" customWidth="1"/>
    <col min="6869" max="6869" width="11.140625" style="285" customWidth="1"/>
    <col min="6870" max="6881" width="12.7109375" style="285" customWidth="1"/>
    <col min="6882" max="6882" width="1.28515625" style="285" customWidth="1"/>
    <col min="6883" max="6883" width="13.28515625" style="285" customWidth="1"/>
    <col min="6884" max="6884" width="1.28515625" style="285" customWidth="1"/>
    <col min="6885" max="6885" width="11.42578125" style="285" customWidth="1"/>
    <col min="6886" max="6886" width="1.140625" style="285" customWidth="1"/>
    <col min="6887" max="6887" width="11.5703125" style="285" customWidth="1"/>
    <col min="6888" max="6888" width="1.5703125" style="285" customWidth="1"/>
    <col min="6889" max="6889" width="10.85546875" style="285" customWidth="1"/>
    <col min="6890" max="6890" width="2.140625" style="285" customWidth="1"/>
    <col min="6891" max="6891" width="12.5703125" style="285" customWidth="1"/>
    <col min="6892" max="6892" width="2.85546875" style="285" customWidth="1"/>
    <col min="6893" max="6893" width="12.5703125" style="285" customWidth="1"/>
    <col min="6894" max="6894" width="2.42578125" style="285" customWidth="1"/>
    <col min="6895" max="6897" width="12.5703125" style="285" customWidth="1"/>
    <col min="6898" max="6898" width="13.5703125" style="285" customWidth="1"/>
    <col min="6899" max="6899" width="12.5703125" style="285" customWidth="1"/>
    <col min="6900" max="6900" width="4.140625" style="285" customWidth="1"/>
    <col min="6901" max="6901" width="13.7109375" style="285" customWidth="1"/>
    <col min="6902" max="7109" width="12.5703125" style="285" customWidth="1"/>
    <col min="7110" max="7119" width="12.5703125" style="285"/>
    <col min="7120" max="7120" width="29" style="285" customWidth="1"/>
    <col min="7121" max="7121" width="12.85546875" style="285" customWidth="1"/>
    <col min="7122" max="7122" width="2.140625" style="285" bestFit="1" customWidth="1"/>
    <col min="7123" max="7123" width="6.5703125" style="285" customWidth="1"/>
    <col min="7124" max="7124" width="12.5703125" style="285" customWidth="1"/>
    <col min="7125" max="7125" width="11.140625" style="285" customWidth="1"/>
    <col min="7126" max="7137" width="12.7109375" style="285" customWidth="1"/>
    <col min="7138" max="7138" width="1.28515625" style="285" customWidth="1"/>
    <col min="7139" max="7139" width="13.28515625" style="285" customWidth="1"/>
    <col min="7140" max="7140" width="1.28515625" style="285" customWidth="1"/>
    <col min="7141" max="7141" width="11.42578125" style="285" customWidth="1"/>
    <col min="7142" max="7142" width="1.140625" style="285" customWidth="1"/>
    <col min="7143" max="7143" width="11.5703125" style="285" customWidth="1"/>
    <col min="7144" max="7144" width="1.5703125" style="285" customWidth="1"/>
    <col min="7145" max="7145" width="10.85546875" style="285" customWidth="1"/>
    <col min="7146" max="7146" width="2.140625" style="285" customWidth="1"/>
    <col min="7147" max="7147" width="12.5703125" style="285" customWidth="1"/>
    <col min="7148" max="7148" width="2.85546875" style="285" customWidth="1"/>
    <col min="7149" max="7149" width="12.5703125" style="285" customWidth="1"/>
    <col min="7150" max="7150" width="2.42578125" style="285" customWidth="1"/>
    <col min="7151" max="7153" width="12.5703125" style="285" customWidth="1"/>
    <col min="7154" max="7154" width="13.5703125" style="285" customWidth="1"/>
    <col min="7155" max="7155" width="12.5703125" style="285" customWidth="1"/>
    <col min="7156" max="7156" width="4.140625" style="285" customWidth="1"/>
    <col min="7157" max="7157" width="13.7109375" style="285" customWidth="1"/>
    <col min="7158" max="7365" width="12.5703125" style="285" customWidth="1"/>
    <col min="7366" max="7375" width="12.5703125" style="285"/>
    <col min="7376" max="7376" width="29" style="285" customWidth="1"/>
    <col min="7377" max="7377" width="12.85546875" style="285" customWidth="1"/>
    <col min="7378" max="7378" width="2.140625" style="285" bestFit="1" customWidth="1"/>
    <col min="7379" max="7379" width="6.5703125" style="285" customWidth="1"/>
    <col min="7380" max="7380" width="12.5703125" style="285" customWidth="1"/>
    <col min="7381" max="7381" width="11.140625" style="285" customWidth="1"/>
    <col min="7382" max="7393" width="12.7109375" style="285" customWidth="1"/>
    <col min="7394" max="7394" width="1.28515625" style="285" customWidth="1"/>
    <col min="7395" max="7395" width="13.28515625" style="285" customWidth="1"/>
    <col min="7396" max="7396" width="1.28515625" style="285" customWidth="1"/>
    <col min="7397" max="7397" width="11.42578125" style="285" customWidth="1"/>
    <col min="7398" max="7398" width="1.140625" style="285" customWidth="1"/>
    <col min="7399" max="7399" width="11.5703125" style="285" customWidth="1"/>
    <col min="7400" max="7400" width="1.5703125" style="285" customWidth="1"/>
    <col min="7401" max="7401" width="10.85546875" style="285" customWidth="1"/>
    <col min="7402" max="7402" width="2.140625" style="285" customWidth="1"/>
    <col min="7403" max="7403" width="12.5703125" style="285" customWidth="1"/>
    <col min="7404" max="7404" width="2.85546875" style="285" customWidth="1"/>
    <col min="7405" max="7405" width="12.5703125" style="285" customWidth="1"/>
    <col min="7406" max="7406" width="2.42578125" style="285" customWidth="1"/>
    <col min="7407" max="7409" width="12.5703125" style="285" customWidth="1"/>
    <col min="7410" max="7410" width="13.5703125" style="285" customWidth="1"/>
    <col min="7411" max="7411" width="12.5703125" style="285" customWidth="1"/>
    <col min="7412" max="7412" width="4.140625" style="285" customWidth="1"/>
    <col min="7413" max="7413" width="13.7109375" style="285" customWidth="1"/>
    <col min="7414" max="7621" width="12.5703125" style="285" customWidth="1"/>
    <col min="7622" max="7631" width="12.5703125" style="285"/>
    <col min="7632" max="7632" width="29" style="285" customWidth="1"/>
    <col min="7633" max="7633" width="12.85546875" style="285" customWidth="1"/>
    <col min="7634" max="7634" width="2.140625" style="285" bestFit="1" customWidth="1"/>
    <col min="7635" max="7635" width="6.5703125" style="285" customWidth="1"/>
    <col min="7636" max="7636" width="12.5703125" style="285" customWidth="1"/>
    <col min="7637" max="7637" width="11.140625" style="285" customWidth="1"/>
    <col min="7638" max="7649" width="12.7109375" style="285" customWidth="1"/>
    <col min="7650" max="7650" width="1.28515625" style="285" customWidth="1"/>
    <col min="7651" max="7651" width="13.28515625" style="285" customWidth="1"/>
    <col min="7652" max="7652" width="1.28515625" style="285" customWidth="1"/>
    <col min="7653" max="7653" width="11.42578125" style="285" customWidth="1"/>
    <col min="7654" max="7654" width="1.140625" style="285" customWidth="1"/>
    <col min="7655" max="7655" width="11.5703125" style="285" customWidth="1"/>
    <col min="7656" max="7656" width="1.5703125" style="285" customWidth="1"/>
    <col min="7657" max="7657" width="10.85546875" style="285" customWidth="1"/>
    <col min="7658" max="7658" width="2.140625" style="285" customWidth="1"/>
    <col min="7659" max="7659" width="12.5703125" style="285" customWidth="1"/>
    <col min="7660" max="7660" width="2.85546875" style="285" customWidth="1"/>
    <col min="7661" max="7661" width="12.5703125" style="285" customWidth="1"/>
    <col min="7662" max="7662" width="2.42578125" style="285" customWidth="1"/>
    <col min="7663" max="7665" width="12.5703125" style="285" customWidth="1"/>
    <col min="7666" max="7666" width="13.5703125" style="285" customWidth="1"/>
    <col min="7667" max="7667" width="12.5703125" style="285" customWidth="1"/>
    <col min="7668" max="7668" width="4.140625" style="285" customWidth="1"/>
    <col min="7669" max="7669" width="13.7109375" style="285" customWidth="1"/>
    <col min="7670" max="7877" width="12.5703125" style="285" customWidth="1"/>
    <col min="7878" max="7887" width="12.5703125" style="285"/>
    <col min="7888" max="7888" width="29" style="285" customWidth="1"/>
    <col min="7889" max="7889" width="12.85546875" style="285" customWidth="1"/>
    <col min="7890" max="7890" width="2.140625" style="285" bestFit="1" customWidth="1"/>
    <col min="7891" max="7891" width="6.5703125" style="285" customWidth="1"/>
    <col min="7892" max="7892" width="12.5703125" style="285" customWidth="1"/>
    <col min="7893" max="7893" width="11.140625" style="285" customWidth="1"/>
    <col min="7894" max="7905" width="12.7109375" style="285" customWidth="1"/>
    <col min="7906" max="7906" width="1.28515625" style="285" customWidth="1"/>
    <col min="7907" max="7907" width="13.28515625" style="285" customWidth="1"/>
    <col min="7908" max="7908" width="1.28515625" style="285" customWidth="1"/>
    <col min="7909" max="7909" width="11.42578125" style="285" customWidth="1"/>
    <col min="7910" max="7910" width="1.140625" style="285" customWidth="1"/>
    <col min="7911" max="7911" width="11.5703125" style="285" customWidth="1"/>
    <col min="7912" max="7912" width="1.5703125" style="285" customWidth="1"/>
    <col min="7913" max="7913" width="10.85546875" style="285" customWidth="1"/>
    <col min="7914" max="7914" width="2.140625" style="285" customWidth="1"/>
    <col min="7915" max="7915" width="12.5703125" style="285" customWidth="1"/>
    <col min="7916" max="7916" width="2.85546875" style="285" customWidth="1"/>
    <col min="7917" max="7917" width="12.5703125" style="285" customWidth="1"/>
    <col min="7918" max="7918" width="2.42578125" style="285" customWidth="1"/>
    <col min="7919" max="7921" width="12.5703125" style="285" customWidth="1"/>
    <col min="7922" max="7922" width="13.5703125" style="285" customWidth="1"/>
    <col min="7923" max="7923" width="12.5703125" style="285" customWidth="1"/>
    <col min="7924" max="7924" width="4.140625" style="285" customWidth="1"/>
    <col min="7925" max="7925" width="13.7109375" style="285" customWidth="1"/>
    <col min="7926" max="8133" width="12.5703125" style="285" customWidth="1"/>
    <col min="8134" max="8143" width="12.5703125" style="285"/>
    <col min="8144" max="8144" width="29" style="285" customWidth="1"/>
    <col min="8145" max="8145" width="12.85546875" style="285" customWidth="1"/>
    <col min="8146" max="8146" width="2.140625" style="285" bestFit="1" customWidth="1"/>
    <col min="8147" max="8147" width="6.5703125" style="285" customWidth="1"/>
    <col min="8148" max="8148" width="12.5703125" style="285" customWidth="1"/>
    <col min="8149" max="8149" width="11.140625" style="285" customWidth="1"/>
    <col min="8150" max="8161" width="12.7109375" style="285" customWidth="1"/>
    <col min="8162" max="8162" width="1.28515625" style="285" customWidth="1"/>
    <col min="8163" max="8163" width="13.28515625" style="285" customWidth="1"/>
    <col min="8164" max="8164" width="1.28515625" style="285" customWidth="1"/>
    <col min="8165" max="8165" width="11.42578125" style="285" customWidth="1"/>
    <col min="8166" max="8166" width="1.140625" style="285" customWidth="1"/>
    <col min="8167" max="8167" width="11.5703125" style="285" customWidth="1"/>
    <col min="8168" max="8168" width="1.5703125" style="285" customWidth="1"/>
    <col min="8169" max="8169" width="10.85546875" style="285" customWidth="1"/>
    <col min="8170" max="8170" width="2.140625" style="285" customWidth="1"/>
    <col min="8171" max="8171" width="12.5703125" style="285" customWidth="1"/>
    <col min="8172" max="8172" width="2.85546875" style="285" customWidth="1"/>
    <col min="8173" max="8173" width="12.5703125" style="285" customWidth="1"/>
    <col min="8174" max="8174" width="2.42578125" style="285" customWidth="1"/>
    <col min="8175" max="8177" width="12.5703125" style="285" customWidth="1"/>
    <col min="8178" max="8178" width="13.5703125" style="285" customWidth="1"/>
    <col min="8179" max="8179" width="12.5703125" style="285" customWidth="1"/>
    <col min="8180" max="8180" width="4.140625" style="285" customWidth="1"/>
    <col min="8181" max="8181" width="13.7109375" style="285" customWidth="1"/>
    <col min="8182" max="8389" width="12.5703125" style="285" customWidth="1"/>
    <col min="8390" max="8399" width="12.5703125" style="285"/>
    <col min="8400" max="8400" width="29" style="285" customWidth="1"/>
    <col min="8401" max="8401" width="12.85546875" style="285" customWidth="1"/>
    <col min="8402" max="8402" width="2.140625" style="285" bestFit="1" customWidth="1"/>
    <col min="8403" max="8403" width="6.5703125" style="285" customWidth="1"/>
    <col min="8404" max="8404" width="12.5703125" style="285" customWidth="1"/>
    <col min="8405" max="8405" width="11.140625" style="285" customWidth="1"/>
    <col min="8406" max="8417" width="12.7109375" style="285" customWidth="1"/>
    <col min="8418" max="8418" width="1.28515625" style="285" customWidth="1"/>
    <col min="8419" max="8419" width="13.28515625" style="285" customWidth="1"/>
    <col min="8420" max="8420" width="1.28515625" style="285" customWidth="1"/>
    <col min="8421" max="8421" width="11.42578125" style="285" customWidth="1"/>
    <col min="8422" max="8422" width="1.140625" style="285" customWidth="1"/>
    <col min="8423" max="8423" width="11.5703125" style="285" customWidth="1"/>
    <col min="8424" max="8424" width="1.5703125" style="285" customWidth="1"/>
    <col min="8425" max="8425" width="10.85546875" style="285" customWidth="1"/>
    <col min="8426" max="8426" width="2.140625" style="285" customWidth="1"/>
    <col min="8427" max="8427" width="12.5703125" style="285" customWidth="1"/>
    <col min="8428" max="8428" width="2.85546875" style="285" customWidth="1"/>
    <col min="8429" max="8429" width="12.5703125" style="285" customWidth="1"/>
    <col min="8430" max="8430" width="2.42578125" style="285" customWidth="1"/>
    <col min="8431" max="8433" width="12.5703125" style="285" customWidth="1"/>
    <col min="8434" max="8434" width="13.5703125" style="285" customWidth="1"/>
    <col min="8435" max="8435" width="12.5703125" style="285" customWidth="1"/>
    <col min="8436" max="8436" width="4.140625" style="285" customWidth="1"/>
    <col min="8437" max="8437" width="13.7109375" style="285" customWidth="1"/>
    <col min="8438" max="8645" width="12.5703125" style="285" customWidth="1"/>
    <col min="8646" max="8655" width="12.5703125" style="285"/>
    <col min="8656" max="8656" width="29" style="285" customWidth="1"/>
    <col min="8657" max="8657" width="12.85546875" style="285" customWidth="1"/>
    <col min="8658" max="8658" width="2.140625" style="285" bestFit="1" customWidth="1"/>
    <col min="8659" max="8659" width="6.5703125" style="285" customWidth="1"/>
    <col min="8660" max="8660" width="12.5703125" style="285" customWidth="1"/>
    <col min="8661" max="8661" width="11.140625" style="285" customWidth="1"/>
    <col min="8662" max="8673" width="12.7109375" style="285" customWidth="1"/>
    <col min="8674" max="8674" width="1.28515625" style="285" customWidth="1"/>
    <col min="8675" max="8675" width="13.28515625" style="285" customWidth="1"/>
    <col min="8676" max="8676" width="1.28515625" style="285" customWidth="1"/>
    <col min="8677" max="8677" width="11.42578125" style="285" customWidth="1"/>
    <col min="8678" max="8678" width="1.140625" style="285" customWidth="1"/>
    <col min="8679" max="8679" width="11.5703125" style="285" customWidth="1"/>
    <col min="8680" max="8680" width="1.5703125" style="285" customWidth="1"/>
    <col min="8681" max="8681" width="10.85546875" style="285" customWidth="1"/>
    <col min="8682" max="8682" width="2.140625" style="285" customWidth="1"/>
    <col min="8683" max="8683" width="12.5703125" style="285" customWidth="1"/>
    <col min="8684" max="8684" width="2.85546875" style="285" customWidth="1"/>
    <col min="8685" max="8685" width="12.5703125" style="285" customWidth="1"/>
    <col min="8686" max="8686" width="2.42578125" style="285" customWidth="1"/>
    <col min="8687" max="8689" width="12.5703125" style="285" customWidth="1"/>
    <col min="8690" max="8690" width="13.5703125" style="285" customWidth="1"/>
    <col min="8691" max="8691" width="12.5703125" style="285" customWidth="1"/>
    <col min="8692" max="8692" width="4.140625" style="285" customWidth="1"/>
    <col min="8693" max="8693" width="13.7109375" style="285" customWidth="1"/>
    <col min="8694" max="8901" width="12.5703125" style="285" customWidth="1"/>
    <col min="8902" max="8911" width="12.5703125" style="285"/>
    <col min="8912" max="8912" width="29" style="285" customWidth="1"/>
    <col min="8913" max="8913" width="12.85546875" style="285" customWidth="1"/>
    <col min="8914" max="8914" width="2.140625" style="285" bestFit="1" customWidth="1"/>
    <col min="8915" max="8915" width="6.5703125" style="285" customWidth="1"/>
    <col min="8916" max="8916" width="12.5703125" style="285" customWidth="1"/>
    <col min="8917" max="8917" width="11.140625" style="285" customWidth="1"/>
    <col min="8918" max="8929" width="12.7109375" style="285" customWidth="1"/>
    <col min="8930" max="8930" width="1.28515625" style="285" customWidth="1"/>
    <col min="8931" max="8931" width="13.28515625" style="285" customWidth="1"/>
    <col min="8932" max="8932" width="1.28515625" style="285" customWidth="1"/>
    <col min="8933" max="8933" width="11.42578125" style="285" customWidth="1"/>
    <col min="8934" max="8934" width="1.140625" style="285" customWidth="1"/>
    <col min="8935" max="8935" width="11.5703125" style="285" customWidth="1"/>
    <col min="8936" max="8936" width="1.5703125" style="285" customWidth="1"/>
    <col min="8937" max="8937" width="10.85546875" style="285" customWidth="1"/>
    <col min="8938" max="8938" width="2.140625" style="285" customWidth="1"/>
    <col min="8939" max="8939" width="12.5703125" style="285" customWidth="1"/>
    <col min="8940" max="8940" width="2.85546875" style="285" customWidth="1"/>
    <col min="8941" max="8941" width="12.5703125" style="285" customWidth="1"/>
    <col min="8942" max="8942" width="2.42578125" style="285" customWidth="1"/>
    <col min="8943" max="8945" width="12.5703125" style="285" customWidth="1"/>
    <col min="8946" max="8946" width="13.5703125" style="285" customWidth="1"/>
    <col min="8947" max="8947" width="12.5703125" style="285" customWidth="1"/>
    <col min="8948" max="8948" width="4.140625" style="285" customWidth="1"/>
    <col min="8949" max="8949" width="13.7109375" style="285" customWidth="1"/>
    <col min="8950" max="9157" width="12.5703125" style="285" customWidth="1"/>
    <col min="9158" max="9167" width="12.5703125" style="285"/>
    <col min="9168" max="9168" width="29" style="285" customWidth="1"/>
    <col min="9169" max="9169" width="12.85546875" style="285" customWidth="1"/>
    <col min="9170" max="9170" width="2.140625" style="285" bestFit="1" customWidth="1"/>
    <col min="9171" max="9171" width="6.5703125" style="285" customWidth="1"/>
    <col min="9172" max="9172" width="12.5703125" style="285" customWidth="1"/>
    <col min="9173" max="9173" width="11.140625" style="285" customWidth="1"/>
    <col min="9174" max="9185" width="12.7109375" style="285" customWidth="1"/>
    <col min="9186" max="9186" width="1.28515625" style="285" customWidth="1"/>
    <col min="9187" max="9187" width="13.28515625" style="285" customWidth="1"/>
    <col min="9188" max="9188" width="1.28515625" style="285" customWidth="1"/>
    <col min="9189" max="9189" width="11.42578125" style="285" customWidth="1"/>
    <col min="9190" max="9190" width="1.140625" style="285" customWidth="1"/>
    <col min="9191" max="9191" width="11.5703125" style="285" customWidth="1"/>
    <col min="9192" max="9192" width="1.5703125" style="285" customWidth="1"/>
    <col min="9193" max="9193" width="10.85546875" style="285" customWidth="1"/>
    <col min="9194" max="9194" width="2.140625" style="285" customWidth="1"/>
    <col min="9195" max="9195" width="12.5703125" style="285" customWidth="1"/>
    <col min="9196" max="9196" width="2.85546875" style="285" customWidth="1"/>
    <col min="9197" max="9197" width="12.5703125" style="285" customWidth="1"/>
    <col min="9198" max="9198" width="2.42578125" style="285" customWidth="1"/>
    <col min="9199" max="9201" width="12.5703125" style="285" customWidth="1"/>
    <col min="9202" max="9202" width="13.5703125" style="285" customWidth="1"/>
    <col min="9203" max="9203" width="12.5703125" style="285" customWidth="1"/>
    <col min="9204" max="9204" width="4.140625" style="285" customWidth="1"/>
    <col min="9205" max="9205" width="13.7109375" style="285" customWidth="1"/>
    <col min="9206" max="9413" width="12.5703125" style="285" customWidth="1"/>
    <col min="9414" max="9423" width="12.5703125" style="285"/>
    <col min="9424" max="9424" width="29" style="285" customWidth="1"/>
    <col min="9425" max="9425" width="12.85546875" style="285" customWidth="1"/>
    <col min="9426" max="9426" width="2.140625" style="285" bestFit="1" customWidth="1"/>
    <col min="9427" max="9427" width="6.5703125" style="285" customWidth="1"/>
    <col min="9428" max="9428" width="12.5703125" style="285" customWidth="1"/>
    <col min="9429" max="9429" width="11.140625" style="285" customWidth="1"/>
    <col min="9430" max="9441" width="12.7109375" style="285" customWidth="1"/>
    <col min="9442" max="9442" width="1.28515625" style="285" customWidth="1"/>
    <col min="9443" max="9443" width="13.28515625" style="285" customWidth="1"/>
    <col min="9444" max="9444" width="1.28515625" style="285" customWidth="1"/>
    <col min="9445" max="9445" width="11.42578125" style="285" customWidth="1"/>
    <col min="9446" max="9446" width="1.140625" style="285" customWidth="1"/>
    <col min="9447" max="9447" width="11.5703125" style="285" customWidth="1"/>
    <col min="9448" max="9448" width="1.5703125" style="285" customWidth="1"/>
    <col min="9449" max="9449" width="10.85546875" style="285" customWidth="1"/>
    <col min="9450" max="9450" width="2.140625" style="285" customWidth="1"/>
    <col min="9451" max="9451" width="12.5703125" style="285" customWidth="1"/>
    <col min="9452" max="9452" width="2.85546875" style="285" customWidth="1"/>
    <col min="9453" max="9453" width="12.5703125" style="285" customWidth="1"/>
    <col min="9454" max="9454" width="2.42578125" style="285" customWidth="1"/>
    <col min="9455" max="9457" width="12.5703125" style="285" customWidth="1"/>
    <col min="9458" max="9458" width="13.5703125" style="285" customWidth="1"/>
    <col min="9459" max="9459" width="12.5703125" style="285" customWidth="1"/>
    <col min="9460" max="9460" width="4.140625" style="285" customWidth="1"/>
    <col min="9461" max="9461" width="13.7109375" style="285" customWidth="1"/>
    <col min="9462" max="9669" width="12.5703125" style="285" customWidth="1"/>
    <col min="9670" max="9679" width="12.5703125" style="285"/>
    <col min="9680" max="9680" width="29" style="285" customWidth="1"/>
    <col min="9681" max="9681" width="12.85546875" style="285" customWidth="1"/>
    <col min="9682" max="9682" width="2.140625" style="285" bestFit="1" customWidth="1"/>
    <col min="9683" max="9683" width="6.5703125" style="285" customWidth="1"/>
    <col min="9684" max="9684" width="12.5703125" style="285" customWidth="1"/>
    <col min="9685" max="9685" width="11.140625" style="285" customWidth="1"/>
    <col min="9686" max="9697" width="12.7109375" style="285" customWidth="1"/>
    <col min="9698" max="9698" width="1.28515625" style="285" customWidth="1"/>
    <col min="9699" max="9699" width="13.28515625" style="285" customWidth="1"/>
    <col min="9700" max="9700" width="1.28515625" style="285" customWidth="1"/>
    <col min="9701" max="9701" width="11.42578125" style="285" customWidth="1"/>
    <col min="9702" max="9702" width="1.140625" style="285" customWidth="1"/>
    <col min="9703" max="9703" width="11.5703125" style="285" customWidth="1"/>
    <col min="9704" max="9704" width="1.5703125" style="285" customWidth="1"/>
    <col min="9705" max="9705" width="10.85546875" style="285" customWidth="1"/>
    <col min="9706" max="9706" width="2.140625" style="285" customWidth="1"/>
    <col min="9707" max="9707" width="12.5703125" style="285" customWidth="1"/>
    <col min="9708" max="9708" width="2.85546875" style="285" customWidth="1"/>
    <col min="9709" max="9709" width="12.5703125" style="285" customWidth="1"/>
    <col min="9710" max="9710" width="2.42578125" style="285" customWidth="1"/>
    <col min="9711" max="9713" width="12.5703125" style="285" customWidth="1"/>
    <col min="9714" max="9714" width="13.5703125" style="285" customWidth="1"/>
    <col min="9715" max="9715" width="12.5703125" style="285" customWidth="1"/>
    <col min="9716" max="9716" width="4.140625" style="285" customWidth="1"/>
    <col min="9717" max="9717" width="13.7109375" style="285" customWidth="1"/>
    <col min="9718" max="9925" width="12.5703125" style="285" customWidth="1"/>
    <col min="9926" max="9935" width="12.5703125" style="285"/>
    <col min="9936" max="9936" width="29" style="285" customWidth="1"/>
    <col min="9937" max="9937" width="12.85546875" style="285" customWidth="1"/>
    <col min="9938" max="9938" width="2.140625" style="285" bestFit="1" customWidth="1"/>
    <col min="9939" max="9939" width="6.5703125" style="285" customWidth="1"/>
    <col min="9940" max="9940" width="12.5703125" style="285" customWidth="1"/>
    <col min="9941" max="9941" width="11.140625" style="285" customWidth="1"/>
    <col min="9942" max="9953" width="12.7109375" style="285" customWidth="1"/>
    <col min="9954" max="9954" width="1.28515625" style="285" customWidth="1"/>
    <col min="9955" max="9955" width="13.28515625" style="285" customWidth="1"/>
    <col min="9956" max="9956" width="1.28515625" style="285" customWidth="1"/>
    <col min="9957" max="9957" width="11.42578125" style="285" customWidth="1"/>
    <col min="9958" max="9958" width="1.140625" style="285" customWidth="1"/>
    <col min="9959" max="9959" width="11.5703125" style="285" customWidth="1"/>
    <col min="9960" max="9960" width="1.5703125" style="285" customWidth="1"/>
    <col min="9961" max="9961" width="10.85546875" style="285" customWidth="1"/>
    <col min="9962" max="9962" width="2.140625" style="285" customWidth="1"/>
    <col min="9963" max="9963" width="12.5703125" style="285" customWidth="1"/>
    <col min="9964" max="9964" width="2.85546875" style="285" customWidth="1"/>
    <col min="9965" max="9965" width="12.5703125" style="285" customWidth="1"/>
    <col min="9966" max="9966" width="2.42578125" style="285" customWidth="1"/>
    <col min="9967" max="9969" width="12.5703125" style="285" customWidth="1"/>
    <col min="9970" max="9970" width="13.5703125" style="285" customWidth="1"/>
    <col min="9971" max="9971" width="12.5703125" style="285" customWidth="1"/>
    <col min="9972" max="9972" width="4.140625" style="285" customWidth="1"/>
    <col min="9973" max="9973" width="13.7109375" style="285" customWidth="1"/>
    <col min="9974" max="10181" width="12.5703125" style="285" customWidth="1"/>
    <col min="10182" max="10191" width="12.5703125" style="285"/>
    <col min="10192" max="10192" width="29" style="285" customWidth="1"/>
    <col min="10193" max="10193" width="12.85546875" style="285" customWidth="1"/>
    <col min="10194" max="10194" width="2.140625" style="285" bestFit="1" customWidth="1"/>
    <col min="10195" max="10195" width="6.5703125" style="285" customWidth="1"/>
    <col min="10196" max="10196" width="12.5703125" style="285" customWidth="1"/>
    <col min="10197" max="10197" width="11.140625" style="285" customWidth="1"/>
    <col min="10198" max="10209" width="12.7109375" style="285" customWidth="1"/>
    <col min="10210" max="10210" width="1.28515625" style="285" customWidth="1"/>
    <col min="10211" max="10211" width="13.28515625" style="285" customWidth="1"/>
    <col min="10212" max="10212" width="1.28515625" style="285" customWidth="1"/>
    <col min="10213" max="10213" width="11.42578125" style="285" customWidth="1"/>
    <col min="10214" max="10214" width="1.140625" style="285" customWidth="1"/>
    <col min="10215" max="10215" width="11.5703125" style="285" customWidth="1"/>
    <col min="10216" max="10216" width="1.5703125" style="285" customWidth="1"/>
    <col min="10217" max="10217" width="10.85546875" style="285" customWidth="1"/>
    <col min="10218" max="10218" width="2.140625" style="285" customWidth="1"/>
    <col min="10219" max="10219" width="12.5703125" style="285" customWidth="1"/>
    <col min="10220" max="10220" width="2.85546875" style="285" customWidth="1"/>
    <col min="10221" max="10221" width="12.5703125" style="285" customWidth="1"/>
    <col min="10222" max="10222" width="2.42578125" style="285" customWidth="1"/>
    <col min="10223" max="10225" width="12.5703125" style="285" customWidth="1"/>
    <col min="10226" max="10226" width="13.5703125" style="285" customWidth="1"/>
    <col min="10227" max="10227" width="12.5703125" style="285" customWidth="1"/>
    <col min="10228" max="10228" width="4.140625" style="285" customWidth="1"/>
    <col min="10229" max="10229" width="13.7109375" style="285" customWidth="1"/>
    <col min="10230" max="10437" width="12.5703125" style="285" customWidth="1"/>
    <col min="10438" max="10447" width="12.5703125" style="285"/>
    <col min="10448" max="10448" width="29" style="285" customWidth="1"/>
    <col min="10449" max="10449" width="12.85546875" style="285" customWidth="1"/>
    <col min="10450" max="10450" width="2.140625" style="285" bestFit="1" customWidth="1"/>
    <col min="10451" max="10451" width="6.5703125" style="285" customWidth="1"/>
    <col min="10452" max="10452" width="12.5703125" style="285" customWidth="1"/>
    <col min="10453" max="10453" width="11.140625" style="285" customWidth="1"/>
    <col min="10454" max="10465" width="12.7109375" style="285" customWidth="1"/>
    <col min="10466" max="10466" width="1.28515625" style="285" customWidth="1"/>
    <col min="10467" max="10467" width="13.28515625" style="285" customWidth="1"/>
    <col min="10468" max="10468" width="1.28515625" style="285" customWidth="1"/>
    <col min="10469" max="10469" width="11.42578125" style="285" customWidth="1"/>
    <col min="10470" max="10470" width="1.140625" style="285" customWidth="1"/>
    <col min="10471" max="10471" width="11.5703125" style="285" customWidth="1"/>
    <col min="10472" max="10472" width="1.5703125" style="285" customWidth="1"/>
    <col min="10473" max="10473" width="10.85546875" style="285" customWidth="1"/>
    <col min="10474" max="10474" width="2.140625" style="285" customWidth="1"/>
    <col min="10475" max="10475" width="12.5703125" style="285" customWidth="1"/>
    <col min="10476" max="10476" width="2.85546875" style="285" customWidth="1"/>
    <col min="10477" max="10477" width="12.5703125" style="285" customWidth="1"/>
    <col min="10478" max="10478" width="2.42578125" style="285" customWidth="1"/>
    <col min="10479" max="10481" width="12.5703125" style="285" customWidth="1"/>
    <col min="10482" max="10482" width="13.5703125" style="285" customWidth="1"/>
    <col min="10483" max="10483" width="12.5703125" style="285" customWidth="1"/>
    <col min="10484" max="10484" width="4.140625" style="285" customWidth="1"/>
    <col min="10485" max="10485" width="13.7109375" style="285" customWidth="1"/>
    <col min="10486" max="10693" width="12.5703125" style="285" customWidth="1"/>
    <col min="10694" max="10703" width="12.5703125" style="285"/>
    <col min="10704" max="10704" width="29" style="285" customWidth="1"/>
    <col min="10705" max="10705" width="12.85546875" style="285" customWidth="1"/>
    <col min="10706" max="10706" width="2.140625" style="285" bestFit="1" customWidth="1"/>
    <col min="10707" max="10707" width="6.5703125" style="285" customWidth="1"/>
    <col min="10708" max="10708" width="12.5703125" style="285" customWidth="1"/>
    <col min="10709" max="10709" width="11.140625" style="285" customWidth="1"/>
    <col min="10710" max="10721" width="12.7109375" style="285" customWidth="1"/>
    <col min="10722" max="10722" width="1.28515625" style="285" customWidth="1"/>
    <col min="10723" max="10723" width="13.28515625" style="285" customWidth="1"/>
    <col min="10724" max="10724" width="1.28515625" style="285" customWidth="1"/>
    <col min="10725" max="10725" width="11.42578125" style="285" customWidth="1"/>
    <col min="10726" max="10726" width="1.140625" style="285" customWidth="1"/>
    <col min="10727" max="10727" width="11.5703125" style="285" customWidth="1"/>
    <col min="10728" max="10728" width="1.5703125" style="285" customWidth="1"/>
    <col min="10729" max="10729" width="10.85546875" style="285" customWidth="1"/>
    <col min="10730" max="10730" width="2.140625" style="285" customWidth="1"/>
    <col min="10731" max="10731" width="12.5703125" style="285" customWidth="1"/>
    <col min="10732" max="10732" width="2.85546875" style="285" customWidth="1"/>
    <col min="10733" max="10733" width="12.5703125" style="285" customWidth="1"/>
    <col min="10734" max="10734" width="2.42578125" style="285" customWidth="1"/>
    <col min="10735" max="10737" width="12.5703125" style="285" customWidth="1"/>
    <col min="10738" max="10738" width="13.5703125" style="285" customWidth="1"/>
    <col min="10739" max="10739" width="12.5703125" style="285" customWidth="1"/>
    <col min="10740" max="10740" width="4.140625" style="285" customWidth="1"/>
    <col min="10741" max="10741" width="13.7109375" style="285" customWidth="1"/>
    <col min="10742" max="10949" width="12.5703125" style="285" customWidth="1"/>
    <col min="10950" max="10959" width="12.5703125" style="285"/>
    <col min="10960" max="10960" width="29" style="285" customWidth="1"/>
    <col min="10961" max="10961" width="12.85546875" style="285" customWidth="1"/>
    <col min="10962" max="10962" width="2.140625" style="285" bestFit="1" customWidth="1"/>
    <col min="10963" max="10963" width="6.5703125" style="285" customWidth="1"/>
    <col min="10964" max="10964" width="12.5703125" style="285" customWidth="1"/>
    <col min="10965" max="10965" width="11.140625" style="285" customWidth="1"/>
    <col min="10966" max="10977" width="12.7109375" style="285" customWidth="1"/>
    <col min="10978" max="10978" width="1.28515625" style="285" customWidth="1"/>
    <col min="10979" max="10979" width="13.28515625" style="285" customWidth="1"/>
    <col min="10980" max="10980" width="1.28515625" style="285" customWidth="1"/>
    <col min="10981" max="10981" width="11.42578125" style="285" customWidth="1"/>
    <col min="10982" max="10982" width="1.140625" style="285" customWidth="1"/>
    <col min="10983" max="10983" width="11.5703125" style="285" customWidth="1"/>
    <col min="10984" max="10984" width="1.5703125" style="285" customWidth="1"/>
    <col min="10985" max="10985" width="10.85546875" style="285" customWidth="1"/>
    <col min="10986" max="10986" width="2.140625" style="285" customWidth="1"/>
    <col min="10987" max="10987" width="12.5703125" style="285" customWidth="1"/>
    <col min="10988" max="10988" width="2.85546875" style="285" customWidth="1"/>
    <col min="10989" max="10989" width="12.5703125" style="285" customWidth="1"/>
    <col min="10990" max="10990" width="2.42578125" style="285" customWidth="1"/>
    <col min="10991" max="10993" width="12.5703125" style="285" customWidth="1"/>
    <col min="10994" max="10994" width="13.5703125" style="285" customWidth="1"/>
    <col min="10995" max="10995" width="12.5703125" style="285" customWidth="1"/>
    <col min="10996" max="10996" width="4.140625" style="285" customWidth="1"/>
    <col min="10997" max="10997" width="13.7109375" style="285" customWidth="1"/>
    <col min="10998" max="11205" width="12.5703125" style="285" customWidth="1"/>
    <col min="11206" max="11215" width="12.5703125" style="285"/>
    <col min="11216" max="11216" width="29" style="285" customWidth="1"/>
    <col min="11217" max="11217" width="12.85546875" style="285" customWidth="1"/>
    <col min="11218" max="11218" width="2.140625" style="285" bestFit="1" customWidth="1"/>
    <col min="11219" max="11219" width="6.5703125" style="285" customWidth="1"/>
    <col min="11220" max="11220" width="12.5703125" style="285" customWidth="1"/>
    <col min="11221" max="11221" width="11.140625" style="285" customWidth="1"/>
    <col min="11222" max="11233" width="12.7109375" style="285" customWidth="1"/>
    <col min="11234" max="11234" width="1.28515625" style="285" customWidth="1"/>
    <col min="11235" max="11235" width="13.28515625" style="285" customWidth="1"/>
    <col min="11236" max="11236" width="1.28515625" style="285" customWidth="1"/>
    <col min="11237" max="11237" width="11.42578125" style="285" customWidth="1"/>
    <col min="11238" max="11238" width="1.140625" style="285" customWidth="1"/>
    <col min="11239" max="11239" width="11.5703125" style="285" customWidth="1"/>
    <col min="11240" max="11240" width="1.5703125" style="285" customWidth="1"/>
    <col min="11241" max="11241" width="10.85546875" style="285" customWidth="1"/>
    <col min="11242" max="11242" width="2.140625" style="285" customWidth="1"/>
    <col min="11243" max="11243" width="12.5703125" style="285" customWidth="1"/>
    <col min="11244" max="11244" width="2.85546875" style="285" customWidth="1"/>
    <col min="11245" max="11245" width="12.5703125" style="285" customWidth="1"/>
    <col min="11246" max="11246" width="2.42578125" style="285" customWidth="1"/>
    <col min="11247" max="11249" width="12.5703125" style="285" customWidth="1"/>
    <col min="11250" max="11250" width="13.5703125" style="285" customWidth="1"/>
    <col min="11251" max="11251" width="12.5703125" style="285" customWidth="1"/>
    <col min="11252" max="11252" width="4.140625" style="285" customWidth="1"/>
    <col min="11253" max="11253" width="13.7109375" style="285" customWidth="1"/>
    <col min="11254" max="11461" width="12.5703125" style="285" customWidth="1"/>
    <col min="11462" max="11471" width="12.5703125" style="285"/>
    <col min="11472" max="11472" width="29" style="285" customWidth="1"/>
    <col min="11473" max="11473" width="12.85546875" style="285" customWidth="1"/>
    <col min="11474" max="11474" width="2.140625" style="285" bestFit="1" customWidth="1"/>
    <col min="11475" max="11475" width="6.5703125" style="285" customWidth="1"/>
    <col min="11476" max="11476" width="12.5703125" style="285" customWidth="1"/>
    <col min="11477" max="11477" width="11.140625" style="285" customWidth="1"/>
    <col min="11478" max="11489" width="12.7109375" style="285" customWidth="1"/>
    <col min="11490" max="11490" width="1.28515625" style="285" customWidth="1"/>
    <col min="11491" max="11491" width="13.28515625" style="285" customWidth="1"/>
    <col min="11492" max="11492" width="1.28515625" style="285" customWidth="1"/>
    <col min="11493" max="11493" width="11.42578125" style="285" customWidth="1"/>
    <col min="11494" max="11494" width="1.140625" style="285" customWidth="1"/>
    <col min="11495" max="11495" width="11.5703125" style="285" customWidth="1"/>
    <col min="11496" max="11496" width="1.5703125" style="285" customWidth="1"/>
    <col min="11497" max="11497" width="10.85546875" style="285" customWidth="1"/>
    <col min="11498" max="11498" width="2.140625" style="285" customWidth="1"/>
    <col min="11499" max="11499" width="12.5703125" style="285" customWidth="1"/>
    <col min="11500" max="11500" width="2.85546875" style="285" customWidth="1"/>
    <col min="11501" max="11501" width="12.5703125" style="285" customWidth="1"/>
    <col min="11502" max="11502" width="2.42578125" style="285" customWidth="1"/>
    <col min="11503" max="11505" width="12.5703125" style="285" customWidth="1"/>
    <col min="11506" max="11506" width="13.5703125" style="285" customWidth="1"/>
    <col min="11507" max="11507" width="12.5703125" style="285" customWidth="1"/>
    <col min="11508" max="11508" width="4.140625" style="285" customWidth="1"/>
    <col min="11509" max="11509" width="13.7109375" style="285" customWidth="1"/>
    <col min="11510" max="11717" width="12.5703125" style="285" customWidth="1"/>
    <col min="11718" max="11727" width="12.5703125" style="285"/>
    <col min="11728" max="11728" width="29" style="285" customWidth="1"/>
    <col min="11729" max="11729" width="12.85546875" style="285" customWidth="1"/>
    <col min="11730" max="11730" width="2.140625" style="285" bestFit="1" customWidth="1"/>
    <col min="11731" max="11731" width="6.5703125" style="285" customWidth="1"/>
    <col min="11732" max="11732" width="12.5703125" style="285" customWidth="1"/>
    <col min="11733" max="11733" width="11.140625" style="285" customWidth="1"/>
    <col min="11734" max="11745" width="12.7109375" style="285" customWidth="1"/>
    <col min="11746" max="11746" width="1.28515625" style="285" customWidth="1"/>
    <col min="11747" max="11747" width="13.28515625" style="285" customWidth="1"/>
    <col min="11748" max="11748" width="1.28515625" style="285" customWidth="1"/>
    <col min="11749" max="11749" width="11.42578125" style="285" customWidth="1"/>
    <col min="11750" max="11750" width="1.140625" style="285" customWidth="1"/>
    <col min="11751" max="11751" width="11.5703125" style="285" customWidth="1"/>
    <col min="11752" max="11752" width="1.5703125" style="285" customWidth="1"/>
    <col min="11753" max="11753" width="10.85546875" style="285" customWidth="1"/>
    <col min="11754" max="11754" width="2.140625" style="285" customWidth="1"/>
    <col min="11755" max="11755" width="12.5703125" style="285" customWidth="1"/>
    <col min="11756" max="11756" width="2.85546875" style="285" customWidth="1"/>
    <col min="11757" max="11757" width="12.5703125" style="285" customWidth="1"/>
    <col min="11758" max="11758" width="2.42578125" style="285" customWidth="1"/>
    <col min="11759" max="11761" width="12.5703125" style="285" customWidth="1"/>
    <col min="11762" max="11762" width="13.5703125" style="285" customWidth="1"/>
    <col min="11763" max="11763" width="12.5703125" style="285" customWidth="1"/>
    <col min="11764" max="11764" width="4.140625" style="285" customWidth="1"/>
    <col min="11765" max="11765" width="13.7109375" style="285" customWidth="1"/>
    <col min="11766" max="11973" width="12.5703125" style="285" customWidth="1"/>
    <col min="11974" max="11983" width="12.5703125" style="285"/>
    <col min="11984" max="11984" width="29" style="285" customWidth="1"/>
    <col min="11985" max="11985" width="12.85546875" style="285" customWidth="1"/>
    <col min="11986" max="11986" width="2.140625" style="285" bestFit="1" customWidth="1"/>
    <col min="11987" max="11987" width="6.5703125" style="285" customWidth="1"/>
    <col min="11988" max="11988" width="12.5703125" style="285" customWidth="1"/>
    <col min="11989" max="11989" width="11.140625" style="285" customWidth="1"/>
    <col min="11990" max="12001" width="12.7109375" style="285" customWidth="1"/>
    <col min="12002" max="12002" width="1.28515625" style="285" customWidth="1"/>
    <col min="12003" max="12003" width="13.28515625" style="285" customWidth="1"/>
    <col min="12004" max="12004" width="1.28515625" style="285" customWidth="1"/>
    <col min="12005" max="12005" width="11.42578125" style="285" customWidth="1"/>
    <col min="12006" max="12006" width="1.140625" style="285" customWidth="1"/>
    <col min="12007" max="12007" width="11.5703125" style="285" customWidth="1"/>
    <col min="12008" max="12008" width="1.5703125" style="285" customWidth="1"/>
    <col min="12009" max="12009" width="10.85546875" style="285" customWidth="1"/>
    <col min="12010" max="12010" width="2.140625" style="285" customWidth="1"/>
    <col min="12011" max="12011" width="12.5703125" style="285" customWidth="1"/>
    <col min="12012" max="12012" width="2.85546875" style="285" customWidth="1"/>
    <col min="12013" max="12013" width="12.5703125" style="285" customWidth="1"/>
    <col min="12014" max="12014" width="2.42578125" style="285" customWidth="1"/>
    <col min="12015" max="12017" width="12.5703125" style="285" customWidth="1"/>
    <col min="12018" max="12018" width="13.5703125" style="285" customWidth="1"/>
    <col min="12019" max="12019" width="12.5703125" style="285" customWidth="1"/>
    <col min="12020" max="12020" width="4.140625" style="285" customWidth="1"/>
    <col min="12021" max="12021" width="13.7109375" style="285" customWidth="1"/>
    <col min="12022" max="12229" width="12.5703125" style="285" customWidth="1"/>
    <col min="12230" max="12239" width="12.5703125" style="285"/>
    <col min="12240" max="12240" width="29" style="285" customWidth="1"/>
    <col min="12241" max="12241" width="12.85546875" style="285" customWidth="1"/>
    <col min="12242" max="12242" width="2.140625" style="285" bestFit="1" customWidth="1"/>
    <col min="12243" max="12243" width="6.5703125" style="285" customWidth="1"/>
    <col min="12244" max="12244" width="12.5703125" style="285" customWidth="1"/>
    <col min="12245" max="12245" width="11.140625" style="285" customWidth="1"/>
    <col min="12246" max="12257" width="12.7109375" style="285" customWidth="1"/>
    <col min="12258" max="12258" width="1.28515625" style="285" customWidth="1"/>
    <col min="12259" max="12259" width="13.28515625" style="285" customWidth="1"/>
    <col min="12260" max="12260" width="1.28515625" style="285" customWidth="1"/>
    <col min="12261" max="12261" width="11.42578125" style="285" customWidth="1"/>
    <col min="12262" max="12262" width="1.140625" style="285" customWidth="1"/>
    <col min="12263" max="12263" width="11.5703125" style="285" customWidth="1"/>
    <col min="12264" max="12264" width="1.5703125" style="285" customWidth="1"/>
    <col min="12265" max="12265" width="10.85546875" style="285" customWidth="1"/>
    <col min="12266" max="12266" width="2.140625" style="285" customWidth="1"/>
    <col min="12267" max="12267" width="12.5703125" style="285" customWidth="1"/>
    <col min="12268" max="12268" width="2.85546875" style="285" customWidth="1"/>
    <col min="12269" max="12269" width="12.5703125" style="285" customWidth="1"/>
    <col min="12270" max="12270" width="2.42578125" style="285" customWidth="1"/>
    <col min="12271" max="12273" width="12.5703125" style="285" customWidth="1"/>
    <col min="12274" max="12274" width="13.5703125" style="285" customWidth="1"/>
    <col min="12275" max="12275" width="12.5703125" style="285" customWidth="1"/>
    <col min="12276" max="12276" width="4.140625" style="285" customWidth="1"/>
    <col min="12277" max="12277" width="13.7109375" style="285" customWidth="1"/>
    <col min="12278" max="12485" width="12.5703125" style="285" customWidth="1"/>
    <col min="12486" max="12495" width="12.5703125" style="285"/>
    <col min="12496" max="12496" width="29" style="285" customWidth="1"/>
    <col min="12497" max="12497" width="12.85546875" style="285" customWidth="1"/>
    <col min="12498" max="12498" width="2.140625" style="285" bestFit="1" customWidth="1"/>
    <col min="12499" max="12499" width="6.5703125" style="285" customWidth="1"/>
    <col min="12500" max="12500" width="12.5703125" style="285" customWidth="1"/>
    <col min="12501" max="12501" width="11.140625" style="285" customWidth="1"/>
    <col min="12502" max="12513" width="12.7109375" style="285" customWidth="1"/>
    <col min="12514" max="12514" width="1.28515625" style="285" customWidth="1"/>
    <col min="12515" max="12515" width="13.28515625" style="285" customWidth="1"/>
    <col min="12516" max="12516" width="1.28515625" style="285" customWidth="1"/>
    <col min="12517" max="12517" width="11.42578125" style="285" customWidth="1"/>
    <col min="12518" max="12518" width="1.140625" style="285" customWidth="1"/>
    <col min="12519" max="12519" width="11.5703125" style="285" customWidth="1"/>
    <col min="12520" max="12520" width="1.5703125" style="285" customWidth="1"/>
    <col min="12521" max="12521" width="10.85546875" style="285" customWidth="1"/>
    <col min="12522" max="12522" width="2.140625" style="285" customWidth="1"/>
    <col min="12523" max="12523" width="12.5703125" style="285" customWidth="1"/>
    <col min="12524" max="12524" width="2.85546875" style="285" customWidth="1"/>
    <col min="12525" max="12525" width="12.5703125" style="285" customWidth="1"/>
    <col min="12526" max="12526" width="2.42578125" style="285" customWidth="1"/>
    <col min="12527" max="12529" width="12.5703125" style="285" customWidth="1"/>
    <col min="12530" max="12530" width="13.5703125" style="285" customWidth="1"/>
    <col min="12531" max="12531" width="12.5703125" style="285" customWidth="1"/>
    <col min="12532" max="12532" width="4.140625" style="285" customWidth="1"/>
    <col min="12533" max="12533" width="13.7109375" style="285" customWidth="1"/>
    <col min="12534" max="12741" width="12.5703125" style="285" customWidth="1"/>
    <col min="12742" max="12751" width="12.5703125" style="285"/>
    <col min="12752" max="12752" width="29" style="285" customWidth="1"/>
    <col min="12753" max="12753" width="12.85546875" style="285" customWidth="1"/>
    <col min="12754" max="12754" width="2.140625" style="285" bestFit="1" customWidth="1"/>
    <col min="12755" max="12755" width="6.5703125" style="285" customWidth="1"/>
    <col min="12756" max="12756" width="12.5703125" style="285" customWidth="1"/>
    <col min="12757" max="12757" width="11.140625" style="285" customWidth="1"/>
    <col min="12758" max="12769" width="12.7109375" style="285" customWidth="1"/>
    <col min="12770" max="12770" width="1.28515625" style="285" customWidth="1"/>
    <col min="12771" max="12771" width="13.28515625" style="285" customWidth="1"/>
    <col min="12772" max="12772" width="1.28515625" style="285" customWidth="1"/>
    <col min="12773" max="12773" width="11.42578125" style="285" customWidth="1"/>
    <col min="12774" max="12774" width="1.140625" style="285" customWidth="1"/>
    <col min="12775" max="12775" width="11.5703125" style="285" customWidth="1"/>
    <col min="12776" max="12776" width="1.5703125" style="285" customWidth="1"/>
    <col min="12777" max="12777" width="10.85546875" style="285" customWidth="1"/>
    <col min="12778" max="12778" width="2.140625" style="285" customWidth="1"/>
    <col min="12779" max="12779" width="12.5703125" style="285" customWidth="1"/>
    <col min="12780" max="12780" width="2.85546875" style="285" customWidth="1"/>
    <col min="12781" max="12781" width="12.5703125" style="285" customWidth="1"/>
    <col min="12782" max="12782" width="2.42578125" style="285" customWidth="1"/>
    <col min="12783" max="12785" width="12.5703125" style="285" customWidth="1"/>
    <col min="12786" max="12786" width="13.5703125" style="285" customWidth="1"/>
    <col min="12787" max="12787" width="12.5703125" style="285" customWidth="1"/>
    <col min="12788" max="12788" width="4.140625" style="285" customWidth="1"/>
    <col min="12789" max="12789" width="13.7109375" style="285" customWidth="1"/>
    <col min="12790" max="12997" width="12.5703125" style="285" customWidth="1"/>
    <col min="12998" max="13007" width="12.5703125" style="285"/>
    <col min="13008" max="13008" width="29" style="285" customWidth="1"/>
    <col min="13009" max="13009" width="12.85546875" style="285" customWidth="1"/>
    <col min="13010" max="13010" width="2.140625" style="285" bestFit="1" customWidth="1"/>
    <col min="13011" max="13011" width="6.5703125" style="285" customWidth="1"/>
    <col min="13012" max="13012" width="12.5703125" style="285" customWidth="1"/>
    <col min="13013" max="13013" width="11.140625" style="285" customWidth="1"/>
    <col min="13014" max="13025" width="12.7109375" style="285" customWidth="1"/>
    <col min="13026" max="13026" width="1.28515625" style="285" customWidth="1"/>
    <col min="13027" max="13027" width="13.28515625" style="285" customWidth="1"/>
    <col min="13028" max="13028" width="1.28515625" style="285" customWidth="1"/>
    <col min="13029" max="13029" width="11.42578125" style="285" customWidth="1"/>
    <col min="13030" max="13030" width="1.140625" style="285" customWidth="1"/>
    <col min="13031" max="13031" width="11.5703125" style="285" customWidth="1"/>
    <col min="13032" max="13032" width="1.5703125" style="285" customWidth="1"/>
    <col min="13033" max="13033" width="10.85546875" style="285" customWidth="1"/>
    <col min="13034" max="13034" width="2.140625" style="285" customWidth="1"/>
    <col min="13035" max="13035" width="12.5703125" style="285" customWidth="1"/>
    <col min="13036" max="13036" width="2.85546875" style="285" customWidth="1"/>
    <col min="13037" max="13037" width="12.5703125" style="285" customWidth="1"/>
    <col min="13038" max="13038" width="2.42578125" style="285" customWidth="1"/>
    <col min="13039" max="13041" width="12.5703125" style="285" customWidth="1"/>
    <col min="13042" max="13042" width="13.5703125" style="285" customWidth="1"/>
    <col min="13043" max="13043" width="12.5703125" style="285" customWidth="1"/>
    <col min="13044" max="13044" width="4.140625" style="285" customWidth="1"/>
    <col min="13045" max="13045" width="13.7109375" style="285" customWidth="1"/>
    <col min="13046" max="13253" width="12.5703125" style="285" customWidth="1"/>
    <col min="13254" max="13263" width="12.5703125" style="285"/>
    <col min="13264" max="13264" width="29" style="285" customWidth="1"/>
    <col min="13265" max="13265" width="12.85546875" style="285" customWidth="1"/>
    <col min="13266" max="13266" width="2.140625" style="285" bestFit="1" customWidth="1"/>
    <col min="13267" max="13267" width="6.5703125" style="285" customWidth="1"/>
    <col min="13268" max="13268" width="12.5703125" style="285" customWidth="1"/>
    <col min="13269" max="13269" width="11.140625" style="285" customWidth="1"/>
    <col min="13270" max="13281" width="12.7109375" style="285" customWidth="1"/>
    <col min="13282" max="13282" width="1.28515625" style="285" customWidth="1"/>
    <col min="13283" max="13283" width="13.28515625" style="285" customWidth="1"/>
    <col min="13284" max="13284" width="1.28515625" style="285" customWidth="1"/>
    <col min="13285" max="13285" width="11.42578125" style="285" customWidth="1"/>
    <col min="13286" max="13286" width="1.140625" style="285" customWidth="1"/>
    <col min="13287" max="13287" width="11.5703125" style="285" customWidth="1"/>
    <col min="13288" max="13288" width="1.5703125" style="285" customWidth="1"/>
    <col min="13289" max="13289" width="10.85546875" style="285" customWidth="1"/>
    <col min="13290" max="13290" width="2.140625" style="285" customWidth="1"/>
    <col min="13291" max="13291" width="12.5703125" style="285" customWidth="1"/>
    <col min="13292" max="13292" width="2.85546875" style="285" customWidth="1"/>
    <col min="13293" max="13293" width="12.5703125" style="285" customWidth="1"/>
    <col min="13294" max="13294" width="2.42578125" style="285" customWidth="1"/>
    <col min="13295" max="13297" width="12.5703125" style="285" customWidth="1"/>
    <col min="13298" max="13298" width="13.5703125" style="285" customWidth="1"/>
    <col min="13299" max="13299" width="12.5703125" style="285" customWidth="1"/>
    <col min="13300" max="13300" width="4.140625" style="285" customWidth="1"/>
    <col min="13301" max="13301" width="13.7109375" style="285" customWidth="1"/>
    <col min="13302" max="13509" width="12.5703125" style="285" customWidth="1"/>
    <col min="13510" max="13519" width="12.5703125" style="285"/>
    <col min="13520" max="13520" width="29" style="285" customWidth="1"/>
    <col min="13521" max="13521" width="12.85546875" style="285" customWidth="1"/>
    <col min="13522" max="13522" width="2.140625" style="285" bestFit="1" customWidth="1"/>
    <col min="13523" max="13523" width="6.5703125" style="285" customWidth="1"/>
    <col min="13524" max="13524" width="12.5703125" style="285" customWidth="1"/>
    <col min="13525" max="13525" width="11.140625" style="285" customWidth="1"/>
    <col min="13526" max="13537" width="12.7109375" style="285" customWidth="1"/>
    <col min="13538" max="13538" width="1.28515625" style="285" customWidth="1"/>
    <col min="13539" max="13539" width="13.28515625" style="285" customWidth="1"/>
    <col min="13540" max="13540" width="1.28515625" style="285" customWidth="1"/>
    <col min="13541" max="13541" width="11.42578125" style="285" customWidth="1"/>
    <col min="13542" max="13542" width="1.140625" style="285" customWidth="1"/>
    <col min="13543" max="13543" width="11.5703125" style="285" customWidth="1"/>
    <col min="13544" max="13544" width="1.5703125" style="285" customWidth="1"/>
    <col min="13545" max="13545" width="10.85546875" style="285" customWidth="1"/>
    <col min="13546" max="13546" width="2.140625" style="285" customWidth="1"/>
    <col min="13547" max="13547" width="12.5703125" style="285" customWidth="1"/>
    <col min="13548" max="13548" width="2.85546875" style="285" customWidth="1"/>
    <col min="13549" max="13549" width="12.5703125" style="285" customWidth="1"/>
    <col min="13550" max="13550" width="2.42578125" style="285" customWidth="1"/>
    <col min="13551" max="13553" width="12.5703125" style="285" customWidth="1"/>
    <col min="13554" max="13554" width="13.5703125" style="285" customWidth="1"/>
    <col min="13555" max="13555" width="12.5703125" style="285" customWidth="1"/>
    <col min="13556" max="13556" width="4.140625" style="285" customWidth="1"/>
    <col min="13557" max="13557" width="13.7109375" style="285" customWidth="1"/>
    <col min="13558" max="13765" width="12.5703125" style="285" customWidth="1"/>
    <col min="13766" max="13775" width="12.5703125" style="285"/>
    <col min="13776" max="13776" width="29" style="285" customWidth="1"/>
    <col min="13777" max="13777" width="12.85546875" style="285" customWidth="1"/>
    <col min="13778" max="13778" width="2.140625" style="285" bestFit="1" customWidth="1"/>
    <col min="13779" max="13779" width="6.5703125" style="285" customWidth="1"/>
    <col min="13780" max="13780" width="12.5703125" style="285" customWidth="1"/>
    <col min="13781" max="13781" width="11.140625" style="285" customWidth="1"/>
    <col min="13782" max="13793" width="12.7109375" style="285" customWidth="1"/>
    <col min="13794" max="13794" width="1.28515625" style="285" customWidth="1"/>
    <col min="13795" max="13795" width="13.28515625" style="285" customWidth="1"/>
    <col min="13796" max="13796" width="1.28515625" style="285" customWidth="1"/>
    <col min="13797" max="13797" width="11.42578125" style="285" customWidth="1"/>
    <col min="13798" max="13798" width="1.140625" style="285" customWidth="1"/>
    <col min="13799" max="13799" width="11.5703125" style="285" customWidth="1"/>
    <col min="13800" max="13800" width="1.5703125" style="285" customWidth="1"/>
    <col min="13801" max="13801" width="10.85546875" style="285" customWidth="1"/>
    <col min="13802" max="13802" width="2.140625" style="285" customWidth="1"/>
    <col min="13803" max="13803" width="12.5703125" style="285" customWidth="1"/>
    <col min="13804" max="13804" width="2.85546875" style="285" customWidth="1"/>
    <col min="13805" max="13805" width="12.5703125" style="285" customWidth="1"/>
    <col min="13806" max="13806" width="2.42578125" style="285" customWidth="1"/>
    <col min="13807" max="13809" width="12.5703125" style="285" customWidth="1"/>
    <col min="13810" max="13810" width="13.5703125" style="285" customWidth="1"/>
    <col min="13811" max="13811" width="12.5703125" style="285" customWidth="1"/>
    <col min="13812" max="13812" width="4.140625" style="285" customWidth="1"/>
    <col min="13813" max="13813" width="13.7109375" style="285" customWidth="1"/>
    <col min="13814" max="14021" width="12.5703125" style="285" customWidth="1"/>
    <col min="14022" max="14031" width="12.5703125" style="285"/>
    <col min="14032" max="14032" width="29" style="285" customWidth="1"/>
    <col min="14033" max="14033" width="12.85546875" style="285" customWidth="1"/>
    <col min="14034" max="14034" width="2.140625" style="285" bestFit="1" customWidth="1"/>
    <col min="14035" max="14035" width="6.5703125" style="285" customWidth="1"/>
    <col min="14036" max="14036" width="12.5703125" style="285" customWidth="1"/>
    <col min="14037" max="14037" width="11.140625" style="285" customWidth="1"/>
    <col min="14038" max="14049" width="12.7109375" style="285" customWidth="1"/>
    <col min="14050" max="14050" width="1.28515625" style="285" customWidth="1"/>
    <col min="14051" max="14051" width="13.28515625" style="285" customWidth="1"/>
    <col min="14052" max="14052" width="1.28515625" style="285" customWidth="1"/>
    <col min="14053" max="14053" width="11.42578125" style="285" customWidth="1"/>
    <col min="14054" max="14054" width="1.140625" style="285" customWidth="1"/>
    <col min="14055" max="14055" width="11.5703125" style="285" customWidth="1"/>
    <col min="14056" max="14056" width="1.5703125" style="285" customWidth="1"/>
    <col min="14057" max="14057" width="10.85546875" style="285" customWidth="1"/>
    <col min="14058" max="14058" width="2.140625" style="285" customWidth="1"/>
    <col min="14059" max="14059" width="12.5703125" style="285" customWidth="1"/>
    <col min="14060" max="14060" width="2.85546875" style="285" customWidth="1"/>
    <col min="14061" max="14061" width="12.5703125" style="285" customWidth="1"/>
    <col min="14062" max="14062" width="2.42578125" style="285" customWidth="1"/>
    <col min="14063" max="14065" width="12.5703125" style="285" customWidth="1"/>
    <col min="14066" max="14066" width="13.5703125" style="285" customWidth="1"/>
    <col min="14067" max="14067" width="12.5703125" style="285" customWidth="1"/>
    <col min="14068" max="14068" width="4.140625" style="285" customWidth="1"/>
    <col min="14069" max="14069" width="13.7109375" style="285" customWidth="1"/>
    <col min="14070" max="14277" width="12.5703125" style="285" customWidth="1"/>
    <col min="14278" max="14287" width="12.5703125" style="285"/>
    <col min="14288" max="14288" width="29" style="285" customWidth="1"/>
    <col min="14289" max="14289" width="12.85546875" style="285" customWidth="1"/>
    <col min="14290" max="14290" width="2.140625" style="285" bestFit="1" customWidth="1"/>
    <col min="14291" max="14291" width="6.5703125" style="285" customWidth="1"/>
    <col min="14292" max="14292" width="12.5703125" style="285" customWidth="1"/>
    <col min="14293" max="14293" width="11.140625" style="285" customWidth="1"/>
    <col min="14294" max="14305" width="12.7109375" style="285" customWidth="1"/>
    <col min="14306" max="14306" width="1.28515625" style="285" customWidth="1"/>
    <col min="14307" max="14307" width="13.28515625" style="285" customWidth="1"/>
    <col min="14308" max="14308" width="1.28515625" style="285" customWidth="1"/>
    <col min="14309" max="14309" width="11.42578125" style="285" customWidth="1"/>
    <col min="14310" max="14310" width="1.140625" style="285" customWidth="1"/>
    <col min="14311" max="14311" width="11.5703125" style="285" customWidth="1"/>
    <col min="14312" max="14312" width="1.5703125" style="285" customWidth="1"/>
    <col min="14313" max="14313" width="10.85546875" style="285" customWidth="1"/>
    <col min="14314" max="14314" width="2.140625" style="285" customWidth="1"/>
    <col min="14315" max="14315" width="12.5703125" style="285" customWidth="1"/>
    <col min="14316" max="14316" width="2.85546875" style="285" customWidth="1"/>
    <col min="14317" max="14317" width="12.5703125" style="285" customWidth="1"/>
    <col min="14318" max="14318" width="2.42578125" style="285" customWidth="1"/>
    <col min="14319" max="14321" width="12.5703125" style="285" customWidth="1"/>
    <col min="14322" max="14322" width="13.5703125" style="285" customWidth="1"/>
    <col min="14323" max="14323" width="12.5703125" style="285" customWidth="1"/>
    <col min="14324" max="14324" width="4.140625" style="285" customWidth="1"/>
    <col min="14325" max="14325" width="13.7109375" style="285" customWidth="1"/>
    <col min="14326" max="14533" width="12.5703125" style="285" customWidth="1"/>
    <col min="14534" max="14543" width="12.5703125" style="285"/>
    <col min="14544" max="14544" width="29" style="285" customWidth="1"/>
    <col min="14545" max="14545" width="12.85546875" style="285" customWidth="1"/>
    <col min="14546" max="14546" width="2.140625" style="285" bestFit="1" customWidth="1"/>
    <col min="14547" max="14547" width="6.5703125" style="285" customWidth="1"/>
    <col min="14548" max="14548" width="12.5703125" style="285" customWidth="1"/>
    <col min="14549" max="14549" width="11.140625" style="285" customWidth="1"/>
    <col min="14550" max="14561" width="12.7109375" style="285" customWidth="1"/>
    <col min="14562" max="14562" width="1.28515625" style="285" customWidth="1"/>
    <col min="14563" max="14563" width="13.28515625" style="285" customWidth="1"/>
    <col min="14564" max="14564" width="1.28515625" style="285" customWidth="1"/>
    <col min="14565" max="14565" width="11.42578125" style="285" customWidth="1"/>
    <col min="14566" max="14566" width="1.140625" style="285" customWidth="1"/>
    <col min="14567" max="14567" width="11.5703125" style="285" customWidth="1"/>
    <col min="14568" max="14568" width="1.5703125" style="285" customWidth="1"/>
    <col min="14569" max="14569" width="10.85546875" style="285" customWidth="1"/>
    <col min="14570" max="14570" width="2.140625" style="285" customWidth="1"/>
    <col min="14571" max="14571" width="12.5703125" style="285" customWidth="1"/>
    <col min="14572" max="14572" width="2.85546875" style="285" customWidth="1"/>
    <col min="14573" max="14573" width="12.5703125" style="285" customWidth="1"/>
    <col min="14574" max="14574" width="2.42578125" style="285" customWidth="1"/>
    <col min="14575" max="14577" width="12.5703125" style="285" customWidth="1"/>
    <col min="14578" max="14578" width="13.5703125" style="285" customWidth="1"/>
    <col min="14579" max="14579" width="12.5703125" style="285" customWidth="1"/>
    <col min="14580" max="14580" width="4.140625" style="285" customWidth="1"/>
    <col min="14581" max="14581" width="13.7109375" style="285" customWidth="1"/>
    <col min="14582" max="14789" width="12.5703125" style="285" customWidth="1"/>
    <col min="14790" max="14799" width="12.5703125" style="285"/>
    <col min="14800" max="14800" width="29" style="285" customWidth="1"/>
    <col min="14801" max="14801" width="12.85546875" style="285" customWidth="1"/>
    <col min="14802" max="14802" width="2.140625" style="285" bestFit="1" customWidth="1"/>
    <col min="14803" max="14803" width="6.5703125" style="285" customWidth="1"/>
    <col min="14804" max="14804" width="12.5703125" style="285" customWidth="1"/>
    <col min="14805" max="14805" width="11.140625" style="285" customWidth="1"/>
    <col min="14806" max="14817" width="12.7109375" style="285" customWidth="1"/>
    <col min="14818" max="14818" width="1.28515625" style="285" customWidth="1"/>
    <col min="14819" max="14819" width="13.28515625" style="285" customWidth="1"/>
    <col min="14820" max="14820" width="1.28515625" style="285" customWidth="1"/>
    <col min="14821" max="14821" width="11.42578125" style="285" customWidth="1"/>
    <col min="14822" max="14822" width="1.140625" style="285" customWidth="1"/>
    <col min="14823" max="14823" width="11.5703125" style="285" customWidth="1"/>
    <col min="14824" max="14824" width="1.5703125" style="285" customWidth="1"/>
    <col min="14825" max="14825" width="10.85546875" style="285" customWidth="1"/>
    <col min="14826" max="14826" width="2.140625" style="285" customWidth="1"/>
    <col min="14827" max="14827" width="12.5703125" style="285" customWidth="1"/>
    <col min="14828" max="14828" width="2.85546875" style="285" customWidth="1"/>
    <col min="14829" max="14829" width="12.5703125" style="285" customWidth="1"/>
    <col min="14830" max="14830" width="2.42578125" style="285" customWidth="1"/>
    <col min="14831" max="14833" width="12.5703125" style="285" customWidth="1"/>
    <col min="14834" max="14834" width="13.5703125" style="285" customWidth="1"/>
    <col min="14835" max="14835" width="12.5703125" style="285" customWidth="1"/>
    <col min="14836" max="14836" width="4.140625" style="285" customWidth="1"/>
    <col min="14837" max="14837" width="13.7109375" style="285" customWidth="1"/>
    <col min="14838" max="15045" width="12.5703125" style="285" customWidth="1"/>
    <col min="15046" max="15055" width="12.5703125" style="285"/>
    <col min="15056" max="15056" width="29" style="285" customWidth="1"/>
    <col min="15057" max="15057" width="12.85546875" style="285" customWidth="1"/>
    <col min="15058" max="15058" width="2.140625" style="285" bestFit="1" customWidth="1"/>
    <col min="15059" max="15059" width="6.5703125" style="285" customWidth="1"/>
    <col min="15060" max="15060" width="12.5703125" style="285" customWidth="1"/>
    <col min="15061" max="15061" width="11.140625" style="285" customWidth="1"/>
    <col min="15062" max="15073" width="12.7109375" style="285" customWidth="1"/>
    <col min="15074" max="15074" width="1.28515625" style="285" customWidth="1"/>
    <col min="15075" max="15075" width="13.28515625" style="285" customWidth="1"/>
    <col min="15076" max="15076" width="1.28515625" style="285" customWidth="1"/>
    <col min="15077" max="15077" width="11.42578125" style="285" customWidth="1"/>
    <col min="15078" max="15078" width="1.140625" style="285" customWidth="1"/>
    <col min="15079" max="15079" width="11.5703125" style="285" customWidth="1"/>
    <col min="15080" max="15080" width="1.5703125" style="285" customWidth="1"/>
    <col min="15081" max="15081" width="10.85546875" style="285" customWidth="1"/>
    <col min="15082" max="15082" width="2.140625" style="285" customWidth="1"/>
    <col min="15083" max="15083" width="12.5703125" style="285" customWidth="1"/>
    <col min="15084" max="15084" width="2.85546875" style="285" customWidth="1"/>
    <col min="15085" max="15085" width="12.5703125" style="285" customWidth="1"/>
    <col min="15086" max="15086" width="2.42578125" style="285" customWidth="1"/>
    <col min="15087" max="15089" width="12.5703125" style="285" customWidth="1"/>
    <col min="15090" max="15090" width="13.5703125" style="285" customWidth="1"/>
    <col min="15091" max="15091" width="12.5703125" style="285" customWidth="1"/>
    <col min="15092" max="15092" width="4.140625" style="285" customWidth="1"/>
    <col min="15093" max="15093" width="13.7109375" style="285" customWidth="1"/>
    <col min="15094" max="15301" width="12.5703125" style="285" customWidth="1"/>
    <col min="15302" max="15311" width="12.5703125" style="285"/>
    <col min="15312" max="15312" width="29" style="285" customWidth="1"/>
    <col min="15313" max="15313" width="12.85546875" style="285" customWidth="1"/>
    <col min="15314" max="15314" width="2.140625" style="285" bestFit="1" customWidth="1"/>
    <col min="15315" max="15315" width="6.5703125" style="285" customWidth="1"/>
    <col min="15316" max="15316" width="12.5703125" style="285" customWidth="1"/>
    <col min="15317" max="15317" width="11.140625" style="285" customWidth="1"/>
    <col min="15318" max="15329" width="12.7109375" style="285" customWidth="1"/>
    <col min="15330" max="15330" width="1.28515625" style="285" customWidth="1"/>
    <col min="15331" max="15331" width="13.28515625" style="285" customWidth="1"/>
    <col min="15332" max="15332" width="1.28515625" style="285" customWidth="1"/>
    <col min="15333" max="15333" width="11.42578125" style="285" customWidth="1"/>
    <col min="15334" max="15334" width="1.140625" style="285" customWidth="1"/>
    <col min="15335" max="15335" width="11.5703125" style="285" customWidth="1"/>
    <col min="15336" max="15336" width="1.5703125" style="285" customWidth="1"/>
    <col min="15337" max="15337" width="10.85546875" style="285" customWidth="1"/>
    <col min="15338" max="15338" width="2.140625" style="285" customWidth="1"/>
    <col min="15339" max="15339" width="12.5703125" style="285" customWidth="1"/>
    <col min="15340" max="15340" width="2.85546875" style="285" customWidth="1"/>
    <col min="15341" max="15341" width="12.5703125" style="285" customWidth="1"/>
    <col min="15342" max="15342" width="2.42578125" style="285" customWidth="1"/>
    <col min="15343" max="15345" width="12.5703125" style="285" customWidth="1"/>
    <col min="15346" max="15346" width="13.5703125" style="285" customWidth="1"/>
    <col min="15347" max="15347" width="12.5703125" style="285" customWidth="1"/>
    <col min="15348" max="15348" width="4.140625" style="285" customWidth="1"/>
    <col min="15349" max="15349" width="13.7109375" style="285" customWidth="1"/>
    <col min="15350" max="15557" width="12.5703125" style="285" customWidth="1"/>
    <col min="15558" max="15567" width="12.5703125" style="285"/>
    <col min="15568" max="15568" width="29" style="285" customWidth="1"/>
    <col min="15569" max="15569" width="12.85546875" style="285" customWidth="1"/>
    <col min="15570" max="15570" width="2.140625" style="285" bestFit="1" customWidth="1"/>
    <col min="15571" max="15571" width="6.5703125" style="285" customWidth="1"/>
    <col min="15572" max="15572" width="12.5703125" style="285" customWidth="1"/>
    <col min="15573" max="15573" width="11.140625" style="285" customWidth="1"/>
    <col min="15574" max="15585" width="12.7109375" style="285" customWidth="1"/>
    <col min="15586" max="15586" width="1.28515625" style="285" customWidth="1"/>
    <col min="15587" max="15587" width="13.28515625" style="285" customWidth="1"/>
    <col min="15588" max="15588" width="1.28515625" style="285" customWidth="1"/>
    <col min="15589" max="15589" width="11.42578125" style="285" customWidth="1"/>
    <col min="15590" max="15590" width="1.140625" style="285" customWidth="1"/>
    <col min="15591" max="15591" width="11.5703125" style="285" customWidth="1"/>
    <col min="15592" max="15592" width="1.5703125" style="285" customWidth="1"/>
    <col min="15593" max="15593" width="10.85546875" style="285" customWidth="1"/>
    <col min="15594" max="15594" width="2.140625" style="285" customWidth="1"/>
    <col min="15595" max="15595" width="12.5703125" style="285" customWidth="1"/>
    <col min="15596" max="15596" width="2.85546875" style="285" customWidth="1"/>
    <col min="15597" max="15597" width="12.5703125" style="285" customWidth="1"/>
    <col min="15598" max="15598" width="2.42578125" style="285" customWidth="1"/>
    <col min="15599" max="15601" width="12.5703125" style="285" customWidth="1"/>
    <col min="15602" max="15602" width="13.5703125" style="285" customWidth="1"/>
    <col min="15603" max="15603" width="12.5703125" style="285" customWidth="1"/>
    <col min="15604" max="15604" width="4.140625" style="285" customWidth="1"/>
    <col min="15605" max="15605" width="13.7109375" style="285" customWidth="1"/>
    <col min="15606" max="15813" width="12.5703125" style="285" customWidth="1"/>
    <col min="15814" max="15823" width="12.5703125" style="285"/>
    <col min="15824" max="15824" width="29" style="285" customWidth="1"/>
    <col min="15825" max="15825" width="12.85546875" style="285" customWidth="1"/>
    <col min="15826" max="15826" width="2.140625" style="285" bestFit="1" customWidth="1"/>
    <col min="15827" max="15827" width="6.5703125" style="285" customWidth="1"/>
    <col min="15828" max="15828" width="12.5703125" style="285" customWidth="1"/>
    <col min="15829" max="15829" width="11.140625" style="285" customWidth="1"/>
    <col min="15830" max="15841" width="12.7109375" style="285" customWidth="1"/>
    <col min="15842" max="15842" width="1.28515625" style="285" customWidth="1"/>
    <col min="15843" max="15843" width="13.28515625" style="285" customWidth="1"/>
    <col min="15844" max="15844" width="1.28515625" style="285" customWidth="1"/>
    <col min="15845" max="15845" width="11.42578125" style="285" customWidth="1"/>
    <col min="15846" max="15846" width="1.140625" style="285" customWidth="1"/>
    <col min="15847" max="15847" width="11.5703125" style="285" customWidth="1"/>
    <col min="15848" max="15848" width="1.5703125" style="285" customWidth="1"/>
    <col min="15849" max="15849" width="10.85546875" style="285" customWidth="1"/>
    <col min="15850" max="15850" width="2.140625" style="285" customWidth="1"/>
    <col min="15851" max="15851" width="12.5703125" style="285" customWidth="1"/>
    <col min="15852" max="15852" width="2.85546875" style="285" customWidth="1"/>
    <col min="15853" max="15853" width="12.5703125" style="285" customWidth="1"/>
    <col min="15854" max="15854" width="2.42578125" style="285" customWidth="1"/>
    <col min="15855" max="15857" width="12.5703125" style="285" customWidth="1"/>
    <col min="15858" max="15858" width="13.5703125" style="285" customWidth="1"/>
    <col min="15859" max="15859" width="12.5703125" style="285" customWidth="1"/>
    <col min="15860" max="15860" width="4.140625" style="285" customWidth="1"/>
    <col min="15861" max="15861" width="13.7109375" style="285" customWidth="1"/>
    <col min="15862" max="16069" width="12.5703125" style="285" customWidth="1"/>
    <col min="16070" max="16079" width="12.5703125" style="285"/>
    <col min="16080" max="16080" width="29" style="285" customWidth="1"/>
    <col min="16081" max="16081" width="12.85546875" style="285" customWidth="1"/>
    <col min="16082" max="16082" width="2.140625" style="285" bestFit="1" customWidth="1"/>
    <col min="16083" max="16083" width="6.5703125" style="285" customWidth="1"/>
    <col min="16084" max="16084" width="12.5703125" style="285" customWidth="1"/>
    <col min="16085" max="16085" width="11.140625" style="285" customWidth="1"/>
    <col min="16086" max="16097" width="12.7109375" style="285" customWidth="1"/>
    <col min="16098" max="16098" width="1.28515625" style="285" customWidth="1"/>
    <col min="16099" max="16099" width="13.28515625" style="285" customWidth="1"/>
    <col min="16100" max="16100" width="1.28515625" style="285" customWidth="1"/>
    <col min="16101" max="16101" width="11.42578125" style="285" customWidth="1"/>
    <col min="16102" max="16102" width="1.140625" style="285" customWidth="1"/>
    <col min="16103" max="16103" width="11.5703125" style="285" customWidth="1"/>
    <col min="16104" max="16104" width="1.5703125" style="285" customWidth="1"/>
    <col min="16105" max="16105" width="10.85546875" style="285" customWidth="1"/>
    <col min="16106" max="16106" width="2.140625" style="285" customWidth="1"/>
    <col min="16107" max="16107" width="12.5703125" style="285" customWidth="1"/>
    <col min="16108" max="16108" width="2.85546875" style="285" customWidth="1"/>
    <col min="16109" max="16109" width="12.5703125" style="285" customWidth="1"/>
    <col min="16110" max="16110" width="2.42578125" style="285" customWidth="1"/>
    <col min="16111" max="16113" width="12.5703125" style="285" customWidth="1"/>
    <col min="16114" max="16114" width="13.5703125" style="285" customWidth="1"/>
    <col min="16115" max="16115" width="12.5703125" style="285" customWidth="1"/>
    <col min="16116" max="16116" width="4.140625" style="285" customWidth="1"/>
    <col min="16117" max="16117" width="13.7109375" style="285" customWidth="1"/>
    <col min="16118" max="16325" width="12.5703125" style="285" customWidth="1"/>
    <col min="16326" max="16384" width="12.5703125" style="285"/>
  </cols>
  <sheetData>
    <row r="1" spans="2:17">
      <c r="B1" s="284" t="s">
        <v>707</v>
      </c>
      <c r="C1" s="1115" t="s">
        <v>597</v>
      </c>
      <c r="D1" s="285"/>
      <c r="E1" s="285"/>
      <c r="F1" s="285"/>
      <c r="G1" s="286"/>
      <c r="H1" s="287"/>
      <c r="I1" s="287"/>
      <c r="J1" s="285"/>
      <c r="K1" s="285"/>
      <c r="L1" s="285"/>
      <c r="M1" s="285"/>
      <c r="N1" s="288"/>
      <c r="O1" s="285"/>
    </row>
    <row r="2" spans="2:17">
      <c r="B2" s="284" t="s">
        <v>708</v>
      </c>
      <c r="C2" s="1116">
        <f ca="1">YEAR(C3)</f>
        <v>2026</v>
      </c>
      <c r="D2" s="289"/>
      <c r="E2" s="289"/>
      <c r="F2" s="289"/>
      <c r="G2" s="289"/>
      <c r="H2" s="289"/>
      <c r="I2" s="290"/>
      <c r="J2" s="291"/>
      <c r="K2" s="291"/>
      <c r="L2" s="291"/>
      <c r="M2" s="292"/>
      <c r="N2" s="288"/>
      <c r="O2" s="285"/>
    </row>
    <row r="3" spans="2:17" ht="13.5">
      <c r="B3" s="284" t="s">
        <v>905</v>
      </c>
      <c r="C3" s="1117">
        <f ca="1">NOW()</f>
        <v>46168.343809259262</v>
      </c>
      <c r="D3" s="293"/>
      <c r="E3" s="293"/>
      <c r="F3" s="293"/>
      <c r="G3" s="293"/>
      <c r="H3" s="293"/>
      <c r="I3" s="293"/>
      <c r="J3" s="293"/>
      <c r="K3" s="293"/>
      <c r="L3" s="293"/>
      <c r="M3" s="293"/>
      <c r="N3" s="293"/>
      <c r="O3" s="293"/>
    </row>
    <row r="4" spans="2:17" ht="13.5">
      <c r="B4" s="284" t="s">
        <v>709</v>
      </c>
      <c r="C4" s="294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5"/>
      <c r="Q4" s="295"/>
    </row>
    <row r="5" spans="2:17">
      <c r="B5" s="284" t="s">
        <v>906</v>
      </c>
      <c r="C5" s="296"/>
      <c r="D5" s="285"/>
      <c r="E5" s="285"/>
      <c r="F5" s="285"/>
      <c r="G5" s="297"/>
      <c r="H5" s="298"/>
      <c r="I5" s="287"/>
      <c r="J5" s="285"/>
      <c r="K5" s="285"/>
      <c r="L5" s="299"/>
      <c r="M5" s="285"/>
      <c r="N5" s="300"/>
      <c r="O5" s="295"/>
      <c r="P5" s="300"/>
    </row>
    <row r="6" spans="2:17">
      <c r="B6" s="301" t="s">
        <v>907</v>
      </c>
      <c r="C6" s="302"/>
      <c r="D6" s="573" t="s">
        <v>473</v>
      </c>
      <c r="E6" s="303" t="s">
        <v>474</v>
      </c>
      <c r="F6" s="303" t="s">
        <v>475</v>
      </c>
      <c r="G6" s="303" t="s">
        <v>710</v>
      </c>
      <c r="H6" s="303" t="s">
        <v>711</v>
      </c>
      <c r="I6" s="303" t="s">
        <v>712</v>
      </c>
      <c r="J6" s="303" t="s">
        <v>713</v>
      </c>
      <c r="K6" s="303" t="s">
        <v>714</v>
      </c>
      <c r="L6" s="303" t="s">
        <v>715</v>
      </c>
      <c r="M6" s="303" t="s">
        <v>716</v>
      </c>
      <c r="N6" s="303" t="s">
        <v>717</v>
      </c>
      <c r="O6" s="304" t="s">
        <v>718</v>
      </c>
      <c r="P6" s="305" t="s">
        <v>719</v>
      </c>
      <c r="Q6" s="306"/>
    </row>
    <row r="7" spans="2:17">
      <c r="B7" s="307"/>
      <c r="C7" s="308"/>
      <c r="D7" s="309" t="s">
        <v>720</v>
      </c>
      <c r="E7" s="309" t="s">
        <v>720</v>
      </c>
      <c r="F7" s="309" t="s">
        <v>720</v>
      </c>
      <c r="G7" s="309" t="s">
        <v>720</v>
      </c>
      <c r="H7" s="309" t="s">
        <v>720</v>
      </c>
      <c r="I7" s="309" t="s">
        <v>720</v>
      </c>
      <c r="J7" s="309" t="s">
        <v>720</v>
      </c>
      <c r="K7" s="309" t="s">
        <v>720</v>
      </c>
      <c r="L7" s="309" t="s">
        <v>720</v>
      </c>
      <c r="M7" s="309" t="s">
        <v>720</v>
      </c>
      <c r="N7" s="309" t="s">
        <v>720</v>
      </c>
      <c r="O7" s="309" t="s">
        <v>720</v>
      </c>
      <c r="P7" s="309" t="s">
        <v>720</v>
      </c>
      <c r="Q7" s="306"/>
    </row>
    <row r="8" spans="2:17">
      <c r="B8" s="310" t="s">
        <v>721</v>
      </c>
      <c r="C8" s="311"/>
      <c r="D8" s="312"/>
      <c r="E8" s="313"/>
      <c r="F8" s="313"/>
      <c r="G8" s="313"/>
      <c r="H8" s="313"/>
      <c r="I8" s="313"/>
      <c r="J8" s="313"/>
      <c r="K8" s="313"/>
      <c r="L8" s="313"/>
      <c r="M8" s="313"/>
      <c r="N8" s="313"/>
      <c r="O8" s="313"/>
      <c r="P8" s="314"/>
      <c r="Q8" s="306"/>
    </row>
    <row r="9" spans="2:17">
      <c r="B9" s="315" t="s">
        <v>722</v>
      </c>
      <c r="C9" s="316"/>
      <c r="D9" s="317">
        <f>-AN!D180</f>
        <v>914290.125</v>
      </c>
      <c r="E9" s="317">
        <f>-AN!E180</f>
        <v>1100543.8500000001</v>
      </c>
      <c r="F9" s="317">
        <f>-AN!F180</f>
        <v>1097148.1500000001</v>
      </c>
      <c r="G9" s="317">
        <f>-AN!G180</f>
        <v>1345109.1500000001</v>
      </c>
      <c r="H9" s="317">
        <f>-AN!H180</f>
        <v>1340958.8500000001</v>
      </c>
      <c r="I9" s="317">
        <f>-AN!I180</f>
        <v>1345109.1500000001</v>
      </c>
      <c r="J9" s="317">
        <f>-AN!J180</f>
        <v>1340958.8500000001</v>
      </c>
      <c r="K9" s="317">
        <f>-AN!K180</f>
        <v>1161685.175</v>
      </c>
      <c r="L9" s="317">
        <f>-AN!L180</f>
        <v>1097148.1500000001</v>
      </c>
      <c r="M9" s="317">
        <f>-AN!M180</f>
        <v>1100543.8500000001</v>
      </c>
      <c r="N9" s="317">
        <f>-AN!N180</f>
        <v>1097148.1500000001</v>
      </c>
      <c r="O9" s="317">
        <f>-AN!O180</f>
        <v>1100543.8500000001</v>
      </c>
      <c r="P9" s="318">
        <f t="shared" ref="P9:P14" si="0">SUM(D9:O9)</f>
        <v>14041187.300000001</v>
      </c>
      <c r="Q9" s="319"/>
    </row>
    <row r="10" spans="2:17" hidden="1">
      <c r="B10" s="315" t="s">
        <v>723</v>
      </c>
      <c r="C10" s="316"/>
      <c r="D10" s="320">
        <v>0</v>
      </c>
      <c r="E10" s="320">
        <v>0</v>
      </c>
      <c r="F10" s="320">
        <v>0</v>
      </c>
      <c r="G10" s="320">
        <v>0</v>
      </c>
      <c r="H10" s="320">
        <v>0</v>
      </c>
      <c r="I10" s="320">
        <v>0</v>
      </c>
      <c r="J10" s="320">
        <v>0</v>
      </c>
      <c r="K10" s="320">
        <v>0</v>
      </c>
      <c r="L10" s="320">
        <v>0</v>
      </c>
      <c r="M10" s="320">
        <v>0</v>
      </c>
      <c r="N10" s="320">
        <v>0</v>
      </c>
      <c r="O10" s="320">
        <v>0</v>
      </c>
      <c r="P10" s="318">
        <f t="shared" si="0"/>
        <v>0</v>
      </c>
      <c r="Q10" s="319"/>
    </row>
    <row r="11" spans="2:17" hidden="1">
      <c r="B11" s="315" t="s">
        <v>724</v>
      </c>
      <c r="C11" s="316"/>
      <c r="D11" s="320">
        <v>0</v>
      </c>
      <c r="E11" s="320">
        <v>0</v>
      </c>
      <c r="F11" s="320">
        <v>0</v>
      </c>
      <c r="G11" s="320">
        <v>0</v>
      </c>
      <c r="H11" s="320">
        <v>0</v>
      </c>
      <c r="I11" s="320">
        <v>0</v>
      </c>
      <c r="J11" s="320">
        <v>0</v>
      </c>
      <c r="K11" s="320">
        <v>0</v>
      </c>
      <c r="L11" s="320">
        <v>0</v>
      </c>
      <c r="M11" s="320">
        <v>0</v>
      </c>
      <c r="N11" s="320">
        <v>0</v>
      </c>
      <c r="O11" s="320">
        <v>0</v>
      </c>
      <c r="P11" s="318">
        <f t="shared" si="0"/>
        <v>0</v>
      </c>
      <c r="Q11" s="319"/>
    </row>
    <row r="12" spans="2:17" hidden="1">
      <c r="B12" s="315" t="s">
        <v>725</v>
      </c>
      <c r="C12" s="316"/>
      <c r="D12" s="320">
        <v>0</v>
      </c>
      <c r="E12" s="320">
        <v>0</v>
      </c>
      <c r="F12" s="320">
        <v>0</v>
      </c>
      <c r="G12" s="320">
        <v>0</v>
      </c>
      <c r="H12" s="320">
        <v>0</v>
      </c>
      <c r="I12" s="320">
        <v>0</v>
      </c>
      <c r="J12" s="320">
        <v>0</v>
      </c>
      <c r="K12" s="320">
        <v>0</v>
      </c>
      <c r="L12" s="320">
        <v>0</v>
      </c>
      <c r="M12" s="320">
        <v>0</v>
      </c>
      <c r="N12" s="320">
        <v>0</v>
      </c>
      <c r="O12" s="320">
        <v>0</v>
      </c>
      <c r="P12" s="318">
        <f t="shared" si="0"/>
        <v>0</v>
      </c>
      <c r="Q12" s="319"/>
    </row>
    <row r="13" spans="2:17" hidden="1">
      <c r="B13" s="315" t="s">
        <v>726</v>
      </c>
      <c r="C13" s="316"/>
      <c r="D13" s="320">
        <v>0</v>
      </c>
      <c r="E13" s="320">
        <v>0</v>
      </c>
      <c r="F13" s="320">
        <v>0</v>
      </c>
      <c r="G13" s="320">
        <v>0</v>
      </c>
      <c r="H13" s="320">
        <v>0</v>
      </c>
      <c r="I13" s="320">
        <v>0</v>
      </c>
      <c r="J13" s="320">
        <v>0</v>
      </c>
      <c r="K13" s="320">
        <v>0</v>
      </c>
      <c r="L13" s="320">
        <v>0</v>
      </c>
      <c r="M13" s="320">
        <v>0</v>
      </c>
      <c r="N13" s="320">
        <v>0</v>
      </c>
      <c r="O13" s="320">
        <v>0</v>
      </c>
      <c r="P13" s="318">
        <f t="shared" si="0"/>
        <v>0</v>
      </c>
      <c r="Q13" s="319"/>
    </row>
    <row r="14" spans="2:17">
      <c r="B14" s="315" t="s">
        <v>727</v>
      </c>
      <c r="C14" s="316"/>
      <c r="D14" s="320">
        <f>-AN!D198</f>
        <v>5000</v>
      </c>
      <c r="E14" s="320">
        <f>-AN!E198</f>
        <v>5000</v>
      </c>
      <c r="F14" s="320">
        <f>-AN!F198</f>
        <v>5000</v>
      </c>
      <c r="G14" s="320">
        <f>-AN!G198</f>
        <v>5000</v>
      </c>
      <c r="H14" s="320">
        <f>-AN!H198</f>
        <v>45000</v>
      </c>
      <c r="I14" s="320">
        <f>-AN!I198</f>
        <v>90000</v>
      </c>
      <c r="J14" s="320">
        <f>-AN!J198</f>
        <v>135000</v>
      </c>
      <c r="K14" s="320">
        <f>-AN!K198</f>
        <v>125000</v>
      </c>
      <c r="L14" s="320">
        <f>-AN!L198</f>
        <v>5000</v>
      </c>
      <c r="M14" s="320">
        <f>-AN!M198</f>
        <v>5000</v>
      </c>
      <c r="N14" s="320">
        <f>-AN!N198</f>
        <v>5000</v>
      </c>
      <c r="O14" s="320">
        <f>-AN!O198</f>
        <v>5000</v>
      </c>
      <c r="P14" s="318">
        <f t="shared" si="0"/>
        <v>435000</v>
      </c>
      <c r="Q14" s="319"/>
    </row>
    <row r="15" spans="2:17">
      <c r="B15" s="321" t="s">
        <v>728</v>
      </c>
      <c r="C15" s="316"/>
      <c r="D15" s="322">
        <f t="shared" ref="D15:P15" si="1">SUM(D9:D14)</f>
        <v>919290.125</v>
      </c>
      <c r="E15" s="323">
        <f t="shared" si="1"/>
        <v>1105543.8500000001</v>
      </c>
      <c r="F15" s="323">
        <f t="shared" si="1"/>
        <v>1102148.1500000001</v>
      </c>
      <c r="G15" s="323">
        <f t="shared" si="1"/>
        <v>1350109.1500000001</v>
      </c>
      <c r="H15" s="323">
        <f t="shared" si="1"/>
        <v>1385958.85</v>
      </c>
      <c r="I15" s="323">
        <f t="shared" si="1"/>
        <v>1435109.1500000001</v>
      </c>
      <c r="J15" s="323">
        <f t="shared" si="1"/>
        <v>1475958.85</v>
      </c>
      <c r="K15" s="323">
        <f t="shared" si="1"/>
        <v>1286685.175</v>
      </c>
      <c r="L15" s="323">
        <f t="shared" si="1"/>
        <v>1102148.1500000001</v>
      </c>
      <c r="M15" s="323">
        <f t="shared" si="1"/>
        <v>1105543.8500000001</v>
      </c>
      <c r="N15" s="323">
        <f t="shared" si="1"/>
        <v>1102148.1500000001</v>
      </c>
      <c r="O15" s="323">
        <f t="shared" si="1"/>
        <v>1105543.8500000001</v>
      </c>
      <c r="P15" s="324">
        <f t="shared" si="1"/>
        <v>14476187.300000001</v>
      </c>
      <c r="Q15" s="325"/>
    </row>
    <row r="16" spans="2:17" ht="3" customHeight="1">
      <c r="B16" s="326"/>
      <c r="C16" s="327"/>
      <c r="D16" s="328"/>
      <c r="E16" s="329"/>
      <c r="F16" s="329"/>
      <c r="G16" s="329"/>
      <c r="H16" s="329"/>
      <c r="I16" s="329"/>
      <c r="J16" s="329"/>
      <c r="K16" s="329"/>
      <c r="L16" s="329"/>
      <c r="M16" s="329"/>
      <c r="N16" s="329"/>
      <c r="O16" s="329"/>
      <c r="P16" s="330"/>
      <c r="Q16" s="306"/>
    </row>
    <row r="17" spans="2:18" ht="13.5" thickBot="1">
      <c r="B17" s="915" t="s">
        <v>729</v>
      </c>
      <c r="C17" s="917" t="s">
        <v>33</v>
      </c>
      <c r="D17" s="918">
        <f t="shared" ref="D17:P17" si="2">SUM(D15:D16)</f>
        <v>919290.125</v>
      </c>
      <c r="E17" s="919">
        <f t="shared" si="2"/>
        <v>1105543.8500000001</v>
      </c>
      <c r="F17" s="919">
        <f t="shared" si="2"/>
        <v>1102148.1500000001</v>
      </c>
      <c r="G17" s="919">
        <f t="shared" si="2"/>
        <v>1350109.1500000001</v>
      </c>
      <c r="H17" s="919">
        <f t="shared" si="2"/>
        <v>1385958.85</v>
      </c>
      <c r="I17" s="919">
        <f t="shared" si="2"/>
        <v>1435109.1500000001</v>
      </c>
      <c r="J17" s="919">
        <f t="shared" si="2"/>
        <v>1475958.85</v>
      </c>
      <c r="K17" s="919">
        <f t="shared" si="2"/>
        <v>1286685.175</v>
      </c>
      <c r="L17" s="919">
        <f t="shared" si="2"/>
        <v>1102148.1500000001</v>
      </c>
      <c r="M17" s="919">
        <f t="shared" si="2"/>
        <v>1105543.8500000001</v>
      </c>
      <c r="N17" s="919">
        <f t="shared" si="2"/>
        <v>1102148.1500000001</v>
      </c>
      <c r="O17" s="919">
        <f t="shared" si="2"/>
        <v>1105543.8500000001</v>
      </c>
      <c r="P17" s="920">
        <f t="shared" si="2"/>
        <v>14476187.300000001</v>
      </c>
      <c r="Q17" s="331"/>
    </row>
    <row r="18" spans="2:18" ht="13.5" thickTop="1">
      <c r="B18" s="315" t="s">
        <v>730</v>
      </c>
      <c r="C18" s="316"/>
      <c r="D18" s="332">
        <f>-(+AN!D67+AN!D68)*0.6-(AN!D81+AN!D82)</f>
        <v>-750923.69520000007</v>
      </c>
      <c r="E18" s="332">
        <f>-(+AN!E67+AN!E68)*0.6-(AN!E81+AN!E82)</f>
        <v>-751993.42559999996</v>
      </c>
      <c r="F18" s="332">
        <f>-(+AN!F67+AN!F68)*0.6-(AN!F81+AN!F82)</f>
        <v>-772268.09519999998</v>
      </c>
      <c r="G18" s="332">
        <f>-(+AN!G67+AN!G68)*0.6-(AN!G81+AN!G82)</f>
        <v>-752951.02559999994</v>
      </c>
      <c r="H18" s="332">
        <f>-(+AN!H67+AN!H68)*0.6-(AN!H81+AN!H82)</f>
        <v>-763448.09519999998</v>
      </c>
      <c r="I18" s="332">
        <f>-(+AN!I67+AN!I68)*0.6-(AN!I81+AN!I82)</f>
        <v>-780973.42559999996</v>
      </c>
      <c r="J18" s="332">
        <f>-(+AN!J67+AN!J68)*0.6-(AN!J81+AN!J82)</f>
        <v>-750923.69520000007</v>
      </c>
      <c r="K18" s="332">
        <f>-(+AN!K67+AN!K68)*0.6-(AN!K81+AN!K82)</f>
        <v>-752875.42559999996</v>
      </c>
      <c r="L18" s="332">
        <f>-(+AN!L67+AN!L68)*0.6-(AN!L81+AN!L82)</f>
        <v>-759296.18579999998</v>
      </c>
      <c r="M18" s="332">
        <f>-(+AN!M67+AN!M68)*0.6-(AN!M81+AN!M82)</f>
        <v>-739819.96439999994</v>
      </c>
      <c r="N18" s="332">
        <f>-(+AN!N67+AN!N68)*0.6-(AN!N81+AN!N82)</f>
        <v>-737876.18579999998</v>
      </c>
      <c r="O18" s="332">
        <f>-(+AN!O67+AN!O68)*0.6-(AN!O81+AN!O82)</f>
        <v>-775906.36439999996</v>
      </c>
      <c r="P18" s="318">
        <f>SUM(D18:O18)</f>
        <v>-9089255.5835999995</v>
      </c>
      <c r="Q18" s="319"/>
    </row>
    <row r="19" spans="2:18">
      <c r="B19" s="315" t="s">
        <v>731</v>
      </c>
      <c r="C19" s="316"/>
      <c r="D19" s="332">
        <f>-(+AN!D67+AN!D68)*0.4</f>
        <v>-113282.76680000001</v>
      </c>
      <c r="E19" s="332">
        <f>-(+AN!E67+AN!E68)*0.4</f>
        <v>-113628.63040000001</v>
      </c>
      <c r="F19" s="332">
        <f>-(+AN!F67+AN!F68)*0.4</f>
        <v>-113282.76680000001</v>
      </c>
      <c r="G19" s="332">
        <f>-(+AN!G67+AN!G68)*0.4</f>
        <v>-113628.63040000001</v>
      </c>
      <c r="H19" s="332">
        <f>-(+AN!H67+AN!H68)*0.4</f>
        <v>-113282.76680000001</v>
      </c>
      <c r="I19" s="332">
        <f>-(+AN!I67+AN!I68)*0.4</f>
        <v>-118668.63040000001</v>
      </c>
      <c r="J19" s="332">
        <f>-(+AN!J67+AN!J68)*0.4</f>
        <v>-113282.76680000001</v>
      </c>
      <c r="K19" s="332">
        <f>-(+AN!K67+AN!K68)*0.4</f>
        <v>-113628.63040000001</v>
      </c>
      <c r="L19" s="332">
        <f>-(+AN!L67+AN!L68)*0.4</f>
        <v>-117938.85220000002</v>
      </c>
      <c r="M19" s="332">
        <f>-(+AN!M67+AN!M68)*0.4</f>
        <v>-118498.33960000001</v>
      </c>
      <c r="N19" s="332">
        <f>-(+AN!N67+AN!N68)*0.4</f>
        <v>-117938.85220000002</v>
      </c>
      <c r="O19" s="332">
        <f>-(+AN!O67+AN!O68)*0.4</f>
        <v>-123538.33960000001</v>
      </c>
      <c r="P19" s="318">
        <f>SUM(D19:O19)</f>
        <v>-1390599.9724000003</v>
      </c>
      <c r="Q19" s="319"/>
    </row>
    <row r="20" spans="2:18">
      <c r="B20" s="315" t="s">
        <v>732</v>
      </c>
      <c r="C20" s="316"/>
      <c r="D20" s="332">
        <v>0</v>
      </c>
      <c r="E20" s="332">
        <v>0</v>
      </c>
      <c r="F20" s="332">
        <v>0</v>
      </c>
      <c r="G20" s="332">
        <v>0</v>
      </c>
      <c r="H20" s="332">
        <v>0</v>
      </c>
      <c r="I20" s="332">
        <v>0</v>
      </c>
      <c r="J20" s="332">
        <v>0</v>
      </c>
      <c r="K20" s="332">
        <v>0</v>
      </c>
      <c r="L20" s="332">
        <v>0</v>
      </c>
      <c r="M20" s="332">
        <v>0</v>
      </c>
      <c r="N20" s="332">
        <v>0</v>
      </c>
      <c r="O20" s="332">
        <v>0</v>
      </c>
      <c r="P20" s="318">
        <f>SUM(D20:O20)</f>
        <v>0</v>
      </c>
      <c r="Q20" s="319"/>
    </row>
    <row r="21" spans="2:18">
      <c r="B21" s="315" t="s">
        <v>733</v>
      </c>
      <c r="C21" s="316"/>
      <c r="D21" s="332">
        <f>-(AN!D75)</f>
        <v>0</v>
      </c>
      <c r="E21" s="332">
        <f>-(AN!E75)</f>
        <v>0</v>
      </c>
      <c r="F21" s="332">
        <f>-(AN!F75)</f>
        <v>0</v>
      </c>
      <c r="G21" s="332">
        <f>-(AN!G75)</f>
        <v>0</v>
      </c>
      <c r="H21" s="332">
        <f>-(AN!H75)</f>
        <v>0</v>
      </c>
      <c r="I21" s="332">
        <f>-(AN!I75)</f>
        <v>0</v>
      </c>
      <c r="J21" s="332">
        <f>-(AN!J75)</f>
        <v>0</v>
      </c>
      <c r="K21" s="332">
        <f>-(AN!K75)</f>
        <v>0</v>
      </c>
      <c r="L21" s="332">
        <f>-(AN!L75)</f>
        <v>0</v>
      </c>
      <c r="M21" s="332">
        <f>-(AN!M75)</f>
        <v>0</v>
      </c>
      <c r="N21" s="332">
        <f>-(AN!N75)</f>
        <v>0</v>
      </c>
      <c r="O21" s="332">
        <f>-(AN!O75)</f>
        <v>0</v>
      </c>
      <c r="P21" s="318">
        <f>SUM(D21:O21)</f>
        <v>0</v>
      </c>
      <c r="Q21" s="319"/>
    </row>
    <row r="22" spans="2:18">
      <c r="B22" s="333" t="s">
        <v>734</v>
      </c>
      <c r="C22" s="311"/>
      <c r="D22" s="334">
        <f t="shared" ref="D22:P22" si="3">SUM(D18:D21)</f>
        <v>-864206.46200000006</v>
      </c>
      <c r="E22" s="334">
        <f t="shared" si="3"/>
        <v>-865622.05599999998</v>
      </c>
      <c r="F22" s="334">
        <f t="shared" si="3"/>
        <v>-885550.86199999996</v>
      </c>
      <c r="G22" s="334">
        <f t="shared" si="3"/>
        <v>-866579.65599999996</v>
      </c>
      <c r="H22" s="334">
        <f t="shared" si="3"/>
        <v>-876730.86199999996</v>
      </c>
      <c r="I22" s="334">
        <f t="shared" si="3"/>
        <v>-899642.05599999998</v>
      </c>
      <c r="J22" s="334">
        <f t="shared" si="3"/>
        <v>-864206.46200000006</v>
      </c>
      <c r="K22" s="334">
        <f t="shared" si="3"/>
        <v>-866504.05599999998</v>
      </c>
      <c r="L22" s="334">
        <f t="shared" si="3"/>
        <v>-877235.03799999994</v>
      </c>
      <c r="M22" s="334">
        <f t="shared" si="3"/>
        <v>-858318.304</v>
      </c>
      <c r="N22" s="334">
        <f t="shared" si="3"/>
        <v>-855815.03799999994</v>
      </c>
      <c r="O22" s="334">
        <f t="shared" si="3"/>
        <v>-899444.70399999991</v>
      </c>
      <c r="P22" s="335">
        <f t="shared" si="3"/>
        <v>-10479855.556</v>
      </c>
      <c r="Q22" s="319"/>
      <c r="R22" s="336"/>
    </row>
    <row r="23" spans="2:18">
      <c r="B23" s="903" t="s">
        <v>735</v>
      </c>
      <c r="C23" s="316"/>
      <c r="D23" s="337">
        <f>-AN!D90</f>
        <v>-42282.565125000001</v>
      </c>
      <c r="E23" s="337">
        <f>-AN!E90</f>
        <v>-42344.610625000001</v>
      </c>
      <c r="F23" s="337">
        <f>-AN!F90</f>
        <v>-42282.565125000001</v>
      </c>
      <c r="G23" s="337">
        <f>-AN!G90</f>
        <v>-42344.610625000001</v>
      </c>
      <c r="H23" s="337">
        <f>-AN!H90</f>
        <v>-42282.565125000001</v>
      </c>
      <c r="I23" s="337">
        <f>-AN!I90</f>
        <v>-42344.610625000001</v>
      </c>
      <c r="J23" s="337">
        <f>-AN!J90</f>
        <v>-42282.565125000001</v>
      </c>
      <c r="K23" s="337">
        <f>-AN!K90</f>
        <v>-42344.610625000001</v>
      </c>
      <c r="L23" s="337">
        <f>-AN!L90</f>
        <v>-41450.613125000003</v>
      </c>
      <c r="M23" s="337">
        <f>-AN!M90</f>
        <v>-41542.086374999999</v>
      </c>
      <c r="N23" s="337">
        <f>-AN!N90</f>
        <v>-41450.613125000003</v>
      </c>
      <c r="O23" s="337">
        <f>-AN!O90</f>
        <v>-41542.086374999999</v>
      </c>
      <c r="P23" s="318">
        <f>SUM(D23:O23)</f>
        <v>-504494.10200000001</v>
      </c>
      <c r="Q23" s="319"/>
    </row>
    <row r="24" spans="2:18">
      <c r="B24" s="903" t="s">
        <v>736</v>
      </c>
      <c r="C24" s="316"/>
      <c r="D24" s="337">
        <v>0</v>
      </c>
      <c r="E24" s="337">
        <v>0</v>
      </c>
      <c r="F24" s="337">
        <v>0</v>
      </c>
      <c r="G24" s="337">
        <v>0</v>
      </c>
      <c r="H24" s="337">
        <v>0</v>
      </c>
      <c r="I24" s="337">
        <v>0</v>
      </c>
      <c r="J24" s="337">
        <v>0</v>
      </c>
      <c r="K24" s="337">
        <v>0</v>
      </c>
      <c r="L24" s="337">
        <v>0</v>
      </c>
      <c r="M24" s="337">
        <v>0</v>
      </c>
      <c r="N24" s="337">
        <v>0</v>
      </c>
      <c r="O24" s="337">
        <v>0</v>
      </c>
      <c r="P24" s="318">
        <f>SUM(D24:O24)</f>
        <v>0</v>
      </c>
      <c r="Q24" s="319"/>
    </row>
    <row r="25" spans="2:18">
      <c r="B25" s="903" t="s">
        <v>737</v>
      </c>
      <c r="C25" s="316"/>
      <c r="D25" s="337">
        <f>-AN!D96</f>
        <v>0</v>
      </c>
      <c r="E25" s="332">
        <f>-AN!E96</f>
        <v>0</v>
      </c>
      <c r="F25" s="332">
        <f>-AN!F96</f>
        <v>0</v>
      </c>
      <c r="G25" s="332">
        <f>-AN!G96</f>
        <v>-30532.534125000002</v>
      </c>
      <c r="H25" s="332">
        <f>-AN!H96</f>
        <v>0</v>
      </c>
      <c r="I25" s="332">
        <f>-AN!I96</f>
        <v>0</v>
      </c>
      <c r="J25" s="332">
        <f>-AN!J96</f>
        <v>-30548.288625000001</v>
      </c>
      <c r="K25" s="332">
        <f>-AN!K96</f>
        <v>0</v>
      </c>
      <c r="L25" s="332">
        <f>-AN!L96</f>
        <v>0</v>
      </c>
      <c r="M25" s="332">
        <f>-AN!M96</f>
        <v>-30321.286125000002</v>
      </c>
      <c r="N25" s="332">
        <f>-AN!N96</f>
        <v>-19945.250500000002</v>
      </c>
      <c r="O25" s="332">
        <f>-AN!O96</f>
        <v>-9984.238625</v>
      </c>
      <c r="P25" s="318">
        <f>SUM(D25:O25)</f>
        <v>-121331.598</v>
      </c>
      <c r="Q25" s="319"/>
    </row>
    <row r="26" spans="2:18">
      <c r="B26" s="903" t="s">
        <v>738</v>
      </c>
      <c r="C26" s="316"/>
      <c r="D26" s="337">
        <f>-AN!D102</f>
        <v>0</v>
      </c>
      <c r="E26" s="332">
        <f>-AN!E102</f>
        <v>0</v>
      </c>
      <c r="F26" s="332">
        <f>-AN!F102</f>
        <v>0</v>
      </c>
      <c r="G26" s="332">
        <f>-AN!G102</f>
        <v>0</v>
      </c>
      <c r="H26" s="332">
        <f>-AN!H102</f>
        <v>0</v>
      </c>
      <c r="I26" s="332">
        <f>-AN!I102</f>
        <v>0</v>
      </c>
      <c r="J26" s="332">
        <f>-AN!J102</f>
        <v>0</v>
      </c>
      <c r="K26" s="332">
        <f>-AN!K102</f>
        <v>0</v>
      </c>
      <c r="L26" s="332">
        <f>-AN!L102</f>
        <v>0</v>
      </c>
      <c r="M26" s="332">
        <f>-AN!M102</f>
        <v>0</v>
      </c>
      <c r="N26" s="332">
        <f>-AN!N102</f>
        <v>0</v>
      </c>
      <c r="O26" s="332">
        <f>-AN!O102</f>
        <v>0</v>
      </c>
      <c r="P26" s="318">
        <f>SUM(D26:O26)</f>
        <v>0</v>
      </c>
      <c r="Q26" s="319"/>
    </row>
    <row r="27" spans="2:18">
      <c r="B27" s="333" t="s">
        <v>739</v>
      </c>
      <c r="C27" s="311"/>
      <c r="D27" s="322">
        <f t="shared" ref="D27:P27" si="4">SUM(D23:D26)</f>
        <v>-42282.565125000001</v>
      </c>
      <c r="E27" s="323">
        <f t="shared" si="4"/>
        <v>-42344.610625000001</v>
      </c>
      <c r="F27" s="323">
        <f t="shared" si="4"/>
        <v>-42282.565125000001</v>
      </c>
      <c r="G27" s="323">
        <f t="shared" si="4"/>
        <v>-72877.144750000007</v>
      </c>
      <c r="H27" s="323">
        <f t="shared" si="4"/>
        <v>-42282.565125000001</v>
      </c>
      <c r="I27" s="323">
        <f t="shared" si="4"/>
        <v>-42344.610625000001</v>
      </c>
      <c r="J27" s="323">
        <f t="shared" si="4"/>
        <v>-72830.853750000009</v>
      </c>
      <c r="K27" s="323">
        <f t="shared" si="4"/>
        <v>-42344.610625000001</v>
      </c>
      <c r="L27" s="323">
        <f t="shared" si="4"/>
        <v>-41450.613125000003</v>
      </c>
      <c r="M27" s="323">
        <f t="shared" si="4"/>
        <v>-71863.372499999998</v>
      </c>
      <c r="N27" s="323">
        <f t="shared" si="4"/>
        <v>-61395.863625000005</v>
      </c>
      <c r="O27" s="323">
        <f t="shared" si="4"/>
        <v>-51526.324999999997</v>
      </c>
      <c r="P27" s="324">
        <f t="shared" si="4"/>
        <v>-625825.69999999995</v>
      </c>
      <c r="Q27" s="319"/>
      <c r="R27" s="336"/>
    </row>
    <row r="28" spans="2:18">
      <c r="B28" s="903" t="s">
        <v>740</v>
      </c>
      <c r="C28" s="316"/>
      <c r="D28" s="337">
        <f>-AN!D108</f>
        <v>0</v>
      </c>
      <c r="E28" s="332">
        <f>-AN!E108</f>
        <v>-9045.2309999999998</v>
      </c>
      <c r="F28" s="332">
        <f>-AN!F108</f>
        <v>-9059.2350000000006</v>
      </c>
      <c r="G28" s="332">
        <f>-AN!G108</f>
        <v>-9045.2309999999998</v>
      </c>
      <c r="H28" s="332">
        <f>-AN!H108</f>
        <v>-9059.2350000000006</v>
      </c>
      <c r="I28" s="332">
        <f>-AN!I108</f>
        <v>-9045.2309999999998</v>
      </c>
      <c r="J28" s="332">
        <f>-AN!J108</f>
        <v>-9059.2350000000006</v>
      </c>
      <c r="K28" s="332">
        <f>-AN!K108</f>
        <v>-9045.2309999999998</v>
      </c>
      <c r="L28" s="332">
        <f>-AN!L108</f>
        <v>-9059.2350000000006</v>
      </c>
      <c r="M28" s="332">
        <f>-AN!M108</f>
        <v>-8857.4550000000017</v>
      </c>
      <c r="N28" s="332">
        <f>-AN!N108</f>
        <v>-8878.1010000000024</v>
      </c>
      <c r="O28" s="332">
        <f>-AN!O108</f>
        <v>-8857.4550000000017</v>
      </c>
      <c r="P28" s="318">
        <f>SUM(D28:O28)</f>
        <v>-99010.875000000015</v>
      </c>
      <c r="Q28" s="319"/>
    </row>
    <row r="29" spans="2:18">
      <c r="B29" s="903" t="s">
        <v>741</v>
      </c>
      <c r="C29" s="316"/>
      <c r="D29" s="337">
        <v>0</v>
      </c>
      <c r="E29" s="332">
        <v>0</v>
      </c>
      <c r="F29" s="332">
        <v>0</v>
      </c>
      <c r="G29" s="332">
        <v>0</v>
      </c>
      <c r="H29" s="332">
        <v>0</v>
      </c>
      <c r="I29" s="332">
        <v>0</v>
      </c>
      <c r="J29" s="332">
        <v>0</v>
      </c>
      <c r="K29" s="332">
        <v>0</v>
      </c>
      <c r="L29" s="332">
        <v>0</v>
      </c>
      <c r="M29" s="332">
        <v>0</v>
      </c>
      <c r="N29" s="332">
        <v>0</v>
      </c>
      <c r="O29" s="332">
        <v>0</v>
      </c>
      <c r="P29" s="318">
        <f>SUM(D29:O29)</f>
        <v>0</v>
      </c>
      <c r="Q29" s="319"/>
    </row>
    <row r="30" spans="2:18">
      <c r="B30" s="903" t="s">
        <v>742</v>
      </c>
      <c r="C30" s="316"/>
      <c r="D30" s="337">
        <f>-AN!D135</f>
        <v>-63684.55</v>
      </c>
      <c r="E30" s="332">
        <f>-AN!E135</f>
        <v>-63873.2</v>
      </c>
      <c r="F30" s="332">
        <f>-AN!F135</f>
        <v>-88684.55</v>
      </c>
      <c r="G30" s="332">
        <f>-AN!G135</f>
        <v>-63873.2</v>
      </c>
      <c r="H30" s="332">
        <f>-AN!H135</f>
        <v>-63684.55</v>
      </c>
      <c r="I30" s="332">
        <f>-AN!I135</f>
        <v>-65473.2</v>
      </c>
      <c r="J30" s="332">
        <f>-AN!J135</f>
        <v>-63684.55</v>
      </c>
      <c r="K30" s="332">
        <f>-AN!K135</f>
        <v>-63873.2</v>
      </c>
      <c r="L30" s="332">
        <f>-AN!L135</f>
        <v>-63684.55</v>
      </c>
      <c r="M30" s="332">
        <f>-AN!M135</f>
        <v>-63873.2</v>
      </c>
      <c r="N30" s="332">
        <f>-AN!N135</f>
        <v>-63684.55</v>
      </c>
      <c r="O30" s="332">
        <f>-AN!O135</f>
        <v>-63873.2</v>
      </c>
      <c r="P30" s="318">
        <f>SUM(D30:O30)</f>
        <v>-791946.5</v>
      </c>
      <c r="Q30" s="319"/>
    </row>
    <row r="31" spans="2:18">
      <c r="B31" s="333" t="s">
        <v>743</v>
      </c>
      <c r="C31" s="311"/>
      <c r="D31" s="334">
        <f t="shared" ref="D31:P31" si="5">SUM(D28:D30)</f>
        <v>-63684.55</v>
      </c>
      <c r="E31" s="338">
        <f t="shared" si="5"/>
        <v>-72918.430999999997</v>
      </c>
      <c r="F31" s="338">
        <f t="shared" si="5"/>
        <v>-97743.785000000003</v>
      </c>
      <c r="G31" s="338">
        <f t="shared" si="5"/>
        <v>-72918.430999999997</v>
      </c>
      <c r="H31" s="338">
        <f t="shared" si="5"/>
        <v>-72743.785000000003</v>
      </c>
      <c r="I31" s="338">
        <f t="shared" si="5"/>
        <v>-74518.430999999997</v>
      </c>
      <c r="J31" s="338">
        <f t="shared" si="5"/>
        <v>-72743.785000000003</v>
      </c>
      <c r="K31" s="338">
        <f t="shared" si="5"/>
        <v>-72918.430999999997</v>
      </c>
      <c r="L31" s="338">
        <f t="shared" si="5"/>
        <v>-72743.785000000003</v>
      </c>
      <c r="M31" s="338">
        <f t="shared" si="5"/>
        <v>-72730.654999999999</v>
      </c>
      <c r="N31" s="338">
        <f t="shared" si="5"/>
        <v>-72562.651000000013</v>
      </c>
      <c r="O31" s="338">
        <f t="shared" si="5"/>
        <v>-72730.654999999999</v>
      </c>
      <c r="P31" s="339">
        <f t="shared" si="5"/>
        <v>-890957.375</v>
      </c>
      <c r="Q31" s="319"/>
    </row>
    <row r="32" spans="2:18">
      <c r="B32" s="903" t="s">
        <v>744</v>
      </c>
      <c r="C32" s="316"/>
      <c r="D32" s="332">
        <v>0</v>
      </c>
      <c r="E32" s="332">
        <v>0</v>
      </c>
      <c r="F32" s="332">
        <v>0</v>
      </c>
      <c r="G32" s="332">
        <v>0</v>
      </c>
      <c r="H32" s="332">
        <v>0</v>
      </c>
      <c r="I32" s="332">
        <v>0</v>
      </c>
      <c r="J32" s="332">
        <v>0</v>
      </c>
      <c r="K32" s="332">
        <v>0</v>
      </c>
      <c r="L32" s="332">
        <v>0</v>
      </c>
      <c r="M32" s="332">
        <v>0</v>
      </c>
      <c r="N32" s="332">
        <v>0</v>
      </c>
      <c r="O32" s="332">
        <v>0</v>
      </c>
      <c r="P32" s="318">
        <f>SUM(D32:O32)</f>
        <v>0</v>
      </c>
      <c r="Q32" s="319"/>
    </row>
    <row r="33" spans="2:17">
      <c r="B33" s="903" t="s">
        <v>745</v>
      </c>
      <c r="C33" s="316"/>
      <c r="D33" s="337">
        <v>0</v>
      </c>
      <c r="E33" s="332">
        <v>0</v>
      </c>
      <c r="F33" s="332">
        <v>0</v>
      </c>
      <c r="G33" s="332">
        <v>0</v>
      </c>
      <c r="H33" s="332">
        <v>0</v>
      </c>
      <c r="I33" s="332">
        <v>0</v>
      </c>
      <c r="J33" s="332">
        <v>0</v>
      </c>
      <c r="K33" s="332">
        <v>0</v>
      </c>
      <c r="L33" s="332">
        <v>0</v>
      </c>
      <c r="M33" s="332">
        <v>0</v>
      </c>
      <c r="N33" s="332">
        <v>0</v>
      </c>
      <c r="O33" s="332">
        <v>0</v>
      </c>
      <c r="P33" s="318">
        <f>SUM(D33:O33)</f>
        <v>0</v>
      </c>
      <c r="Q33" s="319"/>
    </row>
    <row r="34" spans="2:17">
      <c r="B34" s="903" t="s">
        <v>746</v>
      </c>
      <c r="C34" s="316"/>
      <c r="D34" s="337">
        <v>0</v>
      </c>
      <c r="E34" s="332">
        <v>0</v>
      </c>
      <c r="F34" s="332">
        <v>0</v>
      </c>
      <c r="G34" s="332">
        <v>0</v>
      </c>
      <c r="H34" s="332">
        <v>0</v>
      </c>
      <c r="I34" s="332">
        <v>0</v>
      </c>
      <c r="J34" s="332">
        <v>0</v>
      </c>
      <c r="K34" s="332">
        <v>0</v>
      </c>
      <c r="L34" s="332">
        <v>0</v>
      </c>
      <c r="M34" s="332">
        <v>0</v>
      </c>
      <c r="N34" s="332">
        <v>0</v>
      </c>
      <c r="O34" s="332">
        <v>0</v>
      </c>
      <c r="P34" s="318">
        <f>SUM(D34:O34)</f>
        <v>0</v>
      </c>
      <c r="Q34" s="319"/>
    </row>
    <row r="35" spans="2:17">
      <c r="B35" s="333" t="s">
        <v>747</v>
      </c>
      <c r="C35" s="311"/>
      <c r="D35" s="334">
        <f t="shared" ref="D35:P35" si="6">SUM(D32:D34)</f>
        <v>0</v>
      </c>
      <c r="E35" s="338">
        <f t="shared" si="6"/>
        <v>0</v>
      </c>
      <c r="F35" s="338">
        <f t="shared" si="6"/>
        <v>0</v>
      </c>
      <c r="G35" s="338">
        <f t="shared" si="6"/>
        <v>0</v>
      </c>
      <c r="H35" s="338">
        <f t="shared" si="6"/>
        <v>0</v>
      </c>
      <c r="I35" s="338">
        <f t="shared" si="6"/>
        <v>0</v>
      </c>
      <c r="J35" s="338">
        <f t="shared" si="6"/>
        <v>0</v>
      </c>
      <c r="K35" s="338">
        <f t="shared" si="6"/>
        <v>0</v>
      </c>
      <c r="L35" s="338">
        <f t="shared" si="6"/>
        <v>0</v>
      </c>
      <c r="M35" s="338">
        <f t="shared" si="6"/>
        <v>0</v>
      </c>
      <c r="N35" s="338">
        <f t="shared" si="6"/>
        <v>0</v>
      </c>
      <c r="O35" s="338">
        <f t="shared" si="6"/>
        <v>0</v>
      </c>
      <c r="P35" s="339">
        <f t="shared" si="6"/>
        <v>0</v>
      </c>
      <c r="Q35" s="319"/>
    </row>
    <row r="36" spans="2:17" ht="2.25" customHeight="1">
      <c r="B36" s="321"/>
      <c r="C36" s="316"/>
      <c r="D36" s="317"/>
      <c r="E36" s="320"/>
      <c r="F36" s="320"/>
      <c r="G36" s="320"/>
      <c r="H36" s="320"/>
      <c r="I36" s="320"/>
      <c r="J36" s="320"/>
      <c r="K36" s="320"/>
      <c r="L36" s="320"/>
      <c r="M36" s="320"/>
      <c r="N36" s="320"/>
      <c r="O36" s="340"/>
      <c r="P36" s="341"/>
      <c r="Q36" s="319"/>
    </row>
    <row r="37" spans="2:17" ht="13.5" thickBot="1">
      <c r="B37" s="915" t="s">
        <v>748</v>
      </c>
      <c r="C37" s="923" t="s">
        <v>33</v>
      </c>
      <c r="D37" s="918">
        <f t="shared" ref="D37:P37" si="7">SUM(D35,D31,D27,D22)</f>
        <v>-970173.57712500007</v>
      </c>
      <c r="E37" s="919">
        <f t="shared" si="7"/>
        <v>-980885.09762499994</v>
      </c>
      <c r="F37" s="919">
        <f t="shared" si="7"/>
        <v>-1025577.212125</v>
      </c>
      <c r="G37" s="919">
        <f t="shared" si="7"/>
        <v>-1012375.23175</v>
      </c>
      <c r="H37" s="919">
        <f t="shared" si="7"/>
        <v>-991757.21212499996</v>
      </c>
      <c r="I37" s="919">
        <f t="shared" si="7"/>
        <v>-1016505.0976249999</v>
      </c>
      <c r="J37" s="919">
        <f t="shared" si="7"/>
        <v>-1009781.1007500001</v>
      </c>
      <c r="K37" s="919">
        <f t="shared" si="7"/>
        <v>-981767.09762499994</v>
      </c>
      <c r="L37" s="919">
        <f t="shared" si="7"/>
        <v>-991429.43612500001</v>
      </c>
      <c r="M37" s="919">
        <f t="shared" si="7"/>
        <v>-1002912.3315</v>
      </c>
      <c r="N37" s="919">
        <f t="shared" si="7"/>
        <v>-989773.55262500001</v>
      </c>
      <c r="O37" s="919">
        <f t="shared" si="7"/>
        <v>-1023701.6839999999</v>
      </c>
      <c r="P37" s="920">
        <f t="shared" si="7"/>
        <v>-11996638.630999999</v>
      </c>
      <c r="Q37" s="331"/>
    </row>
    <row r="38" spans="2:17" ht="13.5" thickTop="1">
      <c r="B38" s="921" t="s">
        <v>749</v>
      </c>
      <c r="C38" s="342"/>
      <c r="D38" s="922">
        <f>SUM(D17,D37)</f>
        <v>-50883.452125000069</v>
      </c>
      <c r="E38" s="922">
        <f t="shared" ref="E38:P38" si="8">SUM(E17,E37)</f>
        <v>124658.75237500016</v>
      </c>
      <c r="F38" s="922">
        <f t="shared" si="8"/>
        <v>76570.937875000178</v>
      </c>
      <c r="G38" s="922">
        <f t="shared" si="8"/>
        <v>337733.9182500001</v>
      </c>
      <c r="H38" s="922">
        <f t="shared" si="8"/>
        <v>394201.63787500013</v>
      </c>
      <c r="I38" s="922">
        <f t="shared" si="8"/>
        <v>418604.0523750002</v>
      </c>
      <c r="J38" s="922">
        <f t="shared" si="8"/>
        <v>466177.74924999999</v>
      </c>
      <c r="K38" s="922">
        <f t="shared" si="8"/>
        <v>304918.07737500011</v>
      </c>
      <c r="L38" s="922">
        <f t="shared" si="8"/>
        <v>110718.71387500013</v>
      </c>
      <c r="M38" s="922">
        <f t="shared" si="8"/>
        <v>102631.51850000012</v>
      </c>
      <c r="N38" s="922">
        <f t="shared" si="8"/>
        <v>112374.59737500013</v>
      </c>
      <c r="O38" s="922">
        <f t="shared" si="8"/>
        <v>81842.166000000201</v>
      </c>
      <c r="P38" s="922">
        <f t="shared" si="8"/>
        <v>2479548.6690000016</v>
      </c>
      <c r="Q38" s="319"/>
    </row>
    <row r="39" spans="2:17">
      <c r="B39" s="906" t="s">
        <v>750</v>
      </c>
      <c r="C39" s="344"/>
      <c r="D39" s="345">
        <f>-AN!D204</f>
        <v>0</v>
      </c>
      <c r="E39" s="346">
        <f>-AN!E141</f>
        <v>0</v>
      </c>
      <c r="F39" s="346">
        <f>-AN!F141</f>
        <v>0</v>
      </c>
      <c r="G39" s="346">
        <f>-AN!G141</f>
        <v>0</v>
      </c>
      <c r="H39" s="346">
        <f>-AN!H141</f>
        <v>0</v>
      </c>
      <c r="I39" s="346">
        <f>-AN!I141</f>
        <v>0</v>
      </c>
      <c r="J39" s="346">
        <f>-AN!J141</f>
        <v>0</v>
      </c>
      <c r="K39" s="346">
        <f>-AN!K141</f>
        <v>0</v>
      </c>
      <c r="L39" s="346">
        <f>-AN!L141</f>
        <v>0</v>
      </c>
      <c r="M39" s="346">
        <f>-AN!M141</f>
        <v>0</v>
      </c>
      <c r="N39" s="346">
        <f>-AN!N141</f>
        <v>0</v>
      </c>
      <c r="O39" s="346">
        <f>-AN!O141</f>
        <v>0</v>
      </c>
      <c r="P39" s="347">
        <f>SUM(D39:O39)</f>
        <v>0</v>
      </c>
      <c r="Q39" s="319"/>
    </row>
    <row r="40" spans="2:17">
      <c r="B40" s="916" t="s">
        <v>751</v>
      </c>
      <c r="C40" s="348"/>
      <c r="D40" s="349">
        <f>-+AN!D148</f>
        <v>500000</v>
      </c>
      <c r="E40" s="349">
        <f>-+AN!E148</f>
        <v>0</v>
      </c>
      <c r="F40" s="349">
        <f>-+AN!F148</f>
        <v>0</v>
      </c>
      <c r="G40" s="349">
        <f>-+AN!G148</f>
        <v>0</v>
      </c>
      <c r="H40" s="349">
        <f>-+AN!H148</f>
        <v>0</v>
      </c>
      <c r="I40" s="349">
        <f>-+AN!I148</f>
        <v>0</v>
      </c>
      <c r="J40" s="349">
        <f>-+AN!J148</f>
        <v>0</v>
      </c>
      <c r="K40" s="349">
        <f>-+AN!K148</f>
        <v>0</v>
      </c>
      <c r="L40" s="349">
        <f>-+AN!L148</f>
        <v>0</v>
      </c>
      <c r="M40" s="349">
        <f>-+AN!M148</f>
        <v>0</v>
      </c>
      <c r="N40" s="349">
        <f>-+AN!N148</f>
        <v>0</v>
      </c>
      <c r="O40" s="349">
        <f>-+AN!O148</f>
        <v>0</v>
      </c>
      <c r="P40" s="350">
        <f>SUM(D40:O40)</f>
        <v>500000</v>
      </c>
      <c r="Q40" s="319"/>
    </row>
    <row r="41" spans="2:17">
      <c r="B41" s="914" t="s">
        <v>752</v>
      </c>
      <c r="C41" s="909" t="s">
        <v>33</v>
      </c>
      <c r="D41" s="351">
        <f t="shared" ref="D41:G41" si="9">+SUM(D39:D40)</f>
        <v>500000</v>
      </c>
      <c r="E41" s="351">
        <f t="shared" si="9"/>
        <v>0</v>
      </c>
      <c r="F41" s="351">
        <f t="shared" si="9"/>
        <v>0</v>
      </c>
      <c r="G41" s="351">
        <f t="shared" si="9"/>
        <v>0</v>
      </c>
      <c r="H41" s="351">
        <f t="shared" ref="H41:O41" si="10">+SUM(H39:H40)</f>
        <v>0</v>
      </c>
      <c r="I41" s="351">
        <f t="shared" si="10"/>
        <v>0</v>
      </c>
      <c r="J41" s="351">
        <f t="shared" si="10"/>
        <v>0</v>
      </c>
      <c r="K41" s="351">
        <f t="shared" si="10"/>
        <v>0</v>
      </c>
      <c r="L41" s="351">
        <f t="shared" si="10"/>
        <v>0</v>
      </c>
      <c r="M41" s="351">
        <f t="shared" si="10"/>
        <v>0</v>
      </c>
      <c r="N41" s="351">
        <f t="shared" si="10"/>
        <v>0</v>
      </c>
      <c r="O41" s="351">
        <f t="shared" si="10"/>
        <v>0</v>
      </c>
      <c r="P41" s="352">
        <f>+SUM(P39:P40)</f>
        <v>500000</v>
      </c>
      <c r="Q41" s="319"/>
    </row>
    <row r="42" spans="2:17">
      <c r="B42" s="913" t="s">
        <v>753</v>
      </c>
      <c r="C42" s="353"/>
      <c r="D42" s="345">
        <f>-AN!D141</f>
        <v>0</v>
      </c>
      <c r="E42" s="345">
        <f>-AN!E142</f>
        <v>0</v>
      </c>
      <c r="F42" s="345">
        <f>-AN!F142</f>
        <v>0</v>
      </c>
      <c r="G42" s="345">
        <f>-AN!G142</f>
        <v>0</v>
      </c>
      <c r="H42" s="345">
        <f>-AN!H142</f>
        <v>0</v>
      </c>
      <c r="I42" s="345">
        <f>-AN!I142</f>
        <v>0</v>
      </c>
      <c r="J42" s="345">
        <f>-AN!J142</f>
        <v>0</v>
      </c>
      <c r="K42" s="345">
        <f>-AN!K142</f>
        <v>0</v>
      </c>
      <c r="L42" s="345">
        <f>-AN!L142</f>
        <v>0</v>
      </c>
      <c r="M42" s="345">
        <f>-AN!M142</f>
        <v>0</v>
      </c>
      <c r="N42" s="345">
        <f>-AN!N142</f>
        <v>0</v>
      </c>
      <c r="O42" s="345">
        <f>-AN!O142</f>
        <v>0</v>
      </c>
      <c r="P42" s="354">
        <f>SUM(D42:O42)</f>
        <v>0</v>
      </c>
      <c r="Q42" s="319"/>
    </row>
    <row r="43" spans="2:17">
      <c r="B43" s="913" t="s">
        <v>754</v>
      </c>
      <c r="C43" s="316"/>
      <c r="D43" s="355">
        <f>-AN!D149</f>
        <v>0</v>
      </c>
      <c r="E43" s="355">
        <f>-AN!E149</f>
        <v>0</v>
      </c>
      <c r="F43" s="355">
        <f>-AN!F149</f>
        <v>0</v>
      </c>
      <c r="G43" s="355">
        <f>-AN!G149</f>
        <v>0</v>
      </c>
      <c r="H43" s="355">
        <f>-AN!H149</f>
        <v>0</v>
      </c>
      <c r="I43" s="355">
        <v>0</v>
      </c>
      <c r="J43" s="355">
        <f>-AN!J149</f>
        <v>0</v>
      </c>
      <c r="K43" s="355">
        <f>-AN!K149</f>
        <v>0</v>
      </c>
      <c r="L43" s="355">
        <f>-AN!L149</f>
        <v>0</v>
      </c>
      <c r="M43" s="355">
        <f>-AN!M149</f>
        <v>0</v>
      </c>
      <c r="N43" s="355">
        <f>-AN!N149</f>
        <v>0</v>
      </c>
      <c r="O43" s="355">
        <f>-AN!O149</f>
        <v>0</v>
      </c>
      <c r="P43" s="356">
        <f>SUM(D43:O43)</f>
        <v>0</v>
      </c>
      <c r="Q43" s="319"/>
    </row>
    <row r="44" spans="2:17">
      <c r="B44" s="914" t="s">
        <v>755</v>
      </c>
      <c r="C44" s="909" t="s">
        <v>33</v>
      </c>
      <c r="D44" s="351">
        <f t="shared" ref="D44:O44" si="11">+SUM(D42:D43)</f>
        <v>0</v>
      </c>
      <c r="E44" s="351">
        <f t="shared" si="11"/>
        <v>0</v>
      </c>
      <c r="F44" s="351">
        <f t="shared" si="11"/>
        <v>0</v>
      </c>
      <c r="G44" s="351">
        <f t="shared" si="11"/>
        <v>0</v>
      </c>
      <c r="H44" s="351">
        <f t="shared" si="11"/>
        <v>0</v>
      </c>
      <c r="I44" s="351">
        <f t="shared" si="11"/>
        <v>0</v>
      </c>
      <c r="J44" s="351">
        <f t="shared" si="11"/>
        <v>0</v>
      </c>
      <c r="K44" s="351">
        <f t="shared" si="11"/>
        <v>0</v>
      </c>
      <c r="L44" s="351">
        <f t="shared" si="11"/>
        <v>0</v>
      </c>
      <c r="M44" s="351">
        <f t="shared" si="11"/>
        <v>0</v>
      </c>
      <c r="N44" s="351">
        <f t="shared" si="11"/>
        <v>0</v>
      </c>
      <c r="O44" s="351">
        <f t="shared" si="11"/>
        <v>0</v>
      </c>
      <c r="P44" s="352">
        <f>+SUM(P42:P43)</f>
        <v>0</v>
      </c>
      <c r="Q44" s="319"/>
    </row>
    <row r="45" spans="2:17">
      <c r="B45" s="911" t="s">
        <v>756</v>
      </c>
      <c r="C45" s="357"/>
      <c r="D45" s="343">
        <f t="shared" ref="D45:P45" si="12">SUM(D44,D41)</f>
        <v>500000</v>
      </c>
      <c r="E45" s="358">
        <f t="shared" si="12"/>
        <v>0</v>
      </c>
      <c r="F45" s="358">
        <f t="shared" si="12"/>
        <v>0</v>
      </c>
      <c r="G45" s="358">
        <f t="shared" si="12"/>
        <v>0</v>
      </c>
      <c r="H45" s="358">
        <f t="shared" si="12"/>
        <v>0</v>
      </c>
      <c r="I45" s="358">
        <f t="shared" si="12"/>
        <v>0</v>
      </c>
      <c r="J45" s="358">
        <f t="shared" si="12"/>
        <v>0</v>
      </c>
      <c r="K45" s="358">
        <f t="shared" si="12"/>
        <v>0</v>
      </c>
      <c r="L45" s="358">
        <f t="shared" si="12"/>
        <v>0</v>
      </c>
      <c r="M45" s="358">
        <f t="shared" si="12"/>
        <v>0</v>
      </c>
      <c r="N45" s="358">
        <f t="shared" si="12"/>
        <v>0</v>
      </c>
      <c r="O45" s="359">
        <f t="shared" si="12"/>
        <v>0</v>
      </c>
      <c r="P45" s="360">
        <f t="shared" si="12"/>
        <v>500000</v>
      </c>
      <c r="Q45" s="319"/>
    </row>
    <row r="46" spans="2:17">
      <c r="B46" s="906" t="s">
        <v>757</v>
      </c>
      <c r="C46" s="344"/>
      <c r="D46" s="345">
        <v>0</v>
      </c>
      <c r="E46" s="346">
        <v>0</v>
      </c>
      <c r="F46" s="346">
        <v>0</v>
      </c>
      <c r="G46" s="346">
        <v>0</v>
      </c>
      <c r="H46" s="346">
        <v>0</v>
      </c>
      <c r="I46" s="346">
        <v>0</v>
      </c>
      <c r="J46" s="346">
        <v>0</v>
      </c>
      <c r="K46" s="346">
        <v>0</v>
      </c>
      <c r="L46" s="346">
        <v>0</v>
      </c>
      <c r="M46" s="346">
        <v>0</v>
      </c>
      <c r="N46" s="346">
        <v>0</v>
      </c>
      <c r="O46" s="346">
        <v>0</v>
      </c>
      <c r="P46" s="361">
        <f>SUM(D46:O46)</f>
        <v>0</v>
      </c>
      <c r="Q46" s="319"/>
    </row>
    <row r="47" spans="2:17">
      <c r="B47" s="903" t="s">
        <v>758</v>
      </c>
      <c r="C47" s="316"/>
      <c r="D47" s="317">
        <v>0</v>
      </c>
      <c r="E47" s="320">
        <v>0</v>
      </c>
      <c r="F47" s="320">
        <v>0</v>
      </c>
      <c r="G47" s="320">
        <v>0</v>
      </c>
      <c r="H47" s="320">
        <v>0</v>
      </c>
      <c r="I47" s="320">
        <v>0</v>
      </c>
      <c r="J47" s="320">
        <v>0</v>
      </c>
      <c r="K47" s="320">
        <v>0</v>
      </c>
      <c r="L47" s="320">
        <v>0</v>
      </c>
      <c r="M47" s="320">
        <v>0</v>
      </c>
      <c r="N47" s="320">
        <v>0</v>
      </c>
      <c r="O47" s="320">
        <v>0</v>
      </c>
      <c r="P47" s="362">
        <f>SUM(D47:O47)</f>
        <v>0</v>
      </c>
      <c r="Q47" s="319"/>
    </row>
    <row r="48" spans="2:17">
      <c r="B48" s="910" t="s">
        <v>1730</v>
      </c>
      <c r="C48" s="909" t="s">
        <v>33</v>
      </c>
      <c r="D48" s="907">
        <f t="shared" ref="D48:G48" si="13">+SUM(D46:D47)</f>
        <v>0</v>
      </c>
      <c r="E48" s="907">
        <f t="shared" si="13"/>
        <v>0</v>
      </c>
      <c r="F48" s="907">
        <f t="shared" si="13"/>
        <v>0</v>
      </c>
      <c r="G48" s="907">
        <f t="shared" si="13"/>
        <v>0</v>
      </c>
      <c r="H48" s="907">
        <f t="shared" ref="H48:P48" si="14">+SUM(H46:H47)</f>
        <v>0</v>
      </c>
      <c r="I48" s="907">
        <f t="shared" si="14"/>
        <v>0</v>
      </c>
      <c r="J48" s="907">
        <f t="shared" si="14"/>
        <v>0</v>
      </c>
      <c r="K48" s="907">
        <f t="shared" si="14"/>
        <v>0</v>
      </c>
      <c r="L48" s="907">
        <f t="shared" si="14"/>
        <v>0</v>
      </c>
      <c r="M48" s="907">
        <f t="shared" si="14"/>
        <v>0</v>
      </c>
      <c r="N48" s="907">
        <f t="shared" si="14"/>
        <v>0</v>
      </c>
      <c r="O48" s="907">
        <f t="shared" si="14"/>
        <v>0</v>
      </c>
      <c r="P48" s="907">
        <f t="shared" si="14"/>
        <v>0</v>
      </c>
      <c r="Q48" s="319"/>
    </row>
    <row r="49" spans="2:17">
      <c r="B49" s="903" t="s">
        <v>759</v>
      </c>
      <c r="C49" s="316"/>
      <c r="D49" s="317">
        <f>-'Détails FF FD'!C3/1000</f>
        <v>-66666.666666666657</v>
      </c>
      <c r="E49" s="317">
        <f>-'Détails FF FD'!D3/1000</f>
        <v>-66666.666666666657</v>
      </c>
      <c r="F49" s="317">
        <f>-'Détails FF FD'!E3/1000</f>
        <v>-66666.666666666657</v>
      </c>
      <c r="G49" s="317">
        <f>-'Détails FF FD'!F3/1000</f>
        <v>-66666.666666666657</v>
      </c>
      <c r="H49" s="317">
        <f>-'Détails FF FD'!G3/1000</f>
        <v>-66666.666666666657</v>
      </c>
      <c r="I49" s="317">
        <f>-'Détails FF FD'!H3/1000</f>
        <v>-66666.666666666657</v>
      </c>
      <c r="J49" s="317">
        <f>-'Détails FF FD'!I3/1000</f>
        <v>-66666.666666666657</v>
      </c>
      <c r="K49" s="317">
        <f>-'Détails FF FD'!J3/1000</f>
        <v>-64935.804845852901</v>
      </c>
      <c r="L49" s="317">
        <f>-'Détails FF FD'!K3/1000</f>
        <v>-63176.095328025585</v>
      </c>
      <c r="M49" s="317">
        <f>-'Détails FF FD'!L3/1000</f>
        <v>-61387.057318234474</v>
      </c>
      <c r="N49" s="317">
        <f>-'Détails FF FD'!M3/1000</f>
        <v>-59568.202008280183</v>
      </c>
      <c r="O49" s="317">
        <f>-'Détails FF FD'!N3/1000</f>
        <v>-57719.03244315998</v>
      </c>
      <c r="P49" s="364">
        <f>SUM(D49:O49)</f>
        <v>-773452.85861021967</v>
      </c>
      <c r="Q49" s="319"/>
    </row>
    <row r="50" spans="2:17">
      <c r="B50" s="903" t="s">
        <v>760</v>
      </c>
      <c r="C50" s="316"/>
      <c r="D50" s="317">
        <v>0</v>
      </c>
      <c r="E50" s="317">
        <v>0</v>
      </c>
      <c r="F50" s="317">
        <v>0</v>
      </c>
      <c r="G50" s="317">
        <v>0</v>
      </c>
      <c r="H50" s="317">
        <v>0</v>
      </c>
      <c r="I50" s="317">
        <v>0</v>
      </c>
      <c r="J50" s="317">
        <v>0</v>
      </c>
      <c r="K50" s="317">
        <v>0</v>
      </c>
      <c r="L50" s="317">
        <v>0</v>
      </c>
      <c r="M50" s="317">
        <v>0</v>
      </c>
      <c r="N50" s="317">
        <v>0</v>
      </c>
      <c r="O50" s="317">
        <v>0</v>
      </c>
      <c r="P50" s="364">
        <f>SUM(D50:O50)</f>
        <v>0</v>
      </c>
      <c r="Q50" s="319"/>
    </row>
    <row r="51" spans="2:17">
      <c r="B51" s="903" t="s">
        <v>761</v>
      </c>
      <c r="C51" s="316"/>
      <c r="D51" s="317">
        <v>0</v>
      </c>
      <c r="E51" s="320">
        <v>0</v>
      </c>
      <c r="F51" s="320">
        <v>0</v>
      </c>
      <c r="G51" s="320">
        <v>0</v>
      </c>
      <c r="H51" s="320">
        <v>0</v>
      </c>
      <c r="I51" s="320">
        <v>0</v>
      </c>
      <c r="J51" s="320">
        <v>0</v>
      </c>
      <c r="K51" s="320">
        <v>0</v>
      </c>
      <c r="L51" s="320">
        <v>0</v>
      </c>
      <c r="M51" s="320">
        <v>0</v>
      </c>
      <c r="N51" s="320">
        <v>0</v>
      </c>
      <c r="O51" s="320">
        <v>0</v>
      </c>
      <c r="P51" s="364">
        <f>SUM(D51:O51)</f>
        <v>0</v>
      </c>
      <c r="Q51" s="319"/>
    </row>
    <row r="52" spans="2:17">
      <c r="B52" s="903" t="s">
        <v>762</v>
      </c>
      <c r="C52" s="316"/>
      <c r="D52" s="317">
        <v>0</v>
      </c>
      <c r="E52" s="320">
        <v>0</v>
      </c>
      <c r="F52" s="320">
        <v>0</v>
      </c>
      <c r="G52" s="320">
        <v>0</v>
      </c>
      <c r="H52" s="320">
        <v>0</v>
      </c>
      <c r="I52" s="320">
        <v>0</v>
      </c>
      <c r="J52" s="320">
        <v>0</v>
      </c>
      <c r="K52" s="320">
        <v>0</v>
      </c>
      <c r="L52" s="320">
        <v>0</v>
      </c>
      <c r="M52" s="320">
        <v>0</v>
      </c>
      <c r="N52" s="320">
        <v>0</v>
      </c>
      <c r="O52" s="320">
        <v>0</v>
      </c>
      <c r="P52" s="364">
        <f>SUM(D52:O52)</f>
        <v>0</v>
      </c>
      <c r="Q52" s="319"/>
    </row>
    <row r="53" spans="2:17">
      <c r="B53" s="910" t="s">
        <v>1731</v>
      </c>
      <c r="C53" s="908" t="s">
        <v>33</v>
      </c>
      <c r="D53" s="365">
        <f>SUM(D49:D52)</f>
        <v>-66666.666666666657</v>
      </c>
      <c r="E53" s="365">
        <f t="shared" ref="E53:P53" si="15">SUM(E49:E52)</f>
        <v>-66666.666666666657</v>
      </c>
      <c r="F53" s="365">
        <f t="shared" si="15"/>
        <v>-66666.666666666657</v>
      </c>
      <c r="G53" s="365">
        <f t="shared" si="15"/>
        <v>-66666.666666666657</v>
      </c>
      <c r="H53" s="365">
        <f t="shared" si="15"/>
        <v>-66666.666666666657</v>
      </c>
      <c r="I53" s="365">
        <f t="shared" si="15"/>
        <v>-66666.666666666657</v>
      </c>
      <c r="J53" s="365">
        <f t="shared" si="15"/>
        <v>-66666.666666666657</v>
      </c>
      <c r="K53" s="365">
        <f t="shared" si="15"/>
        <v>-64935.804845852901</v>
      </c>
      <c r="L53" s="365">
        <f t="shared" si="15"/>
        <v>-63176.095328025585</v>
      </c>
      <c r="M53" s="365">
        <f t="shared" si="15"/>
        <v>-61387.057318234474</v>
      </c>
      <c r="N53" s="365">
        <f t="shared" si="15"/>
        <v>-59568.202008280183</v>
      </c>
      <c r="O53" s="365">
        <f t="shared" si="15"/>
        <v>-57719.03244315998</v>
      </c>
      <c r="P53" s="365">
        <f t="shared" si="15"/>
        <v>-773452.85861021967</v>
      </c>
      <c r="Q53" s="319"/>
    </row>
    <row r="54" spans="2:17">
      <c r="B54" s="912" t="s">
        <v>763</v>
      </c>
      <c r="C54" s="357"/>
      <c r="D54" s="343">
        <f t="shared" ref="D54:P54" si="16">SUM(D48,D53)</f>
        <v>-66666.666666666657</v>
      </c>
      <c r="E54" s="358">
        <f t="shared" si="16"/>
        <v>-66666.666666666657</v>
      </c>
      <c r="F54" s="358">
        <f t="shared" si="16"/>
        <v>-66666.666666666657</v>
      </c>
      <c r="G54" s="358">
        <f t="shared" si="16"/>
        <v>-66666.666666666657</v>
      </c>
      <c r="H54" s="358">
        <f t="shared" si="16"/>
        <v>-66666.666666666657</v>
      </c>
      <c r="I54" s="358">
        <f t="shared" si="16"/>
        <v>-66666.666666666657</v>
      </c>
      <c r="J54" s="358">
        <f t="shared" si="16"/>
        <v>-66666.666666666657</v>
      </c>
      <c r="K54" s="358">
        <f t="shared" si="16"/>
        <v>-64935.804845852901</v>
      </c>
      <c r="L54" s="358">
        <f t="shared" si="16"/>
        <v>-63176.095328025585</v>
      </c>
      <c r="M54" s="358">
        <f t="shared" si="16"/>
        <v>-61387.057318234474</v>
      </c>
      <c r="N54" s="358">
        <f t="shared" si="16"/>
        <v>-59568.202008280183</v>
      </c>
      <c r="O54" s="359">
        <f t="shared" si="16"/>
        <v>-57719.03244315998</v>
      </c>
      <c r="P54" s="360">
        <f t="shared" si="16"/>
        <v>-773452.85861021967</v>
      </c>
      <c r="Q54" s="319"/>
    </row>
    <row r="55" spans="2:17">
      <c r="B55" s="903" t="s">
        <v>764</v>
      </c>
      <c r="C55" s="316"/>
      <c r="D55" s="337">
        <f>-AN!D58</f>
        <v>0</v>
      </c>
      <c r="E55" s="337">
        <f>-AN!E58</f>
        <v>0</v>
      </c>
      <c r="F55" s="337">
        <f>-AN!F58</f>
        <v>0</v>
      </c>
      <c r="G55" s="337">
        <f>-AN!G58</f>
        <v>0</v>
      </c>
      <c r="H55" s="337">
        <f>-AN!H58</f>
        <v>0</v>
      </c>
      <c r="I55" s="337">
        <f>-AN!I58</f>
        <v>0</v>
      </c>
      <c r="J55" s="337">
        <f>-AN!J58</f>
        <v>0</v>
      </c>
      <c r="K55" s="337">
        <f>-AN!K58</f>
        <v>0</v>
      </c>
      <c r="L55" s="337">
        <f>-AN!L58</f>
        <v>0</v>
      </c>
      <c r="M55" s="337">
        <f>-AN!M58</f>
        <v>0</v>
      </c>
      <c r="N55" s="337">
        <f>-AN!N58</f>
        <v>0</v>
      </c>
      <c r="O55" s="337">
        <f>-AN!O58</f>
        <v>0</v>
      </c>
      <c r="P55" s="364">
        <f>SUM(D55:O55)</f>
        <v>0</v>
      </c>
      <c r="Q55" s="319"/>
    </row>
    <row r="56" spans="2:17">
      <c r="B56" s="903" t="s">
        <v>765</v>
      </c>
      <c r="C56" s="316"/>
      <c r="D56" s="337">
        <v>0</v>
      </c>
      <c r="E56" s="332">
        <v>0</v>
      </c>
      <c r="F56" s="332">
        <v>0</v>
      </c>
      <c r="G56" s="332">
        <v>0</v>
      </c>
      <c r="H56" s="332">
        <v>0</v>
      </c>
      <c r="I56" s="332">
        <v>0</v>
      </c>
      <c r="J56" s="332">
        <v>0</v>
      </c>
      <c r="K56" s="332">
        <v>0</v>
      </c>
      <c r="L56" s="332">
        <v>0</v>
      </c>
      <c r="M56" s="332">
        <v>0</v>
      </c>
      <c r="N56" s="332">
        <v>0</v>
      </c>
      <c r="O56" s="332">
        <v>0</v>
      </c>
      <c r="P56" s="364">
        <f>SUM(D56:O56)</f>
        <v>0</v>
      </c>
      <c r="Q56" s="319"/>
    </row>
    <row r="57" spans="2:17">
      <c r="B57" s="903" t="s">
        <v>766</v>
      </c>
      <c r="C57" s="316"/>
      <c r="D57" s="317">
        <f>-AN!D212</f>
        <v>0</v>
      </c>
      <c r="E57" s="320">
        <f>-AN!E212</f>
        <v>0</v>
      </c>
      <c r="F57" s="320">
        <f>-AN!F212</f>
        <v>0</v>
      </c>
      <c r="G57" s="320">
        <f>-AN!G212</f>
        <v>0</v>
      </c>
      <c r="H57" s="320">
        <f>-AN!H212</f>
        <v>0</v>
      </c>
      <c r="I57" s="320">
        <f>-AN!I212</f>
        <v>0</v>
      </c>
      <c r="J57" s="320">
        <f>-AN!J212</f>
        <v>0</v>
      </c>
      <c r="K57" s="320">
        <f>-AN!K212</f>
        <v>0</v>
      </c>
      <c r="L57" s="320">
        <f>-AN!L212</f>
        <v>0</v>
      </c>
      <c r="M57" s="320">
        <f>-AN!M212</f>
        <v>0</v>
      </c>
      <c r="N57" s="320">
        <f>-AN!N212</f>
        <v>0</v>
      </c>
      <c r="O57" s="320">
        <f>-AN!O212</f>
        <v>0</v>
      </c>
      <c r="P57" s="364">
        <f>SUM(D57:O57)</f>
        <v>0</v>
      </c>
      <c r="Q57" s="319"/>
    </row>
    <row r="58" spans="2:17" ht="13.5">
      <c r="B58" s="904" t="s">
        <v>908</v>
      </c>
      <c r="C58" s="316"/>
      <c r="D58" s="337">
        <v>0</v>
      </c>
      <c r="E58" s="337">
        <v>0</v>
      </c>
      <c r="F58" s="337">
        <v>0</v>
      </c>
      <c r="G58" s="337">
        <v>0</v>
      </c>
      <c r="H58" s="337">
        <v>0</v>
      </c>
      <c r="I58" s="337">
        <v>0</v>
      </c>
      <c r="J58" s="337">
        <v>0</v>
      </c>
      <c r="K58" s="337">
        <v>0</v>
      </c>
      <c r="L58" s="337">
        <v>0</v>
      </c>
      <c r="M58" s="337">
        <v>0</v>
      </c>
      <c r="N58" s="337">
        <v>0</v>
      </c>
      <c r="O58" s="337">
        <v>0</v>
      </c>
      <c r="P58" s="364">
        <f>SUM(D58:O58)</f>
        <v>0</v>
      </c>
      <c r="Q58" s="319"/>
    </row>
    <row r="59" spans="2:17">
      <c r="B59" s="910" t="s">
        <v>767</v>
      </c>
      <c r="C59" s="908" t="s">
        <v>33</v>
      </c>
      <c r="D59" s="365">
        <f t="shared" ref="D59:P59" si="17">SUM(D55:D58)</f>
        <v>0</v>
      </c>
      <c r="E59" s="365">
        <f t="shared" si="17"/>
        <v>0</v>
      </c>
      <c r="F59" s="365">
        <f t="shared" si="17"/>
        <v>0</v>
      </c>
      <c r="G59" s="365">
        <f t="shared" si="17"/>
        <v>0</v>
      </c>
      <c r="H59" s="365">
        <f t="shared" si="17"/>
        <v>0</v>
      </c>
      <c r="I59" s="365">
        <f t="shared" si="17"/>
        <v>0</v>
      </c>
      <c r="J59" s="365">
        <f t="shared" si="17"/>
        <v>0</v>
      </c>
      <c r="K59" s="365">
        <f t="shared" si="17"/>
        <v>0</v>
      </c>
      <c r="L59" s="365">
        <f t="shared" si="17"/>
        <v>0</v>
      </c>
      <c r="M59" s="365">
        <f t="shared" si="17"/>
        <v>0</v>
      </c>
      <c r="N59" s="365">
        <f t="shared" si="17"/>
        <v>0</v>
      </c>
      <c r="O59" s="365">
        <f t="shared" si="17"/>
        <v>0</v>
      </c>
      <c r="P59" s="365">
        <f t="shared" si="17"/>
        <v>0</v>
      </c>
      <c r="Q59" s="319"/>
    </row>
    <row r="60" spans="2:17">
      <c r="B60" s="903" t="s">
        <v>768</v>
      </c>
      <c r="C60" s="316"/>
      <c r="D60" s="317">
        <f>-(AN!D74)</f>
        <v>0</v>
      </c>
      <c r="E60" s="317">
        <f>-(AN!E74)</f>
        <v>0</v>
      </c>
      <c r="F60" s="317">
        <f>-(AN!F74)</f>
        <v>0</v>
      </c>
      <c r="G60" s="317">
        <f>-(AN!G74)</f>
        <v>0</v>
      </c>
      <c r="H60" s="317">
        <f>-(AN!H74)</f>
        <v>0</v>
      </c>
      <c r="I60" s="317">
        <f>-(AN!I74)</f>
        <v>0</v>
      </c>
      <c r="J60" s="317">
        <f>-(AN!J74)</f>
        <v>0</v>
      </c>
      <c r="K60" s="317">
        <f>-(AN!K74)</f>
        <v>-367500</v>
      </c>
      <c r="L60" s="317">
        <f>-(AN!L74)</f>
        <v>0</v>
      </c>
      <c r="M60" s="317">
        <f>-(AN!M74)</f>
        <v>0</v>
      </c>
      <c r="N60" s="317">
        <f>-(AN!N74)</f>
        <v>0</v>
      </c>
      <c r="O60" s="317">
        <f>-(AN!O74)</f>
        <v>0</v>
      </c>
      <c r="P60" s="317">
        <f>-(AN!P74)</f>
        <v>-367500</v>
      </c>
      <c r="Q60" s="319"/>
    </row>
    <row r="61" spans="2:17">
      <c r="B61" s="903" t="s">
        <v>769</v>
      </c>
      <c r="C61" s="316"/>
      <c r="D61" s="317">
        <f>-AN!D155</f>
        <v>0</v>
      </c>
      <c r="E61" s="320">
        <f>-AN!E155</f>
        <v>0</v>
      </c>
      <c r="F61" s="320">
        <f>-AN!F155</f>
        <v>-100</v>
      </c>
      <c r="G61" s="320">
        <f>-AN!G155</f>
        <v>0</v>
      </c>
      <c r="H61" s="320">
        <f>-AN!H155</f>
        <v>0</v>
      </c>
      <c r="I61" s="320">
        <f>-AN!I155</f>
        <v>-100</v>
      </c>
      <c r="J61" s="320">
        <f>-AN!J155</f>
        <v>0</v>
      </c>
      <c r="K61" s="320">
        <f>-AN!K155</f>
        <v>0</v>
      </c>
      <c r="L61" s="320">
        <f>-AN!L155</f>
        <v>-100</v>
      </c>
      <c r="M61" s="320">
        <f>-AN!M155</f>
        <v>0</v>
      </c>
      <c r="N61" s="320">
        <f>-AN!N155</f>
        <v>0</v>
      </c>
      <c r="O61" s="320">
        <f>-AN!O155</f>
        <v>-5500</v>
      </c>
      <c r="P61" s="366">
        <f t="shared" ref="P61:P66" si="18">SUM(D61:O61)</f>
        <v>-5800</v>
      </c>
      <c r="Q61" s="319"/>
    </row>
    <row r="62" spans="2:17">
      <c r="B62" s="903" t="s">
        <v>770</v>
      </c>
      <c r="C62" s="316"/>
      <c r="D62" s="317">
        <f>-AN!D60</f>
        <v>-66666.666666666657</v>
      </c>
      <c r="E62" s="317">
        <f>-AN!E60</f>
        <v>-66666.666666666657</v>
      </c>
      <c r="F62" s="317">
        <f>-AN!F60</f>
        <v>-66666.666666666657</v>
      </c>
      <c r="G62" s="317">
        <f>-AN!G60</f>
        <v>-66666.666666666657</v>
      </c>
      <c r="H62" s="317">
        <f>-AN!H60</f>
        <v>-66666.666666666657</v>
      </c>
      <c r="I62" s="317">
        <f>-AN!I60</f>
        <v>-66666.666666666657</v>
      </c>
      <c r="J62" s="317">
        <f>-AN!J60</f>
        <v>-66666.666666666657</v>
      </c>
      <c r="K62" s="317">
        <f>-AN!K60</f>
        <v>-64935.804845852901</v>
      </c>
      <c r="L62" s="317">
        <f>-AN!L60</f>
        <v>-63176.095328025585</v>
      </c>
      <c r="M62" s="317">
        <f>-AN!M60</f>
        <v>-61387.057318234474</v>
      </c>
      <c r="N62" s="317">
        <f>-AN!N60</f>
        <v>-59568.202008280183</v>
      </c>
      <c r="O62" s="317">
        <f>-AN!O60</f>
        <v>-57719.03244315998</v>
      </c>
      <c r="P62" s="366">
        <f t="shared" si="18"/>
        <v>-773452.85861021967</v>
      </c>
      <c r="Q62" s="319"/>
    </row>
    <row r="63" spans="2:17">
      <c r="B63" s="903" t="s">
        <v>771</v>
      </c>
      <c r="C63" s="316"/>
      <c r="D63" s="317">
        <v>0</v>
      </c>
      <c r="E63" s="320">
        <v>0</v>
      </c>
      <c r="F63" s="320">
        <v>0</v>
      </c>
      <c r="G63" s="320">
        <v>0</v>
      </c>
      <c r="H63" s="320">
        <v>0</v>
      </c>
      <c r="I63" s="320">
        <v>0</v>
      </c>
      <c r="J63" s="320">
        <v>0</v>
      </c>
      <c r="K63" s="320">
        <v>0</v>
      </c>
      <c r="L63" s="320">
        <v>0</v>
      </c>
      <c r="M63" s="320">
        <v>0</v>
      </c>
      <c r="N63" s="320">
        <v>0</v>
      </c>
      <c r="O63" s="320">
        <v>0</v>
      </c>
      <c r="P63" s="366">
        <f t="shared" si="18"/>
        <v>0</v>
      </c>
      <c r="Q63" s="319"/>
    </row>
    <row r="64" spans="2:17">
      <c r="B64" s="903" t="s">
        <v>772</v>
      </c>
      <c r="C64" s="316"/>
      <c r="D64" s="317">
        <f>-AN!D115+AN!D185</f>
        <v>0</v>
      </c>
      <c r="E64" s="317">
        <f>-AN!E115+AN!E185</f>
        <v>0</v>
      </c>
      <c r="F64" s="317">
        <f>-AN!F115+AN!F185</f>
        <v>0</v>
      </c>
      <c r="G64" s="317">
        <f>-AN!G115+AN!G185</f>
        <v>0</v>
      </c>
      <c r="H64" s="317">
        <f>-AN!H115+AN!H185</f>
        <v>0</v>
      </c>
      <c r="I64" s="317">
        <f>-AN!I115+AN!I185</f>
        <v>0</v>
      </c>
      <c r="J64" s="317">
        <f>-AN!J115+AN!J185</f>
        <v>0</v>
      </c>
      <c r="K64" s="317">
        <f>-AN!K115+AN!K185</f>
        <v>0</v>
      </c>
      <c r="L64" s="317">
        <f>-AN!L115+AN!L185</f>
        <v>0</v>
      </c>
      <c r="M64" s="317">
        <f>-AN!M115+AN!M185</f>
        <v>0</v>
      </c>
      <c r="N64" s="317">
        <f>-AN!N115+AN!N185</f>
        <v>0</v>
      </c>
      <c r="O64" s="317">
        <f>-AN!O115+AN!O185</f>
        <v>0</v>
      </c>
      <c r="P64" s="366">
        <f t="shared" si="18"/>
        <v>0</v>
      </c>
      <c r="Q64" s="319"/>
    </row>
    <row r="65" spans="2:17">
      <c r="B65" s="905" t="s">
        <v>773</v>
      </c>
      <c r="C65" s="901"/>
      <c r="D65" s="317">
        <v>0</v>
      </c>
      <c r="E65" s="320">
        <v>0</v>
      </c>
      <c r="F65" s="320">
        <v>0</v>
      </c>
      <c r="G65" s="320">
        <v>0</v>
      </c>
      <c r="H65" s="320">
        <v>0</v>
      </c>
      <c r="I65" s="320">
        <v>0</v>
      </c>
      <c r="J65" s="320">
        <v>0</v>
      </c>
      <c r="K65" s="320">
        <v>0</v>
      </c>
      <c r="L65" s="320">
        <v>0</v>
      </c>
      <c r="M65" s="320">
        <v>0</v>
      </c>
      <c r="N65" s="320">
        <v>0</v>
      </c>
      <c r="O65" s="320">
        <v>0</v>
      </c>
      <c r="P65" s="366">
        <f t="shared" si="18"/>
        <v>0</v>
      </c>
      <c r="Q65" s="319"/>
    </row>
    <row r="66" spans="2:17">
      <c r="B66" s="902"/>
      <c r="C66" s="901"/>
      <c r="D66" s="317">
        <v>0</v>
      </c>
      <c r="E66" s="320">
        <v>0</v>
      </c>
      <c r="F66" s="320">
        <v>0</v>
      </c>
      <c r="G66" s="320">
        <v>0</v>
      </c>
      <c r="H66" s="320">
        <v>0</v>
      </c>
      <c r="I66" s="320">
        <v>0</v>
      </c>
      <c r="J66" s="320">
        <v>0</v>
      </c>
      <c r="K66" s="320">
        <v>0</v>
      </c>
      <c r="L66" s="320">
        <v>0</v>
      </c>
      <c r="M66" s="320">
        <v>0</v>
      </c>
      <c r="N66" s="320">
        <v>0</v>
      </c>
      <c r="O66" s="320">
        <v>0</v>
      </c>
      <c r="P66" s="366">
        <f t="shared" si="18"/>
        <v>0</v>
      </c>
      <c r="Q66" s="319"/>
    </row>
    <row r="67" spans="2:17">
      <c r="B67" s="910" t="s">
        <v>774</v>
      </c>
      <c r="C67" s="908" t="s">
        <v>33</v>
      </c>
      <c r="D67" s="368">
        <f t="shared" ref="D67:P67" si="19">SUM(D60:D66)</f>
        <v>-66666.666666666657</v>
      </c>
      <c r="E67" s="368">
        <f t="shared" si="19"/>
        <v>-66666.666666666657</v>
      </c>
      <c r="F67" s="368">
        <f t="shared" si="19"/>
        <v>-66766.666666666657</v>
      </c>
      <c r="G67" s="368">
        <f t="shared" si="19"/>
        <v>-66666.666666666657</v>
      </c>
      <c r="H67" s="368">
        <f t="shared" si="19"/>
        <v>-66666.666666666657</v>
      </c>
      <c r="I67" s="368">
        <f t="shared" si="19"/>
        <v>-66766.666666666657</v>
      </c>
      <c r="J67" s="368">
        <f t="shared" si="19"/>
        <v>-66666.666666666657</v>
      </c>
      <c r="K67" s="368">
        <f t="shared" si="19"/>
        <v>-432435.80484585289</v>
      </c>
      <c r="L67" s="368">
        <f t="shared" si="19"/>
        <v>-63276.095328025585</v>
      </c>
      <c r="M67" s="368">
        <f t="shared" si="19"/>
        <v>-61387.057318234474</v>
      </c>
      <c r="N67" s="368">
        <f t="shared" si="19"/>
        <v>-59568.202008280183</v>
      </c>
      <c r="O67" s="368">
        <f t="shared" si="19"/>
        <v>-63219.03244315998</v>
      </c>
      <c r="P67" s="368">
        <f t="shared" si="19"/>
        <v>-1146752.8586102198</v>
      </c>
      <c r="Q67" s="319"/>
    </row>
    <row r="68" spans="2:17">
      <c r="B68" s="369" t="s">
        <v>775</v>
      </c>
      <c r="C68" s="342"/>
      <c r="D68" s="370">
        <f t="shared" ref="D68:P68" si="20">SUM(D67,D59)</f>
        <v>-66666.666666666657</v>
      </c>
      <c r="E68" s="370">
        <f t="shared" si="20"/>
        <v>-66666.666666666657</v>
      </c>
      <c r="F68" s="370">
        <f t="shared" si="20"/>
        <v>-66766.666666666657</v>
      </c>
      <c r="G68" s="370">
        <f t="shared" si="20"/>
        <v>-66666.666666666657</v>
      </c>
      <c r="H68" s="370">
        <f t="shared" si="20"/>
        <v>-66666.666666666657</v>
      </c>
      <c r="I68" s="370">
        <f t="shared" si="20"/>
        <v>-66766.666666666657</v>
      </c>
      <c r="J68" s="370">
        <f t="shared" si="20"/>
        <v>-66666.666666666657</v>
      </c>
      <c r="K68" s="370">
        <f t="shared" si="20"/>
        <v>-432435.80484585289</v>
      </c>
      <c r="L68" s="370">
        <f t="shared" si="20"/>
        <v>-63276.095328025585</v>
      </c>
      <c r="M68" s="370">
        <f t="shared" si="20"/>
        <v>-61387.057318234474</v>
      </c>
      <c r="N68" s="370">
        <f t="shared" si="20"/>
        <v>-59568.202008280183</v>
      </c>
      <c r="O68" s="370">
        <f t="shared" si="20"/>
        <v>-63219.03244315998</v>
      </c>
      <c r="P68" s="370">
        <f t="shared" si="20"/>
        <v>-1146752.8586102198</v>
      </c>
      <c r="Q68" s="319"/>
    </row>
    <row r="69" spans="2:17">
      <c r="B69" s="371" t="s">
        <v>776</v>
      </c>
      <c r="C69" s="372"/>
      <c r="D69" s="373">
        <f t="shared" ref="D69:O69" si="21">SUM(D68,D54,D45,D38)</f>
        <v>315783.21454166662</v>
      </c>
      <c r="E69" s="373">
        <f t="shared" si="21"/>
        <v>-8674.5809583331575</v>
      </c>
      <c r="F69" s="373">
        <f t="shared" si="21"/>
        <v>-56862.395458333136</v>
      </c>
      <c r="G69" s="373">
        <f t="shared" si="21"/>
        <v>204400.58491666679</v>
      </c>
      <c r="H69" s="373">
        <f t="shared" si="21"/>
        <v>260868.30454166682</v>
      </c>
      <c r="I69" s="373">
        <f t="shared" si="21"/>
        <v>285170.71904166689</v>
      </c>
      <c r="J69" s="373">
        <f t="shared" si="21"/>
        <v>332844.41591666668</v>
      </c>
      <c r="K69" s="373">
        <f t="shared" si="21"/>
        <v>-192453.53231670568</v>
      </c>
      <c r="L69" s="373">
        <f t="shared" si="21"/>
        <v>-15733.476781051038</v>
      </c>
      <c r="M69" s="373">
        <f t="shared" si="21"/>
        <v>-20142.596136468826</v>
      </c>
      <c r="N69" s="373">
        <f t="shared" si="21"/>
        <v>-6761.806641560237</v>
      </c>
      <c r="O69" s="373">
        <f t="shared" si="21"/>
        <v>-39095.898886319759</v>
      </c>
      <c r="P69" s="374">
        <f>SUM(P68,P54,P45,P38)</f>
        <v>1059342.951779562</v>
      </c>
      <c r="Q69" s="319"/>
    </row>
    <row r="70" spans="2:17" hidden="1">
      <c r="B70" s="284"/>
      <c r="C70" s="308"/>
      <c r="D70" s="375">
        <f>+D69-AN!D219</f>
        <v>0</v>
      </c>
      <c r="E70" s="375">
        <f>+E69-AN!E219</f>
        <v>-2.9103830456733704E-11</v>
      </c>
      <c r="F70" s="375">
        <f>+F69-AN!F219</f>
        <v>-1.4551915228366852E-10</v>
      </c>
      <c r="G70" s="375">
        <f>+G69-AN!G219</f>
        <v>0</v>
      </c>
      <c r="H70" s="375">
        <f>+H69-AN!H219</f>
        <v>0</v>
      </c>
      <c r="I70" s="375">
        <f>+I69-AN!I219</f>
        <v>0</v>
      </c>
      <c r="J70" s="375">
        <f>+J69-AN!J219</f>
        <v>0</v>
      </c>
      <c r="K70" s="375">
        <f>+K69-AN!K219</f>
        <v>0</v>
      </c>
      <c r="L70" s="375">
        <f>+L69-AN!L219</f>
        <v>-3.637978807091713E-10</v>
      </c>
      <c r="M70" s="375">
        <f>+M69-AN!M219</f>
        <v>4.3655745685100555E-11</v>
      </c>
      <c r="N70" s="375">
        <f>+N69-AN!N219</f>
        <v>-3.92901711165905E-10</v>
      </c>
      <c r="O70" s="375">
        <f>+O69-AN!O219</f>
        <v>0</v>
      </c>
      <c r="P70" s="375"/>
      <c r="Q70" s="319"/>
    </row>
    <row r="71" spans="2:17" hidden="1">
      <c r="B71" s="363" t="s">
        <v>777</v>
      </c>
      <c r="C71" s="327"/>
      <c r="D71" s="376">
        <f t="shared" ref="D71:P72" si="22">+C79</f>
        <v>0</v>
      </c>
      <c r="E71" s="376">
        <f>+D79</f>
        <v>1419290.125</v>
      </c>
      <c r="F71" s="376">
        <f t="shared" si="22"/>
        <v>2524833.9750000001</v>
      </c>
      <c r="G71" s="376">
        <f t="shared" si="22"/>
        <v>3626982.125</v>
      </c>
      <c r="H71" s="376">
        <f t="shared" si="22"/>
        <v>4976118.9025522908</v>
      </c>
      <c r="I71" s="376">
        <f t="shared" si="22"/>
        <v>6361123.3275926113</v>
      </c>
      <c r="J71" s="376">
        <f t="shared" si="22"/>
        <v>7795249.3098636316</v>
      </c>
      <c r="K71" s="376">
        <f t="shared" si="22"/>
        <v>9269774.1599008925</v>
      </c>
      <c r="L71" s="376">
        <f t="shared" si="22"/>
        <v>10554633.534900893</v>
      </c>
      <c r="M71" s="376">
        <f t="shared" si="22"/>
        <v>11656241.671259534</v>
      </c>
      <c r="N71" s="376">
        <f t="shared" si="22"/>
        <v>12760642.949957212</v>
      </c>
      <c r="O71" s="376">
        <f t="shared" si="22"/>
        <v>13861471.849360554</v>
      </c>
      <c r="P71" s="376">
        <f>O71</f>
        <v>13861471.849360554</v>
      </c>
      <c r="Q71" s="319"/>
    </row>
    <row r="72" spans="2:17" hidden="1">
      <c r="B72" s="363" t="s">
        <v>778</v>
      </c>
      <c r="C72" s="327"/>
      <c r="D72" s="376">
        <f>+C80</f>
        <v>0</v>
      </c>
      <c r="E72" s="376">
        <f>+D80</f>
        <v>-1103506.9104583333</v>
      </c>
      <c r="F72" s="376">
        <f t="shared" si="22"/>
        <v>-2217725.3414166663</v>
      </c>
      <c r="G72" s="376">
        <f t="shared" si="22"/>
        <v>-3376735.8868749999</v>
      </c>
      <c r="H72" s="376">
        <f t="shared" si="22"/>
        <v>-4521472.0795106236</v>
      </c>
      <c r="I72" s="376">
        <f t="shared" si="22"/>
        <v>-5645608.2000092771</v>
      </c>
      <c r="J72" s="376">
        <f t="shared" si="22"/>
        <v>-6794563.4632386304</v>
      </c>
      <c r="K72" s="376">
        <f t="shared" si="22"/>
        <v>-7936243.897359224</v>
      </c>
      <c r="L72" s="376">
        <f t="shared" si="22"/>
        <v>-9413556.8046759292</v>
      </c>
      <c r="M72" s="376">
        <f t="shared" si="22"/>
        <v>-10530898.417815622</v>
      </c>
      <c r="N72" s="376">
        <f t="shared" si="22"/>
        <v>-11655442.29264977</v>
      </c>
      <c r="O72" s="376">
        <f t="shared" si="22"/>
        <v>-12763032.998694671</v>
      </c>
      <c r="P72" s="376">
        <f t="shared" si="22"/>
        <v>-13906596.93764811</v>
      </c>
      <c r="Q72" s="319"/>
    </row>
    <row r="73" spans="2:17" hidden="1">
      <c r="B73" s="363"/>
      <c r="C73" s="327"/>
      <c r="D73" s="377"/>
      <c r="E73" s="377"/>
      <c r="F73" s="377"/>
      <c r="G73" s="377"/>
      <c r="H73" s="377"/>
      <c r="I73" s="377"/>
      <c r="J73" s="377"/>
      <c r="K73" s="377"/>
      <c r="L73" s="377"/>
      <c r="M73" s="377"/>
      <c r="N73" s="377"/>
      <c r="O73" s="377"/>
      <c r="P73" s="378"/>
      <c r="Q73" s="319"/>
    </row>
    <row r="74" spans="2:17" hidden="1">
      <c r="B74" s="315" t="s">
        <v>779</v>
      </c>
      <c r="C74" s="316"/>
      <c r="D74" s="317"/>
      <c r="E74" s="320"/>
      <c r="F74" s="320"/>
      <c r="G74" s="320"/>
      <c r="H74" s="320"/>
      <c r="I74" s="320"/>
      <c r="J74" s="320"/>
      <c r="K74" s="320"/>
      <c r="L74" s="320"/>
      <c r="M74" s="320"/>
      <c r="N74" s="320"/>
      <c r="O74" s="340"/>
      <c r="P74" s="366">
        <f>SUM(D74:O74)</f>
        <v>0</v>
      </c>
      <c r="Q74" s="319"/>
    </row>
    <row r="75" spans="2:17" hidden="1">
      <c r="B75" s="363" t="s">
        <v>780</v>
      </c>
      <c r="C75" s="327"/>
      <c r="D75" s="379"/>
      <c r="E75" s="380"/>
      <c r="F75" s="380"/>
      <c r="G75" s="380">
        <v>972.37244770999996</v>
      </c>
      <c r="H75" s="380">
        <v>954.42495968000094</v>
      </c>
      <c r="I75" s="380">
        <v>983.1677289799984</v>
      </c>
      <c r="J75" s="380">
        <f>(1500+443.28)+-509.28003726</f>
        <v>1433.99996274</v>
      </c>
      <c r="K75" s="380">
        <v>1825.8</v>
      </c>
      <c r="L75" s="380">
        <v>540.01364135999961</v>
      </c>
      <c r="M75" s="380">
        <v>1142.5713023200003</v>
      </c>
      <c r="N75" s="380">
        <v>1319.2505966600008</v>
      </c>
      <c r="O75" s="381">
        <v>1075.8099328799999</v>
      </c>
      <c r="P75" s="378">
        <f>O75</f>
        <v>1075.8099328799999</v>
      </c>
      <c r="Q75" s="319"/>
    </row>
    <row r="76" spans="2:17" hidden="1">
      <c r="B76" s="363" t="s">
        <v>781</v>
      </c>
      <c r="C76" s="327"/>
      <c r="D76" s="317"/>
      <c r="E76" s="320"/>
      <c r="F76" s="320"/>
      <c r="G76" s="320"/>
      <c r="H76" s="320"/>
      <c r="I76" s="320"/>
      <c r="J76" s="320"/>
      <c r="K76" s="320"/>
      <c r="L76" s="320"/>
      <c r="M76" s="320"/>
      <c r="N76" s="320"/>
      <c r="O76" s="340"/>
      <c r="P76" s="378">
        <f>SUM(D76:O76)</f>
        <v>0</v>
      </c>
      <c r="Q76" s="319"/>
    </row>
    <row r="77" spans="2:17" hidden="1">
      <c r="B77" s="363" t="s">
        <v>782</v>
      </c>
      <c r="C77" s="327"/>
      <c r="D77" s="379"/>
      <c r="E77" s="380"/>
      <c r="F77" s="380"/>
      <c r="G77" s="380"/>
      <c r="H77" s="380"/>
      <c r="I77" s="380"/>
      <c r="J77" s="380"/>
      <c r="K77" s="380"/>
      <c r="L77" s="380"/>
      <c r="M77" s="380"/>
      <c r="N77" s="380"/>
      <c r="O77" s="381"/>
      <c r="P77" s="378">
        <f>SUM(D77:O77)</f>
        <v>0</v>
      </c>
      <c r="Q77" s="319"/>
    </row>
    <row r="78" spans="2:17" hidden="1">
      <c r="B78" s="367"/>
      <c r="C78" s="327"/>
      <c r="D78" s="317"/>
      <c r="E78" s="320"/>
      <c r="F78" s="320"/>
      <c r="G78" s="320"/>
      <c r="H78" s="320"/>
      <c r="I78" s="320"/>
      <c r="J78" s="320"/>
      <c r="K78" s="320"/>
      <c r="L78" s="320"/>
      <c r="M78" s="320"/>
      <c r="N78" s="320"/>
      <c r="O78" s="340"/>
      <c r="P78" s="378"/>
      <c r="Q78" s="319"/>
    </row>
    <row r="79" spans="2:17" hidden="1">
      <c r="B79" s="382" t="s">
        <v>783</v>
      </c>
      <c r="C79" s="308"/>
      <c r="D79" s="383">
        <f t="shared" ref="D79:O79" si="23">D71+D17+D41+D48+D59-SUM(D74:D77)</f>
        <v>1419290.125</v>
      </c>
      <c r="E79" s="383">
        <f t="shared" si="23"/>
        <v>2524833.9750000001</v>
      </c>
      <c r="F79" s="383">
        <f t="shared" si="23"/>
        <v>3626982.125</v>
      </c>
      <c r="G79" s="383">
        <f t="shared" si="23"/>
        <v>4976118.9025522908</v>
      </c>
      <c r="H79" s="383">
        <f t="shared" si="23"/>
        <v>6361123.3275926113</v>
      </c>
      <c r="I79" s="383">
        <f t="shared" si="23"/>
        <v>7795249.3098636316</v>
      </c>
      <c r="J79" s="383">
        <f t="shared" si="23"/>
        <v>9269774.1599008925</v>
      </c>
      <c r="K79" s="383">
        <f t="shared" si="23"/>
        <v>10554633.534900893</v>
      </c>
      <c r="L79" s="383">
        <f t="shared" si="23"/>
        <v>11656241.671259534</v>
      </c>
      <c r="M79" s="383">
        <f t="shared" si="23"/>
        <v>12760642.949957212</v>
      </c>
      <c r="N79" s="383">
        <f t="shared" si="23"/>
        <v>13861471.849360554</v>
      </c>
      <c r="O79" s="383">
        <f t="shared" si="23"/>
        <v>14965939.889427673</v>
      </c>
      <c r="P79" s="384">
        <f>O79</f>
        <v>14965939.889427673</v>
      </c>
      <c r="Q79" s="319"/>
    </row>
    <row r="80" spans="2:17" hidden="1">
      <c r="B80" s="382" t="s">
        <v>784</v>
      </c>
      <c r="C80" s="384">
        <f>+AN!C229</f>
        <v>0</v>
      </c>
      <c r="D80" s="383">
        <f t="shared" ref="D80" si="24">D72+SUM(D74:D77)+SUM(D67,D44,D37,D53)</f>
        <v>-1103506.9104583333</v>
      </c>
      <c r="E80" s="383">
        <f t="shared" ref="E80" si="25">E72+SUM(E74:E77)+SUM(E67,E44,E37,E53)</f>
        <v>-2217725.3414166663</v>
      </c>
      <c r="F80" s="383">
        <f>F72+SUM(F74:F77)+SUM(F67,F44,F37,F53)</f>
        <v>-3376735.8868749999</v>
      </c>
      <c r="G80" s="383">
        <f t="shared" ref="G80:O80" si="26">G72+SUM(G74:G77)+SUM(G67,G44,G37,G53)</f>
        <v>-4521472.0795106236</v>
      </c>
      <c r="H80" s="383">
        <f t="shared" si="26"/>
        <v>-5645608.2000092771</v>
      </c>
      <c r="I80" s="383">
        <f t="shared" si="26"/>
        <v>-6794563.4632386304</v>
      </c>
      <c r="J80" s="383">
        <f t="shared" si="26"/>
        <v>-7936243.897359224</v>
      </c>
      <c r="K80" s="383">
        <f t="shared" si="26"/>
        <v>-9413556.8046759292</v>
      </c>
      <c r="L80" s="383">
        <f t="shared" si="26"/>
        <v>-10530898.417815622</v>
      </c>
      <c r="M80" s="383">
        <f t="shared" si="26"/>
        <v>-11655442.29264977</v>
      </c>
      <c r="N80" s="383">
        <f t="shared" si="26"/>
        <v>-12763032.998694671</v>
      </c>
      <c r="O80" s="383">
        <f t="shared" si="26"/>
        <v>-13906596.93764811</v>
      </c>
      <c r="P80" s="384">
        <f>O80</f>
        <v>-13906596.93764811</v>
      </c>
      <c r="Q80" s="319"/>
    </row>
    <row r="81" spans="2:17">
      <c r="B81" s="385" t="s">
        <v>785</v>
      </c>
      <c r="C81" s="386">
        <f t="shared" ref="C81:P81" si="27">C80+C79</f>
        <v>0</v>
      </c>
      <c r="D81" s="387">
        <f t="shared" si="27"/>
        <v>315783.21454166668</v>
      </c>
      <c r="E81" s="388">
        <f t="shared" si="27"/>
        <v>307108.63358333381</v>
      </c>
      <c r="F81" s="388">
        <f t="shared" si="27"/>
        <v>250246.23812500015</v>
      </c>
      <c r="G81" s="388">
        <f t="shared" si="27"/>
        <v>454646.82304166723</v>
      </c>
      <c r="H81" s="388">
        <f t="shared" si="27"/>
        <v>715515.12758333422</v>
      </c>
      <c r="I81" s="388">
        <f t="shared" si="27"/>
        <v>1000685.8466250012</v>
      </c>
      <c r="J81" s="388">
        <f t="shared" si="27"/>
        <v>1333530.2625416685</v>
      </c>
      <c r="K81" s="388">
        <f t="shared" si="27"/>
        <v>1141076.7302249633</v>
      </c>
      <c r="L81" s="388">
        <f>L80+L79</f>
        <v>1125343.2534439117</v>
      </c>
      <c r="M81" s="388">
        <f t="shared" si="27"/>
        <v>1105200.6573074423</v>
      </c>
      <c r="N81" s="388">
        <f t="shared" si="27"/>
        <v>1098438.8506658822</v>
      </c>
      <c r="O81" s="389">
        <f t="shared" si="27"/>
        <v>1059342.951779563</v>
      </c>
      <c r="P81" s="390">
        <f t="shared" si="27"/>
        <v>1059342.951779563</v>
      </c>
      <c r="Q81" s="319"/>
    </row>
    <row r="82" spans="2:17">
      <c r="B82" s="391" t="s">
        <v>786</v>
      </c>
      <c r="C82" s="392"/>
      <c r="D82" s="393"/>
      <c r="E82" s="394"/>
      <c r="F82" s="394"/>
      <c r="G82" s="394">
        <v>0</v>
      </c>
      <c r="H82" s="394">
        <v>0</v>
      </c>
      <c r="I82" s="394">
        <v>0</v>
      </c>
      <c r="J82" s="394">
        <v>0</v>
      </c>
      <c r="K82" s="394">
        <v>0</v>
      </c>
      <c r="L82" s="394">
        <v>0</v>
      </c>
      <c r="M82" s="394">
        <v>0</v>
      </c>
      <c r="N82" s="394">
        <v>0</v>
      </c>
      <c r="O82" s="394">
        <v>0</v>
      </c>
      <c r="P82" s="394">
        <v>0</v>
      </c>
      <c r="Q82" s="319"/>
    </row>
    <row r="83" spans="2:17">
      <c r="B83" s="395" t="s">
        <v>787</v>
      </c>
      <c r="C83" s="386">
        <f t="shared" ref="C83:G83" si="28">SUM(C81:C82)</f>
        <v>0</v>
      </c>
      <c r="D83" s="387">
        <f t="shared" si="28"/>
        <v>315783.21454166668</v>
      </c>
      <c r="E83" s="388">
        <f t="shared" si="28"/>
        <v>307108.63358333381</v>
      </c>
      <c r="F83" s="388">
        <f t="shared" si="28"/>
        <v>250246.23812500015</v>
      </c>
      <c r="G83" s="388">
        <f t="shared" si="28"/>
        <v>454646.82304166723</v>
      </c>
      <c r="H83" s="388">
        <f t="shared" ref="H83:P83" si="29">SUM(H81:H82)</f>
        <v>715515.12758333422</v>
      </c>
      <c r="I83" s="388">
        <f t="shared" si="29"/>
        <v>1000685.8466250012</v>
      </c>
      <c r="J83" s="388">
        <f t="shared" si="29"/>
        <v>1333530.2625416685</v>
      </c>
      <c r="K83" s="388">
        <f t="shared" si="29"/>
        <v>1141076.7302249633</v>
      </c>
      <c r="L83" s="388">
        <f t="shared" si="29"/>
        <v>1125343.2534439117</v>
      </c>
      <c r="M83" s="388">
        <f t="shared" si="29"/>
        <v>1105200.6573074423</v>
      </c>
      <c r="N83" s="388">
        <f t="shared" si="29"/>
        <v>1098438.8506658822</v>
      </c>
      <c r="O83" s="389">
        <f t="shared" si="29"/>
        <v>1059342.951779563</v>
      </c>
      <c r="P83" s="390">
        <f t="shared" si="29"/>
        <v>1059342.951779563</v>
      </c>
      <c r="Q83" s="319"/>
    </row>
    <row r="84" spans="2:17" ht="12.75" hidden="1" customHeight="1">
      <c r="B84" s="396" t="s">
        <v>788</v>
      </c>
      <c r="C84" s="397">
        <f>+C83-AN!C221</f>
        <v>0</v>
      </c>
      <c r="D84" s="397">
        <f>+D83-AN!D221</f>
        <v>0</v>
      </c>
      <c r="E84" s="397">
        <f>+E83-AN!E221</f>
        <v>0</v>
      </c>
      <c r="F84" s="397">
        <f>+F83-AN!F221</f>
        <v>-5.5297277867794037E-10</v>
      </c>
      <c r="G84" s="397">
        <f>+G83-AN!G221</f>
        <v>0</v>
      </c>
      <c r="H84" s="397">
        <f>+H83-AN!H221</f>
        <v>0</v>
      </c>
      <c r="I84" s="397">
        <f>+I83-AN!I221</f>
        <v>0</v>
      </c>
      <c r="J84" s="397">
        <f>+J83-AN!J221</f>
        <v>0</v>
      </c>
      <c r="K84" s="397">
        <f>+K83-AN!K221</f>
        <v>0</v>
      </c>
      <c r="L84" s="397">
        <f>+L83-AN!L221</f>
        <v>0</v>
      </c>
      <c r="M84" s="397">
        <f>+M83-AN!M221</f>
        <v>0</v>
      </c>
      <c r="N84" s="397">
        <f>+N83-AN!N221</f>
        <v>0</v>
      </c>
      <c r="O84" s="397">
        <f>+O83-AN!O221</f>
        <v>0</v>
      </c>
      <c r="P84" s="397"/>
      <c r="Q84" s="398"/>
    </row>
    <row r="85" spans="2:17" ht="12.75" hidden="1" customHeight="1">
      <c r="B85" s="285"/>
      <c r="C85" s="285"/>
      <c r="D85" s="399">
        <f>+D84</f>
        <v>0</v>
      </c>
      <c r="E85" s="399">
        <f>+E84-D85</f>
        <v>0</v>
      </c>
      <c r="F85" s="399">
        <f t="shared" ref="F85:O85" si="30">+F84-E85</f>
        <v>-5.5297277867794037E-10</v>
      </c>
      <c r="G85" s="399">
        <f t="shared" si="30"/>
        <v>5.5297277867794037E-10</v>
      </c>
      <c r="H85" s="399">
        <f t="shared" si="30"/>
        <v>-5.5297277867794037E-10</v>
      </c>
      <c r="I85" s="399">
        <f t="shared" si="30"/>
        <v>5.5297277867794037E-10</v>
      </c>
      <c r="J85" s="399">
        <f t="shared" si="30"/>
        <v>-5.5297277867794037E-10</v>
      </c>
      <c r="K85" s="399">
        <f t="shared" si="30"/>
        <v>5.5297277867794037E-10</v>
      </c>
      <c r="L85" s="399">
        <f t="shared" si="30"/>
        <v>-5.5297277867794037E-10</v>
      </c>
      <c r="M85" s="399">
        <f t="shared" si="30"/>
        <v>5.5297277867794037E-10</v>
      </c>
      <c r="N85" s="399">
        <f t="shared" si="30"/>
        <v>-5.5297277867794037E-10</v>
      </c>
      <c r="O85" s="399">
        <f t="shared" si="30"/>
        <v>5.5297277867794037E-10</v>
      </c>
    </row>
    <row r="86" spans="2:17">
      <c r="B86" s="285"/>
      <c r="C86" s="285"/>
      <c r="D86" s="285"/>
      <c r="E86" s="285"/>
      <c r="F86" s="285"/>
      <c r="G86" s="285"/>
      <c r="H86" s="285"/>
      <c r="I86" s="285"/>
      <c r="J86" s="285"/>
      <c r="K86" s="285"/>
      <c r="L86" s="285"/>
      <c r="M86" s="285"/>
      <c r="N86" s="285"/>
      <c r="O86" s="285"/>
    </row>
    <row r="87" spans="2:17" hidden="1">
      <c r="B87" s="285"/>
      <c r="C87" s="285"/>
      <c r="D87" s="286">
        <f>+D83-AN!D221</f>
        <v>0</v>
      </c>
      <c r="E87" s="286">
        <f>+E83-AN!E221</f>
        <v>0</v>
      </c>
      <c r="F87" s="286">
        <f>+F83-AN!F221</f>
        <v>-5.5297277867794037E-10</v>
      </c>
      <c r="G87" s="286">
        <f>+G83-AN!G221</f>
        <v>0</v>
      </c>
      <c r="H87" s="286">
        <f>+H83-AN!H221</f>
        <v>0</v>
      </c>
      <c r="I87" s="286">
        <f>+I83-AN!I221</f>
        <v>0</v>
      </c>
      <c r="J87" s="286">
        <f>+J83-AN!J221</f>
        <v>0</v>
      </c>
      <c r="K87" s="286">
        <f>+K83-AN!K221</f>
        <v>0</v>
      </c>
      <c r="L87" s="286">
        <f>+L83-AN!L221</f>
        <v>0</v>
      </c>
      <c r="M87" s="286">
        <f>+M83-AN!M221</f>
        <v>0</v>
      </c>
      <c r="N87" s="286">
        <f>+N83-AN!N221</f>
        <v>0</v>
      </c>
      <c r="O87" s="286">
        <f>+O83-AN!O221</f>
        <v>0</v>
      </c>
      <c r="P87" s="286">
        <f>+P83-AN!P221</f>
        <v>1059342.951779563</v>
      </c>
    </row>
    <row r="88" spans="2:17" hidden="1">
      <c r="B88" s="285"/>
      <c r="C88" s="285"/>
      <c r="D88" s="285"/>
      <c r="E88" s="286">
        <f>+E87-D87</f>
        <v>0</v>
      </c>
      <c r="F88" s="286">
        <f t="shared" ref="F88:O88" si="31">+F87-E87</f>
        <v>-5.5297277867794037E-10</v>
      </c>
      <c r="G88" s="286">
        <f t="shared" si="31"/>
        <v>5.5297277867794037E-10</v>
      </c>
      <c r="H88" s="286">
        <f t="shared" si="31"/>
        <v>0</v>
      </c>
      <c r="I88" s="286">
        <f t="shared" si="31"/>
        <v>0</v>
      </c>
      <c r="J88" s="286">
        <f t="shared" si="31"/>
        <v>0</v>
      </c>
      <c r="K88" s="286">
        <f t="shared" si="31"/>
        <v>0</v>
      </c>
      <c r="L88" s="286">
        <f t="shared" si="31"/>
        <v>0</v>
      </c>
      <c r="M88" s="286">
        <f t="shared" si="31"/>
        <v>0</v>
      </c>
      <c r="N88" s="286">
        <f t="shared" si="31"/>
        <v>0</v>
      </c>
      <c r="O88" s="286">
        <f t="shared" si="31"/>
        <v>0</v>
      </c>
    </row>
    <row r="89" spans="2:17">
      <c r="B89" s="285"/>
      <c r="C89" s="285"/>
      <c r="D89" s="286">
        <f>+D83-AN!D229</f>
        <v>0</v>
      </c>
      <c r="E89" s="286">
        <f>+E83-AN!E229</f>
        <v>0</v>
      </c>
      <c r="F89" s="286">
        <f>+F83-AN!F229</f>
        <v>-2.3283064365386963E-10</v>
      </c>
      <c r="G89" s="286">
        <f>+G83-AN!G229</f>
        <v>0</v>
      </c>
      <c r="H89" s="286">
        <f>+H83-AN!H229</f>
        <v>0</v>
      </c>
      <c r="I89" s="286">
        <f>+I83-AN!I229</f>
        <v>0</v>
      </c>
      <c r="J89" s="286">
        <f>+J83-AN!J229</f>
        <v>0</v>
      </c>
      <c r="K89" s="286">
        <f>+K83-AN!K229</f>
        <v>0</v>
      </c>
      <c r="L89" s="286">
        <f>+L83-AN!L229</f>
        <v>0</v>
      </c>
      <c r="M89" s="286">
        <f>+M83-AN!M229</f>
        <v>0</v>
      </c>
      <c r="N89" s="286">
        <f>+N83-AN!N229</f>
        <v>0</v>
      </c>
      <c r="O89" s="286">
        <f>+O83-AN!O229</f>
        <v>0</v>
      </c>
      <c r="P89" s="286">
        <f>+P83-AN!P229</f>
        <v>3.7252902984619141E-9</v>
      </c>
    </row>
    <row r="90" spans="2:17">
      <c r="B90" s="285"/>
      <c r="C90" s="285"/>
      <c r="D90" s="286"/>
      <c r="E90" s="285"/>
      <c r="F90" s="285"/>
      <c r="G90" s="285"/>
      <c r="H90" s="285"/>
      <c r="I90" s="285"/>
      <c r="J90" s="285"/>
      <c r="K90" s="286">
        <f>+K89-J89</f>
        <v>0</v>
      </c>
      <c r="L90" s="286">
        <f t="shared" ref="L90:P90" si="32">+L89-K89</f>
        <v>0</v>
      </c>
      <c r="M90" s="286">
        <f t="shared" si="32"/>
        <v>0</v>
      </c>
      <c r="N90" s="286">
        <f t="shared" si="32"/>
        <v>0</v>
      </c>
      <c r="O90" s="286">
        <f t="shared" si="32"/>
        <v>0</v>
      </c>
      <c r="P90" s="286">
        <f t="shared" si="32"/>
        <v>3.7252902984619141E-9</v>
      </c>
    </row>
    <row r="91" spans="2:17">
      <c r="B91" s="285"/>
      <c r="C91" s="285"/>
      <c r="D91" s="553"/>
      <c r="E91" s="285"/>
      <c r="F91" s="285"/>
      <c r="G91" s="285"/>
      <c r="H91" s="285"/>
      <c r="I91" s="285"/>
      <c r="J91" s="285"/>
      <c r="K91" s="285"/>
      <c r="L91" s="285"/>
      <c r="M91" s="285"/>
      <c r="N91" s="285"/>
      <c r="O91" s="285"/>
    </row>
    <row r="92" spans="2:17">
      <c r="B92" s="285"/>
      <c r="C92" s="285"/>
      <c r="D92" s="285"/>
      <c r="E92" s="285"/>
      <c r="F92" s="285"/>
      <c r="G92" s="285"/>
      <c r="H92" s="285"/>
      <c r="I92" s="285"/>
      <c r="J92" s="285"/>
      <c r="K92" s="285"/>
      <c r="L92" s="285"/>
      <c r="M92" s="285"/>
      <c r="N92" s="285"/>
      <c r="O92" s="285"/>
    </row>
    <row r="93" spans="2:17">
      <c r="B93" s="285"/>
      <c r="C93" s="285"/>
      <c r="D93" s="285"/>
      <c r="E93" s="285"/>
      <c r="F93" s="285"/>
      <c r="G93" s="285"/>
      <c r="H93" s="285"/>
      <c r="I93" s="285"/>
      <c r="J93" s="285"/>
      <c r="K93" s="285"/>
      <c r="L93" s="285"/>
      <c r="M93" s="285"/>
      <c r="N93" s="285"/>
      <c r="O93" s="285"/>
    </row>
    <row r="94" spans="2:17">
      <c r="B94" s="285"/>
      <c r="C94" s="285"/>
      <c r="D94" s="285"/>
      <c r="E94" s="285"/>
      <c r="F94" s="285"/>
      <c r="G94" s="285"/>
      <c r="H94" s="285"/>
      <c r="I94" s="285"/>
      <c r="J94" s="285"/>
      <c r="K94" s="285"/>
      <c r="L94" s="285"/>
      <c r="M94" s="285"/>
      <c r="N94" s="285"/>
      <c r="O94" s="285"/>
    </row>
    <row r="95" spans="2:17">
      <c r="B95" s="285"/>
      <c r="C95" s="285"/>
      <c r="D95" s="285"/>
      <c r="E95" s="285"/>
      <c r="F95" s="285"/>
      <c r="G95" s="285"/>
      <c r="H95" s="285"/>
      <c r="I95" s="285"/>
      <c r="J95" s="285"/>
      <c r="K95" s="285"/>
      <c r="L95" s="285"/>
      <c r="M95" s="285"/>
      <c r="N95" s="285"/>
      <c r="O95" s="285"/>
    </row>
    <row r="96" spans="2:17">
      <c r="B96" s="285"/>
      <c r="C96" s="285"/>
      <c r="D96" s="285"/>
      <c r="E96" s="285"/>
      <c r="F96" s="285"/>
      <c r="G96" s="285"/>
      <c r="H96" s="285"/>
      <c r="I96" s="285"/>
      <c r="J96" s="285"/>
      <c r="K96" s="285"/>
      <c r="L96" s="285"/>
      <c r="M96" s="285"/>
      <c r="N96" s="285"/>
      <c r="O96" s="285"/>
    </row>
    <row r="97" s="285" customFormat="1"/>
    <row r="98" s="285" customFormat="1"/>
    <row r="99" s="285" customFormat="1"/>
    <row r="100" s="285" customFormat="1"/>
    <row r="101" s="285" customFormat="1"/>
    <row r="102" s="285" customFormat="1"/>
    <row r="103" s="285" customFormat="1"/>
    <row r="104" s="285" customFormat="1"/>
    <row r="105" s="285" customFormat="1"/>
    <row r="106" s="285" customFormat="1"/>
    <row r="107" s="285" customFormat="1"/>
    <row r="108" s="285" customFormat="1"/>
    <row r="109" s="285" customFormat="1"/>
    <row r="110" s="285" customFormat="1"/>
    <row r="111" s="285" customFormat="1"/>
    <row r="112" s="285" customFormat="1"/>
    <row r="113" s="285" customFormat="1"/>
    <row r="114" s="285" customFormat="1"/>
    <row r="115" s="285" customFormat="1"/>
    <row r="116" s="285" customFormat="1"/>
    <row r="117" s="285" customFormat="1"/>
    <row r="118" s="285" customFormat="1"/>
    <row r="119" s="285" customFormat="1"/>
    <row r="120" s="285" customFormat="1"/>
    <row r="121" s="285" customFormat="1"/>
    <row r="122" s="285" customFormat="1"/>
    <row r="123" s="285" customFormat="1"/>
    <row r="124" s="285" customFormat="1"/>
    <row r="125" s="285" customFormat="1"/>
    <row r="126" s="285" customFormat="1"/>
    <row r="127" s="285" customFormat="1"/>
    <row r="128" s="285" customFormat="1"/>
    <row r="129" s="285" customFormat="1"/>
    <row r="130" s="285" customFormat="1"/>
    <row r="131" s="285" customFormat="1"/>
    <row r="132" s="285" customFormat="1"/>
    <row r="133" s="285" customFormat="1"/>
    <row r="134" s="285" customFormat="1"/>
    <row r="135" s="285" customFormat="1"/>
    <row r="136" s="285" customFormat="1"/>
    <row r="137" s="285" customFormat="1"/>
    <row r="138" s="285" customFormat="1"/>
    <row r="139" s="285" customFormat="1"/>
    <row r="140" s="285" customFormat="1"/>
    <row r="141" s="285" customFormat="1"/>
    <row r="142" s="285" customFormat="1"/>
    <row r="143" s="285" customFormat="1"/>
    <row r="144" s="285" customFormat="1"/>
    <row r="145" s="285" customFormat="1"/>
    <row r="146" s="285" customFormat="1"/>
    <row r="147" s="285" customFormat="1"/>
    <row r="148" s="285" customFormat="1"/>
    <row r="149" s="285" customFormat="1"/>
    <row r="150" s="285" customFormat="1"/>
    <row r="151" s="285" customFormat="1"/>
    <row r="152" s="285" customFormat="1"/>
    <row r="153" s="285" customFormat="1"/>
    <row r="154" s="285" customFormat="1"/>
    <row r="155" s="285" customFormat="1"/>
    <row r="156" s="285" customFormat="1"/>
    <row r="157" s="285" customFormat="1"/>
    <row r="158" s="285" customFormat="1"/>
    <row r="159" s="285" customFormat="1"/>
    <row r="160" s="285" customFormat="1"/>
    <row r="161" s="285" customFormat="1"/>
    <row r="162" s="285" customFormat="1"/>
    <row r="163" s="285" customFormat="1"/>
    <row r="164" s="285" customFormat="1"/>
    <row r="165" s="285" customFormat="1"/>
    <row r="166" s="285" customFormat="1"/>
    <row r="167" s="285" customFormat="1"/>
    <row r="168" s="285" customFormat="1"/>
    <row r="169" s="285" customFormat="1"/>
    <row r="170" s="285" customFormat="1"/>
    <row r="171" s="285" customFormat="1"/>
    <row r="172" s="285" customFormat="1"/>
    <row r="173" s="285" customFormat="1"/>
    <row r="174" s="285" customFormat="1"/>
    <row r="175" s="285" customFormat="1"/>
    <row r="176" s="285" customFormat="1"/>
    <row r="177" s="285" customFormat="1"/>
    <row r="178" s="285" customFormat="1"/>
    <row r="179" s="285" customFormat="1"/>
    <row r="180" s="285" customFormat="1"/>
    <row r="181" s="285" customFormat="1"/>
    <row r="182" s="285" customFormat="1"/>
    <row r="183" s="285" customFormat="1"/>
    <row r="184" s="285" customFormat="1"/>
    <row r="185" s="285" customFormat="1"/>
    <row r="186" s="285" customFormat="1"/>
    <row r="187" s="285" customFormat="1"/>
    <row r="188" s="285" customFormat="1"/>
    <row r="189" s="285" customFormat="1"/>
    <row r="190" s="285" customFormat="1"/>
    <row r="191" s="285" customFormat="1"/>
    <row r="192" s="285" customFormat="1"/>
    <row r="193" s="285" customFormat="1"/>
    <row r="194" s="285" customFormat="1"/>
    <row r="195" s="285" customFormat="1"/>
    <row r="196" s="285" customFormat="1"/>
    <row r="197" s="285" customFormat="1"/>
    <row r="198" s="285" customFormat="1"/>
    <row r="199" s="285" customFormat="1"/>
    <row r="200" s="285" customFormat="1"/>
    <row r="201" s="285" customFormat="1"/>
    <row r="202" s="285" customFormat="1"/>
    <row r="203" s="285" customFormat="1"/>
    <row r="204" s="285" customFormat="1"/>
    <row r="205" s="285" customFormat="1"/>
    <row r="206" s="285" customFormat="1"/>
    <row r="207" s="285" customFormat="1"/>
    <row r="208" s="285" customFormat="1"/>
    <row r="209" s="285" customFormat="1"/>
    <row r="210" s="285" customFormat="1"/>
    <row r="211" s="285" customFormat="1"/>
    <row r="212" s="285" customFormat="1"/>
    <row r="213" s="285" customFormat="1"/>
    <row r="214" s="285" customFormat="1"/>
    <row r="215" s="285" customFormat="1"/>
    <row r="216" s="285" customFormat="1"/>
    <row r="217" s="285" customFormat="1"/>
    <row r="218" s="285" customFormat="1"/>
    <row r="219" s="285" customFormat="1"/>
    <row r="220" s="285" customFormat="1"/>
    <row r="221" s="285" customFormat="1"/>
    <row r="222" s="285" customFormat="1"/>
    <row r="223" s="285" customFormat="1"/>
    <row r="224" s="285" customFormat="1"/>
    <row r="225" s="285" customFormat="1"/>
    <row r="226" s="285" customFormat="1"/>
    <row r="227" s="285" customFormat="1"/>
    <row r="228" s="285" customFormat="1"/>
    <row r="229" s="285" customFormat="1"/>
    <row r="230" s="285" customFormat="1"/>
    <row r="231" s="285" customFormat="1"/>
    <row r="232" s="285" customFormat="1"/>
    <row r="233" s="285" customFormat="1"/>
    <row r="234" s="285" customFormat="1"/>
    <row r="235" s="285" customFormat="1"/>
    <row r="236" s="285" customFormat="1"/>
    <row r="237" s="285" customFormat="1"/>
    <row r="238" s="285" customFormat="1"/>
    <row r="239" s="285" customFormat="1"/>
    <row r="240" s="285" customFormat="1"/>
    <row r="241" s="285" customFormat="1"/>
    <row r="242" s="285" customFormat="1"/>
    <row r="243" s="285" customFormat="1"/>
    <row r="244" s="285" customFormat="1"/>
    <row r="245" s="285" customFormat="1"/>
    <row r="246" s="285" customFormat="1"/>
    <row r="247" s="285" customFormat="1"/>
    <row r="248" s="285" customFormat="1"/>
    <row r="249" s="285" customFormat="1"/>
    <row r="250" s="285" customFormat="1"/>
    <row r="251" s="285" customFormat="1"/>
    <row r="252" s="285" customFormat="1"/>
    <row r="253" s="285" customFormat="1"/>
    <row r="254" s="285" customFormat="1"/>
    <row r="255" s="285" customFormat="1"/>
    <row r="256" s="285" customFormat="1"/>
    <row r="257" s="285" customFormat="1"/>
    <row r="258" s="285" customFormat="1"/>
    <row r="259" s="285" customFormat="1"/>
    <row r="260" s="285" customFormat="1"/>
    <row r="261" s="285" customFormat="1"/>
    <row r="262" s="285" customFormat="1"/>
    <row r="263" s="285" customFormat="1"/>
    <row r="264" s="285" customFormat="1"/>
    <row r="265" s="285" customFormat="1"/>
    <row r="266" s="285" customFormat="1"/>
    <row r="267" s="285" customFormat="1"/>
    <row r="268" s="285" customFormat="1"/>
    <row r="269" s="285" customFormat="1"/>
    <row r="270" s="285" customFormat="1"/>
    <row r="271" s="285" customFormat="1"/>
    <row r="272" s="285" customFormat="1"/>
    <row r="273" s="285" customFormat="1"/>
    <row r="274" s="285" customFormat="1"/>
    <row r="275" s="285" customFormat="1"/>
    <row r="276" s="285" customFormat="1"/>
    <row r="277" s="285" customFormat="1"/>
    <row r="278" s="285" customFormat="1"/>
    <row r="279" s="285" customFormat="1"/>
    <row r="280" s="285" customFormat="1"/>
    <row r="281" s="285" customFormat="1"/>
    <row r="282" s="285" customFormat="1"/>
    <row r="283" s="285" customFormat="1"/>
    <row r="284" s="285" customFormat="1"/>
    <row r="285" s="285" customFormat="1"/>
    <row r="286" s="285" customFormat="1"/>
    <row r="287" s="285" customFormat="1"/>
    <row r="288" s="285" customFormat="1"/>
    <row r="289" s="285" customFormat="1"/>
    <row r="290" s="285" customFormat="1"/>
    <row r="291" s="285" customFormat="1"/>
    <row r="292" s="285" customFormat="1"/>
    <row r="293" s="285" customFormat="1"/>
    <row r="294" s="285" customFormat="1"/>
    <row r="295" s="285" customFormat="1"/>
    <row r="296" s="285" customFormat="1"/>
    <row r="297" s="285" customFormat="1"/>
    <row r="298" s="285" customFormat="1"/>
    <row r="299" s="285" customFormat="1"/>
    <row r="300" s="285" customFormat="1"/>
    <row r="301" s="285" customFormat="1"/>
    <row r="302" s="285" customFormat="1"/>
    <row r="303" s="285" customFormat="1"/>
    <row r="304" s="285" customFormat="1"/>
    <row r="305" s="285" customFormat="1"/>
    <row r="306" s="285" customFormat="1"/>
    <row r="307" s="285" customFormat="1"/>
    <row r="308" s="285" customFormat="1"/>
    <row r="309" s="285" customFormat="1"/>
    <row r="310" s="285" customFormat="1"/>
    <row r="311" s="285" customFormat="1"/>
    <row r="312" s="285" customFormat="1"/>
    <row r="313" s="285" customFormat="1"/>
    <row r="314" s="285" customFormat="1"/>
    <row r="315" s="285" customFormat="1"/>
    <row r="316" s="285" customFormat="1"/>
    <row r="317" s="285" customFormat="1"/>
    <row r="318" s="285" customFormat="1"/>
    <row r="319" s="285" customFormat="1"/>
    <row r="320" s="285" customFormat="1"/>
    <row r="321" s="285" customFormat="1"/>
    <row r="322" s="285" customFormat="1"/>
    <row r="323" s="285" customFormat="1"/>
    <row r="324" s="285" customFormat="1"/>
    <row r="325" s="285" customFormat="1"/>
    <row r="326" s="285" customFormat="1"/>
    <row r="327" s="285" customFormat="1"/>
    <row r="328" s="285" customFormat="1"/>
    <row r="329" s="285" customFormat="1"/>
    <row r="330" s="285" customFormat="1"/>
    <row r="331" s="285" customFormat="1"/>
    <row r="332" s="285" customFormat="1"/>
    <row r="333" s="285" customFormat="1"/>
    <row r="334" s="285" customFormat="1"/>
    <row r="335" s="285" customFormat="1"/>
    <row r="336" s="285" customFormat="1"/>
    <row r="337" s="285" customFormat="1"/>
    <row r="338" s="285" customFormat="1"/>
    <row r="339" s="285" customFormat="1"/>
    <row r="340" s="285" customFormat="1"/>
    <row r="341" s="285" customFormat="1"/>
    <row r="342" s="285" customFormat="1"/>
    <row r="343" s="285" customFormat="1"/>
    <row r="344" s="285" customFormat="1"/>
    <row r="345" s="285" customFormat="1"/>
    <row r="346" s="285" customFormat="1"/>
    <row r="347" s="285" customFormat="1"/>
    <row r="348" s="285" customFormat="1"/>
    <row r="349" s="285" customFormat="1"/>
    <row r="350" s="285" customFormat="1"/>
    <row r="351" s="285" customFormat="1"/>
    <row r="352" s="285" customFormat="1"/>
    <row r="353" s="285" customFormat="1"/>
    <row r="354" s="285" customFormat="1"/>
    <row r="355" s="285" customFormat="1"/>
    <row r="356" s="285" customFormat="1"/>
    <row r="357" s="285" customFormat="1"/>
    <row r="358" s="285" customFormat="1"/>
    <row r="359" s="285" customFormat="1"/>
    <row r="360" s="285" customFormat="1"/>
    <row r="361" s="285" customFormat="1"/>
    <row r="362" s="285" customFormat="1"/>
    <row r="363" s="285" customFormat="1"/>
    <row r="364" s="285" customFormat="1"/>
    <row r="365" s="285" customFormat="1"/>
    <row r="366" s="285" customFormat="1"/>
    <row r="367" s="285" customFormat="1"/>
    <row r="368" s="285" customFormat="1"/>
    <row r="369" s="285" customFormat="1"/>
    <row r="370" s="285" customFormat="1"/>
    <row r="371" s="285" customFormat="1"/>
    <row r="372" s="285" customFormat="1"/>
    <row r="373" s="285" customFormat="1"/>
    <row r="374" s="285" customFormat="1"/>
    <row r="375" s="285" customFormat="1"/>
    <row r="376" s="285" customFormat="1"/>
    <row r="377" s="285" customFormat="1"/>
    <row r="378" s="285" customFormat="1"/>
    <row r="379" s="285" customFormat="1"/>
    <row r="380" s="285" customFormat="1"/>
    <row r="381" s="285" customFormat="1"/>
    <row r="382" s="285" customFormat="1"/>
    <row r="383" s="285" customFormat="1"/>
    <row r="384" s="285" customFormat="1"/>
    <row r="385" s="285" customFormat="1"/>
    <row r="386" s="285" customFormat="1"/>
    <row r="387" s="285" customFormat="1"/>
    <row r="388" s="285" customFormat="1"/>
    <row r="389" s="285" customFormat="1"/>
    <row r="390" s="285" customFormat="1"/>
    <row r="391" s="285" customFormat="1"/>
    <row r="392" s="285" customFormat="1"/>
    <row r="393" s="285" customFormat="1"/>
    <row r="394" s="285" customFormat="1"/>
    <row r="395" s="285" customFormat="1"/>
    <row r="396" s="285" customFormat="1"/>
    <row r="397" s="285" customFormat="1"/>
    <row r="398" s="285" customFormat="1"/>
    <row r="399" s="285" customFormat="1"/>
    <row r="400" s="285" customFormat="1"/>
    <row r="401" s="285" customFormat="1"/>
    <row r="402" s="285" customFormat="1"/>
    <row r="403" s="285" customFormat="1"/>
    <row r="404" s="285" customFormat="1"/>
    <row r="405" s="285" customFormat="1"/>
    <row r="406" s="285" customFormat="1"/>
    <row r="407" s="285" customFormat="1"/>
    <row r="408" s="285" customFormat="1"/>
    <row r="409" s="285" customFormat="1"/>
    <row r="410" s="285" customFormat="1"/>
    <row r="411" s="285" customFormat="1"/>
    <row r="412" s="285" customFormat="1"/>
    <row r="413" s="285" customFormat="1"/>
    <row r="414" s="285" customFormat="1"/>
    <row r="415" s="285" customFormat="1"/>
    <row r="416" s="285" customFormat="1"/>
    <row r="417" s="285" customFormat="1"/>
    <row r="418" s="285" customFormat="1"/>
    <row r="419" s="285" customFormat="1"/>
    <row r="420" s="285" customFormat="1"/>
    <row r="421" s="285" customFormat="1"/>
    <row r="422" s="285" customFormat="1"/>
    <row r="423" s="285" customFormat="1"/>
    <row r="424" s="285" customFormat="1"/>
    <row r="425" s="285" customFormat="1"/>
    <row r="426" s="285" customFormat="1"/>
    <row r="427" s="285" customFormat="1"/>
    <row r="428" s="285" customFormat="1"/>
    <row r="429" s="285" customFormat="1"/>
    <row r="430" s="285" customFormat="1"/>
    <row r="431" s="285" customFormat="1"/>
    <row r="432" s="285" customFormat="1"/>
    <row r="433" s="285" customFormat="1"/>
    <row r="434" s="285" customFormat="1"/>
    <row r="435" s="285" customFormat="1"/>
    <row r="436" s="285" customFormat="1"/>
    <row r="437" s="285" customFormat="1"/>
    <row r="438" s="285" customFormat="1"/>
    <row r="439" s="285" customFormat="1"/>
    <row r="440" s="285" customFormat="1"/>
    <row r="441" s="285" customFormat="1"/>
    <row r="442" s="285" customFormat="1"/>
    <row r="443" s="285" customFormat="1"/>
    <row r="444" s="285" customFormat="1"/>
    <row r="445" s="285" customFormat="1"/>
    <row r="446" s="285" customFormat="1"/>
    <row r="447" s="285" customFormat="1"/>
    <row r="448" s="285" customFormat="1"/>
    <row r="449" s="285" customFormat="1"/>
    <row r="450" s="285" customFormat="1"/>
    <row r="451" s="285" customFormat="1"/>
    <row r="452" s="285" customFormat="1"/>
    <row r="453" s="285" customFormat="1"/>
    <row r="454" s="285" customFormat="1"/>
    <row r="455" s="285" customFormat="1"/>
    <row r="456" s="285" customFormat="1"/>
    <row r="457" s="285" customFormat="1"/>
    <row r="458" s="285" customFormat="1"/>
    <row r="459" s="285" customFormat="1"/>
    <row r="460" s="285" customFormat="1"/>
    <row r="461" s="285" customFormat="1"/>
    <row r="462" s="285" customFormat="1"/>
    <row r="463" s="285" customFormat="1"/>
    <row r="464" s="285" customFormat="1"/>
    <row r="465" s="285" customFormat="1"/>
    <row r="466" s="285" customFormat="1"/>
    <row r="467" s="285" customFormat="1"/>
    <row r="468" s="285" customFormat="1"/>
    <row r="469" s="285" customFormat="1"/>
    <row r="470" s="285" customFormat="1"/>
    <row r="471" s="285" customFormat="1"/>
    <row r="472" s="285" customFormat="1"/>
    <row r="473" s="285" customFormat="1"/>
    <row r="474" s="285" customFormat="1"/>
    <row r="475" s="285" customFormat="1"/>
    <row r="476" s="285" customFormat="1"/>
    <row r="477" s="285" customFormat="1"/>
    <row r="478" s="285" customFormat="1"/>
    <row r="479" s="285" customFormat="1"/>
    <row r="480" s="285" customFormat="1"/>
    <row r="481" s="285" customFormat="1"/>
    <row r="482" s="285" customFormat="1"/>
    <row r="483" s="285" customFormat="1"/>
    <row r="484" s="285" customFormat="1"/>
    <row r="485" s="285" customFormat="1"/>
    <row r="486" s="285" customFormat="1"/>
    <row r="487" s="285" customFormat="1"/>
    <row r="488" s="285" customFormat="1"/>
    <row r="489" s="285" customFormat="1"/>
    <row r="490" s="285" customFormat="1"/>
    <row r="491" s="285" customFormat="1"/>
    <row r="492" s="285" customFormat="1"/>
    <row r="493" s="285" customFormat="1"/>
    <row r="494" s="285" customFormat="1"/>
    <row r="495" s="285" customFormat="1"/>
    <row r="496" s="285" customFormat="1"/>
    <row r="497" s="285" customFormat="1"/>
    <row r="498" s="285" customFormat="1"/>
    <row r="499" s="285" customFormat="1"/>
    <row r="500" s="285" customFormat="1"/>
    <row r="501" s="285" customFormat="1"/>
    <row r="502" s="285" customFormat="1"/>
    <row r="503" s="285" customFormat="1"/>
    <row r="504" s="285" customFormat="1"/>
    <row r="505" s="285" customFormat="1"/>
    <row r="506" s="285" customFormat="1"/>
    <row r="507" s="285" customFormat="1"/>
    <row r="508" s="285" customFormat="1"/>
    <row r="509" s="285" customFormat="1"/>
    <row r="510" s="285" customFormat="1"/>
    <row r="511" s="285" customFormat="1"/>
    <row r="512" s="285" customFormat="1"/>
    <row r="513" s="285" customFormat="1"/>
    <row r="514" s="285" customFormat="1"/>
    <row r="515" s="285" customFormat="1"/>
    <row r="516" s="285" customFormat="1"/>
    <row r="517" s="285" customFormat="1"/>
    <row r="518" s="285" customFormat="1"/>
    <row r="519" s="285" customFormat="1"/>
    <row r="520" s="285" customFormat="1"/>
    <row r="521" s="285" customFormat="1"/>
    <row r="522" s="285" customFormat="1"/>
    <row r="523" s="285" customFormat="1"/>
    <row r="524" s="285" customFormat="1"/>
    <row r="525" s="285" customFormat="1"/>
    <row r="526" s="285" customFormat="1"/>
    <row r="527" s="285" customFormat="1"/>
    <row r="528" s="285" customFormat="1"/>
    <row r="529" s="285" customFormat="1"/>
    <row r="530" s="285" customFormat="1"/>
    <row r="531" s="285" customFormat="1"/>
    <row r="532" s="285" customFormat="1"/>
    <row r="533" s="285" customFormat="1"/>
    <row r="534" s="285" customFormat="1"/>
    <row r="535" s="285" customFormat="1"/>
    <row r="536" s="285" customFormat="1"/>
    <row r="537" s="285" customFormat="1"/>
    <row r="538" s="285" customFormat="1"/>
    <row r="539" s="285" customFormat="1"/>
    <row r="540" s="285" customFormat="1"/>
    <row r="541" s="285" customFormat="1"/>
    <row r="542" s="285" customFormat="1"/>
    <row r="543" s="285" customFormat="1"/>
    <row r="544" s="285" customFormat="1"/>
    <row r="545" s="285" customFormat="1"/>
    <row r="546" s="285" customFormat="1"/>
    <row r="547" s="285" customFormat="1"/>
    <row r="548" s="285" customFormat="1"/>
    <row r="549" s="285" customFormat="1"/>
    <row r="550" s="285" customFormat="1"/>
    <row r="551" s="285" customFormat="1"/>
    <row r="552" s="285" customFormat="1"/>
    <row r="553" s="285" customFormat="1"/>
    <row r="554" s="285" customFormat="1"/>
    <row r="555" s="285" customFormat="1"/>
    <row r="556" s="285" customFormat="1"/>
    <row r="557" s="285" customFormat="1"/>
    <row r="558" s="285" customFormat="1"/>
    <row r="559" s="285" customFormat="1"/>
    <row r="560" s="285" customFormat="1"/>
    <row r="561" s="285" customFormat="1"/>
    <row r="562" s="285" customFormat="1"/>
    <row r="563" s="285" customFormat="1"/>
    <row r="564" s="285" customFormat="1"/>
    <row r="565" s="285" customFormat="1"/>
    <row r="566" s="285" customFormat="1"/>
    <row r="567" s="285" customFormat="1"/>
    <row r="568" s="285" customFormat="1"/>
    <row r="569" s="285" customFormat="1"/>
    <row r="570" s="285" customFormat="1"/>
    <row r="571" s="285" customFormat="1"/>
    <row r="572" s="285" customFormat="1"/>
    <row r="573" s="285" customFormat="1"/>
    <row r="574" s="285" customFormat="1"/>
    <row r="575" s="285" customFormat="1"/>
    <row r="576" s="285" customFormat="1"/>
    <row r="577" s="285" customFormat="1"/>
    <row r="578" s="285" customFormat="1"/>
    <row r="579" s="285" customFormat="1"/>
    <row r="580" s="285" customFormat="1"/>
    <row r="581" s="285" customFormat="1"/>
    <row r="582" s="285" customFormat="1"/>
    <row r="583" s="285" customFormat="1"/>
    <row r="584" s="285" customFormat="1"/>
    <row r="585" s="285" customFormat="1"/>
    <row r="586" s="285" customFormat="1"/>
    <row r="587" s="285" customFormat="1"/>
    <row r="588" s="285" customFormat="1"/>
    <row r="589" s="285" customFormat="1"/>
    <row r="590" s="285" customFormat="1"/>
    <row r="591" s="285" customFormat="1"/>
    <row r="592" s="285" customFormat="1"/>
    <row r="593" s="285" customFormat="1"/>
    <row r="594" s="285" customFormat="1"/>
    <row r="595" s="285" customFormat="1"/>
    <row r="596" s="285" customFormat="1"/>
    <row r="597" s="285" customFormat="1"/>
    <row r="598" s="285" customFormat="1"/>
    <row r="599" s="285" customFormat="1"/>
    <row r="600" s="285" customFormat="1"/>
    <row r="601" s="285" customFormat="1"/>
    <row r="602" s="285" customFormat="1"/>
    <row r="603" s="285" customFormat="1"/>
    <row r="604" s="285" customFormat="1"/>
    <row r="605" s="285" customFormat="1"/>
    <row r="606" s="285" customFormat="1"/>
    <row r="607" s="285" customFormat="1"/>
    <row r="608" s="285" customFormat="1"/>
    <row r="609" s="285" customFormat="1"/>
    <row r="610" s="285" customFormat="1"/>
    <row r="611" s="285" customFormat="1"/>
    <row r="612" s="285" customFormat="1"/>
    <row r="613" s="285" customFormat="1"/>
    <row r="614" s="285" customFormat="1"/>
    <row r="615" s="285" customFormat="1"/>
    <row r="616" s="285" customFormat="1"/>
    <row r="617" s="285" customFormat="1"/>
    <row r="618" s="285" customFormat="1"/>
    <row r="619" s="285" customFormat="1"/>
    <row r="620" s="285" customFormat="1"/>
    <row r="621" s="285" customFormat="1"/>
    <row r="622" s="285" customFormat="1"/>
    <row r="623" s="285" customFormat="1"/>
    <row r="624" s="285" customFormat="1"/>
    <row r="625" s="285" customFormat="1"/>
    <row r="626" s="285" customFormat="1"/>
    <row r="627" s="285" customFormat="1"/>
    <row r="628" s="285" customFormat="1"/>
    <row r="629" s="285" customFormat="1"/>
    <row r="630" s="285" customFormat="1"/>
    <row r="631" s="285" customFormat="1"/>
    <row r="632" s="285" customFormat="1"/>
    <row r="633" s="285" customFormat="1"/>
    <row r="634" s="285" customFormat="1"/>
    <row r="635" s="285" customFormat="1"/>
    <row r="636" s="285" customFormat="1"/>
    <row r="637" s="285" customFormat="1"/>
    <row r="638" s="285" customFormat="1"/>
    <row r="639" s="285" customFormat="1"/>
    <row r="640" s="285" customFormat="1"/>
    <row r="641" s="285" customFormat="1"/>
    <row r="642" s="285" customFormat="1"/>
    <row r="643" s="285" customFormat="1"/>
    <row r="644" s="285" customFormat="1"/>
    <row r="645" s="285" customFormat="1"/>
    <row r="646" s="285" customFormat="1"/>
    <row r="647" s="285" customFormat="1"/>
    <row r="648" s="285" customFormat="1"/>
    <row r="649" s="285" customFormat="1"/>
    <row r="650" s="285" customFormat="1"/>
    <row r="651" s="285" customFormat="1"/>
    <row r="652" s="285" customFormat="1"/>
    <row r="653" s="285" customFormat="1"/>
    <row r="654" s="285" customFormat="1"/>
    <row r="655" s="285" customFormat="1"/>
    <row r="656" s="285" customFormat="1"/>
    <row r="657" s="285" customFormat="1"/>
    <row r="658" s="285" customFormat="1"/>
    <row r="659" s="285" customFormat="1"/>
    <row r="660" s="285" customFormat="1"/>
    <row r="661" s="285" customFormat="1"/>
    <row r="662" s="285" customFormat="1"/>
    <row r="663" s="285" customFormat="1"/>
    <row r="664" s="285" customFormat="1"/>
    <row r="665" s="285" customFormat="1"/>
    <row r="666" s="285" customFormat="1"/>
    <row r="667" s="285" customFormat="1"/>
    <row r="668" s="285" customFormat="1"/>
    <row r="669" s="285" customFormat="1"/>
    <row r="670" s="285" customFormat="1"/>
    <row r="671" s="285" customFormat="1"/>
    <row r="672" s="285" customFormat="1"/>
    <row r="673" s="285" customFormat="1"/>
    <row r="674" s="285" customFormat="1"/>
    <row r="675" s="285" customFormat="1"/>
    <row r="676" s="285" customFormat="1"/>
    <row r="677" s="285" customFormat="1"/>
    <row r="678" s="285" customFormat="1"/>
    <row r="679" s="285" customFormat="1"/>
    <row r="680" s="285" customFormat="1"/>
    <row r="681" s="285" customFormat="1"/>
    <row r="682" s="285" customFormat="1"/>
    <row r="683" s="285" customFormat="1"/>
    <row r="684" s="285" customFormat="1"/>
    <row r="685" s="285" customFormat="1"/>
    <row r="686" s="285" customFormat="1"/>
    <row r="687" s="285" customFormat="1"/>
    <row r="688" s="285" customFormat="1"/>
    <row r="689" s="285" customFormat="1"/>
    <row r="690" s="285" customFormat="1"/>
    <row r="691" s="285" customFormat="1"/>
    <row r="692" s="285" customFormat="1"/>
    <row r="693" s="285" customFormat="1"/>
    <row r="694" s="285" customFormat="1"/>
    <row r="695" s="285" customFormat="1"/>
    <row r="696" s="285" customFormat="1"/>
    <row r="697" s="285" customFormat="1"/>
    <row r="698" s="285" customFormat="1"/>
    <row r="699" s="285" customFormat="1"/>
    <row r="700" s="285" customFormat="1"/>
    <row r="701" s="285" customFormat="1"/>
    <row r="702" s="285" customFormat="1"/>
    <row r="703" s="285" customFormat="1"/>
    <row r="704" s="285" customFormat="1"/>
    <row r="705" s="285" customFormat="1"/>
    <row r="706" s="285" customFormat="1"/>
    <row r="707" s="285" customFormat="1"/>
    <row r="708" s="285" customFormat="1"/>
    <row r="709" s="285" customFormat="1"/>
    <row r="710" s="285" customFormat="1"/>
    <row r="711" s="285" customFormat="1"/>
    <row r="712" s="285" customFormat="1"/>
    <row r="713" s="285" customFormat="1"/>
    <row r="714" s="285" customFormat="1"/>
    <row r="715" s="285" customFormat="1"/>
    <row r="716" s="285" customFormat="1"/>
    <row r="717" s="285" customFormat="1"/>
    <row r="718" s="285" customFormat="1"/>
    <row r="719" s="285" customFormat="1"/>
    <row r="720" s="285" customFormat="1"/>
    <row r="721" s="285" customFormat="1"/>
    <row r="722" s="285" customFormat="1"/>
    <row r="723" s="285" customFormat="1"/>
    <row r="724" s="285" customFormat="1"/>
    <row r="725" s="285" customFormat="1"/>
    <row r="726" s="285" customFormat="1"/>
    <row r="727" s="285" customFormat="1"/>
    <row r="728" s="285" customFormat="1"/>
    <row r="729" s="285" customFormat="1"/>
    <row r="730" s="285" customFormat="1"/>
    <row r="731" s="285" customFormat="1"/>
    <row r="732" s="285" customFormat="1"/>
    <row r="733" s="285" customFormat="1"/>
    <row r="734" s="285" customFormat="1"/>
    <row r="735" s="285" customFormat="1"/>
    <row r="736" s="285" customFormat="1"/>
    <row r="737" s="285" customFormat="1"/>
    <row r="738" s="285" customFormat="1"/>
    <row r="739" s="285" customFormat="1"/>
    <row r="740" s="285" customFormat="1"/>
    <row r="741" s="285" customFormat="1"/>
    <row r="742" s="285" customFormat="1"/>
    <row r="743" s="285" customFormat="1"/>
    <row r="744" s="285" customFormat="1"/>
    <row r="745" s="285" customFormat="1"/>
    <row r="746" s="285" customFormat="1"/>
    <row r="747" s="285" customFormat="1"/>
    <row r="748" s="285" customFormat="1"/>
    <row r="749" s="285" customFormat="1"/>
    <row r="750" s="285" customFormat="1"/>
    <row r="751" s="285" customFormat="1"/>
    <row r="752" s="285" customFormat="1"/>
    <row r="753" s="285" customFormat="1"/>
    <row r="754" s="285" customFormat="1"/>
    <row r="755" s="285" customFormat="1"/>
    <row r="756" s="285" customFormat="1"/>
    <row r="757" s="285" customFormat="1"/>
    <row r="758" s="285" customFormat="1"/>
    <row r="759" s="285" customFormat="1"/>
    <row r="760" s="285" customFormat="1"/>
    <row r="761" s="285" customFormat="1"/>
    <row r="762" s="285" customFormat="1"/>
    <row r="763" s="285" customFormat="1"/>
    <row r="764" s="285" customFormat="1"/>
    <row r="765" s="285" customFormat="1"/>
    <row r="766" s="285" customFormat="1"/>
    <row r="767" s="285" customFormat="1"/>
    <row r="768" s="285" customFormat="1"/>
    <row r="769" s="285" customFormat="1"/>
    <row r="770" s="285" customFormat="1"/>
    <row r="771" s="285" customFormat="1"/>
    <row r="772" s="285" customFormat="1"/>
    <row r="773" s="285" customFormat="1"/>
    <row r="774" s="285" customFormat="1"/>
    <row r="775" s="285" customFormat="1"/>
    <row r="776" s="285" customFormat="1"/>
    <row r="777" s="285" customFormat="1"/>
    <row r="778" s="285" customFormat="1"/>
    <row r="779" s="285" customFormat="1"/>
    <row r="780" s="285" customFormat="1"/>
    <row r="781" s="285" customFormat="1"/>
    <row r="782" s="285" customFormat="1"/>
    <row r="783" s="285" customFormat="1"/>
    <row r="784" s="285" customFormat="1"/>
    <row r="785" s="285" customFormat="1"/>
    <row r="786" s="285" customFormat="1"/>
    <row r="787" s="285" customFormat="1"/>
    <row r="788" s="285" customFormat="1"/>
    <row r="789" s="285" customFormat="1"/>
    <row r="790" s="285" customFormat="1"/>
    <row r="791" s="285" customFormat="1"/>
    <row r="792" s="285" customFormat="1"/>
    <row r="793" s="285" customFormat="1"/>
    <row r="794" s="285" customFormat="1"/>
    <row r="795" s="285" customFormat="1"/>
    <row r="796" s="285" customFormat="1"/>
    <row r="797" s="285" customFormat="1"/>
    <row r="798" s="285" customFormat="1"/>
    <row r="799" s="285" customFormat="1"/>
    <row r="800" s="285" customFormat="1"/>
    <row r="801" s="285" customFormat="1"/>
    <row r="802" s="285" customFormat="1"/>
    <row r="803" s="285" customFormat="1"/>
    <row r="804" s="285" customFormat="1"/>
    <row r="805" s="285" customFormat="1"/>
    <row r="806" s="285" customFormat="1"/>
    <row r="807" s="285" customFormat="1"/>
    <row r="808" s="285" customFormat="1"/>
    <row r="809" s="285" customFormat="1"/>
    <row r="810" s="285" customFormat="1"/>
    <row r="811" s="285" customFormat="1"/>
    <row r="812" s="285" customFormat="1"/>
    <row r="813" s="285" customFormat="1"/>
    <row r="814" s="285" customFormat="1"/>
    <row r="815" s="285" customFormat="1"/>
    <row r="816" s="285" customFormat="1"/>
    <row r="817" s="285" customFormat="1"/>
    <row r="818" s="285" customFormat="1"/>
    <row r="819" s="285" customFormat="1"/>
    <row r="820" s="285" customFormat="1"/>
    <row r="821" s="285" customFormat="1"/>
    <row r="822" s="285" customFormat="1"/>
    <row r="823" s="285" customFormat="1"/>
    <row r="824" s="285" customFormat="1"/>
    <row r="825" s="285" customFormat="1"/>
    <row r="826" s="285" customFormat="1"/>
    <row r="827" s="285" customFormat="1"/>
    <row r="828" s="285" customFormat="1"/>
    <row r="829" s="285" customFormat="1"/>
    <row r="830" s="285" customFormat="1"/>
    <row r="831" s="285" customFormat="1"/>
    <row r="832" s="285" customFormat="1"/>
    <row r="833" s="285" customFormat="1"/>
    <row r="834" s="285" customFormat="1"/>
    <row r="835" s="285" customFormat="1"/>
    <row r="836" s="285" customFormat="1"/>
    <row r="837" s="285" customFormat="1"/>
    <row r="838" s="285" customFormat="1"/>
    <row r="839" s="285" customFormat="1"/>
    <row r="840" s="285" customFormat="1"/>
    <row r="841" s="285" customFormat="1"/>
    <row r="842" s="285" customFormat="1"/>
    <row r="843" s="285" customFormat="1"/>
    <row r="844" s="285" customFormat="1"/>
    <row r="845" s="285" customFormat="1"/>
    <row r="846" s="285" customFormat="1"/>
    <row r="847" s="285" customFormat="1"/>
    <row r="848" s="285" customFormat="1"/>
    <row r="849" s="285" customFormat="1"/>
    <row r="850" s="285" customFormat="1"/>
    <row r="851" s="285" customFormat="1"/>
    <row r="852" s="285" customFormat="1"/>
    <row r="853" s="285" customFormat="1"/>
    <row r="854" s="285" customFormat="1"/>
    <row r="855" s="285" customFormat="1"/>
    <row r="856" s="285" customFormat="1"/>
    <row r="857" s="285" customFormat="1"/>
    <row r="858" s="285" customFormat="1"/>
    <row r="859" s="285" customFormat="1"/>
    <row r="860" s="285" customFormat="1"/>
    <row r="861" s="285" customFormat="1"/>
    <row r="862" s="285" customFormat="1"/>
    <row r="863" s="285" customFormat="1"/>
    <row r="864" s="285" customFormat="1"/>
    <row r="865" s="285" customFormat="1"/>
    <row r="866" s="285" customFormat="1"/>
    <row r="867" s="285" customFormat="1"/>
    <row r="868" s="285" customFormat="1"/>
    <row r="869" s="285" customFormat="1"/>
    <row r="870" s="285" customFormat="1"/>
    <row r="871" s="285" customFormat="1"/>
    <row r="872" s="285" customFormat="1"/>
    <row r="873" s="285" customFormat="1"/>
    <row r="874" s="285" customFormat="1"/>
    <row r="875" s="285" customFormat="1"/>
    <row r="876" s="285" customFormat="1"/>
    <row r="877" s="285" customFormat="1"/>
    <row r="878" s="285" customFormat="1"/>
    <row r="879" s="285" customFormat="1"/>
    <row r="880" s="285" customFormat="1"/>
    <row r="881" s="285" customFormat="1"/>
    <row r="882" s="285" customFormat="1"/>
    <row r="883" s="285" customFormat="1"/>
    <row r="884" s="285" customFormat="1"/>
    <row r="885" s="285" customFormat="1"/>
    <row r="886" s="285" customFormat="1"/>
    <row r="887" s="285" customFormat="1"/>
    <row r="888" s="285" customFormat="1"/>
    <row r="889" s="285" customFormat="1"/>
    <row r="890" s="285" customFormat="1"/>
    <row r="891" s="285" customFormat="1"/>
    <row r="892" s="285" customFormat="1"/>
    <row r="893" s="285" customFormat="1"/>
    <row r="894" s="285" customFormat="1"/>
    <row r="895" s="285" customFormat="1"/>
    <row r="896" s="285" customFormat="1"/>
    <row r="897" s="285" customFormat="1"/>
    <row r="898" s="285" customFormat="1"/>
    <row r="899" s="285" customFormat="1"/>
    <row r="900" s="285" customFormat="1"/>
    <row r="901" s="285" customFormat="1"/>
    <row r="902" s="285" customFormat="1"/>
    <row r="903" s="285" customFormat="1"/>
    <row r="904" s="285" customFormat="1"/>
    <row r="905" s="285" customFormat="1"/>
    <row r="906" s="285" customFormat="1"/>
    <row r="907" s="285" customFormat="1"/>
    <row r="908" s="285" customFormat="1"/>
    <row r="909" s="285" customFormat="1"/>
    <row r="910" s="285" customFormat="1"/>
    <row r="911" s="285" customFormat="1"/>
    <row r="912" s="285" customFormat="1"/>
    <row r="913" s="285" customFormat="1"/>
    <row r="914" s="285" customFormat="1"/>
    <row r="915" s="285" customFormat="1"/>
    <row r="916" s="285" customFormat="1"/>
    <row r="917" s="285" customFormat="1"/>
    <row r="918" s="285" customFormat="1"/>
    <row r="919" s="285" customFormat="1"/>
    <row r="920" s="285" customFormat="1"/>
    <row r="921" s="285" customFormat="1"/>
    <row r="922" s="285" customFormat="1"/>
    <row r="923" s="285" customFormat="1"/>
    <row r="924" s="285" customFormat="1"/>
    <row r="925" s="285" customFormat="1"/>
    <row r="926" s="285" customFormat="1"/>
    <row r="927" s="285" customFormat="1"/>
    <row r="928" s="285" customFormat="1"/>
    <row r="929" s="285" customFormat="1"/>
    <row r="930" s="285" customFormat="1"/>
    <row r="931" s="285" customFormat="1"/>
    <row r="932" s="285" customFormat="1"/>
    <row r="933" s="285" customFormat="1"/>
    <row r="934" s="285" customFormat="1"/>
    <row r="935" s="285" customFormat="1"/>
    <row r="936" s="285" customFormat="1"/>
    <row r="937" s="285" customFormat="1"/>
    <row r="938" s="285" customFormat="1"/>
    <row r="939" s="285" customFormat="1"/>
    <row r="940" s="285" customFormat="1"/>
    <row r="941" s="285" customFormat="1"/>
    <row r="942" s="285" customFormat="1"/>
    <row r="943" s="285" customFormat="1"/>
    <row r="944" s="285" customFormat="1"/>
    <row r="945" s="285" customFormat="1"/>
    <row r="946" s="285" customFormat="1"/>
    <row r="947" s="285" customFormat="1"/>
    <row r="948" s="285" customFormat="1"/>
    <row r="949" s="285" customFormat="1"/>
    <row r="950" s="285" customFormat="1"/>
    <row r="951" s="285" customFormat="1"/>
    <row r="952" s="285" customFormat="1"/>
    <row r="953" s="285" customFormat="1"/>
    <row r="954" s="285" customFormat="1"/>
    <row r="955" s="285" customFormat="1"/>
    <row r="956" s="285" customFormat="1"/>
    <row r="957" s="285" customFormat="1"/>
    <row r="958" s="285" customFormat="1"/>
    <row r="959" s="285" customFormat="1"/>
    <row r="960" s="285" customFormat="1"/>
    <row r="961" s="285" customFormat="1"/>
    <row r="962" s="285" customFormat="1"/>
    <row r="963" s="285" customFormat="1"/>
    <row r="964" s="285" customFormat="1"/>
    <row r="965" s="285" customFormat="1"/>
    <row r="966" s="285" customFormat="1"/>
    <row r="967" s="285" customFormat="1"/>
    <row r="968" s="285" customFormat="1"/>
    <row r="969" s="285" customFormat="1"/>
    <row r="970" s="285" customFormat="1"/>
    <row r="971" s="285" customFormat="1"/>
    <row r="972" s="285" customFormat="1"/>
    <row r="973" s="285" customFormat="1"/>
    <row r="974" s="285" customFormat="1"/>
    <row r="975" s="285" customFormat="1"/>
    <row r="976" s="285" customFormat="1"/>
    <row r="977" s="285" customFormat="1"/>
    <row r="978" s="285" customFormat="1"/>
    <row r="979" s="285" customFormat="1"/>
    <row r="980" s="285" customFormat="1"/>
    <row r="981" s="285" customFormat="1"/>
    <row r="982" s="285" customFormat="1"/>
    <row r="983" s="285" customFormat="1"/>
    <row r="984" s="285" customFormat="1"/>
    <row r="985" s="285" customFormat="1"/>
    <row r="986" s="285" customFormat="1"/>
    <row r="987" s="285" customFormat="1"/>
    <row r="988" s="285" customFormat="1"/>
    <row r="989" s="285" customFormat="1"/>
    <row r="990" s="285" customFormat="1"/>
    <row r="991" s="285" customFormat="1"/>
    <row r="992" s="285" customFormat="1"/>
    <row r="993" s="285" customFormat="1"/>
    <row r="994" s="285" customFormat="1"/>
    <row r="995" s="285" customFormat="1"/>
    <row r="996" s="285" customFormat="1"/>
    <row r="997" s="285" customFormat="1"/>
    <row r="998" s="285" customFormat="1"/>
    <row r="999" s="285" customFormat="1"/>
    <row r="1000" s="285" customFormat="1"/>
    <row r="1001" s="285" customFormat="1"/>
    <row r="1002" s="285" customFormat="1"/>
    <row r="1003" s="285" customFormat="1"/>
    <row r="1004" s="285" customFormat="1"/>
    <row r="1005" s="285" customFormat="1"/>
    <row r="1006" s="285" customFormat="1"/>
    <row r="1007" s="285" customFormat="1"/>
    <row r="1008" s="285" customFormat="1"/>
    <row r="1009" s="285" customFormat="1"/>
    <row r="1010" s="285" customFormat="1"/>
    <row r="1011" s="285" customFormat="1"/>
    <row r="1012" s="285" customFormat="1"/>
    <row r="1013" s="285" customFormat="1"/>
    <row r="1014" s="285" customFormat="1"/>
    <row r="1015" s="285" customFormat="1"/>
    <row r="1016" s="285" customFormat="1"/>
    <row r="1017" s="285" customFormat="1"/>
    <row r="1018" s="285" customFormat="1"/>
    <row r="1019" s="285" customFormat="1"/>
    <row r="1020" s="285" customFormat="1"/>
    <row r="1021" s="285" customFormat="1"/>
    <row r="1022" s="285" customFormat="1"/>
    <row r="1023" s="285" customFormat="1"/>
    <row r="1024" s="285" customFormat="1"/>
    <row r="1025" s="285" customFormat="1"/>
    <row r="1026" s="285" customFormat="1"/>
    <row r="1027" s="285" customFormat="1"/>
    <row r="1028" s="285" customFormat="1"/>
    <row r="1029" s="285" customFormat="1"/>
    <row r="1030" s="285" customFormat="1"/>
    <row r="1031" s="285" customFormat="1"/>
    <row r="1032" s="285" customFormat="1"/>
    <row r="1033" s="285" customFormat="1"/>
    <row r="1034" s="285" customFormat="1"/>
    <row r="1035" s="285" customFormat="1"/>
    <row r="1036" s="285" customFormat="1"/>
    <row r="1037" s="285" customFormat="1"/>
    <row r="1038" s="285" customFormat="1"/>
    <row r="1039" s="285" customFormat="1"/>
    <row r="1040" s="285" customFormat="1"/>
    <row r="1041" s="285" customFormat="1"/>
    <row r="1042" s="285" customFormat="1"/>
    <row r="1043" s="285" customFormat="1"/>
    <row r="1044" s="285" customFormat="1"/>
    <row r="1045" s="285" customFormat="1"/>
    <row r="1046" s="285" customFormat="1"/>
    <row r="1047" s="285" customFormat="1"/>
    <row r="1048" s="285" customFormat="1"/>
    <row r="1049" s="285" customFormat="1"/>
    <row r="1050" s="285" customFormat="1"/>
    <row r="1051" s="285" customFormat="1"/>
    <row r="1052" s="285" customFormat="1"/>
    <row r="1053" s="285" customFormat="1"/>
    <row r="1054" s="285" customFormat="1"/>
    <row r="1055" s="285" customFormat="1"/>
    <row r="1056" s="285" customFormat="1"/>
    <row r="1057" s="285" customFormat="1"/>
    <row r="1058" s="285" customFormat="1"/>
    <row r="1059" s="285" customFormat="1"/>
    <row r="1060" s="285" customFormat="1"/>
    <row r="1061" s="285" customFormat="1"/>
    <row r="1062" s="285" customFormat="1"/>
    <row r="1063" s="285" customFormat="1"/>
    <row r="1064" s="285" customFormat="1"/>
    <row r="1065" s="285" customFormat="1"/>
    <row r="1066" s="285" customFormat="1"/>
    <row r="1067" s="285" customFormat="1"/>
    <row r="1068" s="285" customFormat="1"/>
    <row r="1069" s="285" customFormat="1"/>
    <row r="1070" s="285" customFormat="1"/>
    <row r="1071" s="285" customFormat="1"/>
    <row r="1072" s="285" customFormat="1"/>
    <row r="1073" s="285" customFormat="1"/>
    <row r="1074" s="285" customFormat="1"/>
    <row r="1075" s="285" customFormat="1"/>
    <row r="1076" s="285" customFormat="1"/>
    <row r="1077" s="285" customFormat="1"/>
    <row r="1078" s="285" customFormat="1"/>
    <row r="1079" s="285" customFormat="1"/>
    <row r="1080" s="285" customFormat="1"/>
    <row r="1081" s="285" customFormat="1"/>
    <row r="1082" s="285" customFormat="1"/>
    <row r="1083" s="285" customFormat="1"/>
    <row r="1084" s="285" customFormat="1"/>
    <row r="1085" s="285" customFormat="1"/>
    <row r="1086" s="285" customFormat="1"/>
    <row r="1087" s="285" customFormat="1"/>
    <row r="1088" s="285" customFormat="1"/>
    <row r="1089" s="285" customFormat="1"/>
    <row r="1090" s="285" customFormat="1"/>
    <row r="1091" s="285" customFormat="1"/>
    <row r="1092" s="285" customFormat="1"/>
    <row r="1093" s="285" customFormat="1"/>
    <row r="1094" s="285" customFormat="1"/>
    <row r="1095" s="285" customFormat="1"/>
    <row r="1096" s="285" customFormat="1"/>
    <row r="1097" s="285" customFormat="1"/>
    <row r="1098" s="285" customFormat="1"/>
    <row r="1099" s="285" customFormat="1"/>
    <row r="1100" s="285" customFormat="1"/>
    <row r="1101" s="285" customFormat="1"/>
    <row r="1102" s="285" customFormat="1"/>
    <row r="1103" s="285" customFormat="1"/>
    <row r="1104" s="285" customFormat="1"/>
    <row r="1105" s="285" customFormat="1"/>
    <row r="1106" s="285" customFormat="1"/>
    <row r="1107" s="285" customFormat="1"/>
    <row r="1108" s="285" customFormat="1"/>
    <row r="1109" s="285" customFormat="1"/>
    <row r="1110" s="285" customFormat="1"/>
    <row r="1111" s="285" customFormat="1"/>
    <row r="1112" s="285" customFormat="1"/>
    <row r="1113" s="285" customFormat="1"/>
    <row r="1114" s="285" customFormat="1"/>
    <row r="1115" s="285" customFormat="1"/>
    <row r="1116" s="285" customFormat="1"/>
    <row r="1117" s="285" customFormat="1"/>
    <row r="1118" s="285" customFormat="1"/>
    <row r="1119" s="285" customFormat="1"/>
    <row r="1120" s="285" customFormat="1"/>
    <row r="1121" s="285" customFormat="1"/>
    <row r="1122" s="285" customFormat="1"/>
    <row r="1123" s="285" customFormat="1"/>
    <row r="1124" s="285" customFormat="1"/>
    <row r="1125" s="285" customFormat="1"/>
    <row r="1126" s="285" customFormat="1"/>
    <row r="1127" s="285" customFormat="1"/>
    <row r="1128" s="285" customFormat="1"/>
    <row r="1129" s="285" customFormat="1"/>
    <row r="1130" s="285" customFormat="1"/>
    <row r="1131" s="285" customFormat="1"/>
    <row r="1132" s="285" customFormat="1"/>
    <row r="1133" s="285" customFormat="1"/>
    <row r="1134" s="285" customFormat="1"/>
    <row r="1135" s="285" customFormat="1"/>
    <row r="1136" s="285" customFormat="1"/>
    <row r="1137" s="285" customFormat="1"/>
    <row r="1138" s="285" customFormat="1"/>
    <row r="1139" s="285" customFormat="1"/>
    <row r="1140" s="285" customFormat="1"/>
    <row r="1141" s="285" customFormat="1"/>
    <row r="1142" s="285" customFormat="1"/>
    <row r="1143" s="285" customFormat="1"/>
    <row r="1144" s="285" customFormat="1"/>
    <row r="1145" s="285" customFormat="1"/>
    <row r="1146" s="285" customFormat="1"/>
    <row r="1147" s="285" customFormat="1"/>
    <row r="1148" s="285" customFormat="1"/>
    <row r="1149" s="285" customFormat="1"/>
    <row r="1150" s="285" customFormat="1"/>
    <row r="1151" s="285" customFormat="1"/>
    <row r="1152" s="285" customFormat="1"/>
    <row r="1153" s="285" customFormat="1"/>
    <row r="1154" s="285" customFormat="1"/>
    <row r="1155" s="285" customFormat="1"/>
    <row r="1156" s="285" customFormat="1"/>
    <row r="1157" s="285" customFormat="1"/>
    <row r="1158" s="285" customFormat="1"/>
    <row r="1159" s="285" customFormat="1"/>
    <row r="1160" s="285" customFormat="1"/>
    <row r="1161" s="285" customFormat="1"/>
    <row r="1162" s="285" customFormat="1"/>
    <row r="1163" s="285" customFormat="1"/>
    <row r="1164" s="285" customFormat="1"/>
    <row r="1165" s="285" customFormat="1"/>
    <row r="1166" s="285" customFormat="1"/>
    <row r="1167" s="285" customFormat="1"/>
    <row r="1168" s="285" customFormat="1"/>
    <row r="1169" s="285" customFormat="1"/>
    <row r="1170" s="285" customFormat="1"/>
    <row r="1171" s="285" customFormat="1"/>
    <row r="1172" s="285" customFormat="1"/>
    <row r="1173" s="285" customFormat="1"/>
    <row r="1174" s="285" customFormat="1"/>
    <row r="1175" s="285" customFormat="1"/>
    <row r="1176" s="285" customFormat="1"/>
    <row r="1177" s="285" customFormat="1"/>
    <row r="1178" s="285" customFormat="1"/>
    <row r="1179" s="285" customFormat="1"/>
    <row r="1180" s="285" customFormat="1"/>
    <row r="1181" s="285" customFormat="1"/>
    <row r="1182" s="285" customFormat="1"/>
    <row r="1183" s="285" customFormat="1"/>
    <row r="1184" s="285" customFormat="1"/>
    <row r="1185" s="285" customFormat="1"/>
    <row r="1186" s="285" customFormat="1"/>
    <row r="1187" s="285" customFormat="1"/>
    <row r="1188" s="285" customFormat="1"/>
    <row r="1189" s="285" customFormat="1"/>
    <row r="1190" s="285" customFormat="1"/>
    <row r="1191" s="285" customFormat="1"/>
    <row r="1192" s="285" customFormat="1"/>
    <row r="1193" s="285" customFormat="1"/>
    <row r="1194" s="285" customFormat="1"/>
    <row r="1195" s="285" customFormat="1"/>
    <row r="1196" s="285" customFormat="1"/>
    <row r="1197" s="285" customFormat="1"/>
    <row r="1198" s="285" customFormat="1"/>
    <row r="1199" s="285" customFormat="1"/>
    <row r="1200" s="285" customFormat="1"/>
    <row r="1201" s="285" customFormat="1"/>
    <row r="1202" s="285" customFormat="1"/>
    <row r="1203" s="285" customFormat="1"/>
    <row r="1204" s="285" customFormat="1"/>
    <row r="1205" s="285" customFormat="1"/>
    <row r="1206" s="285" customFormat="1"/>
    <row r="1207" s="285" customFormat="1"/>
    <row r="1208" s="285" customFormat="1"/>
    <row r="1209" s="285" customFormat="1"/>
    <row r="1210" s="285" customFormat="1"/>
    <row r="1211" s="285" customFormat="1"/>
    <row r="1212" s="285" customFormat="1"/>
    <row r="1213" s="285" customFormat="1"/>
    <row r="1214" s="285" customFormat="1"/>
    <row r="1215" s="285" customFormat="1"/>
    <row r="1216" s="285" customFormat="1"/>
    <row r="1217" s="285" customFormat="1"/>
    <row r="1218" s="285" customFormat="1"/>
    <row r="1219" s="285" customFormat="1"/>
    <row r="1220" s="285" customFormat="1"/>
    <row r="1221" s="285" customFormat="1"/>
    <row r="1222" s="285" customFormat="1"/>
    <row r="1223" s="285" customFormat="1"/>
    <row r="1224" s="285" customFormat="1"/>
    <row r="1225" s="285" customFormat="1"/>
    <row r="1226" s="285" customFormat="1"/>
    <row r="1227" s="285" customFormat="1"/>
    <row r="1228" s="285" customFormat="1"/>
    <row r="1229" s="285" customFormat="1"/>
    <row r="1230" s="285" customFormat="1"/>
    <row r="1231" s="285" customFormat="1"/>
    <row r="1232" s="285" customFormat="1"/>
    <row r="1233" s="285" customFormat="1"/>
    <row r="1234" s="285" customFormat="1"/>
    <row r="1235" s="285" customFormat="1"/>
    <row r="1236" s="285" customFormat="1"/>
    <row r="1237" s="285" customFormat="1"/>
    <row r="1238" s="285" customFormat="1"/>
    <row r="1239" s="285" customFormat="1"/>
    <row r="1240" s="285" customFormat="1"/>
    <row r="1241" s="285" customFormat="1"/>
    <row r="1242" s="285" customFormat="1"/>
    <row r="1243" s="285" customFormat="1"/>
    <row r="1244" s="285" customFormat="1"/>
    <row r="1245" s="285" customFormat="1"/>
    <row r="1246" s="285" customFormat="1"/>
    <row r="1247" s="285" customFormat="1"/>
    <row r="1248" s="285" customFormat="1"/>
    <row r="1249" s="285" customFormat="1"/>
    <row r="1250" s="285" customFormat="1"/>
    <row r="1251" s="285" customFormat="1"/>
    <row r="1252" s="285" customFormat="1"/>
    <row r="1253" s="285" customFormat="1"/>
    <row r="1254" s="285" customFormat="1"/>
    <row r="1255" s="285" customFormat="1"/>
    <row r="1256" s="285" customFormat="1"/>
    <row r="1257" s="285" customFormat="1"/>
    <row r="1258" s="285" customFormat="1"/>
    <row r="1259" s="285" customFormat="1"/>
    <row r="1260" s="285" customFormat="1"/>
    <row r="1261" s="285" customFormat="1"/>
    <row r="1262" s="285" customFormat="1"/>
    <row r="1263" s="285" customFormat="1"/>
    <row r="1264" s="285" customFormat="1"/>
    <row r="1265" s="285" customFormat="1"/>
    <row r="1266" s="285" customFormat="1"/>
    <row r="1267" s="285" customFormat="1"/>
    <row r="1268" s="285" customFormat="1"/>
    <row r="1269" s="285" customFormat="1"/>
    <row r="1270" s="285" customFormat="1"/>
    <row r="1271" s="285" customFormat="1"/>
    <row r="1272" s="285" customFormat="1"/>
    <row r="1273" s="285" customFormat="1"/>
    <row r="1274" s="285" customFormat="1"/>
    <row r="1275" s="285" customFormat="1"/>
    <row r="1276" s="285" customFormat="1"/>
    <row r="1277" s="285" customFormat="1"/>
    <row r="1278" s="285" customFormat="1"/>
    <row r="1279" s="285" customFormat="1"/>
    <row r="1280" s="285" customFormat="1"/>
    <row r="1281" s="285" customFormat="1"/>
    <row r="1282" s="285" customFormat="1"/>
    <row r="1283" s="285" customFormat="1"/>
    <row r="1284" s="285" customFormat="1"/>
    <row r="1285" s="285" customFormat="1"/>
    <row r="1286" s="285" customFormat="1"/>
    <row r="1287" s="285" customFormat="1"/>
    <row r="1288" s="285" customFormat="1"/>
    <row r="1289" s="285" customFormat="1"/>
    <row r="1290" s="285" customFormat="1"/>
    <row r="1291" s="285" customFormat="1"/>
    <row r="1292" s="285" customFormat="1"/>
    <row r="1293" s="285" customFormat="1"/>
    <row r="1294" s="285" customFormat="1"/>
    <row r="1295" s="285" customFormat="1"/>
    <row r="1296" s="285" customFormat="1"/>
    <row r="1297" s="285" customFormat="1"/>
    <row r="1298" s="285" customFormat="1"/>
    <row r="1299" s="285" customFormat="1"/>
    <row r="1300" s="285" customFormat="1"/>
    <row r="1301" s="285" customFormat="1"/>
    <row r="1302" s="285" customFormat="1"/>
    <row r="1303" s="285" customFormat="1"/>
    <row r="1304" s="285" customFormat="1"/>
    <row r="1305" s="285" customFormat="1"/>
    <row r="1306" s="285" customFormat="1"/>
    <row r="1307" s="285" customFormat="1"/>
    <row r="1308" s="285" customFormat="1"/>
    <row r="1309" s="285" customFormat="1"/>
    <row r="1310" s="285" customFormat="1"/>
    <row r="1311" s="285" customFormat="1"/>
    <row r="1312" s="285" customFormat="1"/>
    <row r="1313" s="285" customFormat="1"/>
    <row r="1314" s="285" customFormat="1"/>
    <row r="1315" s="285" customFormat="1"/>
    <row r="1316" s="285" customFormat="1"/>
    <row r="1317" s="285" customFormat="1"/>
    <row r="1318" s="285" customFormat="1"/>
    <row r="1319" s="285" customFormat="1"/>
    <row r="1320" s="285" customFormat="1"/>
    <row r="1321" s="285" customFormat="1"/>
    <row r="1322" s="285" customFormat="1"/>
    <row r="1323" s="285" customFormat="1"/>
    <row r="1324" s="285" customFormat="1"/>
    <row r="1325" s="285" customFormat="1"/>
    <row r="1326" s="285" customFormat="1"/>
    <row r="1327" s="285" customFormat="1"/>
    <row r="1328" s="285" customFormat="1"/>
    <row r="1329" s="285" customFormat="1"/>
    <row r="1330" s="285" customFormat="1"/>
    <row r="1331" s="285" customFormat="1"/>
    <row r="1332" s="285" customFormat="1"/>
    <row r="1333" s="285" customFormat="1"/>
    <row r="1334" s="285" customFormat="1"/>
    <row r="1335" s="285" customFormat="1"/>
    <row r="1336" s="285" customFormat="1"/>
    <row r="1337" s="285" customFormat="1"/>
    <row r="1338" s="285" customFormat="1"/>
    <row r="1339" s="285" customFormat="1"/>
    <row r="1340" s="285" customFormat="1"/>
    <row r="1341" s="285" customFormat="1"/>
    <row r="1342" s="285" customFormat="1"/>
    <row r="1343" s="285" customFormat="1"/>
    <row r="1344" s="285" customFormat="1"/>
    <row r="1345" s="285" customFormat="1"/>
    <row r="1346" s="285" customFormat="1"/>
    <row r="1347" s="285" customFormat="1"/>
    <row r="1348" s="285" customFormat="1"/>
    <row r="1349" s="285" customFormat="1"/>
    <row r="1350" s="285" customFormat="1"/>
    <row r="1351" s="285" customFormat="1"/>
    <row r="1352" s="285" customFormat="1"/>
    <row r="1353" s="285" customFormat="1"/>
    <row r="1354" s="285" customFormat="1"/>
    <row r="1355" s="285" customFormat="1"/>
    <row r="1356" s="285" customFormat="1"/>
    <row r="1357" s="285" customFormat="1"/>
    <row r="1358" s="285" customFormat="1"/>
    <row r="1359" s="285" customFormat="1"/>
    <row r="1360" s="285" customFormat="1"/>
    <row r="1361" s="285" customFormat="1"/>
    <row r="1362" s="285" customFormat="1"/>
    <row r="1363" s="285" customFormat="1"/>
    <row r="1364" s="285" customFormat="1"/>
    <row r="1365" s="285" customFormat="1"/>
    <row r="1366" s="285" customFormat="1"/>
    <row r="1367" s="285" customFormat="1"/>
    <row r="1368" s="285" customFormat="1"/>
    <row r="1369" s="285" customFormat="1"/>
    <row r="1370" s="285" customFormat="1"/>
    <row r="1371" s="285" customFormat="1"/>
    <row r="1372" s="285" customFormat="1"/>
    <row r="1373" s="285" customFormat="1"/>
    <row r="1374" s="285" customFormat="1"/>
    <row r="1375" s="285" customFormat="1"/>
    <row r="1376" s="285" customFormat="1"/>
    <row r="1377" s="285" customFormat="1"/>
    <row r="1378" s="285" customFormat="1"/>
    <row r="1379" s="285" customFormat="1"/>
    <row r="1380" s="285" customFormat="1"/>
    <row r="1381" s="285" customFormat="1"/>
    <row r="1382" s="285" customFormat="1"/>
    <row r="1383" s="285" customFormat="1"/>
    <row r="1384" s="285" customFormat="1"/>
    <row r="1385" s="285" customFormat="1"/>
    <row r="1386" s="285" customFormat="1"/>
    <row r="1387" s="285" customFormat="1"/>
    <row r="1388" s="285" customFormat="1"/>
    <row r="1389" s="285" customFormat="1"/>
    <row r="1390" s="285" customFormat="1"/>
    <row r="1391" s="285" customFormat="1"/>
    <row r="1392" s="285" customFormat="1"/>
    <row r="1393" s="285" customFormat="1"/>
    <row r="1394" s="285" customFormat="1"/>
    <row r="1395" s="285" customFormat="1"/>
    <row r="1396" s="285" customFormat="1"/>
    <row r="1397" s="285" customFormat="1"/>
    <row r="1398" s="285" customFormat="1"/>
    <row r="1399" s="285" customFormat="1"/>
    <row r="1400" s="285" customFormat="1"/>
    <row r="1401" s="285" customFormat="1"/>
    <row r="1402" s="285" customFormat="1"/>
    <row r="1403" s="285" customFormat="1"/>
    <row r="1404" s="285" customFormat="1"/>
    <row r="1405" s="285" customFormat="1"/>
    <row r="1406" s="285" customFormat="1"/>
    <row r="1407" s="285" customFormat="1"/>
    <row r="1408" s="285" customFormat="1"/>
    <row r="1409" s="285" customFormat="1"/>
    <row r="1410" s="285" customFormat="1"/>
    <row r="1411" s="285" customFormat="1"/>
    <row r="1412" s="285" customFormat="1"/>
    <row r="1413" s="285" customFormat="1"/>
    <row r="1414" s="285" customFormat="1"/>
    <row r="1415" s="285" customFormat="1"/>
    <row r="1416" s="285" customFormat="1"/>
    <row r="1417" s="285" customFormat="1"/>
    <row r="1418" s="285" customFormat="1"/>
    <row r="1419" s="285" customFormat="1"/>
    <row r="1420" s="285" customFormat="1"/>
    <row r="1421" s="285" customFormat="1"/>
    <row r="1422" s="285" customFormat="1"/>
    <row r="1423" s="285" customFormat="1"/>
    <row r="1424" s="285" customFormat="1"/>
    <row r="1425" s="285" customFormat="1"/>
    <row r="1426" s="285" customFormat="1"/>
    <row r="1427" s="285" customFormat="1"/>
    <row r="1428" s="285" customFormat="1"/>
    <row r="1429" s="285" customFormat="1"/>
    <row r="1430" s="285" customFormat="1"/>
    <row r="1431" s="285" customFormat="1"/>
    <row r="1432" s="285" customFormat="1"/>
    <row r="1433" s="285" customFormat="1"/>
    <row r="1434" s="285" customFormat="1"/>
    <row r="1435" s="285" customFormat="1"/>
    <row r="1436" s="285" customFormat="1"/>
    <row r="1437" s="285" customFormat="1"/>
    <row r="1438" s="285" customFormat="1"/>
    <row r="1439" s="285" customFormat="1"/>
    <row r="1440" s="285" customFormat="1"/>
    <row r="1441" s="285" customFormat="1"/>
    <row r="1442" s="285" customFormat="1"/>
    <row r="1443" s="285" customFormat="1"/>
    <row r="1444" s="285" customFormat="1"/>
    <row r="1445" s="285" customFormat="1"/>
    <row r="1446" s="285" customFormat="1"/>
    <row r="1447" s="285" customFormat="1"/>
    <row r="1448" s="285" customFormat="1"/>
    <row r="1449" s="285" customFormat="1"/>
    <row r="1450" s="285" customFormat="1"/>
    <row r="1451" s="285" customFormat="1"/>
    <row r="1452" s="285" customFormat="1"/>
    <row r="1453" s="285" customFormat="1"/>
    <row r="1454" s="285" customFormat="1"/>
    <row r="1455" s="285" customFormat="1"/>
    <row r="1456" s="285" customFormat="1"/>
    <row r="1457" s="285" customFormat="1"/>
    <row r="1458" s="285" customFormat="1"/>
    <row r="1459" s="285" customFormat="1"/>
    <row r="1460" s="285" customFormat="1"/>
    <row r="1461" s="285" customFormat="1"/>
    <row r="1462" s="285" customFormat="1"/>
    <row r="1463" s="285" customFormat="1"/>
    <row r="1464" s="285" customFormat="1"/>
    <row r="1465" s="285" customFormat="1"/>
    <row r="1466" s="285" customFormat="1"/>
    <row r="1467" s="285" customFormat="1"/>
    <row r="1468" s="285" customFormat="1"/>
    <row r="1469" s="285" customFormat="1"/>
    <row r="1470" s="285" customFormat="1"/>
    <row r="1471" s="285" customFormat="1"/>
    <row r="1472" s="285" customFormat="1"/>
    <row r="1473" s="285" customFormat="1"/>
    <row r="1474" s="285" customFormat="1"/>
    <row r="1475" s="285" customFormat="1"/>
    <row r="1476" s="285" customFormat="1"/>
    <row r="1477" s="285" customFormat="1"/>
    <row r="1478" s="285" customFormat="1"/>
    <row r="1479" s="285" customFormat="1"/>
    <row r="1480" s="285" customFormat="1"/>
    <row r="1481" s="285" customFormat="1"/>
    <row r="1482" s="285" customFormat="1"/>
    <row r="1483" s="285" customFormat="1"/>
    <row r="1484" s="285" customFormat="1"/>
    <row r="1485" s="285" customFormat="1"/>
    <row r="1486" s="285" customFormat="1"/>
    <row r="1487" s="285" customFormat="1"/>
    <row r="1488" s="285" customFormat="1"/>
    <row r="1489" s="285" customFormat="1"/>
    <row r="1490" s="285" customFormat="1"/>
    <row r="1491" s="285" customFormat="1"/>
    <row r="1492" s="285" customFormat="1"/>
    <row r="1493" s="285" customFormat="1"/>
    <row r="1494" s="285" customFormat="1"/>
    <row r="1495" s="285" customFormat="1"/>
    <row r="1496" s="285" customFormat="1"/>
    <row r="1497" s="285" customFormat="1"/>
    <row r="1498" s="285" customFormat="1"/>
    <row r="1499" s="285" customFormat="1"/>
    <row r="1500" s="285" customFormat="1"/>
    <row r="1501" s="285" customFormat="1"/>
    <row r="1502" s="285" customFormat="1"/>
    <row r="1503" s="285" customFormat="1"/>
    <row r="1504" s="285" customFormat="1"/>
    <row r="1505" s="285" customFormat="1"/>
    <row r="1506" s="285" customFormat="1"/>
    <row r="1507" s="285" customFormat="1"/>
    <row r="1508" s="285" customFormat="1"/>
    <row r="1509" s="285" customFormat="1"/>
    <row r="1510" s="285" customFormat="1"/>
    <row r="1511" s="285" customFormat="1"/>
    <row r="1512" s="285" customFormat="1"/>
    <row r="1513" s="285" customFormat="1"/>
    <row r="1514" s="285" customFormat="1"/>
    <row r="1515" s="285" customFormat="1"/>
    <row r="1516" s="285" customFormat="1"/>
    <row r="1517" s="285" customFormat="1"/>
    <row r="1518" s="285" customFormat="1"/>
    <row r="1519" s="285" customFormat="1"/>
    <row r="1520" s="285" customFormat="1"/>
    <row r="1521" s="285" customFormat="1"/>
    <row r="1522" s="285" customFormat="1"/>
    <row r="1523" s="285" customFormat="1"/>
    <row r="1524" s="285" customFormat="1"/>
    <row r="1525" s="285" customFormat="1"/>
    <row r="1526" s="285" customFormat="1"/>
    <row r="1527" s="285" customFormat="1"/>
    <row r="1528" s="285" customFormat="1"/>
    <row r="1529" s="285" customFormat="1"/>
    <row r="1530" s="285" customFormat="1"/>
    <row r="1531" s="285" customFormat="1"/>
    <row r="1532" s="285" customFormat="1"/>
    <row r="1533" s="285" customFormat="1"/>
    <row r="1534" s="285" customFormat="1"/>
    <row r="1535" s="285" customFormat="1"/>
    <row r="1536" s="285" customFormat="1"/>
    <row r="1537" s="285" customFormat="1"/>
    <row r="1538" s="285" customFormat="1"/>
    <row r="1539" s="285" customFormat="1"/>
    <row r="1540" s="285" customFormat="1"/>
    <row r="1541" s="285" customFormat="1"/>
    <row r="1542" s="285" customFormat="1"/>
    <row r="1543" s="285" customFormat="1"/>
    <row r="1544" s="285" customFormat="1"/>
    <row r="1545" s="285" customFormat="1"/>
    <row r="1546" s="285" customFormat="1"/>
    <row r="1547" s="285" customFormat="1"/>
    <row r="1548" s="285" customFormat="1"/>
    <row r="1549" s="285" customFormat="1"/>
    <row r="1550" s="285" customFormat="1"/>
    <row r="1551" s="285" customFormat="1"/>
    <row r="1552" s="285" customFormat="1"/>
    <row r="1553" s="285" customFormat="1"/>
    <row r="1554" s="285" customFormat="1"/>
    <row r="1555" s="285" customFormat="1"/>
    <row r="1556" s="285" customFormat="1"/>
    <row r="1557" s="285" customFormat="1"/>
    <row r="1558" s="285" customFormat="1"/>
    <row r="1559" s="285" customFormat="1"/>
    <row r="1560" s="285" customFormat="1"/>
    <row r="1561" s="285" customFormat="1"/>
    <row r="1562" s="285" customFormat="1"/>
    <row r="1563" s="285" customFormat="1"/>
    <row r="1564" s="285" customFormat="1"/>
    <row r="1565" s="285" customFormat="1"/>
    <row r="1566" s="285" customFormat="1"/>
    <row r="1567" s="285" customFormat="1"/>
    <row r="1568" s="285" customFormat="1"/>
    <row r="1569" s="285" customFormat="1"/>
    <row r="1570" s="285" customFormat="1"/>
    <row r="1571" s="285" customFormat="1"/>
    <row r="1572" s="285" customFormat="1"/>
    <row r="1573" s="285" customFormat="1"/>
    <row r="1574" s="285" customFormat="1"/>
    <row r="1575" s="285" customFormat="1"/>
    <row r="1576" s="285" customFormat="1"/>
    <row r="1577" s="285" customFormat="1"/>
    <row r="1578" s="285" customFormat="1"/>
    <row r="1579" s="285" customFormat="1"/>
    <row r="1580" s="285" customFormat="1"/>
    <row r="1581" s="285" customFormat="1"/>
    <row r="1582" s="285" customFormat="1"/>
    <row r="1583" s="285" customFormat="1"/>
    <row r="1584" s="285" customFormat="1"/>
    <row r="1585" s="285" customFormat="1"/>
    <row r="1586" s="285" customFormat="1"/>
    <row r="1587" s="285" customFormat="1"/>
    <row r="1588" s="285" customFormat="1"/>
    <row r="1589" s="285" customFormat="1"/>
    <row r="1590" s="285" customFormat="1"/>
    <row r="1591" s="285" customFormat="1"/>
    <row r="1592" s="285" customFormat="1"/>
    <row r="1593" s="285" customFormat="1"/>
    <row r="1594" s="285" customFormat="1"/>
    <row r="1595" s="285" customFormat="1"/>
    <row r="1596" s="285" customFormat="1"/>
    <row r="1597" s="285" customFormat="1"/>
    <row r="1598" s="285" customFormat="1"/>
    <row r="1599" s="285" customFormat="1"/>
    <row r="1600" s="285" customFormat="1"/>
    <row r="1601" s="285" customFormat="1"/>
    <row r="1602" s="285" customFormat="1"/>
    <row r="1603" s="285" customFormat="1"/>
    <row r="1604" s="285" customFormat="1"/>
    <row r="1605" s="285" customFormat="1"/>
    <row r="1606" s="285" customFormat="1"/>
    <row r="1607" s="285" customFormat="1"/>
    <row r="1608" s="285" customFormat="1"/>
    <row r="1609" s="285" customFormat="1"/>
    <row r="1610" s="285" customFormat="1"/>
    <row r="1611" s="285" customFormat="1"/>
    <row r="1612" s="285" customFormat="1"/>
    <row r="1613" s="285" customFormat="1"/>
    <row r="1614" s="285" customFormat="1"/>
    <row r="1615" s="285" customFormat="1"/>
    <row r="1616" s="285" customFormat="1"/>
    <row r="1617" s="285" customFormat="1"/>
    <row r="1618" s="285" customFormat="1"/>
    <row r="1619" s="285" customFormat="1"/>
    <row r="1620" s="285" customFormat="1"/>
    <row r="1621" s="285" customFormat="1"/>
    <row r="1622" s="285" customFormat="1"/>
    <row r="1623" s="285" customFormat="1"/>
    <row r="1624" s="285" customFormat="1"/>
    <row r="1625" s="285" customFormat="1"/>
    <row r="1626" s="285" customFormat="1"/>
    <row r="1627" s="285" customFormat="1"/>
    <row r="1628" s="285" customFormat="1"/>
    <row r="1629" s="285" customFormat="1"/>
    <row r="1630" s="285" customFormat="1"/>
    <row r="1631" s="285" customFormat="1"/>
    <row r="1632" s="285" customFormat="1"/>
    <row r="1633" s="285" customFormat="1"/>
    <row r="1634" s="285" customFormat="1"/>
    <row r="1635" s="285" customFormat="1"/>
    <row r="1636" s="285" customFormat="1"/>
    <row r="1637" s="285" customFormat="1"/>
    <row r="1638" s="285" customFormat="1"/>
    <row r="1639" s="285" customFormat="1"/>
    <row r="1640" s="285" customFormat="1"/>
    <row r="1641" s="285" customFormat="1"/>
    <row r="1642" s="285" customFormat="1"/>
    <row r="1643" s="285" customFormat="1"/>
    <row r="1644" s="285" customFormat="1"/>
    <row r="1645" s="285" customFormat="1"/>
    <row r="1646" s="285" customFormat="1"/>
    <row r="1647" s="285" customFormat="1"/>
    <row r="1648" s="285" customFormat="1"/>
    <row r="1649" s="285" customFormat="1"/>
    <row r="1650" s="285" customFormat="1"/>
    <row r="1651" s="285" customFormat="1"/>
    <row r="1652" s="285" customFormat="1"/>
    <row r="1653" s="285" customFormat="1"/>
    <row r="1654" s="285" customFormat="1"/>
    <row r="1655" s="285" customFormat="1"/>
    <row r="1656" s="285" customFormat="1"/>
    <row r="1657" s="285" customFormat="1"/>
    <row r="1658" s="285" customFormat="1"/>
    <row r="1659" s="285" customFormat="1"/>
    <row r="1660" s="285" customFormat="1"/>
    <row r="1661" s="285" customFormat="1"/>
    <row r="1662" s="285" customFormat="1"/>
    <row r="1663" s="285" customFormat="1"/>
    <row r="1664" s="285" customFormat="1"/>
    <row r="1665" s="285" customFormat="1"/>
    <row r="1666" s="285" customFormat="1"/>
    <row r="1667" s="285" customFormat="1"/>
    <row r="1668" s="285" customFormat="1"/>
    <row r="1669" s="285" customFormat="1"/>
    <row r="1670" s="285" customFormat="1"/>
    <row r="1671" s="285" customFormat="1"/>
    <row r="1672" s="285" customFormat="1"/>
    <row r="1673" s="285" customFormat="1"/>
    <row r="1674" s="285" customFormat="1"/>
    <row r="1675" s="285" customFormat="1"/>
    <row r="1676" s="285" customFormat="1"/>
    <row r="1677" s="285" customFormat="1"/>
    <row r="1678" s="285" customFormat="1"/>
    <row r="1679" s="285" customFormat="1"/>
    <row r="1680" s="285" customFormat="1"/>
    <row r="1681" s="285" customFormat="1"/>
    <row r="1682" s="285" customFormat="1"/>
    <row r="1683" s="285" customFormat="1"/>
    <row r="1684" s="285" customFormat="1"/>
    <row r="1685" s="285" customFormat="1"/>
    <row r="1686" s="285" customFormat="1"/>
    <row r="1687" s="285" customFormat="1"/>
    <row r="1688" s="285" customFormat="1"/>
    <row r="1689" s="285" customFormat="1"/>
    <row r="1690" s="285" customFormat="1"/>
    <row r="1691" s="285" customFormat="1"/>
    <row r="1692" s="285" customFormat="1"/>
    <row r="1693" s="285" customFormat="1"/>
    <row r="1694" s="285" customFormat="1"/>
    <row r="1695" s="285" customFormat="1"/>
    <row r="1696" s="285" customFormat="1"/>
    <row r="1697" s="285" customFormat="1"/>
    <row r="1698" s="285" customFormat="1"/>
    <row r="1699" s="285" customFormat="1"/>
    <row r="1700" s="285" customFormat="1"/>
    <row r="1701" s="285" customFormat="1"/>
    <row r="1702" s="285" customFormat="1"/>
    <row r="1703" s="285" customFormat="1"/>
    <row r="1704" s="285" customFormat="1"/>
    <row r="1705" s="285" customFormat="1"/>
    <row r="1706" s="285" customFormat="1"/>
    <row r="1707" s="285" customFormat="1"/>
    <row r="1708" s="285" customFormat="1"/>
    <row r="1709" s="285" customFormat="1"/>
    <row r="1710" s="285" customFormat="1"/>
    <row r="1711" s="285" customFormat="1"/>
    <row r="1712" s="285" customFormat="1"/>
    <row r="1713" s="285" customFormat="1"/>
    <row r="1714" s="285" customFormat="1"/>
    <row r="1715" s="285" customFormat="1"/>
    <row r="1716" s="285" customFormat="1"/>
    <row r="1717" s="285" customFormat="1"/>
    <row r="1718" s="285" customFormat="1"/>
    <row r="1719" s="285" customFormat="1"/>
    <row r="1720" s="285" customFormat="1"/>
    <row r="1721" s="285" customFormat="1"/>
    <row r="1722" s="285" customFormat="1"/>
    <row r="1723" s="285" customFormat="1"/>
    <row r="1724" s="285" customFormat="1"/>
    <row r="1725" s="285" customFormat="1"/>
    <row r="1726" s="285" customFormat="1"/>
    <row r="1727" s="285" customFormat="1"/>
    <row r="1728" s="285" customFormat="1"/>
    <row r="1729" s="285" customFormat="1"/>
    <row r="1730" s="285" customFormat="1"/>
    <row r="1731" s="285" customFormat="1"/>
    <row r="1732" s="285" customFormat="1"/>
    <row r="1733" s="285" customFormat="1"/>
    <row r="1734" s="285" customFormat="1"/>
    <row r="1735" s="285" customFormat="1"/>
    <row r="1736" s="285" customFormat="1"/>
    <row r="1737" s="285" customFormat="1"/>
    <row r="1738" s="285" customFormat="1"/>
    <row r="1739" s="285" customFormat="1"/>
    <row r="1740" s="285" customFormat="1"/>
    <row r="1741" s="285" customFormat="1"/>
    <row r="1742" s="285" customFormat="1"/>
    <row r="1743" s="285" customFormat="1"/>
    <row r="1744" s="285" customFormat="1"/>
    <row r="1745" s="285" customFormat="1"/>
    <row r="1746" s="285" customFormat="1"/>
    <row r="1747" s="285" customFormat="1"/>
    <row r="1748" s="285" customFormat="1"/>
    <row r="1749" s="285" customFormat="1"/>
    <row r="1750" s="285" customFormat="1"/>
    <row r="1751" s="285" customFormat="1"/>
    <row r="1752" s="285" customFormat="1"/>
    <row r="1753" s="285" customFormat="1"/>
    <row r="1754" s="285" customFormat="1"/>
    <row r="1755" s="285" customFormat="1"/>
    <row r="1756" s="285" customFormat="1"/>
    <row r="1757" s="285" customFormat="1"/>
    <row r="1758" s="285" customFormat="1"/>
    <row r="1759" s="285" customFormat="1"/>
    <row r="1760" s="285" customFormat="1"/>
    <row r="1761" s="285" customFormat="1"/>
    <row r="1762" s="285" customFormat="1"/>
    <row r="1763" s="285" customFormat="1"/>
    <row r="1764" s="285" customFormat="1"/>
    <row r="1765" s="285" customFormat="1"/>
    <row r="1766" s="285" customFormat="1"/>
    <row r="1767" s="285" customFormat="1"/>
    <row r="1768" s="285" customFormat="1"/>
    <row r="1769" s="285" customFormat="1"/>
    <row r="1770" s="285" customFormat="1"/>
    <row r="1771" s="285" customFormat="1"/>
    <row r="1772" s="285" customFormat="1"/>
    <row r="1773" s="285" customFormat="1"/>
    <row r="1774" s="285" customFormat="1"/>
    <row r="1775" s="285" customFormat="1"/>
    <row r="1776" s="285" customFormat="1"/>
    <row r="1777" s="285" customFormat="1"/>
    <row r="1778" s="285" customFormat="1"/>
    <row r="1779" s="285" customFormat="1"/>
    <row r="1780" s="285" customFormat="1"/>
    <row r="1781" s="285" customFormat="1"/>
    <row r="1782" s="285" customFormat="1"/>
    <row r="1783" s="285" customFormat="1"/>
    <row r="1784" s="285" customFormat="1"/>
    <row r="1785" s="285" customFormat="1"/>
    <row r="1786" s="285" customFormat="1"/>
    <row r="1787" s="285" customFormat="1"/>
    <row r="1788" s="285" customFormat="1"/>
    <row r="1789" s="285" customFormat="1"/>
    <row r="1790" s="285" customFormat="1"/>
    <row r="1791" s="285" customFormat="1"/>
    <row r="1792" s="285" customFormat="1"/>
    <row r="1793" s="285" customFormat="1"/>
    <row r="1794" s="285" customFormat="1"/>
    <row r="1795" s="285" customFormat="1"/>
    <row r="1796" s="285" customFormat="1"/>
    <row r="1797" s="285" customFormat="1"/>
    <row r="1798" s="285" customFormat="1"/>
    <row r="1799" s="285" customFormat="1"/>
    <row r="1800" s="285" customFormat="1"/>
    <row r="1801" s="285" customFormat="1"/>
    <row r="1802" s="285" customFormat="1"/>
    <row r="1803" s="285" customFormat="1"/>
    <row r="1804" s="285" customFormat="1"/>
    <row r="1805" s="285" customFormat="1"/>
    <row r="1806" s="285" customFormat="1"/>
    <row r="1807" s="285" customFormat="1"/>
    <row r="1808" s="285" customFormat="1"/>
    <row r="1809" s="285" customFormat="1"/>
    <row r="1810" s="285" customFormat="1"/>
    <row r="1811" s="285" customFormat="1"/>
    <row r="1812" s="285" customFormat="1"/>
    <row r="1813" s="285" customFormat="1"/>
    <row r="1814" s="285" customFormat="1"/>
    <row r="1815" s="285" customFormat="1"/>
    <row r="1816" s="285" customFormat="1"/>
    <row r="1817" s="285" customFormat="1"/>
    <row r="1818" s="285" customFormat="1"/>
    <row r="1819" s="285" customFormat="1"/>
    <row r="1820" s="285" customFormat="1"/>
    <row r="1821" s="285" customFormat="1"/>
    <row r="1822" s="285" customFormat="1"/>
    <row r="1823" s="285" customFormat="1"/>
    <row r="1824" s="285" customFormat="1"/>
    <row r="1825" s="285" customFormat="1"/>
    <row r="1826" s="285" customFormat="1"/>
    <row r="1827" s="285" customFormat="1"/>
    <row r="1828" s="285" customFormat="1"/>
    <row r="1829" s="285" customFormat="1"/>
    <row r="1830" s="285" customFormat="1"/>
    <row r="1831" s="285" customFormat="1"/>
    <row r="1832" s="285" customFormat="1"/>
    <row r="1833" s="285" customFormat="1"/>
    <row r="1834" s="285" customFormat="1"/>
    <row r="1835" s="285" customFormat="1"/>
    <row r="1836" s="285" customFormat="1"/>
    <row r="1837" s="285" customFormat="1"/>
    <row r="1838" s="285" customFormat="1"/>
    <row r="1839" s="285" customFormat="1"/>
    <row r="1840" s="285" customFormat="1"/>
    <row r="1841" s="285" customFormat="1"/>
    <row r="1842" s="285" customFormat="1"/>
    <row r="1843" s="285" customFormat="1"/>
    <row r="1844" s="285" customFormat="1"/>
    <row r="1845" s="285" customFormat="1"/>
    <row r="1846" s="285" customFormat="1"/>
    <row r="1847" s="285" customFormat="1"/>
    <row r="1848" s="285" customFormat="1"/>
    <row r="1849" s="285" customFormat="1"/>
    <row r="1850" s="285" customFormat="1"/>
    <row r="1851" s="285" customFormat="1"/>
    <row r="1852" s="285" customFormat="1"/>
    <row r="1853" s="285" customFormat="1"/>
    <row r="1854" s="285" customFormat="1"/>
    <row r="1855" s="285" customFormat="1"/>
    <row r="1856" s="285" customFormat="1"/>
    <row r="1857" s="285" customFormat="1"/>
    <row r="1858" s="285" customFormat="1"/>
    <row r="1859" s="285" customFormat="1"/>
    <row r="1860" s="285" customFormat="1"/>
    <row r="1861" s="285" customFormat="1"/>
    <row r="1862" s="285" customFormat="1"/>
    <row r="1863" s="285" customFormat="1"/>
    <row r="1864" s="285" customFormat="1"/>
    <row r="1865" s="285" customFormat="1"/>
    <row r="1866" s="285" customFormat="1"/>
    <row r="1867" s="285" customFormat="1"/>
    <row r="1868" s="285" customFormat="1"/>
    <row r="1869" s="285" customFormat="1"/>
    <row r="1870" s="285" customFormat="1"/>
    <row r="1871" s="285" customFormat="1"/>
    <row r="1872" s="285" customFormat="1"/>
    <row r="1873" s="285" customFormat="1"/>
    <row r="1874" s="285" customFormat="1"/>
    <row r="1875" s="285" customFormat="1"/>
    <row r="1876" s="285" customFormat="1"/>
    <row r="1877" s="285" customFormat="1"/>
    <row r="1878" s="285" customFormat="1"/>
    <row r="1879" s="285" customFormat="1"/>
    <row r="1880" s="285" customFormat="1"/>
    <row r="1881" s="285" customFormat="1"/>
    <row r="1882" s="285" customFormat="1"/>
    <row r="1883" s="285" customFormat="1"/>
    <row r="1884" s="285" customFormat="1"/>
    <row r="1885" s="285" customFormat="1"/>
    <row r="1886" s="285" customFormat="1"/>
    <row r="1887" s="285" customFormat="1"/>
    <row r="1888" s="285" customFormat="1"/>
    <row r="1889" s="285" customFormat="1"/>
    <row r="1890" s="285" customFormat="1"/>
    <row r="1891" s="285" customFormat="1"/>
    <row r="1892" s="285" customFormat="1"/>
    <row r="1893" s="285" customFormat="1"/>
    <row r="1894" s="285" customFormat="1"/>
    <row r="1895" s="285" customFormat="1"/>
    <row r="1896" s="285" customFormat="1"/>
    <row r="1897" s="285" customFormat="1"/>
    <row r="1898" s="285" customFormat="1"/>
    <row r="1899" s="285" customFormat="1"/>
    <row r="1900" s="285" customFormat="1"/>
    <row r="1901" s="285" customFormat="1"/>
    <row r="1902" s="285" customFormat="1"/>
    <row r="1903" s="285" customFormat="1"/>
    <row r="1904" s="285" customFormat="1"/>
    <row r="1905" s="285" customFormat="1"/>
    <row r="1906" s="285" customFormat="1"/>
    <row r="1907" s="285" customFormat="1"/>
    <row r="1908" s="285" customFormat="1"/>
    <row r="1909" s="285" customFormat="1"/>
    <row r="1910" s="285" customFormat="1"/>
    <row r="1911" s="285" customFormat="1"/>
    <row r="1912" s="285" customFormat="1"/>
    <row r="1913" s="285" customFormat="1"/>
    <row r="1914" s="285" customFormat="1"/>
    <row r="1915" s="285" customFormat="1"/>
    <row r="1916" s="285" customFormat="1"/>
    <row r="1917" s="285" customFormat="1"/>
    <row r="1918" s="285" customFormat="1"/>
    <row r="1919" s="285" customFormat="1"/>
    <row r="1920" s="285" customFormat="1"/>
    <row r="1921" s="285" customFormat="1"/>
    <row r="1922" s="285" customFormat="1"/>
    <row r="1923" s="285" customFormat="1"/>
    <row r="1924" s="285" customFormat="1"/>
    <row r="1925" s="285" customFormat="1"/>
    <row r="1926" s="285" customFormat="1"/>
    <row r="1927" s="285" customFormat="1"/>
    <row r="1928" s="285" customFormat="1"/>
    <row r="1929" s="285" customFormat="1"/>
    <row r="1930" s="285" customFormat="1"/>
    <row r="1931" s="285" customFormat="1"/>
    <row r="1932" s="285" customFormat="1"/>
    <row r="1933" s="285" customFormat="1"/>
    <row r="1934" s="285" customFormat="1"/>
    <row r="1935" s="285" customFormat="1"/>
    <row r="1936" s="285" customFormat="1"/>
    <row r="1937" s="285" customFormat="1"/>
    <row r="1938" s="285" customFormat="1"/>
    <row r="1939" s="285" customFormat="1"/>
    <row r="1940" s="285" customFormat="1"/>
    <row r="1941" s="285" customFormat="1"/>
    <row r="1942" s="285" customFormat="1"/>
    <row r="1943" s="285" customFormat="1"/>
    <row r="1944" s="285" customFormat="1"/>
    <row r="1945" s="285" customFormat="1"/>
    <row r="1946" s="285" customFormat="1"/>
    <row r="1947" s="285" customFormat="1"/>
    <row r="1948" s="285" customFormat="1"/>
    <row r="1949" s="285" customFormat="1"/>
    <row r="1950" s="285" customFormat="1"/>
    <row r="1951" s="285" customFormat="1"/>
    <row r="1952" s="285" customFormat="1"/>
    <row r="1953" s="285" customFormat="1"/>
    <row r="1954" s="285" customFormat="1"/>
    <row r="1955" s="285" customFormat="1"/>
    <row r="1956" s="285" customFormat="1"/>
    <row r="1957" s="285" customFormat="1"/>
    <row r="1958" s="285" customFormat="1"/>
    <row r="1959" s="285" customFormat="1"/>
    <row r="1960" s="285" customFormat="1"/>
    <row r="1961" s="285" customFormat="1"/>
    <row r="1962" s="285" customFormat="1"/>
    <row r="1963" s="285" customFormat="1"/>
    <row r="1964" s="285" customFormat="1"/>
    <row r="1965" s="285" customFormat="1"/>
    <row r="1966" s="285" customFormat="1"/>
    <row r="1967" s="285" customFormat="1"/>
    <row r="1968" s="285" customFormat="1"/>
    <row r="1969" s="285" customFormat="1"/>
    <row r="1970" s="285" customFormat="1"/>
    <row r="1971" s="285" customFormat="1"/>
    <row r="1972" s="285" customFormat="1"/>
    <row r="1973" s="285" customFormat="1"/>
    <row r="1974" s="285" customFormat="1"/>
    <row r="1975" s="285" customFormat="1"/>
    <row r="1976" s="285" customFormat="1"/>
    <row r="1977" s="285" customFormat="1"/>
    <row r="1978" s="285" customFormat="1"/>
    <row r="1979" s="285" customFormat="1"/>
    <row r="1980" s="285" customFormat="1"/>
    <row r="1981" s="285" customFormat="1"/>
    <row r="1982" s="285" customFormat="1"/>
    <row r="1983" s="285" customFormat="1"/>
    <row r="1984" s="285" customFormat="1"/>
    <row r="1985" s="285" customFormat="1"/>
    <row r="1986" s="285" customFormat="1"/>
    <row r="1987" s="285" customFormat="1"/>
    <row r="1988" s="285" customFormat="1"/>
    <row r="1989" s="285" customFormat="1"/>
    <row r="1990" s="285" customFormat="1"/>
    <row r="1991" s="285" customFormat="1"/>
    <row r="1992" s="285" customFormat="1"/>
    <row r="1993" s="285" customFormat="1"/>
    <row r="1994" s="285" customFormat="1"/>
    <row r="1995" s="285" customFormat="1"/>
    <row r="1996" s="285" customFormat="1"/>
    <row r="1997" s="285" customFormat="1"/>
    <row r="1998" s="285" customFormat="1"/>
    <row r="1999" s="285" customFormat="1"/>
    <row r="2000" s="285" customFormat="1"/>
    <row r="2001" s="285" customFormat="1"/>
    <row r="2002" s="285" customFormat="1"/>
    <row r="2003" s="285" customFormat="1"/>
    <row r="2004" s="285" customFormat="1"/>
    <row r="2005" s="285" customFormat="1"/>
    <row r="2006" s="285" customFormat="1"/>
    <row r="2007" s="285" customFormat="1"/>
    <row r="2008" s="285" customFormat="1"/>
    <row r="2009" s="285" customFormat="1"/>
    <row r="2010" s="285" customFormat="1"/>
    <row r="2011" s="285" customFormat="1"/>
    <row r="2012" s="285" customFormat="1"/>
    <row r="2013" s="285" customFormat="1"/>
    <row r="2014" s="285" customFormat="1"/>
    <row r="2015" s="285" customFormat="1"/>
    <row r="2016" s="285" customFormat="1"/>
    <row r="2017" s="285" customFormat="1"/>
    <row r="2018" s="285" customFormat="1"/>
    <row r="2019" s="285" customFormat="1"/>
    <row r="2020" s="285" customFormat="1"/>
    <row r="2021" s="285" customFormat="1"/>
    <row r="2022" s="285" customFormat="1"/>
    <row r="2023" s="285" customFormat="1"/>
    <row r="2024" s="285" customFormat="1"/>
    <row r="2025" s="285" customFormat="1"/>
    <row r="2026" s="285" customFormat="1"/>
    <row r="2027" s="285" customFormat="1"/>
    <row r="2028" s="285" customFormat="1"/>
    <row r="2029" s="285" customFormat="1"/>
    <row r="2030" s="285" customFormat="1"/>
    <row r="2031" s="285" customFormat="1"/>
    <row r="2032" s="285" customFormat="1"/>
    <row r="2033" s="285" customFormat="1"/>
    <row r="2034" s="285" customFormat="1"/>
    <row r="2035" s="285" customFormat="1"/>
    <row r="2036" s="285" customFormat="1"/>
    <row r="2037" s="285" customFormat="1"/>
    <row r="2038" s="285" customFormat="1"/>
    <row r="2039" s="285" customFormat="1"/>
    <row r="2040" s="285" customFormat="1"/>
    <row r="2041" s="285" customFormat="1"/>
    <row r="2042" s="285" customFormat="1"/>
    <row r="2043" s="285" customFormat="1"/>
    <row r="2044" s="285" customFormat="1"/>
    <row r="2045" s="285" customFormat="1"/>
    <row r="2046" s="285" customFormat="1"/>
    <row r="2047" s="285" customFormat="1"/>
    <row r="2048" s="285" customFormat="1"/>
    <row r="2049" s="285" customFormat="1"/>
    <row r="2050" s="285" customFormat="1"/>
    <row r="2051" s="285" customFormat="1"/>
    <row r="2052" s="285" customFormat="1"/>
    <row r="2053" s="285" customFormat="1"/>
    <row r="2054" s="285" customFormat="1"/>
    <row r="2055" s="285" customFormat="1"/>
    <row r="2056" s="285" customFormat="1"/>
    <row r="2057" s="285" customFormat="1"/>
    <row r="2058" s="285" customFormat="1"/>
    <row r="2059" s="285" customFormat="1"/>
    <row r="2060" s="285" customFormat="1"/>
    <row r="2061" s="285" customFormat="1"/>
    <row r="2062" s="285" customFormat="1"/>
    <row r="2063" s="285" customFormat="1"/>
    <row r="2064" s="285" customFormat="1"/>
    <row r="2065" s="285" customFormat="1"/>
    <row r="2066" s="285" customFormat="1"/>
    <row r="2067" s="285" customFormat="1"/>
    <row r="2068" s="285" customFormat="1"/>
    <row r="2069" s="285" customFormat="1"/>
    <row r="2070" s="285" customFormat="1"/>
    <row r="2071" s="285" customFormat="1"/>
    <row r="2072" s="285" customFormat="1"/>
    <row r="2073" s="285" customFormat="1"/>
    <row r="2074" s="285" customFormat="1"/>
    <row r="2075" s="285" customFormat="1"/>
    <row r="2076" s="285" customFormat="1"/>
    <row r="2077" s="285" customFormat="1"/>
    <row r="2078" s="285" customFormat="1"/>
    <row r="2079" s="285" customFormat="1"/>
    <row r="2080" s="285" customFormat="1"/>
    <row r="2081" s="285" customFormat="1"/>
    <row r="2082" s="285" customFormat="1"/>
    <row r="2083" s="285" customFormat="1"/>
    <row r="2084" s="285" customFormat="1"/>
    <row r="2085" s="285" customFormat="1"/>
    <row r="2086" s="285" customFormat="1"/>
    <row r="2087" s="285" customFormat="1"/>
    <row r="2088" s="285" customFormat="1"/>
    <row r="2089" s="285" customFormat="1"/>
    <row r="2090" s="285" customFormat="1"/>
    <row r="2091" s="285" customFormat="1"/>
    <row r="2092" s="285" customFormat="1"/>
    <row r="2093" s="285" customFormat="1"/>
    <row r="2094" s="285" customFormat="1"/>
    <row r="2095" s="285" customFormat="1"/>
    <row r="2096" s="285" customFormat="1"/>
    <row r="2097" s="285" customFormat="1"/>
    <row r="2098" s="285" customFormat="1"/>
    <row r="2099" s="285" customFormat="1"/>
    <row r="2100" s="285" customFormat="1"/>
    <row r="2101" s="285" customFormat="1"/>
    <row r="2102" s="285" customFormat="1"/>
    <row r="2103" s="285" customFormat="1"/>
    <row r="2104" s="285" customFormat="1"/>
    <row r="2105" s="285" customFormat="1"/>
    <row r="2106" s="285" customFormat="1"/>
    <row r="2107" s="285" customFormat="1"/>
    <row r="2108" s="285" customFormat="1"/>
    <row r="2109" s="285" customFormat="1"/>
    <row r="2110" s="285" customFormat="1"/>
    <row r="2111" s="285" customFormat="1"/>
    <row r="2112" s="285" customFormat="1"/>
    <row r="2113" s="285" customFormat="1"/>
    <row r="2114" s="285" customFormat="1"/>
    <row r="2115" s="285" customFormat="1"/>
    <row r="2116" s="285" customFormat="1"/>
    <row r="2117" s="285" customFormat="1"/>
    <row r="2118" s="285" customFormat="1"/>
    <row r="2119" s="285" customFormat="1"/>
    <row r="2120" s="285" customFormat="1"/>
    <row r="2121" s="285" customFormat="1"/>
    <row r="2122" s="285" customFormat="1"/>
    <row r="2123" s="285" customFormat="1"/>
    <row r="2124" s="285" customFormat="1"/>
    <row r="2125" s="285" customFormat="1"/>
    <row r="2126" s="285" customFormat="1"/>
    <row r="2127" s="285" customFormat="1"/>
    <row r="2128" s="285" customFormat="1"/>
    <row r="2129" s="285" customFormat="1"/>
    <row r="2130" s="285" customFormat="1"/>
    <row r="2131" s="285" customFormat="1"/>
    <row r="2132" s="285" customFormat="1"/>
    <row r="2133" s="285" customFormat="1"/>
    <row r="2134" s="285" customFormat="1"/>
    <row r="2135" s="285" customFormat="1"/>
    <row r="2136" s="285" customFormat="1"/>
    <row r="2137" s="285" customFormat="1"/>
    <row r="2138" s="285" customFormat="1"/>
    <row r="2139" s="285" customFormat="1"/>
    <row r="2140" s="285" customFormat="1"/>
    <row r="2141" s="285" customFormat="1"/>
    <row r="2142" s="285" customFormat="1"/>
    <row r="2143" s="285" customFormat="1"/>
    <row r="2144" s="285" customFormat="1"/>
    <row r="2145" s="285" customFormat="1"/>
    <row r="2146" s="285" customFormat="1"/>
    <row r="2147" s="285" customFormat="1"/>
    <row r="2148" s="285" customFormat="1"/>
    <row r="2149" s="285" customFormat="1"/>
    <row r="2150" s="285" customFormat="1"/>
    <row r="2151" s="285" customFormat="1"/>
    <row r="2152" s="285" customFormat="1"/>
    <row r="2153" s="285" customFormat="1"/>
    <row r="2154" s="285" customFormat="1"/>
    <row r="2155" s="285" customFormat="1"/>
    <row r="2156" s="285" customFormat="1"/>
    <row r="2157" s="285" customFormat="1"/>
    <row r="2158" s="285" customFormat="1"/>
    <row r="2159" s="285" customFormat="1"/>
    <row r="2160" s="285" customFormat="1"/>
    <row r="2161" s="285" customFormat="1"/>
    <row r="2162" s="285" customFormat="1"/>
    <row r="2163" s="285" customFormat="1"/>
    <row r="2164" s="285" customFormat="1"/>
    <row r="2165" s="285" customFormat="1"/>
    <row r="2166" s="285" customFormat="1"/>
    <row r="2167" s="285" customFormat="1"/>
    <row r="2168" s="285" customFormat="1"/>
    <row r="2169" s="285" customFormat="1"/>
    <row r="2170" s="285" customFormat="1"/>
    <row r="2171" s="285" customFormat="1"/>
    <row r="2172" s="285" customFormat="1"/>
    <row r="2173" s="285" customFormat="1"/>
    <row r="2174" s="285" customFormat="1"/>
    <row r="2175" s="285" customFormat="1"/>
    <row r="2176" s="285" customFormat="1"/>
    <row r="2177" s="285" customFormat="1"/>
    <row r="2178" s="285" customFormat="1"/>
    <row r="2179" s="285" customFormat="1"/>
    <row r="2180" s="285" customFormat="1"/>
    <row r="2181" s="285" customFormat="1"/>
    <row r="2182" s="285" customFormat="1"/>
    <row r="2183" s="285" customFormat="1"/>
    <row r="2184" s="285" customFormat="1"/>
    <row r="2185" s="285" customFormat="1"/>
    <row r="2186" s="285" customFormat="1"/>
    <row r="2187" s="285" customFormat="1"/>
    <row r="2188" s="285" customFormat="1"/>
    <row r="2189" s="285" customFormat="1"/>
    <row r="2190" s="285" customFormat="1"/>
    <row r="2191" s="285" customFormat="1"/>
    <row r="2192" s="285" customFormat="1"/>
    <row r="2193" s="285" customFormat="1"/>
    <row r="2194" s="285" customFormat="1"/>
    <row r="2195" s="285" customFormat="1"/>
    <row r="2196" s="285" customFormat="1"/>
    <row r="2197" s="285" customFormat="1"/>
    <row r="2198" s="285" customFormat="1"/>
    <row r="2199" s="285" customFormat="1"/>
    <row r="2200" s="285" customFormat="1"/>
    <row r="2201" s="285" customFormat="1"/>
    <row r="2202" s="285" customFormat="1"/>
    <row r="2203" s="285" customFormat="1"/>
    <row r="2204" s="285" customFormat="1"/>
    <row r="2205" s="285" customFormat="1"/>
    <row r="2206" s="285" customFormat="1"/>
    <row r="2207" s="285" customFormat="1"/>
    <row r="2208" s="285" customFormat="1"/>
    <row r="2209" s="285" customFormat="1"/>
    <row r="2210" s="285" customFormat="1"/>
    <row r="2211" s="285" customFormat="1"/>
    <row r="2212" s="285" customFormat="1"/>
    <row r="2213" s="285" customFormat="1"/>
    <row r="2214" s="285" customFormat="1"/>
    <row r="2215" s="285" customFormat="1"/>
    <row r="2216" s="285" customFormat="1"/>
    <row r="2217" s="285" customFormat="1"/>
    <row r="2218" s="285" customFormat="1"/>
    <row r="2219" s="285" customFormat="1"/>
    <row r="2220" s="285" customFormat="1"/>
    <row r="2221" s="285" customFormat="1"/>
    <row r="2222" s="285" customFormat="1"/>
    <row r="2223" s="285" customFormat="1"/>
    <row r="2224" s="285" customFormat="1"/>
    <row r="2225" s="285" customFormat="1"/>
    <row r="2226" s="285" customFormat="1"/>
    <row r="2227" s="285" customFormat="1"/>
    <row r="2228" s="285" customFormat="1"/>
    <row r="2229" s="285" customFormat="1"/>
    <row r="2230" s="285" customFormat="1"/>
    <row r="2231" s="285" customFormat="1"/>
    <row r="2232" s="285" customFormat="1"/>
    <row r="2233" s="285" customFormat="1"/>
    <row r="2234" s="285" customFormat="1"/>
    <row r="2235" s="285" customFormat="1"/>
    <row r="2236" s="285" customFormat="1"/>
    <row r="2237" s="285" customFormat="1"/>
    <row r="2238" s="285" customFormat="1"/>
    <row r="2239" s="285" customFormat="1"/>
    <row r="2240" s="285" customFormat="1"/>
    <row r="2241" s="285" customFormat="1"/>
    <row r="2242" s="285" customFormat="1"/>
    <row r="2243" s="285" customFormat="1"/>
    <row r="2244" s="285" customFormat="1"/>
    <row r="2245" s="285" customFormat="1"/>
    <row r="2246" s="285" customFormat="1"/>
    <row r="2247" s="285" customFormat="1"/>
    <row r="2248" s="285" customFormat="1"/>
    <row r="2249" s="285" customFormat="1"/>
    <row r="2250" s="285" customFormat="1"/>
    <row r="2251" s="285" customFormat="1"/>
    <row r="2252" s="285" customFormat="1"/>
    <row r="2253" s="285" customFormat="1"/>
    <row r="2254" s="285" customFormat="1"/>
    <row r="2255" s="285" customFormat="1"/>
    <row r="2256" s="285" customFormat="1"/>
    <row r="2257" s="285" customFormat="1"/>
    <row r="2258" s="285" customFormat="1"/>
    <row r="2259" s="285" customFormat="1"/>
    <row r="2260" s="285" customFormat="1"/>
    <row r="2261" s="285" customFormat="1"/>
    <row r="2262" s="285" customFormat="1"/>
    <row r="2263" s="285" customFormat="1"/>
    <row r="2264" s="285" customFormat="1"/>
    <row r="2265" s="285" customFormat="1"/>
    <row r="2266" s="285" customFormat="1"/>
    <row r="2267" s="285" customFormat="1"/>
    <row r="2268" s="285" customFormat="1"/>
    <row r="2269" s="285" customFormat="1"/>
    <row r="2270" s="285" customFormat="1"/>
    <row r="2271" s="285" customFormat="1"/>
    <row r="2272" s="285" customFormat="1"/>
    <row r="2273" s="285" customFormat="1"/>
    <row r="2274" s="285" customFormat="1"/>
    <row r="2275" s="285" customFormat="1"/>
    <row r="2276" s="285" customFormat="1"/>
    <row r="2277" s="285" customFormat="1"/>
    <row r="2278" s="285" customFormat="1"/>
    <row r="2279" s="285" customFormat="1"/>
    <row r="2280" s="285" customFormat="1"/>
    <row r="2281" s="285" customFormat="1"/>
    <row r="2282" s="285" customFormat="1"/>
    <row r="2283" s="285" customFormat="1"/>
    <row r="2284" s="285" customFormat="1"/>
    <row r="2285" s="285" customFormat="1"/>
    <row r="2286" s="285" customFormat="1"/>
    <row r="2287" s="285" customFormat="1"/>
    <row r="2288" s="285" customFormat="1"/>
    <row r="2289" s="285" customFormat="1"/>
    <row r="2290" s="285" customFormat="1"/>
    <row r="2291" s="285" customFormat="1"/>
    <row r="2292" s="285" customFormat="1"/>
    <row r="2293" s="285" customFormat="1"/>
    <row r="2294" s="285" customFormat="1"/>
    <row r="2295" s="285" customFormat="1"/>
    <row r="2296" s="285" customFormat="1"/>
    <row r="2297" s="285" customFormat="1"/>
    <row r="2298" s="285" customFormat="1"/>
    <row r="2299" s="285" customFormat="1"/>
    <row r="2300" s="285" customFormat="1"/>
    <row r="2301" s="285" customFormat="1"/>
    <row r="2302" s="285" customFormat="1"/>
    <row r="2303" s="285" customFormat="1"/>
    <row r="2304" s="285" customFormat="1"/>
    <row r="2305" s="285" customFormat="1"/>
    <row r="2306" s="285" customFormat="1"/>
    <row r="2307" s="285" customFormat="1"/>
    <row r="2308" s="285" customFormat="1"/>
    <row r="2309" s="285" customFormat="1"/>
    <row r="2310" s="285" customFormat="1"/>
    <row r="2311" s="285" customFormat="1"/>
    <row r="2312" s="285" customFormat="1"/>
    <row r="2313" s="285" customFormat="1"/>
    <row r="2314" s="285" customFormat="1"/>
    <row r="2315" s="285" customFormat="1"/>
    <row r="2316" s="285" customFormat="1"/>
    <row r="2317" s="285" customFormat="1"/>
    <row r="2318" s="285" customFormat="1"/>
    <row r="2319" s="285" customFormat="1"/>
    <row r="2320" s="285" customFormat="1"/>
    <row r="2321" s="285" customFormat="1"/>
    <row r="2322" s="285" customFormat="1"/>
    <row r="2323" s="285" customFormat="1"/>
    <row r="2324" s="285" customFormat="1"/>
    <row r="2325" s="285" customFormat="1"/>
    <row r="2326" s="285" customFormat="1"/>
    <row r="2327" s="285" customFormat="1"/>
    <row r="2328" s="285" customFormat="1"/>
    <row r="2329" s="285" customFormat="1"/>
    <row r="2330" s="285" customFormat="1"/>
    <row r="2331" s="285" customFormat="1"/>
    <row r="2332" s="285" customFormat="1"/>
    <row r="2333" s="285" customFormat="1"/>
    <row r="2334" s="285" customFormat="1"/>
    <row r="2335" s="285" customFormat="1"/>
    <row r="2336" s="285" customFormat="1"/>
    <row r="2337" s="285" customFormat="1"/>
    <row r="2338" s="285" customFormat="1"/>
    <row r="2339" s="285" customFormat="1"/>
    <row r="2340" s="285" customFormat="1"/>
    <row r="2341" s="285" customFormat="1"/>
    <row r="2342" s="285" customFormat="1"/>
    <row r="2343" s="285" customFormat="1"/>
    <row r="2344" s="285" customFormat="1"/>
    <row r="2345" s="285" customFormat="1"/>
    <row r="2346" s="285" customFormat="1"/>
    <row r="2347" s="285" customFormat="1"/>
    <row r="2348" s="285" customFormat="1"/>
    <row r="2349" s="285" customFormat="1"/>
    <row r="2350" s="285" customFormat="1"/>
    <row r="2351" s="285" customFormat="1"/>
    <row r="2352" s="285" customFormat="1"/>
    <row r="2353" s="285" customFormat="1"/>
    <row r="2354" s="285" customFormat="1"/>
    <row r="2355" s="285" customFormat="1"/>
    <row r="2356" s="285" customFormat="1"/>
    <row r="2357" s="285" customFormat="1"/>
    <row r="2358" s="285" customFormat="1"/>
    <row r="2359" s="285" customFormat="1"/>
    <row r="2360" s="285" customFormat="1"/>
    <row r="2361" s="285" customFormat="1"/>
    <row r="2362" s="285" customFormat="1"/>
    <row r="2363" s="285" customFormat="1"/>
    <row r="2364" s="285" customFormat="1"/>
    <row r="2365" s="285" customFormat="1"/>
    <row r="2366" s="285" customFormat="1"/>
    <row r="2367" s="285" customFormat="1"/>
    <row r="2368" s="285" customFormat="1"/>
    <row r="2369" s="285" customFormat="1"/>
    <row r="2370" s="285" customFormat="1"/>
    <row r="2371" s="285" customFormat="1"/>
    <row r="2372" s="285" customFormat="1"/>
    <row r="2373" s="285" customFormat="1"/>
    <row r="2374" s="285" customFormat="1"/>
    <row r="2375" s="285" customFormat="1"/>
    <row r="2376" s="285" customFormat="1"/>
    <row r="2377" s="285" customFormat="1"/>
    <row r="2378" s="285" customFormat="1"/>
    <row r="2379" s="285" customFormat="1"/>
    <row r="2380" s="285" customFormat="1"/>
    <row r="2381" s="285" customFormat="1"/>
    <row r="2382" s="285" customFormat="1"/>
    <row r="2383" s="285" customFormat="1"/>
    <row r="2384" s="285" customFormat="1"/>
    <row r="2385" s="285" customFormat="1"/>
    <row r="2386" s="285" customFormat="1"/>
    <row r="2387" s="285" customFormat="1"/>
    <row r="2388" s="285" customFormat="1"/>
    <row r="2389" s="285" customFormat="1"/>
    <row r="2390" s="285" customFormat="1"/>
    <row r="2391" s="285" customFormat="1"/>
    <row r="2392" s="285" customFormat="1"/>
    <row r="2393" s="285" customFormat="1"/>
    <row r="2394" s="285" customFormat="1"/>
    <row r="2395" s="285" customFormat="1"/>
    <row r="2396" s="285" customFormat="1"/>
    <row r="2397" s="285" customFormat="1"/>
    <row r="2398" s="285" customFormat="1"/>
    <row r="2399" s="285" customFormat="1"/>
    <row r="2400" s="285" customFormat="1"/>
    <row r="2401" s="285" customFormat="1"/>
    <row r="2402" s="285" customFormat="1"/>
    <row r="2403" s="285" customFormat="1"/>
    <row r="2404" s="285" customFormat="1"/>
    <row r="2405" s="285" customFormat="1"/>
    <row r="2406" s="285" customFormat="1"/>
    <row r="2407" s="285" customFormat="1"/>
    <row r="2408" s="285" customFormat="1"/>
    <row r="2409" s="285" customFormat="1"/>
    <row r="2410" s="285" customFormat="1"/>
    <row r="2411" s="285" customFormat="1"/>
    <row r="2412" s="285" customFormat="1"/>
    <row r="2413" s="285" customFormat="1"/>
    <row r="2414" s="285" customFormat="1"/>
    <row r="2415" s="285" customFormat="1"/>
    <row r="2416" s="285" customFormat="1"/>
    <row r="2417" s="285" customFormat="1"/>
    <row r="2418" s="285" customFormat="1"/>
    <row r="2419" s="285" customFormat="1"/>
    <row r="2420" s="285" customFormat="1"/>
    <row r="2421" s="285" customFormat="1"/>
    <row r="2422" s="285" customFormat="1"/>
    <row r="2423" s="285" customFormat="1"/>
    <row r="2424" s="285" customFormat="1"/>
    <row r="2425" s="285" customFormat="1"/>
    <row r="2426" s="285" customFormat="1"/>
    <row r="2427" s="285" customFormat="1"/>
    <row r="2428" s="285" customFormat="1"/>
    <row r="2429" s="285" customFormat="1"/>
    <row r="2430" s="285" customFormat="1"/>
    <row r="2431" s="285" customFormat="1"/>
    <row r="2432" s="285" customFormat="1"/>
    <row r="2433" s="285" customFormat="1"/>
    <row r="2434" s="285" customFormat="1"/>
    <row r="2435" s="285" customFormat="1"/>
    <row r="2436" s="285" customFormat="1"/>
    <row r="2437" s="285" customFormat="1"/>
    <row r="2438" s="285" customFormat="1"/>
    <row r="2439" s="285" customFormat="1"/>
    <row r="2440" s="285" customFormat="1"/>
    <row r="2441" s="285" customFormat="1"/>
    <row r="2442" s="285" customFormat="1"/>
    <row r="2443" s="285" customFormat="1"/>
    <row r="2444" s="285" customFormat="1"/>
    <row r="2445" s="285" customFormat="1"/>
    <row r="2446" s="285" customFormat="1"/>
    <row r="2447" s="285" customFormat="1"/>
    <row r="2448" s="285" customFormat="1"/>
    <row r="2449" s="285" customFormat="1"/>
    <row r="2450" s="285" customFormat="1"/>
    <row r="2451" s="285" customFormat="1"/>
    <row r="2452" s="285" customFormat="1"/>
    <row r="2453" s="285" customFormat="1"/>
    <row r="2454" s="285" customFormat="1"/>
    <row r="2455" s="285" customFormat="1"/>
    <row r="2456" s="285" customFormat="1"/>
    <row r="2457" s="285" customFormat="1"/>
    <row r="2458" s="285" customFormat="1"/>
    <row r="2459" s="285" customFormat="1"/>
    <row r="2460" s="285" customFormat="1"/>
    <row r="2461" s="285" customFormat="1"/>
    <row r="2462" s="285" customFormat="1"/>
    <row r="2463" s="285" customFormat="1"/>
    <row r="2464" s="285" customFormat="1"/>
    <row r="2465" s="285" customFormat="1"/>
    <row r="2466" s="285" customFormat="1"/>
    <row r="2467" s="285" customFormat="1"/>
    <row r="2468" s="285" customFormat="1"/>
    <row r="2469" s="285" customFormat="1"/>
    <row r="2470" s="285" customFormat="1"/>
    <row r="2471" s="285" customFormat="1"/>
    <row r="2472" s="285" customFormat="1"/>
    <row r="2473" s="285" customFormat="1"/>
    <row r="2474" s="285" customFormat="1"/>
    <row r="2475" s="285" customFormat="1"/>
    <row r="2476" s="285" customFormat="1"/>
    <row r="2477" s="285" customFormat="1"/>
    <row r="2478" s="285" customFormat="1"/>
    <row r="2479" s="285" customFormat="1"/>
    <row r="2480" s="285" customFormat="1"/>
    <row r="2481" s="285" customFormat="1"/>
    <row r="2482" s="285" customFormat="1"/>
    <row r="2483" s="285" customFormat="1"/>
    <row r="2484" s="285" customFormat="1"/>
    <row r="2485" s="285" customFormat="1"/>
    <row r="2486" s="285" customFormat="1"/>
    <row r="2487" s="285" customFormat="1"/>
    <row r="2488" s="285" customFormat="1"/>
    <row r="2489" s="285" customFormat="1"/>
    <row r="2490" s="285" customFormat="1"/>
    <row r="2491" s="285" customFormat="1"/>
    <row r="2492" s="285" customFormat="1"/>
    <row r="2493" s="285" customFormat="1"/>
    <row r="2494" s="285" customFormat="1"/>
    <row r="2495" s="285" customFormat="1"/>
    <row r="2496" s="285" customFormat="1"/>
    <row r="2497" s="285" customFormat="1"/>
    <row r="2498" s="285" customFormat="1"/>
    <row r="2499" s="285" customFormat="1"/>
    <row r="2500" s="285" customFormat="1"/>
    <row r="2501" s="285" customFormat="1"/>
    <row r="2502" s="285" customFormat="1"/>
    <row r="2503" s="285" customFormat="1"/>
    <row r="2504" s="285" customFormat="1"/>
    <row r="2505" s="285" customFormat="1"/>
    <row r="2506" s="285" customFormat="1"/>
    <row r="2507" s="285" customFormat="1"/>
    <row r="2508" s="285" customFormat="1"/>
    <row r="2509" s="285" customFormat="1"/>
    <row r="2510" s="285" customFormat="1"/>
    <row r="2511" s="285" customFormat="1"/>
    <row r="2512" s="285" customFormat="1"/>
    <row r="2513" s="285" customFormat="1"/>
    <row r="2514" s="285" customFormat="1"/>
    <row r="2515" s="285" customFormat="1"/>
    <row r="2516" s="285" customFormat="1"/>
    <row r="2517" s="285" customFormat="1"/>
    <row r="2518" s="285" customFormat="1"/>
    <row r="2519" s="285" customFormat="1"/>
    <row r="2520" s="285" customFormat="1"/>
    <row r="2521" s="285" customFormat="1"/>
    <row r="2522" s="285" customFormat="1"/>
    <row r="2523" s="285" customFormat="1"/>
    <row r="2524" s="285" customFormat="1"/>
    <row r="2525" s="285" customFormat="1"/>
    <row r="2526" s="285" customFormat="1"/>
    <row r="2527" s="285" customFormat="1"/>
    <row r="2528" s="285" customFormat="1"/>
    <row r="2529" s="285" customFormat="1"/>
    <row r="2530" s="285" customFormat="1"/>
    <row r="2531" s="285" customFormat="1"/>
    <row r="2532" s="285" customFormat="1"/>
    <row r="2533" s="285" customFormat="1"/>
    <row r="2534" s="285" customFormat="1"/>
    <row r="2535" s="285" customFormat="1"/>
    <row r="2536" s="285" customFormat="1"/>
    <row r="2537" s="285" customFormat="1"/>
    <row r="2538" s="285" customFormat="1"/>
    <row r="2539" s="285" customFormat="1"/>
    <row r="2540" s="285" customFormat="1"/>
    <row r="2541" s="285" customFormat="1"/>
    <row r="2542" s="285" customFormat="1"/>
    <row r="2543" s="285" customFormat="1"/>
    <row r="2544" s="285" customFormat="1"/>
    <row r="2545" s="285" customFormat="1"/>
    <row r="2546" s="285" customFormat="1"/>
    <row r="2547" s="285" customFormat="1"/>
    <row r="2548" s="285" customFormat="1"/>
    <row r="2549" s="285" customFormat="1"/>
    <row r="2550" s="285" customFormat="1"/>
    <row r="2551" s="285" customFormat="1"/>
    <row r="2552" s="285" customFormat="1"/>
    <row r="2553" s="285" customFormat="1"/>
    <row r="2554" s="285" customFormat="1"/>
    <row r="2555" s="285" customFormat="1"/>
    <row r="2556" s="285" customFormat="1"/>
    <row r="2557" s="285" customFormat="1"/>
    <row r="2558" s="285" customFormat="1"/>
    <row r="2559" s="285" customFormat="1"/>
    <row r="2560" s="285" customFormat="1"/>
    <row r="2561" s="285" customFormat="1"/>
    <row r="2562" s="285" customFormat="1"/>
    <row r="2563" s="285" customFormat="1"/>
    <row r="2564" s="285" customFormat="1"/>
    <row r="2565" s="285" customFormat="1"/>
    <row r="2566" s="285" customFormat="1"/>
    <row r="2567" s="285" customFormat="1"/>
    <row r="2568" s="285" customFormat="1"/>
    <row r="2569" s="285" customFormat="1"/>
    <row r="2570" s="285" customFormat="1"/>
    <row r="2571" s="285" customFormat="1"/>
    <row r="2572" s="285" customFormat="1"/>
    <row r="2573" s="285" customFormat="1"/>
    <row r="2574" s="285" customFormat="1"/>
    <row r="2575" s="285" customFormat="1"/>
    <row r="2576" s="285" customFormat="1"/>
    <row r="2577" s="285" customFormat="1"/>
    <row r="2578" s="285" customFormat="1"/>
    <row r="2579" s="285" customFormat="1"/>
    <row r="2580" s="285" customFormat="1"/>
    <row r="2581" s="285" customFormat="1"/>
    <row r="2582" s="285" customFormat="1"/>
    <row r="2583" s="285" customFormat="1"/>
    <row r="2584" s="285" customFormat="1"/>
    <row r="2585" s="285" customFormat="1"/>
    <row r="2586" s="285" customFormat="1"/>
    <row r="2587" s="285" customFormat="1"/>
    <row r="2588" s="285" customFormat="1"/>
    <row r="2589" s="285" customFormat="1"/>
    <row r="2590" s="285" customFormat="1"/>
    <row r="2591" s="285" customFormat="1"/>
    <row r="2592" s="285" customFormat="1"/>
    <row r="2593" s="285" customFormat="1"/>
    <row r="2594" s="285" customFormat="1"/>
    <row r="2595" s="285" customFormat="1"/>
    <row r="2596" s="285" customFormat="1"/>
    <row r="2597" s="285" customFormat="1"/>
    <row r="2598" s="285" customFormat="1"/>
    <row r="2599" s="285" customFormat="1"/>
    <row r="2600" s="285" customFormat="1"/>
    <row r="2601" s="285" customFormat="1"/>
    <row r="2602" s="285" customFormat="1"/>
    <row r="2603" s="285" customFormat="1"/>
    <row r="2604" s="285" customFormat="1"/>
    <row r="2605" s="285" customFormat="1"/>
    <row r="2606" s="285" customFormat="1"/>
    <row r="2607" s="285" customFormat="1"/>
    <row r="2608" s="285" customFormat="1"/>
    <row r="2609" s="285" customFormat="1"/>
    <row r="2610" s="285" customFormat="1"/>
    <row r="2611" s="285" customFormat="1"/>
    <row r="2612" s="285" customFormat="1"/>
    <row r="2613" s="285" customFormat="1"/>
    <row r="2614" s="285" customFormat="1"/>
    <row r="2615" s="285" customFormat="1"/>
    <row r="2616" s="285" customFormat="1"/>
    <row r="2617" s="285" customFormat="1"/>
    <row r="2618" s="285" customFormat="1"/>
    <row r="2619" s="285" customFormat="1"/>
    <row r="2620" s="285" customFormat="1"/>
    <row r="2621" s="285" customFormat="1"/>
    <row r="2622" s="285" customFormat="1"/>
    <row r="2623" s="285" customFormat="1"/>
    <row r="2624" s="285" customFormat="1"/>
    <row r="2625" s="285" customFormat="1"/>
    <row r="2626" s="285" customFormat="1"/>
    <row r="2627" s="285" customFormat="1"/>
    <row r="2628" s="285" customFormat="1"/>
    <row r="2629" s="285" customFormat="1"/>
    <row r="2630" s="285" customFormat="1"/>
    <row r="2631" s="285" customFormat="1"/>
    <row r="2632" s="285" customFormat="1"/>
    <row r="2633" s="285" customFormat="1"/>
    <row r="2634" s="285" customFormat="1"/>
    <row r="2635" s="285" customFormat="1"/>
    <row r="2636" s="285" customFormat="1"/>
    <row r="2637" s="285" customFormat="1"/>
    <row r="2638" s="285" customFormat="1"/>
    <row r="2639" s="285" customFormat="1"/>
    <row r="2640" s="285" customFormat="1"/>
    <row r="2641" s="285" customFormat="1"/>
    <row r="2642" s="285" customFormat="1"/>
    <row r="2643" s="285" customFormat="1"/>
    <row r="2644" s="285" customFormat="1"/>
    <row r="2645" s="285" customFormat="1"/>
    <row r="2646" s="285" customFormat="1"/>
    <row r="2647" s="285" customFormat="1"/>
    <row r="2648" s="285" customFormat="1"/>
    <row r="2649" s="285" customFormat="1"/>
    <row r="2650" s="285" customFormat="1"/>
    <row r="2651" s="285" customFormat="1"/>
    <row r="2652" s="285" customFormat="1"/>
    <row r="2653" s="285" customFormat="1"/>
    <row r="2654" s="285" customFormat="1"/>
    <row r="2655" s="285" customFormat="1"/>
    <row r="2656" s="285" customFormat="1"/>
    <row r="2657" s="285" customFormat="1"/>
    <row r="2658" s="285" customFormat="1"/>
    <row r="2659" s="285" customFormat="1"/>
    <row r="2660" s="285" customFormat="1"/>
    <row r="2661" s="285" customFormat="1"/>
    <row r="2662" s="285" customFormat="1"/>
    <row r="2663" s="285" customFormat="1"/>
    <row r="2664" s="285" customFormat="1"/>
    <row r="2665" s="285" customFormat="1"/>
    <row r="2666" s="285" customFormat="1"/>
    <row r="2667" s="285" customFormat="1"/>
    <row r="2668" s="285" customFormat="1"/>
    <row r="2669" s="285" customFormat="1"/>
    <row r="2670" s="285" customFormat="1"/>
    <row r="2671" s="285" customFormat="1"/>
    <row r="2672" s="285" customFormat="1"/>
    <row r="2673" s="285" customFormat="1"/>
    <row r="2674" s="285" customFormat="1"/>
    <row r="2675" s="285" customFormat="1"/>
    <row r="2676" s="285" customFormat="1"/>
    <row r="2677" s="285" customFormat="1"/>
    <row r="2678" s="285" customFormat="1"/>
    <row r="2679" s="285" customFormat="1"/>
    <row r="2680" s="285" customFormat="1"/>
    <row r="2681" s="285" customFormat="1"/>
    <row r="2682" s="285" customFormat="1"/>
    <row r="2683" s="285" customFormat="1"/>
    <row r="2684" s="285" customFormat="1"/>
    <row r="2685" s="285" customFormat="1"/>
    <row r="2686" s="285" customFormat="1"/>
    <row r="2687" s="285" customFormat="1"/>
    <row r="2688" s="285" customFormat="1"/>
    <row r="2689" s="285" customFormat="1"/>
    <row r="2690" s="285" customFormat="1"/>
    <row r="2691" s="285" customFormat="1"/>
    <row r="2692" s="285" customFormat="1"/>
    <row r="2693" s="285" customFormat="1"/>
    <row r="2694" s="285" customFormat="1"/>
    <row r="2695" s="285" customFormat="1"/>
    <row r="2696" s="285" customFormat="1"/>
    <row r="2697" s="285" customFormat="1"/>
    <row r="2698" s="285" customFormat="1"/>
    <row r="2699" s="285" customFormat="1"/>
    <row r="2700" s="285" customFormat="1"/>
    <row r="2701" s="285" customFormat="1"/>
    <row r="2702" s="285" customFormat="1"/>
    <row r="2703" s="285" customFormat="1"/>
    <row r="2704" s="285" customFormat="1"/>
    <row r="2705" s="285" customFormat="1"/>
    <row r="2706" s="285" customFormat="1"/>
    <row r="2707" s="285" customFormat="1"/>
    <row r="2708" s="285" customFormat="1"/>
    <row r="2709" s="285" customFormat="1"/>
    <row r="2710" s="285" customFormat="1"/>
    <row r="2711" s="285" customFormat="1"/>
    <row r="2712" s="285" customFormat="1"/>
    <row r="2713" s="285" customFormat="1"/>
    <row r="2714" s="285" customFormat="1"/>
    <row r="2715" s="285" customFormat="1"/>
    <row r="2716" s="285" customFormat="1"/>
    <row r="2717" s="285" customFormat="1"/>
    <row r="2718" s="285" customFormat="1"/>
    <row r="2719" s="285" customFormat="1"/>
    <row r="2720" s="285" customFormat="1"/>
    <row r="2721" s="285" customFormat="1"/>
    <row r="2722" s="285" customFormat="1"/>
    <row r="2723" s="285" customFormat="1"/>
    <row r="2724" s="285" customFormat="1"/>
    <row r="2725" s="285" customFormat="1"/>
    <row r="2726" s="285" customFormat="1"/>
    <row r="2727" s="285" customFormat="1"/>
    <row r="2728" s="285" customFormat="1"/>
    <row r="2729" s="285" customFormat="1"/>
    <row r="2730" s="285" customFormat="1"/>
    <row r="2731" s="285" customFormat="1"/>
    <row r="2732" s="285" customFormat="1"/>
    <row r="2733" s="285" customFormat="1"/>
    <row r="2734" s="285" customFormat="1"/>
    <row r="2735" s="285" customFormat="1"/>
    <row r="2736" s="285" customFormat="1"/>
    <row r="2737" s="285" customFormat="1"/>
    <row r="2738" s="285" customFormat="1"/>
    <row r="2739" s="285" customFormat="1"/>
    <row r="2740" s="285" customFormat="1"/>
    <row r="2741" s="285" customFormat="1"/>
    <row r="2742" s="285" customFormat="1"/>
    <row r="2743" s="285" customFormat="1"/>
    <row r="2744" s="285" customFormat="1"/>
    <row r="2745" s="285" customFormat="1"/>
    <row r="2746" s="285" customFormat="1"/>
    <row r="2747" s="285" customFormat="1"/>
    <row r="2748" s="285" customFormat="1"/>
    <row r="2749" s="285" customFormat="1"/>
    <row r="2750" s="285" customFormat="1"/>
    <row r="2751" s="285" customFormat="1"/>
    <row r="2752" s="285" customFormat="1"/>
    <row r="2753" s="285" customFormat="1"/>
    <row r="2754" s="285" customFormat="1"/>
    <row r="2755" s="285" customFormat="1"/>
    <row r="2756" s="285" customFormat="1"/>
    <row r="2757" s="285" customFormat="1"/>
    <row r="2758" s="285" customFormat="1"/>
    <row r="2759" s="285" customFormat="1"/>
    <row r="2760" s="285" customFormat="1"/>
    <row r="2761" s="285" customFormat="1"/>
    <row r="2762" s="285" customFormat="1"/>
    <row r="2763" s="285" customFormat="1"/>
    <row r="2764" s="285" customFormat="1"/>
    <row r="2765" s="285" customFormat="1"/>
    <row r="2766" s="285" customFormat="1"/>
    <row r="2767" s="285" customFormat="1"/>
    <row r="2768" s="285" customFormat="1"/>
    <row r="2769" s="285" customFormat="1"/>
    <row r="2770" s="285" customFormat="1"/>
    <row r="2771" s="285" customFormat="1"/>
    <row r="2772" s="285" customFormat="1"/>
    <row r="2773" s="285" customFormat="1"/>
    <row r="2774" s="285" customFormat="1"/>
    <row r="2775" s="285" customFormat="1"/>
    <row r="2776" s="285" customFormat="1"/>
    <row r="2777" s="285" customFormat="1"/>
    <row r="2778" s="285" customFormat="1"/>
    <row r="2779" s="285" customFormat="1"/>
    <row r="2780" s="285" customFormat="1"/>
    <row r="2781" s="285" customFormat="1"/>
    <row r="2782" s="285" customFormat="1"/>
    <row r="2783" s="285" customFormat="1"/>
    <row r="2784" s="285" customFormat="1"/>
    <row r="2785" spans="2:15">
      <c r="B2785" s="285"/>
      <c r="C2785" s="285"/>
      <c r="D2785" s="285"/>
      <c r="E2785" s="285"/>
      <c r="F2785" s="285"/>
      <c r="G2785" s="285"/>
      <c r="H2785" s="285"/>
      <c r="I2785" s="285"/>
      <c r="J2785" s="285"/>
      <c r="K2785" s="285"/>
      <c r="L2785" s="285"/>
      <c r="M2785" s="285"/>
      <c r="N2785" s="285"/>
      <c r="O2785" s="285"/>
    </row>
    <row r="2786" spans="2:15">
      <c r="B2786" s="285"/>
      <c r="C2786" s="285"/>
      <c r="D2786" s="285"/>
      <c r="E2786" s="285"/>
      <c r="F2786" s="285"/>
      <c r="G2786" s="285"/>
      <c r="H2786" s="285"/>
      <c r="I2786" s="285"/>
      <c r="J2786" s="285"/>
      <c r="K2786" s="285"/>
      <c r="L2786" s="285"/>
      <c r="M2786" s="285"/>
      <c r="N2786" s="285"/>
      <c r="O2786" s="285"/>
    </row>
    <row r="2787" spans="2:15">
      <c r="B2787" s="285"/>
      <c r="C2787" s="285"/>
      <c r="D2787" s="285"/>
      <c r="E2787" s="285"/>
      <c r="F2787" s="285"/>
      <c r="G2787" s="285"/>
      <c r="H2787" s="285"/>
      <c r="I2787" s="285"/>
      <c r="J2787" s="285"/>
      <c r="K2787" s="285"/>
      <c r="L2787" s="285"/>
      <c r="M2787" s="285"/>
      <c r="N2787" s="285"/>
      <c r="O2787" s="285"/>
    </row>
    <row r="2788" spans="2:15">
      <c r="B2788" s="285"/>
      <c r="C2788" s="285"/>
      <c r="D2788" s="285"/>
      <c r="E2788" s="285"/>
      <c r="F2788" s="285"/>
      <c r="G2788" s="285"/>
      <c r="H2788" s="285"/>
      <c r="I2788" s="285"/>
      <c r="J2788" s="285"/>
      <c r="K2788" s="285"/>
      <c r="L2788" s="285"/>
      <c r="M2788" s="285"/>
      <c r="N2788" s="285"/>
      <c r="O2788" s="285"/>
    </row>
    <row r="2789" spans="2:15">
      <c r="B2789" s="285"/>
      <c r="C2789" s="285"/>
      <c r="D2789" s="285"/>
      <c r="E2789" s="285"/>
      <c r="F2789" s="285"/>
      <c r="G2789" s="285"/>
      <c r="H2789" s="285"/>
      <c r="I2789" s="285"/>
      <c r="J2789" s="285"/>
      <c r="K2789" s="285"/>
      <c r="L2789" s="285"/>
      <c r="M2789" s="285"/>
      <c r="N2789" s="285"/>
      <c r="O2789" s="285"/>
    </row>
    <row r="2790" spans="2:15">
      <c r="B2790" s="285"/>
      <c r="C2790" s="285"/>
    </row>
    <row r="2791" spans="2:15">
      <c r="B2791" s="285"/>
      <c r="C2791" s="285"/>
    </row>
    <row r="2792" spans="2:15">
      <c r="B2792" s="285"/>
      <c r="C2792" s="285"/>
    </row>
    <row r="2793" spans="2:15">
      <c r="B2793" s="285"/>
      <c r="C2793" s="285"/>
    </row>
    <row r="2794" spans="2:15">
      <c r="B2794" s="285"/>
      <c r="C2794" s="285"/>
    </row>
    <row r="2795" spans="2:15">
      <c r="B2795" s="285"/>
      <c r="C2795" s="285"/>
    </row>
    <row r="2796" spans="2:15">
      <c r="B2796" s="285"/>
      <c r="C2796" s="285"/>
    </row>
    <row r="2797" spans="2:15">
      <c r="B2797" s="285"/>
      <c r="C2797" s="285"/>
    </row>
    <row r="2798" spans="2:15">
      <c r="B2798" s="285"/>
      <c r="C2798" s="285"/>
    </row>
    <row r="2799" spans="2:15">
      <c r="B2799" s="285"/>
      <c r="C2799" s="285"/>
    </row>
    <row r="2800" spans="2:15">
      <c r="B2800" s="285"/>
      <c r="C2800" s="285"/>
    </row>
    <row r="2801" spans="2:3">
      <c r="B2801" s="285"/>
      <c r="C2801" s="285"/>
    </row>
    <row r="2802" spans="2:3">
      <c r="B2802" s="285"/>
      <c r="C2802" s="285"/>
    </row>
    <row r="2803" spans="2:3">
      <c r="B2803" s="285"/>
      <c r="C2803" s="285"/>
    </row>
    <row r="2804" spans="2:3">
      <c r="B2804" s="285"/>
      <c r="C2804" s="285"/>
    </row>
    <row r="2805" spans="2:3">
      <c r="B2805" s="285"/>
      <c r="C2805" s="285"/>
    </row>
    <row r="2806" spans="2:3">
      <c r="B2806" s="285"/>
      <c r="C2806" s="285"/>
    </row>
    <row r="2807" spans="2:3">
      <c r="B2807" s="285"/>
      <c r="C2807" s="285"/>
    </row>
  </sheetData>
  <pageMargins left="0.39370078740157483" right="0.19685039370078741" top="0.78740157480314965" bottom="0.19685039370078741" header="0.19685039370078741" footer="0.19685039370078741"/>
  <pageSetup paperSize="9" scale="46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21"/>
  <dimension ref="B2:O52"/>
  <sheetViews>
    <sheetView topLeftCell="A25" zoomScale="136" zoomScaleNormal="136" workbookViewId="0">
      <selection activeCell="D45" sqref="D45"/>
    </sheetView>
  </sheetViews>
  <sheetFormatPr baseColWidth="10" defaultRowHeight="12.75"/>
  <cols>
    <col min="1" max="1" width="11.42578125" style="107"/>
    <col min="2" max="2" width="39.42578125" style="107" bestFit="1" customWidth="1"/>
    <col min="3" max="3" width="11.85546875" style="107" bestFit="1" customWidth="1"/>
    <col min="4" max="4" width="12.42578125" style="107" bestFit="1" customWidth="1"/>
    <col min="5" max="5" width="13.28515625" style="107" bestFit="1" customWidth="1"/>
    <col min="6" max="15" width="14.140625" style="107" bestFit="1" customWidth="1"/>
    <col min="16" max="16384" width="11.42578125" style="107"/>
  </cols>
  <sheetData>
    <row r="2" spans="2:15">
      <c r="B2" s="218" t="s">
        <v>865</v>
      </c>
      <c r="C2" s="108" t="str">
        <f>+Production!D18</f>
        <v>Janvier</v>
      </c>
      <c r="D2" s="108" t="str">
        <f>+Production!E18</f>
        <v>Février</v>
      </c>
      <c r="E2" s="108" t="str">
        <f>+Production!F18</f>
        <v>Mars</v>
      </c>
      <c r="F2" s="108" t="str">
        <f>+Production!G18</f>
        <v>Avril</v>
      </c>
      <c r="G2" s="108" t="str">
        <f>+Production!H18</f>
        <v>Mai</v>
      </c>
      <c r="H2" s="108" t="str">
        <f>+Production!I18</f>
        <v>Juin</v>
      </c>
      <c r="I2" s="108" t="str">
        <f>+Production!J18</f>
        <v>Juillet</v>
      </c>
      <c r="J2" s="108" t="str">
        <f>+Production!K18</f>
        <v>Août</v>
      </c>
      <c r="K2" s="108" t="str">
        <f>+Production!L18</f>
        <v>Septembre</v>
      </c>
      <c r="L2" s="108" t="str">
        <f>+Production!M18</f>
        <v>Octobre</v>
      </c>
      <c r="M2" s="108" t="str">
        <f>+Production!N18</f>
        <v>Novembre</v>
      </c>
      <c r="N2" s="108" t="str">
        <f>+Production!O18</f>
        <v>Décembre</v>
      </c>
      <c r="O2" s="108" t="str">
        <f>+Production!P18</f>
        <v>Total</v>
      </c>
    </row>
    <row r="3" spans="2:15">
      <c r="B3" s="247" t="s">
        <v>35</v>
      </c>
    </row>
    <row r="4" spans="2:15">
      <c r="B4" s="219" t="e">
        <f>+#REF!</f>
        <v>#REF!</v>
      </c>
      <c r="C4" s="110"/>
      <c r="D4" s="110">
        <v>40000000</v>
      </c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>
        <f>SUM(C4:N4)</f>
        <v>40000000</v>
      </c>
    </row>
    <row r="5" spans="2:15">
      <c r="B5" s="219" t="s">
        <v>1096</v>
      </c>
      <c r="C5" s="110"/>
      <c r="D5" s="110">
        <v>300000000</v>
      </c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>
        <f>SUM(C5:N5)</f>
        <v>300000000</v>
      </c>
    </row>
    <row r="6" spans="2:15">
      <c r="B6" s="219" t="e">
        <f>+#REF!</f>
        <v>#REF!</v>
      </c>
      <c r="C6" s="110"/>
      <c r="D6" s="110">
        <v>10000000</v>
      </c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>
        <f>SUM(C6:N6)</f>
        <v>10000000</v>
      </c>
    </row>
    <row r="7" spans="2:15">
      <c r="B7" s="219" t="e">
        <f>+#REF!</f>
        <v>#REF!</v>
      </c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>
        <f>SUM(C7:N7)</f>
        <v>0</v>
      </c>
    </row>
    <row r="8" spans="2:15">
      <c r="B8" s="219" t="e">
        <f>+#REF!</f>
        <v>#REF!</v>
      </c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10"/>
      <c r="O8" s="110">
        <f t="shared" ref="O8:O9" si="0">SUM(C8:N8)</f>
        <v>0</v>
      </c>
    </row>
    <row r="9" spans="2:15">
      <c r="B9" s="219" t="e">
        <f>+#REF!</f>
        <v>#REF!</v>
      </c>
      <c r="C9" s="110"/>
      <c r="D9" s="110">
        <f>+SUM(D4:D8)*5%</f>
        <v>17500000</v>
      </c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>
        <f t="shared" si="0"/>
        <v>17500000</v>
      </c>
    </row>
    <row r="10" spans="2:15">
      <c r="B10" s="404" t="s">
        <v>866</v>
      </c>
      <c r="C10" s="113">
        <f t="shared" ref="C10" si="1">SUM(C4:C8)</f>
        <v>0</v>
      </c>
      <c r="D10" s="113">
        <f>SUM(D4:D9)</f>
        <v>367500000</v>
      </c>
      <c r="E10" s="113">
        <f t="shared" ref="E10:O10" si="2">SUM(E4:E9)</f>
        <v>0</v>
      </c>
      <c r="F10" s="113">
        <f t="shared" si="2"/>
        <v>0</v>
      </c>
      <c r="G10" s="113">
        <f t="shared" si="2"/>
        <v>0</v>
      </c>
      <c r="H10" s="113">
        <f t="shared" si="2"/>
        <v>0</v>
      </c>
      <c r="I10" s="113">
        <f t="shared" si="2"/>
        <v>0</v>
      </c>
      <c r="J10" s="113">
        <f t="shared" si="2"/>
        <v>0</v>
      </c>
      <c r="K10" s="113">
        <f t="shared" si="2"/>
        <v>0</v>
      </c>
      <c r="L10" s="113">
        <f t="shared" si="2"/>
        <v>0</v>
      </c>
      <c r="M10" s="113">
        <f t="shared" si="2"/>
        <v>0</v>
      </c>
      <c r="N10" s="113">
        <f t="shared" si="2"/>
        <v>0</v>
      </c>
      <c r="O10" s="113">
        <f t="shared" si="2"/>
        <v>367500000</v>
      </c>
    </row>
    <row r="11" spans="2:15" ht="3.75" customHeight="1">
      <c r="B11" s="111"/>
      <c r="C11" s="110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</row>
    <row r="12" spans="2:15">
      <c r="B12" s="247" t="s">
        <v>923</v>
      </c>
      <c r="C12" s="112"/>
      <c r="D12" s="112"/>
      <c r="E12" s="112"/>
      <c r="F12" s="112"/>
      <c r="G12" s="112"/>
      <c r="H12" s="112">
        <f>+(+H4+H5)*0.1/12</f>
        <v>0</v>
      </c>
      <c r="I12" s="112"/>
      <c r="J12" s="112"/>
      <c r="K12" s="112"/>
      <c r="L12" s="112"/>
      <c r="M12" s="112"/>
      <c r="N12" s="112"/>
      <c r="O12" s="110"/>
    </row>
    <row r="13" spans="2:15">
      <c r="B13" s="248" t="str">
        <f>+B3</f>
        <v>Fort dauphin</v>
      </c>
      <c r="C13" s="112"/>
      <c r="D13" s="112"/>
      <c r="E13" s="112"/>
      <c r="F13" s="112"/>
      <c r="G13" s="112"/>
      <c r="H13" s="112"/>
      <c r="I13" s="112"/>
      <c r="J13" s="112"/>
      <c r="K13" s="112"/>
      <c r="L13" s="112"/>
      <c r="M13" s="112"/>
      <c r="N13" s="112"/>
      <c r="O13" s="110"/>
    </row>
    <row r="14" spans="2:15">
      <c r="B14" s="220" t="e">
        <f>+B4</f>
        <v>#REF!</v>
      </c>
      <c r="C14" s="110">
        <f>+C4*0.1/12</f>
        <v>0</v>
      </c>
      <c r="D14" s="110">
        <f>+D4*0.1/12</f>
        <v>333333.33333333331</v>
      </c>
      <c r="E14" s="110">
        <f>+D14</f>
        <v>333333.33333333331</v>
      </c>
      <c r="F14" s="110">
        <f t="shared" ref="F14:N14" si="3">+E14</f>
        <v>333333.33333333331</v>
      </c>
      <c r="G14" s="110">
        <f t="shared" si="3"/>
        <v>333333.33333333331</v>
      </c>
      <c r="H14" s="110">
        <f t="shared" si="3"/>
        <v>333333.33333333331</v>
      </c>
      <c r="I14" s="110">
        <f t="shared" si="3"/>
        <v>333333.33333333331</v>
      </c>
      <c r="J14" s="110">
        <f t="shared" si="3"/>
        <v>333333.33333333331</v>
      </c>
      <c r="K14" s="110">
        <f t="shared" si="3"/>
        <v>333333.33333333331</v>
      </c>
      <c r="L14" s="110">
        <f t="shared" si="3"/>
        <v>333333.33333333331</v>
      </c>
      <c r="M14" s="110">
        <f t="shared" si="3"/>
        <v>333333.33333333331</v>
      </c>
      <c r="N14" s="110">
        <f t="shared" si="3"/>
        <v>333333.33333333331</v>
      </c>
      <c r="O14" s="110">
        <f>SUM(C14:N14)</f>
        <v>3666666.666666667</v>
      </c>
    </row>
    <row r="15" spans="2:15">
      <c r="B15" s="220" t="str">
        <f>+B5</f>
        <v>Reparations toitures</v>
      </c>
      <c r="C15" s="110">
        <f>+C5*0.1/12</f>
        <v>0</v>
      </c>
      <c r="D15" s="110">
        <f>+D5*0.2/12</f>
        <v>5000000</v>
      </c>
      <c r="E15" s="110">
        <f t="shared" ref="E15:N15" si="4">+D15</f>
        <v>5000000</v>
      </c>
      <c r="F15" s="110">
        <f t="shared" si="4"/>
        <v>5000000</v>
      </c>
      <c r="G15" s="110">
        <f t="shared" si="4"/>
        <v>5000000</v>
      </c>
      <c r="H15" s="110">
        <f t="shared" si="4"/>
        <v>5000000</v>
      </c>
      <c r="I15" s="110">
        <f t="shared" si="4"/>
        <v>5000000</v>
      </c>
      <c r="J15" s="110">
        <f t="shared" si="4"/>
        <v>5000000</v>
      </c>
      <c r="K15" s="110">
        <f t="shared" si="4"/>
        <v>5000000</v>
      </c>
      <c r="L15" s="110">
        <f t="shared" si="4"/>
        <v>5000000</v>
      </c>
      <c r="M15" s="110">
        <f t="shared" si="4"/>
        <v>5000000</v>
      </c>
      <c r="N15" s="110">
        <f t="shared" si="4"/>
        <v>5000000</v>
      </c>
      <c r="O15" s="110">
        <f>SUM(C15:N15)</f>
        <v>55000000</v>
      </c>
    </row>
    <row r="16" spans="2:15">
      <c r="B16" s="220" t="e">
        <f>+B6</f>
        <v>#REF!</v>
      </c>
      <c r="C16" s="110">
        <f>+C6*0.1/12</f>
        <v>0</v>
      </c>
      <c r="D16" s="110">
        <f>+D6*0.1/12</f>
        <v>83333.333333333328</v>
      </c>
      <c r="E16" s="110">
        <f t="shared" ref="E16:N16" si="5">+D16</f>
        <v>83333.333333333328</v>
      </c>
      <c r="F16" s="110">
        <f t="shared" si="5"/>
        <v>83333.333333333328</v>
      </c>
      <c r="G16" s="110">
        <f t="shared" si="5"/>
        <v>83333.333333333328</v>
      </c>
      <c r="H16" s="110">
        <f t="shared" si="5"/>
        <v>83333.333333333328</v>
      </c>
      <c r="I16" s="110">
        <f t="shared" si="5"/>
        <v>83333.333333333328</v>
      </c>
      <c r="J16" s="110">
        <f t="shared" si="5"/>
        <v>83333.333333333328</v>
      </c>
      <c r="K16" s="110">
        <f t="shared" si="5"/>
        <v>83333.333333333328</v>
      </c>
      <c r="L16" s="110">
        <f t="shared" si="5"/>
        <v>83333.333333333328</v>
      </c>
      <c r="M16" s="110">
        <f t="shared" si="5"/>
        <v>83333.333333333328</v>
      </c>
      <c r="N16" s="110">
        <f t="shared" si="5"/>
        <v>83333.333333333328</v>
      </c>
      <c r="O16" s="110">
        <f t="shared" ref="O16:O34" si="6">SUM(C16:N16)</f>
        <v>916666.66666666674</v>
      </c>
    </row>
    <row r="17" spans="2:15">
      <c r="B17" s="220" t="e">
        <f>+B7</f>
        <v>#REF!</v>
      </c>
      <c r="C17" s="110">
        <f>+C7*0.25/12</f>
        <v>0</v>
      </c>
      <c r="D17" s="110">
        <f>+D7*0.25/12</f>
        <v>0</v>
      </c>
      <c r="E17" s="110">
        <f t="shared" ref="E17:N17" si="7">+D17</f>
        <v>0</v>
      </c>
      <c r="F17" s="110">
        <f t="shared" si="7"/>
        <v>0</v>
      </c>
      <c r="G17" s="110">
        <f t="shared" si="7"/>
        <v>0</v>
      </c>
      <c r="H17" s="110">
        <f t="shared" si="7"/>
        <v>0</v>
      </c>
      <c r="I17" s="110">
        <f t="shared" si="7"/>
        <v>0</v>
      </c>
      <c r="J17" s="110">
        <f t="shared" si="7"/>
        <v>0</v>
      </c>
      <c r="K17" s="110">
        <f t="shared" si="7"/>
        <v>0</v>
      </c>
      <c r="L17" s="110">
        <f t="shared" si="7"/>
        <v>0</v>
      </c>
      <c r="M17" s="110">
        <f t="shared" si="7"/>
        <v>0</v>
      </c>
      <c r="N17" s="110">
        <f t="shared" si="7"/>
        <v>0</v>
      </c>
      <c r="O17" s="110">
        <f t="shared" si="6"/>
        <v>0</v>
      </c>
    </row>
    <row r="18" spans="2:15">
      <c r="B18" s="220" t="s">
        <v>876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</row>
    <row r="19" spans="2:15">
      <c r="B19" s="220" t="s">
        <v>875</v>
      </c>
      <c r="C19" s="110"/>
      <c r="D19" s="110">
        <f>+D9*0.1/12</f>
        <v>145833.33333333334</v>
      </c>
      <c r="E19" s="110">
        <f t="shared" ref="E19:N19" si="8">+D19</f>
        <v>145833.33333333334</v>
      </c>
      <c r="F19" s="110">
        <f t="shared" si="8"/>
        <v>145833.33333333334</v>
      </c>
      <c r="G19" s="110">
        <f t="shared" si="8"/>
        <v>145833.33333333334</v>
      </c>
      <c r="H19" s="110">
        <f t="shared" si="8"/>
        <v>145833.33333333334</v>
      </c>
      <c r="I19" s="110">
        <f t="shared" si="8"/>
        <v>145833.33333333334</v>
      </c>
      <c r="J19" s="110">
        <f t="shared" si="8"/>
        <v>145833.33333333334</v>
      </c>
      <c r="K19" s="110">
        <f t="shared" si="8"/>
        <v>145833.33333333334</v>
      </c>
      <c r="L19" s="110">
        <f t="shared" si="8"/>
        <v>145833.33333333334</v>
      </c>
      <c r="M19" s="110">
        <f t="shared" si="8"/>
        <v>145833.33333333334</v>
      </c>
      <c r="N19" s="110">
        <f t="shared" si="8"/>
        <v>145833.33333333334</v>
      </c>
      <c r="O19" s="110">
        <f t="shared" si="6"/>
        <v>1604166.6666666665</v>
      </c>
    </row>
    <row r="20" spans="2:15">
      <c r="B20" s="220"/>
      <c r="C20" s="110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</row>
    <row r="21" spans="2:15">
      <c r="B21" s="220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>
        <f t="shared" si="6"/>
        <v>0</v>
      </c>
    </row>
    <row r="22" spans="2:15">
      <c r="B22" s="220" t="e">
        <f>+#REF!</f>
        <v>#REF!</v>
      </c>
      <c r="C22" s="110">
        <v>1335500.8799999997</v>
      </c>
      <c r="D22" s="110">
        <v>1335500.8799999997</v>
      </c>
      <c r="E22" s="110">
        <v>1335500.8799999997</v>
      </c>
      <c r="F22" s="110">
        <v>1335500.8799999997</v>
      </c>
      <c r="G22" s="110">
        <v>1335500.8799999997</v>
      </c>
      <c r="H22" s="110">
        <v>1335500.8799999997</v>
      </c>
      <c r="I22" s="110">
        <v>1335500.8799999997</v>
      </c>
      <c r="J22" s="110">
        <v>1335500.8799999997</v>
      </c>
      <c r="K22" s="110">
        <v>1335500.8799999997</v>
      </c>
      <c r="L22" s="110">
        <v>1335500.8799999997</v>
      </c>
      <c r="M22" s="110">
        <v>1335500.8799999997</v>
      </c>
      <c r="N22" s="110">
        <v>1335500.8799999997</v>
      </c>
      <c r="O22" s="110">
        <f t="shared" si="6"/>
        <v>16026010.559999993</v>
      </c>
    </row>
    <row r="23" spans="2:15">
      <c r="B23" s="220" t="e">
        <f>+#REF!</f>
        <v>#REF!</v>
      </c>
      <c r="C23" s="110">
        <v>2251818.75</v>
      </c>
      <c r="D23" s="110">
        <v>2251818.75</v>
      </c>
      <c r="E23" s="110">
        <v>2251818.75</v>
      </c>
      <c r="F23" s="110">
        <v>2251818.75</v>
      </c>
      <c r="G23" s="110">
        <v>2251818.75</v>
      </c>
      <c r="H23" s="110">
        <v>2251818.75</v>
      </c>
      <c r="I23" s="110">
        <v>2251818.75</v>
      </c>
      <c r="J23" s="110">
        <v>2251818.75</v>
      </c>
      <c r="K23" s="110">
        <v>2251818.75</v>
      </c>
      <c r="L23" s="110">
        <v>2251818.75</v>
      </c>
      <c r="M23" s="110">
        <v>2251818.75</v>
      </c>
      <c r="N23" s="110">
        <v>2251818.75</v>
      </c>
      <c r="O23" s="110">
        <f t="shared" si="6"/>
        <v>27021825</v>
      </c>
    </row>
    <row r="24" spans="2:15">
      <c r="B24" s="220" t="e">
        <f>+#REF!</f>
        <v>#REF!</v>
      </c>
      <c r="C24" s="110"/>
      <c r="D24" s="110">
        <f t="shared" ref="D24:M24" si="9">+E14</f>
        <v>333333.33333333331</v>
      </c>
      <c r="E24" s="110">
        <f t="shared" si="9"/>
        <v>333333.33333333331</v>
      </c>
      <c r="F24" s="110">
        <f t="shared" si="9"/>
        <v>333333.33333333331</v>
      </c>
      <c r="G24" s="110">
        <f t="shared" si="9"/>
        <v>333333.33333333331</v>
      </c>
      <c r="H24" s="110">
        <f t="shared" si="9"/>
        <v>333333.33333333331</v>
      </c>
      <c r="I24" s="110">
        <f t="shared" si="9"/>
        <v>333333.33333333331</v>
      </c>
      <c r="J24" s="110">
        <f t="shared" si="9"/>
        <v>333333.33333333331</v>
      </c>
      <c r="K24" s="110">
        <f t="shared" si="9"/>
        <v>333333.33333333331</v>
      </c>
      <c r="L24" s="110">
        <f t="shared" si="9"/>
        <v>333333.33333333331</v>
      </c>
      <c r="M24" s="110">
        <f t="shared" si="9"/>
        <v>333333.33333333331</v>
      </c>
      <c r="N24" s="110">
        <f t="shared" ref="N24:N26" si="10">+M24</f>
        <v>333333.33333333331</v>
      </c>
      <c r="O24" s="110">
        <f t="shared" si="6"/>
        <v>3666666.666666667</v>
      </c>
    </row>
    <row r="25" spans="2:15">
      <c r="B25" s="220" t="e">
        <f>+#REF!</f>
        <v>#REF!</v>
      </c>
      <c r="C25" s="110"/>
      <c r="D25" s="110">
        <f t="shared" ref="D25:M25" si="11">+E15</f>
        <v>5000000</v>
      </c>
      <c r="E25" s="110">
        <f t="shared" si="11"/>
        <v>5000000</v>
      </c>
      <c r="F25" s="110">
        <f t="shared" si="11"/>
        <v>5000000</v>
      </c>
      <c r="G25" s="110">
        <f t="shared" si="11"/>
        <v>5000000</v>
      </c>
      <c r="H25" s="110">
        <f t="shared" si="11"/>
        <v>5000000</v>
      </c>
      <c r="I25" s="110">
        <f t="shared" si="11"/>
        <v>5000000</v>
      </c>
      <c r="J25" s="110">
        <f t="shared" si="11"/>
        <v>5000000</v>
      </c>
      <c r="K25" s="110">
        <f t="shared" si="11"/>
        <v>5000000</v>
      </c>
      <c r="L25" s="110">
        <f t="shared" si="11"/>
        <v>5000000</v>
      </c>
      <c r="M25" s="110">
        <f t="shared" si="11"/>
        <v>5000000</v>
      </c>
      <c r="N25" s="110">
        <f t="shared" si="10"/>
        <v>5000000</v>
      </c>
      <c r="O25" s="110">
        <f t="shared" si="6"/>
        <v>55000000</v>
      </c>
    </row>
    <row r="26" spans="2:15">
      <c r="B26" s="220" t="e">
        <f>+#REF!</f>
        <v>#REF!</v>
      </c>
      <c r="C26" s="110"/>
      <c r="D26" s="110">
        <f t="shared" ref="D26:M26" si="12">+E16</f>
        <v>83333.333333333328</v>
      </c>
      <c r="E26" s="110">
        <f t="shared" si="12"/>
        <v>83333.333333333328</v>
      </c>
      <c r="F26" s="110">
        <f t="shared" si="12"/>
        <v>83333.333333333328</v>
      </c>
      <c r="G26" s="110">
        <f t="shared" si="12"/>
        <v>83333.333333333328</v>
      </c>
      <c r="H26" s="110">
        <f t="shared" si="12"/>
        <v>83333.333333333328</v>
      </c>
      <c r="I26" s="110">
        <f t="shared" si="12"/>
        <v>83333.333333333328</v>
      </c>
      <c r="J26" s="110">
        <f t="shared" si="12"/>
        <v>83333.333333333328</v>
      </c>
      <c r="K26" s="110">
        <f t="shared" si="12"/>
        <v>83333.333333333328</v>
      </c>
      <c r="L26" s="110">
        <f t="shared" si="12"/>
        <v>83333.333333333328</v>
      </c>
      <c r="M26" s="110">
        <f t="shared" si="12"/>
        <v>83333.333333333328</v>
      </c>
      <c r="N26" s="110">
        <f t="shared" si="10"/>
        <v>83333.333333333328</v>
      </c>
      <c r="O26" s="110">
        <f t="shared" si="6"/>
        <v>916666.66666666674</v>
      </c>
    </row>
    <row r="27" spans="2:15">
      <c r="B27" s="220" t="e">
        <f>+#REF!</f>
        <v>#REF!</v>
      </c>
      <c r="C27" s="110">
        <f>+D17</f>
        <v>0</v>
      </c>
      <c r="D27" s="110">
        <f t="shared" ref="D27:M27" si="13">+E17</f>
        <v>0</v>
      </c>
      <c r="E27" s="110">
        <f t="shared" si="13"/>
        <v>0</v>
      </c>
      <c r="F27" s="110">
        <f t="shared" si="13"/>
        <v>0</v>
      </c>
      <c r="G27" s="110">
        <f t="shared" si="13"/>
        <v>0</v>
      </c>
      <c r="H27" s="110">
        <f t="shared" si="13"/>
        <v>0</v>
      </c>
      <c r="I27" s="110">
        <f t="shared" si="13"/>
        <v>0</v>
      </c>
      <c r="J27" s="110">
        <f t="shared" si="13"/>
        <v>0</v>
      </c>
      <c r="K27" s="110">
        <f t="shared" si="13"/>
        <v>0</v>
      </c>
      <c r="L27" s="110">
        <f t="shared" si="13"/>
        <v>0</v>
      </c>
      <c r="M27" s="110">
        <f t="shared" si="13"/>
        <v>0</v>
      </c>
      <c r="N27" s="110">
        <f t="shared" ref="N27:N34" si="14">+M27</f>
        <v>0</v>
      </c>
      <c r="O27" s="110">
        <f t="shared" si="6"/>
        <v>0</v>
      </c>
    </row>
    <row r="28" spans="2:15">
      <c r="B28" s="220" t="e">
        <f>+#REF!</f>
        <v>#REF!</v>
      </c>
      <c r="C28" s="110">
        <f>+D18</f>
        <v>0</v>
      </c>
      <c r="D28" s="110">
        <f t="shared" ref="D28:M28" si="15">+E18</f>
        <v>0</v>
      </c>
      <c r="E28" s="110">
        <f t="shared" si="15"/>
        <v>0</v>
      </c>
      <c r="F28" s="110">
        <f t="shared" si="15"/>
        <v>0</v>
      </c>
      <c r="G28" s="110">
        <f t="shared" si="15"/>
        <v>0</v>
      </c>
      <c r="H28" s="110">
        <f t="shared" si="15"/>
        <v>0</v>
      </c>
      <c r="I28" s="110">
        <f t="shared" si="15"/>
        <v>0</v>
      </c>
      <c r="J28" s="110">
        <f t="shared" si="15"/>
        <v>0</v>
      </c>
      <c r="K28" s="110">
        <f t="shared" si="15"/>
        <v>0</v>
      </c>
      <c r="L28" s="110">
        <f t="shared" si="15"/>
        <v>0</v>
      </c>
      <c r="M28" s="110">
        <f t="shared" si="15"/>
        <v>0</v>
      </c>
      <c r="N28" s="110">
        <f t="shared" si="14"/>
        <v>0</v>
      </c>
      <c r="O28" s="110">
        <f t="shared" si="6"/>
        <v>0</v>
      </c>
    </row>
    <row r="29" spans="2:15">
      <c r="B29" s="220" t="e">
        <f>+#REF!</f>
        <v>#REF!</v>
      </c>
      <c r="C29" s="110">
        <v>11834.212500000001</v>
      </c>
      <c r="D29" s="110">
        <v>11834.212500000001</v>
      </c>
      <c r="E29" s="110">
        <v>11834.212500000001</v>
      </c>
      <c r="F29" s="110">
        <v>11834.212500000001</v>
      </c>
      <c r="G29" s="110">
        <v>11834.212500000001</v>
      </c>
      <c r="H29" s="110">
        <v>11834.212500000001</v>
      </c>
      <c r="I29" s="110">
        <v>11834.212500000001</v>
      </c>
      <c r="J29" s="110">
        <v>11834.212500000001</v>
      </c>
      <c r="K29" s="110">
        <v>11834.212500000001</v>
      </c>
      <c r="L29" s="110">
        <v>11834.212500000001</v>
      </c>
      <c r="M29" s="110">
        <v>11834.212500000001</v>
      </c>
      <c r="N29" s="110">
        <v>11834.212500000001</v>
      </c>
      <c r="O29" s="110">
        <f t="shared" si="6"/>
        <v>142010.54999999999</v>
      </c>
    </row>
    <row r="30" spans="2:15">
      <c r="B30" s="220" t="e">
        <f>+#REF!</f>
        <v>#REF!</v>
      </c>
      <c r="C30" s="110">
        <v>1868404.264375</v>
      </c>
      <c r="D30" s="110">
        <v>1868404.264375</v>
      </c>
      <c r="E30" s="110">
        <v>1868404.264375</v>
      </c>
      <c r="F30" s="110">
        <v>1868404.264375</v>
      </c>
      <c r="G30" s="110">
        <v>1868404.264375</v>
      </c>
      <c r="H30" s="110">
        <v>1868404.264375</v>
      </c>
      <c r="I30" s="110">
        <v>1868404.264375</v>
      </c>
      <c r="J30" s="110">
        <v>1868404.264375</v>
      </c>
      <c r="K30" s="110">
        <v>1868404.264375</v>
      </c>
      <c r="L30" s="110">
        <v>1868404.264375</v>
      </c>
      <c r="M30" s="110">
        <v>1868404.264375</v>
      </c>
      <c r="N30" s="110">
        <v>1868404.264375</v>
      </c>
      <c r="O30" s="110">
        <f t="shared" si="6"/>
        <v>22420851.172500003</v>
      </c>
    </row>
    <row r="31" spans="2:15">
      <c r="B31" s="220" t="e">
        <f>+#REF!</f>
        <v>#REF!</v>
      </c>
      <c r="C31" s="110">
        <v>160894.78453124993</v>
      </c>
      <c r="D31" s="110">
        <v>160894.78453124993</v>
      </c>
      <c r="E31" s="110">
        <v>160894.78453124993</v>
      </c>
      <c r="F31" s="110">
        <v>160894.78453124993</v>
      </c>
      <c r="G31" s="110">
        <v>160894.78453124993</v>
      </c>
      <c r="H31" s="110">
        <v>160894.78453124993</v>
      </c>
      <c r="I31" s="110">
        <v>160894.78453124993</v>
      </c>
      <c r="J31" s="110">
        <v>160894.78453124993</v>
      </c>
      <c r="K31" s="110">
        <v>160894.78453124993</v>
      </c>
      <c r="L31" s="110">
        <v>160894.78453124993</v>
      </c>
      <c r="M31" s="110">
        <v>160894.78453124993</v>
      </c>
      <c r="N31" s="110">
        <v>160894.78453124993</v>
      </c>
      <c r="O31" s="110">
        <f t="shared" si="6"/>
        <v>1930737.414374999</v>
      </c>
    </row>
    <row r="32" spans="2:15">
      <c r="B32" s="220" t="e">
        <f>+#REF!</f>
        <v>#REF!</v>
      </c>
      <c r="C32" s="110">
        <v>265637.77037760412</v>
      </c>
      <c r="D32" s="110">
        <v>265637.77037760412</v>
      </c>
      <c r="E32" s="110">
        <v>265637.77037760412</v>
      </c>
      <c r="F32" s="110">
        <v>265637.77037760412</v>
      </c>
      <c r="G32" s="110">
        <v>265637.77037760412</v>
      </c>
      <c r="H32" s="110">
        <v>265637.77037760412</v>
      </c>
      <c r="I32" s="110">
        <v>265637.77037760412</v>
      </c>
      <c r="J32" s="110">
        <v>265637.77037760412</v>
      </c>
      <c r="K32" s="110">
        <v>265637.77037760412</v>
      </c>
      <c r="L32" s="110">
        <v>265637.77037760412</v>
      </c>
      <c r="M32" s="110">
        <v>265637.77037760412</v>
      </c>
      <c r="N32" s="110">
        <v>265637.77037760412</v>
      </c>
      <c r="O32" s="110">
        <f t="shared" si="6"/>
        <v>3187653.2445312501</v>
      </c>
    </row>
    <row r="33" spans="2:15">
      <c r="B33" s="220" t="e">
        <f>+#REF!</f>
        <v>#REF!</v>
      </c>
      <c r="C33" s="110">
        <v>112143.53169813368</v>
      </c>
      <c r="D33" s="110">
        <v>112143.53169813368</v>
      </c>
      <c r="E33" s="110">
        <v>112143.53169813368</v>
      </c>
      <c r="F33" s="110">
        <v>112143.53169813368</v>
      </c>
      <c r="G33" s="110">
        <v>112143.53169813368</v>
      </c>
      <c r="H33" s="110">
        <v>112143.53169813368</v>
      </c>
      <c r="I33" s="110">
        <v>112143.53169813368</v>
      </c>
      <c r="J33" s="110">
        <v>112143.53169813368</v>
      </c>
      <c r="K33" s="110">
        <v>112143.53169813368</v>
      </c>
      <c r="L33" s="110">
        <v>112143.53169813368</v>
      </c>
      <c r="M33" s="110">
        <v>112143.53169813368</v>
      </c>
      <c r="N33" s="110">
        <v>112143.53169813368</v>
      </c>
      <c r="O33" s="110">
        <f t="shared" si="6"/>
        <v>1345722.3803776042</v>
      </c>
    </row>
    <row r="34" spans="2:15">
      <c r="B34" s="220" t="e">
        <f>+#REF!</f>
        <v>#REF!</v>
      </c>
      <c r="C34" s="110">
        <f t="shared" ref="C34:M34" si="16">+C19</f>
        <v>0</v>
      </c>
      <c r="D34" s="110">
        <f t="shared" si="16"/>
        <v>145833.33333333334</v>
      </c>
      <c r="E34" s="110">
        <f t="shared" si="16"/>
        <v>145833.33333333334</v>
      </c>
      <c r="F34" s="110">
        <f t="shared" si="16"/>
        <v>145833.33333333334</v>
      </c>
      <c r="G34" s="110">
        <f t="shared" si="16"/>
        <v>145833.33333333334</v>
      </c>
      <c r="H34" s="110">
        <f t="shared" si="16"/>
        <v>145833.33333333334</v>
      </c>
      <c r="I34" s="110">
        <f t="shared" si="16"/>
        <v>145833.33333333334</v>
      </c>
      <c r="J34" s="110">
        <f t="shared" si="16"/>
        <v>145833.33333333334</v>
      </c>
      <c r="K34" s="110">
        <f t="shared" si="16"/>
        <v>145833.33333333334</v>
      </c>
      <c r="L34" s="110">
        <f t="shared" si="16"/>
        <v>145833.33333333334</v>
      </c>
      <c r="M34" s="110">
        <f t="shared" si="16"/>
        <v>145833.33333333334</v>
      </c>
      <c r="N34" s="110">
        <f t="shared" si="14"/>
        <v>145833.33333333334</v>
      </c>
      <c r="O34" s="110">
        <f t="shared" si="6"/>
        <v>1604166.6666666665</v>
      </c>
    </row>
    <row r="35" spans="2:15" s="135" customFormat="1">
      <c r="B35" s="135" t="s">
        <v>867</v>
      </c>
      <c r="C35" s="246">
        <f>SUM(C22:C34)</f>
        <v>6006234.1934819873</v>
      </c>
      <c r="D35" s="246">
        <f t="shared" ref="D35:O35" si="17">SUM(D22:D34)</f>
        <v>11568734.193481989</v>
      </c>
      <c r="E35" s="246">
        <f t="shared" si="17"/>
        <v>11568734.193481989</v>
      </c>
      <c r="F35" s="246">
        <f t="shared" si="17"/>
        <v>11568734.193481989</v>
      </c>
      <c r="G35" s="246">
        <f t="shared" si="17"/>
        <v>11568734.193481989</v>
      </c>
      <c r="H35" s="246">
        <f t="shared" si="17"/>
        <v>11568734.193481989</v>
      </c>
      <c r="I35" s="246">
        <f t="shared" si="17"/>
        <v>11568734.193481989</v>
      </c>
      <c r="J35" s="246">
        <f t="shared" si="17"/>
        <v>11568734.193481989</v>
      </c>
      <c r="K35" s="246">
        <f t="shared" si="17"/>
        <v>11568734.193481989</v>
      </c>
      <c r="L35" s="246">
        <f t="shared" si="17"/>
        <v>11568734.193481989</v>
      </c>
      <c r="M35" s="246">
        <f t="shared" si="17"/>
        <v>11568734.193481989</v>
      </c>
      <c r="N35" s="246">
        <f t="shared" si="17"/>
        <v>11568734.193481989</v>
      </c>
      <c r="O35" s="246">
        <f t="shared" si="17"/>
        <v>133262310.32178384</v>
      </c>
    </row>
    <row r="36" spans="2:15">
      <c r="E36" s="110"/>
      <c r="F36" s="110"/>
      <c r="G36" s="110"/>
      <c r="H36" s="110"/>
      <c r="I36" s="110"/>
      <c r="J36" s="110"/>
      <c r="K36" s="110"/>
      <c r="O36" s="110" t="e">
        <f>+#REF!</f>
        <v>#REF!</v>
      </c>
    </row>
    <row r="37" spans="2:15">
      <c r="E37" s="110"/>
      <c r="F37" s="110"/>
      <c r="G37" s="110"/>
      <c r="H37" s="110"/>
      <c r="I37" s="110"/>
      <c r="J37" s="110"/>
      <c r="K37" s="110"/>
      <c r="O37" s="110" t="e">
        <f>+O35-O36</f>
        <v>#REF!</v>
      </c>
    </row>
    <row r="38" spans="2:15">
      <c r="E38" s="110"/>
    </row>
    <row r="39" spans="2:15">
      <c r="F39" s="110"/>
    </row>
    <row r="41" spans="2:15">
      <c r="E41" s="110"/>
    </row>
    <row r="42" spans="2:15">
      <c r="F42" s="110"/>
    </row>
    <row r="44" spans="2:15">
      <c r="F44" s="110"/>
      <c r="G44" s="110"/>
      <c r="H44" s="110"/>
      <c r="I44" s="110"/>
      <c r="J44" s="110"/>
      <c r="K44" s="110"/>
      <c r="L44" s="110"/>
      <c r="M44" s="110"/>
      <c r="N44" s="110"/>
    </row>
    <row r="45" spans="2:15">
      <c r="G45" s="110"/>
      <c r="H45" s="110"/>
      <c r="I45" s="110"/>
      <c r="J45" s="110"/>
      <c r="K45" s="110"/>
      <c r="L45" s="110"/>
      <c r="M45" s="110"/>
      <c r="N45" s="110"/>
    </row>
    <row r="46" spans="2:15">
      <c r="E46" s="110"/>
      <c r="F46" s="110"/>
      <c r="G46" s="110"/>
      <c r="H46" s="110"/>
      <c r="I46" s="110"/>
      <c r="J46" s="110"/>
      <c r="K46" s="110"/>
      <c r="L46" s="110"/>
      <c r="M46" s="110"/>
      <c r="N46" s="110"/>
    </row>
    <row r="47" spans="2:15">
      <c r="E47" s="130"/>
      <c r="F47" s="130"/>
      <c r="G47" s="130"/>
      <c r="H47" s="130"/>
      <c r="I47" s="130"/>
      <c r="J47" s="130"/>
      <c r="K47" s="130"/>
      <c r="L47" s="130"/>
      <c r="M47" s="130"/>
      <c r="N47" s="130"/>
      <c r="O47" s="192"/>
    </row>
    <row r="49" spans="5:15">
      <c r="E49" s="130"/>
      <c r="F49" s="130"/>
      <c r="G49" s="130"/>
      <c r="H49" s="130"/>
      <c r="I49" s="130"/>
      <c r="J49" s="130"/>
      <c r="K49" s="130"/>
      <c r="L49" s="130"/>
      <c r="M49" s="130"/>
      <c r="N49" s="130"/>
      <c r="O49" s="130"/>
    </row>
    <row r="50" spans="5:15">
      <c r="E50" s="130"/>
      <c r="F50" s="130"/>
      <c r="G50" s="130"/>
      <c r="H50" s="130"/>
      <c r="I50" s="130"/>
      <c r="J50" s="130"/>
      <c r="K50" s="130"/>
      <c r="L50" s="130"/>
      <c r="M50" s="130"/>
      <c r="N50" s="130"/>
      <c r="O50" s="130"/>
    </row>
    <row r="51" spans="5:15">
      <c r="E51" s="130"/>
      <c r="F51" s="130"/>
      <c r="G51" s="130"/>
      <c r="H51" s="130"/>
      <c r="I51" s="130"/>
      <c r="J51" s="130"/>
      <c r="K51" s="130"/>
      <c r="L51" s="130"/>
      <c r="M51" s="130"/>
      <c r="N51" s="130"/>
      <c r="O51" s="130"/>
    </row>
    <row r="52" spans="5:15">
      <c r="E52" s="130"/>
      <c r="F52" s="130"/>
      <c r="G52" s="130"/>
      <c r="H52" s="130"/>
      <c r="I52" s="130"/>
      <c r="J52" s="130"/>
      <c r="K52" s="130"/>
      <c r="L52" s="130"/>
      <c r="M52" s="130"/>
      <c r="N52" s="130"/>
      <c r="O52" s="130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Feuil24">
    <pageSetUpPr fitToPage="1"/>
  </sheetPr>
  <dimension ref="B3:L13"/>
  <sheetViews>
    <sheetView workbookViewId="0">
      <selection activeCell="I16" sqref="I16"/>
    </sheetView>
  </sheetViews>
  <sheetFormatPr baseColWidth="10" defaultRowHeight="15"/>
  <cols>
    <col min="2" max="2" width="21.28515625" bestFit="1" customWidth="1"/>
    <col min="3" max="3" width="11.85546875" bestFit="1" customWidth="1"/>
    <col min="4" max="4" width="11.85546875" hidden="1" customWidth="1"/>
    <col min="5" max="5" width="0" hidden="1" customWidth="1"/>
    <col min="6" max="7" width="11.85546875" hidden="1" customWidth="1"/>
    <col min="8" max="8" width="11.85546875" bestFit="1" customWidth="1"/>
    <col min="9" max="9" width="16.42578125" bestFit="1" customWidth="1"/>
    <col min="10" max="10" width="15.28515625" bestFit="1" customWidth="1"/>
    <col min="11" max="11" width="16.42578125" bestFit="1" customWidth="1"/>
    <col min="12" max="12" width="15.28515625" bestFit="1" customWidth="1"/>
  </cols>
  <sheetData>
    <row r="3" spans="2:12">
      <c r="C3" s="195" t="s">
        <v>843</v>
      </c>
      <c r="D3" s="196" t="s">
        <v>844</v>
      </c>
      <c r="E3" s="196" t="s">
        <v>598</v>
      </c>
      <c r="F3" s="196" t="s">
        <v>845</v>
      </c>
      <c r="G3" s="194" t="s">
        <v>843</v>
      </c>
      <c r="H3" s="194" t="s">
        <v>844</v>
      </c>
      <c r="I3" s="194" t="s">
        <v>846</v>
      </c>
      <c r="J3" s="194" t="s">
        <v>598</v>
      </c>
      <c r="K3" s="194" t="s">
        <v>847</v>
      </c>
    </row>
    <row r="4" spans="2:12">
      <c r="B4" t="s">
        <v>836</v>
      </c>
      <c r="C4" s="97">
        <v>5500</v>
      </c>
      <c r="D4" s="97">
        <f>+C4/1.2</f>
        <v>4583.3333333333339</v>
      </c>
      <c r="E4" s="100">
        <f>+D4*0.2</f>
        <v>916.66666666666686</v>
      </c>
      <c r="F4" s="100">
        <f>+D4+E4</f>
        <v>5500.0000000000009</v>
      </c>
      <c r="G4" s="100">
        <v>5000</v>
      </c>
      <c r="H4" s="100">
        <f>+D4</f>
        <v>4583.3333333333339</v>
      </c>
      <c r="I4" s="100">
        <f>+K4-J4</f>
        <v>22916666</v>
      </c>
      <c r="J4" s="100">
        <f>ROUNDUP(+E4*G4,0)</f>
        <v>4583334</v>
      </c>
      <c r="K4" s="100">
        <v>27500000</v>
      </c>
      <c r="L4" s="100">
        <f>+I4+J4-K4</f>
        <v>0</v>
      </c>
    </row>
    <row r="5" spans="2:12">
      <c r="B5" t="s">
        <v>837</v>
      </c>
      <c r="C5" s="97">
        <v>9000</v>
      </c>
      <c r="D5" s="97">
        <f t="shared" ref="D5:D12" si="0">+C5/1.2</f>
        <v>7500</v>
      </c>
      <c r="E5" s="100">
        <f t="shared" ref="E5:E12" si="1">+D5*0.2</f>
        <v>1500</v>
      </c>
      <c r="F5" s="100">
        <f t="shared" ref="F5:F12" si="2">+D5+E5</f>
        <v>9000</v>
      </c>
      <c r="G5" s="100">
        <v>3000</v>
      </c>
      <c r="H5" s="100">
        <f t="shared" ref="H5:H12" si="3">+D5</f>
        <v>7500</v>
      </c>
      <c r="I5" s="100">
        <f t="shared" ref="I5:I12" si="4">+K5-J5</f>
        <v>22500000</v>
      </c>
      <c r="J5" s="100">
        <f t="shared" ref="J5:J12" si="5">ROUNDUP(+E5*G5,0)</f>
        <v>4500000</v>
      </c>
      <c r="K5" s="100">
        <v>27000000</v>
      </c>
      <c r="L5" s="100">
        <f t="shared" ref="L5:L12" si="6">+I5+J5-K5</f>
        <v>0</v>
      </c>
    </row>
    <row r="6" spans="2:12">
      <c r="B6" t="s">
        <v>838</v>
      </c>
      <c r="C6" s="97">
        <v>9000</v>
      </c>
      <c r="D6" s="97">
        <f t="shared" si="0"/>
        <v>7500</v>
      </c>
      <c r="E6" s="100">
        <f t="shared" si="1"/>
        <v>1500</v>
      </c>
      <c r="F6" s="100">
        <f t="shared" si="2"/>
        <v>9000</v>
      </c>
      <c r="G6" s="100">
        <v>5000</v>
      </c>
      <c r="H6" s="100">
        <f t="shared" si="3"/>
        <v>7500</v>
      </c>
      <c r="I6" s="100">
        <f t="shared" si="4"/>
        <v>37500000</v>
      </c>
      <c r="J6" s="100">
        <f t="shared" si="5"/>
        <v>7500000</v>
      </c>
      <c r="K6" s="100">
        <v>45000000</v>
      </c>
      <c r="L6" s="100">
        <f t="shared" si="6"/>
        <v>0</v>
      </c>
    </row>
    <row r="7" spans="2:12">
      <c r="B7" t="s">
        <v>839</v>
      </c>
      <c r="C7" s="97">
        <v>9000</v>
      </c>
      <c r="D7" s="97">
        <f t="shared" si="0"/>
        <v>7500</v>
      </c>
      <c r="E7" s="100">
        <f t="shared" si="1"/>
        <v>1500</v>
      </c>
      <c r="F7" s="100">
        <f t="shared" si="2"/>
        <v>9000</v>
      </c>
      <c r="G7" s="100">
        <v>7000</v>
      </c>
      <c r="H7" s="100">
        <f t="shared" si="3"/>
        <v>7500</v>
      </c>
      <c r="I7" s="100">
        <f t="shared" si="4"/>
        <v>52500000</v>
      </c>
      <c r="J7" s="100">
        <f t="shared" si="5"/>
        <v>10500000</v>
      </c>
      <c r="K7" s="100">
        <v>63000000</v>
      </c>
      <c r="L7" s="100">
        <f t="shared" si="6"/>
        <v>0</v>
      </c>
    </row>
    <row r="8" spans="2:12">
      <c r="B8" t="s">
        <v>840</v>
      </c>
      <c r="C8" s="97">
        <v>9000</v>
      </c>
      <c r="D8" s="97">
        <f t="shared" si="0"/>
        <v>7500</v>
      </c>
      <c r="E8" s="100">
        <f t="shared" si="1"/>
        <v>1500</v>
      </c>
      <c r="F8" s="100">
        <f t="shared" si="2"/>
        <v>9000</v>
      </c>
      <c r="G8" s="100">
        <v>3000</v>
      </c>
      <c r="H8" s="100">
        <f t="shared" si="3"/>
        <v>7500</v>
      </c>
      <c r="I8" s="100">
        <f t="shared" si="4"/>
        <v>22500000</v>
      </c>
      <c r="J8" s="100">
        <f t="shared" si="5"/>
        <v>4500000</v>
      </c>
      <c r="K8" s="100">
        <v>27000000</v>
      </c>
      <c r="L8" s="100">
        <f t="shared" si="6"/>
        <v>0</v>
      </c>
    </row>
    <row r="9" spans="2:12">
      <c r="B9" t="s">
        <v>838</v>
      </c>
      <c r="C9" s="97">
        <v>12000</v>
      </c>
      <c r="D9" s="97">
        <f t="shared" si="0"/>
        <v>10000</v>
      </c>
      <c r="E9" s="100">
        <f t="shared" si="1"/>
        <v>2000</v>
      </c>
      <c r="F9" s="100">
        <f t="shared" si="2"/>
        <v>12000</v>
      </c>
      <c r="G9" s="100">
        <v>4000</v>
      </c>
      <c r="H9" s="100">
        <f t="shared" si="3"/>
        <v>10000</v>
      </c>
      <c r="I9" s="100">
        <f t="shared" si="4"/>
        <v>40000000</v>
      </c>
      <c r="J9" s="100">
        <f t="shared" si="5"/>
        <v>8000000</v>
      </c>
      <c r="K9" s="100">
        <v>48000000</v>
      </c>
      <c r="L9" s="100">
        <f t="shared" si="6"/>
        <v>0</v>
      </c>
    </row>
    <row r="10" spans="2:12">
      <c r="B10" t="s">
        <v>841</v>
      </c>
      <c r="C10" s="97">
        <v>11000</v>
      </c>
      <c r="D10" s="97">
        <f t="shared" si="0"/>
        <v>9166.6666666666679</v>
      </c>
      <c r="E10" s="100">
        <f t="shared" si="1"/>
        <v>1833.3333333333337</v>
      </c>
      <c r="F10" s="100">
        <f t="shared" si="2"/>
        <v>11000.000000000002</v>
      </c>
      <c r="G10" s="100">
        <v>6000</v>
      </c>
      <c r="H10" s="100">
        <f t="shared" si="3"/>
        <v>9166.6666666666679</v>
      </c>
      <c r="I10" s="100">
        <f t="shared" si="4"/>
        <v>55000000</v>
      </c>
      <c r="J10" s="100">
        <f t="shared" si="5"/>
        <v>11000000</v>
      </c>
      <c r="K10" s="100">
        <v>66000000</v>
      </c>
      <c r="L10" s="100">
        <f t="shared" si="6"/>
        <v>0</v>
      </c>
    </row>
    <row r="11" spans="2:12">
      <c r="B11" t="s">
        <v>837</v>
      </c>
      <c r="C11" s="97">
        <v>11000</v>
      </c>
      <c r="D11" s="97">
        <f t="shared" si="0"/>
        <v>9166.6666666666679</v>
      </c>
      <c r="E11" s="100">
        <f t="shared" si="1"/>
        <v>1833.3333333333337</v>
      </c>
      <c r="F11" s="100">
        <f t="shared" si="2"/>
        <v>11000.000000000002</v>
      </c>
      <c r="G11" s="100">
        <v>2000</v>
      </c>
      <c r="H11" s="100">
        <f t="shared" si="3"/>
        <v>9166.6666666666679</v>
      </c>
      <c r="I11" s="100">
        <f t="shared" si="4"/>
        <v>18333333</v>
      </c>
      <c r="J11" s="100">
        <f t="shared" si="5"/>
        <v>3666667</v>
      </c>
      <c r="K11" s="100">
        <v>22000000</v>
      </c>
      <c r="L11" s="100">
        <f t="shared" si="6"/>
        <v>0</v>
      </c>
    </row>
    <row r="12" spans="2:12">
      <c r="B12" t="s">
        <v>842</v>
      </c>
      <c r="C12" s="97">
        <v>11000</v>
      </c>
      <c r="D12" s="97">
        <f t="shared" si="0"/>
        <v>9166.6666666666679</v>
      </c>
      <c r="E12" s="100">
        <f t="shared" si="1"/>
        <v>1833.3333333333337</v>
      </c>
      <c r="F12" s="100">
        <f t="shared" si="2"/>
        <v>11000.000000000002</v>
      </c>
      <c r="G12" s="100">
        <v>1000</v>
      </c>
      <c r="H12" s="100">
        <f t="shared" si="3"/>
        <v>9166.6666666666679</v>
      </c>
      <c r="I12" s="100">
        <f t="shared" si="4"/>
        <v>9166666</v>
      </c>
      <c r="J12" s="100">
        <f t="shared" si="5"/>
        <v>1833334</v>
      </c>
      <c r="K12" s="100">
        <v>11000000</v>
      </c>
      <c r="L12" s="100">
        <f t="shared" si="6"/>
        <v>0</v>
      </c>
    </row>
    <row r="13" spans="2:12">
      <c r="C13" s="193">
        <f t="shared" ref="C13" si="7">SUM(C4:C12)</f>
        <v>86500</v>
      </c>
      <c r="G13" s="193">
        <f>SUM(G4:G12)</f>
        <v>36000</v>
      </c>
      <c r="I13" s="193">
        <f>SUM(I4:I12)</f>
        <v>280416665</v>
      </c>
      <c r="J13" s="193">
        <f t="shared" ref="J13:L13" si="8">SUM(J4:J12)</f>
        <v>56083335</v>
      </c>
      <c r="K13" s="193">
        <f t="shared" si="8"/>
        <v>336500000</v>
      </c>
      <c r="L13" s="193">
        <f t="shared" si="8"/>
        <v>0</v>
      </c>
    </row>
  </sheetData>
  <pageMargins left="0.70866141732283472" right="0.70866141732283472" top="0.74803149606299213" bottom="0.74803149606299213" header="0.31496062992125984" footer="0.31496062992125984"/>
  <pageSetup paperSize="9" scale="72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2"/>
  <dimension ref="A1:Q281"/>
  <sheetViews>
    <sheetView topLeftCell="A193" zoomScale="88" zoomScaleNormal="93" workbookViewId="0">
      <selection activeCell="A226" sqref="A226"/>
    </sheetView>
  </sheetViews>
  <sheetFormatPr baseColWidth="10" defaultRowHeight="12.75"/>
  <cols>
    <col min="1" max="1" width="3.140625" style="969" customWidth="1"/>
    <col min="2" max="2" width="34.28515625" style="969" bestFit="1" customWidth="1"/>
    <col min="3" max="3" width="11.28515625" style="969" bestFit="1" customWidth="1"/>
    <col min="4" max="6" width="13" style="969" bestFit="1" customWidth="1"/>
    <col min="7" max="9" width="13.42578125" style="969" bestFit="1" customWidth="1"/>
    <col min="10" max="10" width="13.7109375" style="969" bestFit="1" customWidth="1"/>
    <col min="11" max="11" width="13.42578125" style="969" bestFit="1" customWidth="1"/>
    <col min="12" max="12" width="13.7109375" style="969" bestFit="1" customWidth="1"/>
    <col min="13" max="13" width="13.140625" style="969" bestFit="1" customWidth="1"/>
    <col min="14" max="14" width="13.42578125" style="969" bestFit="1" customWidth="1"/>
    <col min="15" max="15" width="14.140625" style="969" bestFit="1" customWidth="1"/>
    <col min="16" max="16" width="15.7109375" style="969" customWidth="1"/>
    <col min="17" max="17" width="17.5703125" style="969" customWidth="1"/>
    <col min="18" max="16384" width="11.42578125" style="969"/>
  </cols>
  <sheetData>
    <row r="1" spans="2:16">
      <c r="C1" s="970"/>
    </row>
    <row r="2" spans="2:16">
      <c r="B2" s="971" t="s">
        <v>566</v>
      </c>
      <c r="C2" s="972" t="s">
        <v>613</v>
      </c>
      <c r="D2" s="972" t="s">
        <v>614</v>
      </c>
      <c r="E2" s="972" t="s">
        <v>615</v>
      </c>
      <c r="F2" s="972" t="s">
        <v>616</v>
      </c>
      <c r="G2" s="972" t="s">
        <v>617</v>
      </c>
      <c r="H2" s="972" t="s">
        <v>618</v>
      </c>
      <c r="I2" s="972" t="s">
        <v>619</v>
      </c>
      <c r="J2" s="972" t="s">
        <v>620</v>
      </c>
      <c r="K2" s="972" t="s">
        <v>621</v>
      </c>
      <c r="L2" s="973" t="s">
        <v>622</v>
      </c>
      <c r="M2" s="973" t="s">
        <v>623</v>
      </c>
      <c r="N2" s="973" t="s">
        <v>624</v>
      </c>
      <c r="O2" s="973" t="s">
        <v>625</v>
      </c>
      <c r="P2" s="973" t="s">
        <v>362</v>
      </c>
    </row>
    <row r="3" spans="2:16">
      <c r="B3" s="974" t="s">
        <v>626</v>
      </c>
      <c r="C3" s="974"/>
      <c r="D3" s="974"/>
      <c r="E3" s="974"/>
      <c r="F3" s="974"/>
      <c r="G3" s="974"/>
      <c r="P3" s="970">
        <f t="shared" ref="P3" si="0">SUM(H3:O3)</f>
        <v>0</v>
      </c>
    </row>
    <row r="4" spans="2:16">
      <c r="B4" s="975" t="s">
        <v>627</v>
      </c>
      <c r="C4" s="970"/>
      <c r="D4" s="975"/>
      <c r="E4" s="975"/>
      <c r="F4" s="975"/>
      <c r="G4" s="975"/>
      <c r="P4" s="970">
        <f>SUM(C4:O4)</f>
        <v>0</v>
      </c>
    </row>
    <row r="5" spans="2:16">
      <c r="B5" s="975" t="s">
        <v>628</v>
      </c>
      <c r="C5" s="970"/>
      <c r="D5" s="975"/>
      <c r="E5" s="975"/>
      <c r="F5" s="970"/>
      <c r="G5" s="975"/>
      <c r="P5" s="970">
        <f t="shared" ref="P5:P12" si="1">SUM(C5:O5)</f>
        <v>0</v>
      </c>
    </row>
    <row r="6" spans="2:16">
      <c r="B6" s="975" t="s">
        <v>629</v>
      </c>
      <c r="C6" s="970"/>
      <c r="D6" s="975"/>
      <c r="E6" s="975"/>
      <c r="F6" s="970"/>
      <c r="G6" s="975"/>
      <c r="H6" s="970">
        <f>-H8</f>
        <v>0</v>
      </c>
      <c r="P6" s="970">
        <f t="shared" si="1"/>
        <v>0</v>
      </c>
    </row>
    <row r="7" spans="2:16">
      <c r="B7" s="975" t="s">
        <v>630</v>
      </c>
      <c r="C7" s="970"/>
      <c r="D7" s="970">
        <f>-'CR Nature FD'!C36/1000</f>
        <v>-313571.07945118478</v>
      </c>
      <c r="E7" s="970">
        <f>-'CR Nature FD'!D36/1000</f>
        <v>-310010.98310072877</v>
      </c>
      <c r="F7" s="970">
        <f>-'CR Nature FD'!E36/1000</f>
        <v>-265121.57945118478</v>
      </c>
      <c r="G7" s="970">
        <f>-'CR Nature FD'!F36/1000</f>
        <v>-309212.98310072877</v>
      </c>
      <c r="H7" s="970">
        <f>-'CR Nature FD'!G36/1000</f>
        <v>-297571.57945118478</v>
      </c>
      <c r="I7" s="970">
        <f>-'CR Nature FD'!H36/1000</f>
        <v>-279960.98310072877</v>
      </c>
      <c r="J7" s="970">
        <f>-'CR Nature FD'!I36/1000</f>
        <v>-308008.57945118478</v>
      </c>
      <c r="K7" s="970">
        <f>-'CR Nature FD'!J36/1000</f>
        <v>-311006.84492154251</v>
      </c>
      <c r="L7" s="970">
        <f>-'CR Nature FD'!K36/1000</f>
        <v>-274409.91072827589</v>
      </c>
      <c r="M7" s="970">
        <f>-'CR Nature FD'!L36/1000</f>
        <v>-296708.76838989055</v>
      </c>
      <c r="N7" s="970">
        <f>-'CR Nature FD'!M36/1000</f>
        <v>-295967.80404802132</v>
      </c>
      <c r="O7" s="970">
        <f>-'CR Nature FD'!N36/1000</f>
        <v>443827.20673503494</v>
      </c>
      <c r="P7" s="970">
        <f t="shared" si="1"/>
        <v>-2817723.8884596205</v>
      </c>
    </row>
    <row r="8" spans="2:16">
      <c r="B8" s="975" t="s">
        <v>631</v>
      </c>
      <c r="C8" s="970"/>
      <c r="D8" s="976"/>
      <c r="E8" s="976"/>
      <c r="F8" s="970">
        <v>0</v>
      </c>
      <c r="G8" s="976"/>
      <c r="H8" s="970">
        <f>-C8</f>
        <v>0</v>
      </c>
      <c r="I8" s="970"/>
      <c r="J8" s="970"/>
      <c r="K8" s="970"/>
      <c r="L8" s="970"/>
      <c r="M8" s="970"/>
      <c r="N8" s="970"/>
      <c r="O8" s="970"/>
      <c r="P8" s="970">
        <f t="shared" si="1"/>
        <v>0</v>
      </c>
    </row>
    <row r="9" spans="2:16">
      <c r="B9" s="977" t="s">
        <v>632</v>
      </c>
      <c r="C9" s="970"/>
      <c r="D9" s="976"/>
      <c r="E9" s="976"/>
      <c r="F9" s="970"/>
      <c r="G9" s="976"/>
      <c r="H9" s="970"/>
      <c r="I9" s="970"/>
      <c r="J9" s="970"/>
      <c r="K9" s="970"/>
      <c r="L9" s="970"/>
      <c r="M9" s="970"/>
      <c r="N9" s="970"/>
      <c r="O9" s="970"/>
      <c r="P9" s="970">
        <f t="shared" si="1"/>
        <v>0</v>
      </c>
    </row>
    <row r="10" spans="2:16">
      <c r="B10" s="977" t="s">
        <v>462</v>
      </c>
      <c r="C10" s="970"/>
      <c r="D10" s="970">
        <f>-'CR Nature FD'!C20/1000</f>
        <v>-5894.0906617838536</v>
      </c>
      <c r="E10" s="970">
        <f>-'CR Nature FD'!D20/1000</f>
        <v>-11456.590661783855</v>
      </c>
      <c r="F10" s="970">
        <f>-'CR Nature FD'!E20/1000</f>
        <v>-11456.590661783855</v>
      </c>
      <c r="G10" s="970">
        <f>-'CR Nature FD'!F20/1000</f>
        <v>-11456.590661783855</v>
      </c>
      <c r="H10" s="970">
        <f>-'CR Nature FD'!G20/1000</f>
        <v>-11456.590661783855</v>
      </c>
      <c r="I10" s="970">
        <f>-'CR Nature FD'!H20/1000</f>
        <v>-11456.590661783855</v>
      </c>
      <c r="J10" s="970">
        <f>-'CR Nature FD'!I20/1000</f>
        <v>-11456.590661783855</v>
      </c>
      <c r="K10" s="970">
        <f>-'CR Nature FD'!J20/1000</f>
        <v>-11456.590661783855</v>
      </c>
      <c r="L10" s="970">
        <f>-'CR Nature FD'!K20/1000</f>
        <v>-11456.590661783855</v>
      </c>
      <c r="M10" s="970">
        <f>-'CR Nature FD'!L20/1000</f>
        <v>-11456.590661783855</v>
      </c>
      <c r="N10" s="970">
        <f>-'CR Nature FD'!M20/1000</f>
        <v>-11456.590661783855</v>
      </c>
      <c r="O10" s="970">
        <f>-'CR Nature FD'!N20/1000</f>
        <v>-11456.590661783855</v>
      </c>
      <c r="P10" s="970">
        <f t="shared" si="1"/>
        <v>-131916.58794140624</v>
      </c>
    </row>
    <row r="11" spans="2:16">
      <c r="B11" s="977" t="s">
        <v>633</v>
      </c>
      <c r="C11" s="970"/>
      <c r="D11" s="970"/>
      <c r="E11" s="970"/>
      <c r="F11" s="970"/>
      <c r="G11" s="970"/>
      <c r="H11" s="970">
        <v>0</v>
      </c>
      <c r="I11" s="970">
        <v>0</v>
      </c>
      <c r="J11" s="970">
        <v>0</v>
      </c>
      <c r="K11" s="970">
        <v>0</v>
      </c>
      <c r="L11" s="970">
        <v>0</v>
      </c>
      <c r="M11" s="970">
        <v>0</v>
      </c>
      <c r="N11" s="970">
        <v>0</v>
      </c>
      <c r="O11" s="970">
        <v>0</v>
      </c>
      <c r="P11" s="970">
        <f t="shared" si="1"/>
        <v>0</v>
      </c>
    </row>
    <row r="12" spans="2:16">
      <c r="B12" s="977" t="s">
        <v>634</v>
      </c>
      <c r="C12" s="970">
        <f>+C62</f>
        <v>0</v>
      </c>
      <c r="D12" s="970">
        <f>+D58+D61+D60</f>
        <v>66666.666666666657</v>
      </c>
      <c r="E12" s="970">
        <f t="shared" ref="E12:O12" si="2">+E58+E61+E60</f>
        <v>66666.666666666657</v>
      </c>
      <c r="F12" s="970">
        <f t="shared" si="2"/>
        <v>66666.666666666657</v>
      </c>
      <c r="G12" s="970">
        <f t="shared" si="2"/>
        <v>66666.666666666657</v>
      </c>
      <c r="H12" s="970">
        <f t="shared" si="2"/>
        <v>66666.666666666657</v>
      </c>
      <c r="I12" s="970">
        <f t="shared" si="2"/>
        <v>66666.666666666657</v>
      </c>
      <c r="J12" s="970">
        <f t="shared" si="2"/>
        <v>66666.666666666657</v>
      </c>
      <c r="K12" s="970">
        <f t="shared" si="2"/>
        <v>64935.804845852901</v>
      </c>
      <c r="L12" s="970">
        <f t="shared" si="2"/>
        <v>63176.095328025585</v>
      </c>
      <c r="M12" s="970">
        <f t="shared" si="2"/>
        <v>61387.057318234474</v>
      </c>
      <c r="N12" s="970">
        <f t="shared" si="2"/>
        <v>59568.202008280183</v>
      </c>
      <c r="O12" s="970">
        <f t="shared" si="2"/>
        <v>57719.03244315998</v>
      </c>
      <c r="P12" s="978">
        <f t="shared" si="1"/>
        <v>773452.85861021967</v>
      </c>
    </row>
    <row r="13" spans="2:16">
      <c r="B13" s="979" t="s">
        <v>635</v>
      </c>
      <c r="C13" s="980">
        <f t="shared" ref="C13:P13" si="3">SUM(C4:C12)</f>
        <v>0</v>
      </c>
      <c r="D13" s="980">
        <f t="shared" si="3"/>
        <v>-252798.503446302</v>
      </c>
      <c r="E13" s="980">
        <f t="shared" si="3"/>
        <v>-254800.90709584599</v>
      </c>
      <c r="F13" s="980">
        <f t="shared" si="3"/>
        <v>-209911.503446302</v>
      </c>
      <c r="G13" s="980">
        <f t="shared" si="3"/>
        <v>-254002.90709584599</v>
      </c>
      <c r="H13" s="980">
        <f t="shared" si="3"/>
        <v>-242361.503446302</v>
      </c>
      <c r="I13" s="980">
        <f t="shared" si="3"/>
        <v>-224750.90709584599</v>
      </c>
      <c r="J13" s="980">
        <f t="shared" si="3"/>
        <v>-252798.503446302</v>
      </c>
      <c r="K13" s="980">
        <f t="shared" si="3"/>
        <v>-257527.63073747349</v>
      </c>
      <c r="L13" s="980">
        <f t="shared" si="3"/>
        <v>-222690.40606203419</v>
      </c>
      <c r="M13" s="980">
        <f t="shared" si="3"/>
        <v>-246778.30173343996</v>
      </c>
      <c r="N13" s="980">
        <f t="shared" si="3"/>
        <v>-247856.19270152503</v>
      </c>
      <c r="O13" s="980">
        <f t="shared" si="3"/>
        <v>490089.64851641102</v>
      </c>
      <c r="P13" s="980">
        <f t="shared" si="3"/>
        <v>-2176187.617790807</v>
      </c>
    </row>
    <row r="14" spans="2:16">
      <c r="B14" s="974" t="s">
        <v>636</v>
      </c>
      <c r="C14" s="970"/>
      <c r="D14" s="981"/>
      <c r="E14" s="981"/>
      <c r="F14" s="981"/>
      <c r="G14" s="981"/>
      <c r="H14" s="970"/>
      <c r="I14" s="970"/>
      <c r="J14" s="970"/>
      <c r="K14" s="970"/>
      <c r="L14" s="970"/>
      <c r="M14" s="970"/>
      <c r="N14" s="970"/>
      <c r="O14" s="970"/>
      <c r="P14" s="970"/>
    </row>
    <row r="15" spans="2:16">
      <c r="B15" s="982" t="s">
        <v>637</v>
      </c>
      <c r="C15" s="970"/>
      <c r="D15" s="970">
        <f>-D73</f>
        <v>0</v>
      </c>
      <c r="E15" s="970">
        <f t="shared" ref="E15:O15" si="4">-E73</f>
        <v>0</v>
      </c>
      <c r="F15" s="970">
        <f t="shared" si="4"/>
        <v>0</v>
      </c>
      <c r="G15" s="970">
        <f t="shared" si="4"/>
        <v>0</v>
      </c>
      <c r="H15" s="970">
        <f t="shared" si="4"/>
        <v>0</v>
      </c>
      <c r="I15" s="970">
        <f t="shared" si="4"/>
        <v>0</v>
      </c>
      <c r="J15" s="970">
        <f t="shared" si="4"/>
        <v>0</v>
      </c>
      <c r="K15" s="970">
        <f t="shared" si="4"/>
        <v>367500</v>
      </c>
      <c r="L15" s="970">
        <f t="shared" si="4"/>
        <v>0</v>
      </c>
      <c r="M15" s="970">
        <f t="shared" si="4"/>
        <v>0</v>
      </c>
      <c r="N15" s="970">
        <f t="shared" si="4"/>
        <v>0</v>
      </c>
      <c r="O15" s="970">
        <f t="shared" si="4"/>
        <v>0</v>
      </c>
      <c r="P15" s="970">
        <f t="shared" ref="P15" si="5">SUM(C15:O15)</f>
        <v>367500</v>
      </c>
    </row>
    <row r="16" spans="2:16">
      <c r="B16" s="982" t="s">
        <v>638</v>
      </c>
      <c r="C16" s="970"/>
      <c r="D16" s="983"/>
      <c r="E16" s="983"/>
      <c r="F16" s="983"/>
      <c r="G16" s="983"/>
      <c r="H16" s="970"/>
      <c r="I16" s="970"/>
      <c r="J16" s="970"/>
      <c r="K16" s="970"/>
      <c r="L16" s="970"/>
      <c r="M16" s="970"/>
      <c r="N16" s="970"/>
      <c r="O16" s="970"/>
      <c r="P16" s="970">
        <f>SUM(H16:O16)</f>
        <v>0</v>
      </c>
    </row>
    <row r="17" spans="1:16">
      <c r="B17" s="982" t="s">
        <v>1100</v>
      </c>
      <c r="C17" s="970"/>
      <c r="D17" s="983"/>
      <c r="E17" s="983"/>
      <c r="F17" s="983"/>
      <c r="G17" s="983"/>
      <c r="H17" s="970"/>
      <c r="I17" s="970"/>
      <c r="J17" s="970"/>
      <c r="K17" s="970"/>
      <c r="L17" s="970"/>
      <c r="M17" s="970"/>
      <c r="N17" s="970"/>
      <c r="O17" s="970"/>
      <c r="P17" s="970"/>
    </row>
    <row r="18" spans="1:16">
      <c r="B18" s="979" t="s">
        <v>639</v>
      </c>
      <c r="C18" s="980">
        <f>SUM(C15:C17)</f>
        <v>0</v>
      </c>
      <c r="D18" s="980">
        <f t="shared" ref="D18:G18" si="6">SUM(D15:D16)</f>
        <v>0</v>
      </c>
      <c r="E18" s="980">
        <f t="shared" si="6"/>
        <v>0</v>
      </c>
      <c r="F18" s="980">
        <f t="shared" si="6"/>
        <v>0</v>
      </c>
      <c r="G18" s="980">
        <f t="shared" si="6"/>
        <v>0</v>
      </c>
      <c r="H18" s="980">
        <f>SUM(H15:H16)</f>
        <v>0</v>
      </c>
      <c r="I18" s="980">
        <f t="shared" ref="I18:P18" si="7">SUM(I15:I16)</f>
        <v>0</v>
      </c>
      <c r="J18" s="980">
        <f t="shared" si="7"/>
        <v>0</v>
      </c>
      <c r="K18" s="980">
        <f t="shared" si="7"/>
        <v>367500</v>
      </c>
      <c r="L18" s="980">
        <f t="shared" si="7"/>
        <v>0</v>
      </c>
      <c r="M18" s="980">
        <f t="shared" si="7"/>
        <v>0</v>
      </c>
      <c r="N18" s="980">
        <f t="shared" si="7"/>
        <v>0</v>
      </c>
      <c r="O18" s="980">
        <f t="shared" si="7"/>
        <v>0</v>
      </c>
      <c r="P18" s="980">
        <f t="shared" si="7"/>
        <v>367500</v>
      </c>
    </row>
    <row r="19" spans="1:16">
      <c r="A19" s="984"/>
      <c r="B19" s="985" t="s">
        <v>640</v>
      </c>
      <c r="C19" s="986">
        <f>-C13-C18</f>
        <v>0</v>
      </c>
      <c r="D19" s="986">
        <f t="shared" ref="D19:P19" si="8">-D13-D18</f>
        <v>252798.503446302</v>
      </c>
      <c r="E19" s="986">
        <f t="shared" si="8"/>
        <v>254800.90709584599</v>
      </c>
      <c r="F19" s="986">
        <f t="shared" si="8"/>
        <v>209911.503446302</v>
      </c>
      <c r="G19" s="986">
        <f t="shared" si="8"/>
        <v>254002.90709584599</v>
      </c>
      <c r="H19" s="986">
        <f t="shared" si="8"/>
        <v>242361.503446302</v>
      </c>
      <c r="I19" s="986">
        <f t="shared" si="8"/>
        <v>224750.90709584599</v>
      </c>
      <c r="J19" s="986">
        <f t="shared" si="8"/>
        <v>252798.503446302</v>
      </c>
      <c r="K19" s="986">
        <f t="shared" si="8"/>
        <v>-109972.36926252651</v>
      </c>
      <c r="L19" s="986">
        <f t="shared" si="8"/>
        <v>222690.40606203419</v>
      </c>
      <c r="M19" s="986">
        <f t="shared" si="8"/>
        <v>246778.30173343996</v>
      </c>
      <c r="N19" s="986">
        <f t="shared" si="8"/>
        <v>247856.19270152503</v>
      </c>
      <c r="O19" s="986">
        <f t="shared" si="8"/>
        <v>-490089.64851641102</v>
      </c>
      <c r="P19" s="986">
        <f t="shared" si="8"/>
        <v>1808687.617790807</v>
      </c>
    </row>
    <row r="21" spans="1:16">
      <c r="B21" s="969" t="s">
        <v>641</v>
      </c>
    </row>
    <row r="22" spans="1:16">
      <c r="B22" s="982" t="s">
        <v>523</v>
      </c>
      <c r="C22" s="970"/>
      <c r="D22" s="970">
        <f t="shared" ref="D22:N22" si="9">+D66+D67+D68</f>
        <v>0</v>
      </c>
      <c r="E22" s="970">
        <f t="shared" si="9"/>
        <v>0</v>
      </c>
      <c r="F22" s="970">
        <f t="shared" si="9"/>
        <v>0</v>
      </c>
      <c r="G22" s="970">
        <f t="shared" si="9"/>
        <v>0</v>
      </c>
      <c r="H22" s="970">
        <f t="shared" si="9"/>
        <v>0</v>
      </c>
      <c r="I22" s="970">
        <f t="shared" si="9"/>
        <v>0</v>
      </c>
      <c r="J22" s="970">
        <f t="shared" si="9"/>
        <v>0</v>
      </c>
      <c r="K22" s="970">
        <f t="shared" si="9"/>
        <v>0</v>
      </c>
      <c r="L22" s="970">
        <f t="shared" si="9"/>
        <v>0</v>
      </c>
      <c r="M22" s="970">
        <f t="shared" si="9"/>
        <v>0</v>
      </c>
      <c r="N22" s="970">
        <f t="shared" si="9"/>
        <v>0</v>
      </c>
      <c r="O22" s="970">
        <f t="shared" ref="O22" si="10">+O66+O67+O68</f>
        <v>0</v>
      </c>
      <c r="P22" s="970">
        <f t="shared" ref="P22:P36" si="11">SUM(C22:O22)</f>
        <v>0</v>
      </c>
    </row>
    <row r="23" spans="1:16">
      <c r="B23" s="982" t="s">
        <v>642</v>
      </c>
      <c r="C23" s="970"/>
      <c r="D23" s="970">
        <f t="shared" ref="D23:N23" si="12">+D73+D74+D75</f>
        <v>0</v>
      </c>
      <c r="E23" s="970">
        <f t="shared" si="12"/>
        <v>0</v>
      </c>
      <c r="F23" s="970">
        <f t="shared" si="12"/>
        <v>0</v>
      </c>
      <c r="G23" s="970">
        <f t="shared" si="12"/>
        <v>0</v>
      </c>
      <c r="H23" s="970">
        <f t="shared" si="12"/>
        <v>0</v>
      </c>
      <c r="I23" s="970">
        <f t="shared" si="12"/>
        <v>0</v>
      </c>
      <c r="J23" s="970">
        <f t="shared" si="12"/>
        <v>0</v>
      </c>
      <c r="K23" s="970">
        <f t="shared" si="12"/>
        <v>0</v>
      </c>
      <c r="L23" s="970">
        <f t="shared" si="12"/>
        <v>0</v>
      </c>
      <c r="M23" s="970">
        <f t="shared" si="12"/>
        <v>0</v>
      </c>
      <c r="N23" s="970">
        <f t="shared" si="12"/>
        <v>0</v>
      </c>
      <c r="O23" s="970">
        <f t="shared" ref="O23" si="13">+O73+O74+O75</f>
        <v>0</v>
      </c>
      <c r="P23" s="970">
        <f t="shared" si="11"/>
        <v>0</v>
      </c>
    </row>
    <row r="24" spans="1:16">
      <c r="B24" s="982" t="s">
        <v>643</v>
      </c>
      <c r="C24" s="970"/>
      <c r="D24" s="970">
        <f t="shared" ref="D24:N24" si="14">+D80+D81+D82</f>
        <v>0</v>
      </c>
      <c r="E24" s="970">
        <f t="shared" si="14"/>
        <v>0</v>
      </c>
      <c r="F24" s="970">
        <f t="shared" si="14"/>
        <v>0</v>
      </c>
      <c r="G24" s="970">
        <f t="shared" si="14"/>
        <v>0</v>
      </c>
      <c r="H24" s="970">
        <f t="shared" si="14"/>
        <v>0</v>
      </c>
      <c r="I24" s="970">
        <f t="shared" si="14"/>
        <v>0</v>
      </c>
      <c r="J24" s="970">
        <f t="shared" si="14"/>
        <v>0</v>
      </c>
      <c r="K24" s="970">
        <f t="shared" si="14"/>
        <v>0</v>
      </c>
      <c r="L24" s="970">
        <f t="shared" si="14"/>
        <v>0</v>
      </c>
      <c r="M24" s="970">
        <f t="shared" si="14"/>
        <v>0</v>
      </c>
      <c r="N24" s="970">
        <f t="shared" si="14"/>
        <v>0</v>
      </c>
      <c r="O24" s="970">
        <f t="shared" ref="O24" si="15">+O80+O81+O82</f>
        <v>0</v>
      </c>
      <c r="P24" s="970">
        <f t="shared" si="11"/>
        <v>0</v>
      </c>
    </row>
    <row r="25" spans="1:16">
      <c r="B25" s="982" t="s">
        <v>644</v>
      </c>
      <c r="C25" s="970"/>
      <c r="D25" s="970"/>
      <c r="E25" s="970"/>
      <c r="F25" s="970"/>
      <c r="G25" s="970"/>
      <c r="H25" s="970"/>
      <c r="I25" s="970"/>
      <c r="J25" s="970"/>
      <c r="K25" s="970"/>
      <c r="L25" s="970"/>
      <c r="M25" s="970"/>
      <c r="N25" s="970"/>
      <c r="O25" s="970"/>
      <c r="P25" s="970">
        <f t="shared" si="11"/>
        <v>0</v>
      </c>
    </row>
    <row r="26" spans="1:16">
      <c r="B26" s="982" t="s">
        <v>645</v>
      </c>
      <c r="C26" s="970"/>
      <c r="D26" s="970">
        <f t="shared" ref="D26:N26" si="16">+D89+D90</f>
        <v>0</v>
      </c>
      <c r="E26" s="970">
        <f t="shared" si="16"/>
        <v>0</v>
      </c>
      <c r="F26" s="970">
        <f t="shared" si="16"/>
        <v>0</v>
      </c>
      <c r="G26" s="970">
        <f t="shared" si="16"/>
        <v>0</v>
      </c>
      <c r="H26" s="970">
        <f t="shared" si="16"/>
        <v>0</v>
      </c>
      <c r="I26" s="970">
        <f t="shared" si="16"/>
        <v>0</v>
      </c>
      <c r="J26" s="970">
        <f t="shared" si="16"/>
        <v>0</v>
      </c>
      <c r="K26" s="970">
        <f t="shared" si="16"/>
        <v>0</v>
      </c>
      <c r="L26" s="970">
        <f t="shared" si="16"/>
        <v>0</v>
      </c>
      <c r="M26" s="970">
        <f t="shared" si="16"/>
        <v>0</v>
      </c>
      <c r="N26" s="970">
        <f t="shared" si="16"/>
        <v>0</v>
      </c>
      <c r="O26" s="970">
        <f t="shared" ref="O26" si="17">+O89+O90</f>
        <v>0</v>
      </c>
      <c r="P26" s="970">
        <f t="shared" si="11"/>
        <v>0</v>
      </c>
    </row>
    <row r="27" spans="1:16">
      <c r="B27" s="982" t="s">
        <v>646</v>
      </c>
      <c r="C27" s="970"/>
      <c r="D27" s="970">
        <f t="shared" ref="D27:N27" si="18">+D95+D96</f>
        <v>-10172.259875</v>
      </c>
      <c r="E27" s="970">
        <f t="shared" si="18"/>
        <v>-10188.014375000001</v>
      </c>
      <c r="F27" s="970">
        <f t="shared" si="18"/>
        <v>-10172.259875</v>
      </c>
      <c r="G27" s="970">
        <f t="shared" si="18"/>
        <v>20344.519749999999</v>
      </c>
      <c r="H27" s="970">
        <f t="shared" si="18"/>
        <v>-10172.259875</v>
      </c>
      <c r="I27" s="970">
        <f t="shared" si="18"/>
        <v>-10188.014375000001</v>
      </c>
      <c r="J27" s="970">
        <f t="shared" si="18"/>
        <v>20376.028750000001</v>
      </c>
      <c r="K27" s="970">
        <f t="shared" si="18"/>
        <v>-10188.014375000001</v>
      </c>
      <c r="L27" s="970">
        <f t="shared" si="18"/>
        <v>-9961.0118750000001</v>
      </c>
      <c r="M27" s="970">
        <f t="shared" si="18"/>
        <v>20337.047500000001</v>
      </c>
      <c r="N27" s="970">
        <f t="shared" si="18"/>
        <v>9984.2386250000018</v>
      </c>
      <c r="O27" s="970">
        <f t="shared" ref="O27" si="19">+O95+O96</f>
        <v>0</v>
      </c>
      <c r="P27" s="970">
        <f t="shared" si="11"/>
        <v>0</v>
      </c>
    </row>
    <row r="28" spans="1:16">
      <c r="B28" s="982" t="s">
        <v>647</v>
      </c>
      <c r="C28" s="970"/>
      <c r="D28" s="970">
        <f t="shared" ref="D28:E28" si="20">+D101+D102</f>
        <v>0</v>
      </c>
      <c r="E28" s="970">
        <f t="shared" si="20"/>
        <v>0</v>
      </c>
      <c r="F28" s="970">
        <f t="shared" ref="F28:N28" si="21">+F101+F102</f>
        <v>0</v>
      </c>
      <c r="G28" s="970">
        <f t="shared" si="21"/>
        <v>0</v>
      </c>
      <c r="H28" s="970">
        <f t="shared" si="21"/>
        <v>0</v>
      </c>
      <c r="I28" s="970">
        <f t="shared" si="21"/>
        <v>0</v>
      </c>
      <c r="J28" s="970">
        <f t="shared" si="21"/>
        <v>0</v>
      </c>
      <c r="K28" s="970">
        <f t="shared" si="21"/>
        <v>0</v>
      </c>
      <c r="L28" s="970">
        <f t="shared" si="21"/>
        <v>0</v>
      </c>
      <c r="M28" s="970">
        <f t="shared" si="21"/>
        <v>0</v>
      </c>
      <c r="N28" s="970">
        <f t="shared" si="21"/>
        <v>0</v>
      </c>
      <c r="O28" s="970">
        <f t="shared" ref="O28" si="22">+O101+O102</f>
        <v>0</v>
      </c>
      <c r="P28" s="970">
        <f t="shared" si="11"/>
        <v>0</v>
      </c>
    </row>
    <row r="29" spans="1:16">
      <c r="B29" s="982" t="s">
        <v>648</v>
      </c>
      <c r="C29" s="970"/>
      <c r="D29" s="970">
        <f>+D107+D108</f>
        <v>-9045.2309999999998</v>
      </c>
      <c r="E29" s="970">
        <f t="shared" ref="E29" si="23">+E107+E108</f>
        <v>-14.004000000000815</v>
      </c>
      <c r="F29" s="970">
        <f t="shared" ref="F29:N29" si="24">+F107+F108</f>
        <v>14.004000000000815</v>
      </c>
      <c r="G29" s="970">
        <f t="shared" si="24"/>
        <v>-14.004000000000815</v>
      </c>
      <c r="H29" s="970">
        <f t="shared" si="24"/>
        <v>14.004000000000815</v>
      </c>
      <c r="I29" s="970">
        <f t="shared" si="24"/>
        <v>-14.004000000000815</v>
      </c>
      <c r="J29" s="970">
        <f t="shared" si="24"/>
        <v>14.004000000000815</v>
      </c>
      <c r="K29" s="970">
        <f t="shared" si="24"/>
        <v>-14.004000000000815</v>
      </c>
      <c r="L29" s="970">
        <f t="shared" si="24"/>
        <v>201.78000000000065</v>
      </c>
      <c r="M29" s="970">
        <f t="shared" si="24"/>
        <v>-20.645999999998821</v>
      </c>
      <c r="N29" s="970">
        <f t="shared" si="24"/>
        <v>20.646000000002459</v>
      </c>
      <c r="O29" s="970">
        <f t="shared" ref="O29" si="25">+O107+O108</f>
        <v>-20.645999999998821</v>
      </c>
      <c r="P29" s="970">
        <f t="shared" si="11"/>
        <v>-8878.1009999999951</v>
      </c>
    </row>
    <row r="30" spans="1:16">
      <c r="B30" s="982" t="s">
        <v>649</v>
      </c>
      <c r="C30" s="970"/>
      <c r="D30" s="970">
        <f t="shared" ref="D30:E30" si="26">+D113+D114+D115</f>
        <v>0</v>
      </c>
      <c r="E30" s="970">
        <f t="shared" si="26"/>
        <v>0</v>
      </c>
      <c r="F30" s="970">
        <f t="shared" ref="F30:N30" si="27">+F113+F114+F115</f>
        <v>0</v>
      </c>
      <c r="G30" s="970">
        <f t="shared" si="27"/>
        <v>0</v>
      </c>
      <c r="H30" s="970">
        <f t="shared" si="27"/>
        <v>0</v>
      </c>
      <c r="I30" s="970">
        <f t="shared" si="27"/>
        <v>0</v>
      </c>
      <c r="J30" s="970">
        <f t="shared" si="27"/>
        <v>0</v>
      </c>
      <c r="K30" s="970">
        <f t="shared" si="27"/>
        <v>0</v>
      </c>
      <c r="L30" s="970">
        <f t="shared" si="27"/>
        <v>0</v>
      </c>
      <c r="M30" s="970">
        <f t="shared" si="27"/>
        <v>0</v>
      </c>
      <c r="N30" s="970">
        <f t="shared" si="27"/>
        <v>0</v>
      </c>
      <c r="O30" s="970">
        <f t="shared" ref="O30" si="28">+O113+O114+O115</f>
        <v>-704432</v>
      </c>
      <c r="P30" s="970">
        <f t="shared" si="11"/>
        <v>-704432</v>
      </c>
    </row>
    <row r="31" spans="1:16">
      <c r="B31" s="982" t="s">
        <v>650</v>
      </c>
      <c r="C31" s="970"/>
      <c r="D31" s="970">
        <f>+D120+D121</f>
        <v>0</v>
      </c>
      <c r="E31" s="970">
        <f t="shared" ref="E31" si="29">+E120+E121</f>
        <v>0</v>
      </c>
      <c r="F31" s="970">
        <f t="shared" ref="F31:N31" si="30">+F120+F121</f>
        <v>0</v>
      </c>
      <c r="G31" s="970">
        <f t="shared" si="30"/>
        <v>0</v>
      </c>
      <c r="H31" s="970">
        <f t="shared" si="30"/>
        <v>0</v>
      </c>
      <c r="I31" s="970">
        <f t="shared" si="30"/>
        <v>0</v>
      </c>
      <c r="J31" s="970">
        <f t="shared" si="30"/>
        <v>0</v>
      </c>
      <c r="K31" s="970">
        <f t="shared" si="30"/>
        <v>0</v>
      </c>
      <c r="L31" s="970">
        <f t="shared" si="30"/>
        <v>0</v>
      </c>
      <c r="M31" s="970">
        <f t="shared" si="30"/>
        <v>0</v>
      </c>
      <c r="N31" s="970">
        <f t="shared" si="30"/>
        <v>0</v>
      </c>
      <c r="O31" s="970">
        <f t="shared" ref="O31" si="31">+O120+O121</f>
        <v>0</v>
      </c>
      <c r="P31" s="970">
        <f t="shared" si="11"/>
        <v>0</v>
      </c>
    </row>
    <row r="32" spans="1:16">
      <c r="B32" s="982" t="s">
        <v>651</v>
      </c>
      <c r="C32" s="970"/>
      <c r="D32" s="970">
        <f>+SUM(D125:D135)</f>
        <v>0</v>
      </c>
      <c r="E32" s="970">
        <f t="shared" ref="E32" si="32">+SUM(E126:E135)</f>
        <v>0</v>
      </c>
      <c r="F32" s="970">
        <f t="shared" ref="F32:N32" si="33">+SUM(F126:F135)</f>
        <v>0</v>
      </c>
      <c r="G32" s="970">
        <f t="shared" si="33"/>
        <v>0</v>
      </c>
      <c r="H32" s="970">
        <f t="shared" si="33"/>
        <v>0</v>
      </c>
      <c r="I32" s="970">
        <f t="shared" si="33"/>
        <v>0</v>
      </c>
      <c r="J32" s="970">
        <f t="shared" si="33"/>
        <v>0</v>
      </c>
      <c r="K32" s="970">
        <f t="shared" si="33"/>
        <v>0</v>
      </c>
      <c r="L32" s="970">
        <f t="shared" si="33"/>
        <v>0</v>
      </c>
      <c r="M32" s="970">
        <f t="shared" si="33"/>
        <v>0</v>
      </c>
      <c r="N32" s="970">
        <f t="shared" si="33"/>
        <v>0</v>
      </c>
      <c r="O32" s="970">
        <f t="shared" ref="O32" si="34">+SUM(O126:O135)</f>
        <v>0</v>
      </c>
      <c r="P32" s="970">
        <f t="shared" si="11"/>
        <v>0</v>
      </c>
    </row>
    <row r="33" spans="2:16">
      <c r="B33" s="982" t="s">
        <v>1101</v>
      </c>
      <c r="C33" s="970"/>
      <c r="D33" s="970"/>
      <c r="E33" s="970"/>
      <c r="F33" s="970"/>
      <c r="G33" s="970"/>
      <c r="H33" s="970"/>
      <c r="I33" s="970"/>
      <c r="J33" s="970"/>
      <c r="K33" s="970"/>
      <c r="L33" s="970"/>
      <c r="M33" s="970"/>
      <c r="N33" s="970"/>
      <c r="O33" s="970"/>
      <c r="P33" s="970"/>
    </row>
    <row r="34" spans="2:16">
      <c r="B34" s="982" t="s">
        <v>652</v>
      </c>
      <c r="C34" s="970"/>
      <c r="D34" s="970">
        <f t="shared" ref="D34:N34" si="35">+D140+D141+D142</f>
        <v>0</v>
      </c>
      <c r="E34" s="970">
        <f t="shared" si="35"/>
        <v>0</v>
      </c>
      <c r="F34" s="970">
        <f t="shared" si="35"/>
        <v>0</v>
      </c>
      <c r="G34" s="970">
        <f t="shared" si="35"/>
        <v>0</v>
      </c>
      <c r="H34" s="970">
        <f t="shared" si="35"/>
        <v>0</v>
      </c>
      <c r="I34" s="970">
        <f t="shared" si="35"/>
        <v>0</v>
      </c>
      <c r="J34" s="970">
        <f t="shared" si="35"/>
        <v>0</v>
      </c>
      <c r="K34" s="970">
        <f t="shared" si="35"/>
        <v>0</v>
      </c>
      <c r="L34" s="970">
        <f t="shared" si="35"/>
        <v>0</v>
      </c>
      <c r="M34" s="970">
        <f t="shared" si="35"/>
        <v>0</v>
      </c>
      <c r="N34" s="970">
        <f t="shared" si="35"/>
        <v>0</v>
      </c>
      <c r="O34" s="970">
        <f t="shared" ref="O34" si="36">+O140+O141+O142</f>
        <v>0</v>
      </c>
      <c r="P34" s="970">
        <f t="shared" si="11"/>
        <v>0</v>
      </c>
    </row>
    <row r="35" spans="2:16">
      <c r="B35" s="982" t="s">
        <v>653</v>
      </c>
      <c r="C35" s="970"/>
      <c r="D35" s="970">
        <f>+D148+D147</f>
        <v>-500000</v>
      </c>
      <c r="E35" s="970">
        <f t="shared" ref="E35:N35" si="37">+E148+E147</f>
        <v>0</v>
      </c>
      <c r="F35" s="970">
        <f t="shared" si="37"/>
        <v>0</v>
      </c>
      <c r="G35" s="970">
        <f t="shared" si="37"/>
        <v>0</v>
      </c>
      <c r="H35" s="970">
        <f t="shared" si="37"/>
        <v>0</v>
      </c>
      <c r="I35" s="970">
        <f t="shared" si="37"/>
        <v>0</v>
      </c>
      <c r="J35" s="970">
        <f t="shared" si="37"/>
        <v>0</v>
      </c>
      <c r="K35" s="970">
        <f t="shared" si="37"/>
        <v>0</v>
      </c>
      <c r="L35" s="970">
        <f t="shared" si="37"/>
        <v>0</v>
      </c>
      <c r="M35" s="970">
        <f t="shared" si="37"/>
        <v>0</v>
      </c>
      <c r="N35" s="970">
        <f t="shared" si="37"/>
        <v>0</v>
      </c>
      <c r="O35" s="970">
        <f t="shared" ref="O35" si="38">+O148+O147</f>
        <v>0</v>
      </c>
      <c r="P35" s="970">
        <f t="shared" si="11"/>
        <v>-500000</v>
      </c>
    </row>
    <row r="36" spans="2:16">
      <c r="B36" s="982" t="s">
        <v>654</v>
      </c>
      <c r="C36" s="970"/>
      <c r="D36" s="970">
        <f>+D154+D155</f>
        <v>0</v>
      </c>
      <c r="E36" s="970">
        <f t="shared" ref="E36:N36" si="39">+E154+E155</f>
        <v>0</v>
      </c>
      <c r="F36" s="970">
        <f t="shared" si="39"/>
        <v>0</v>
      </c>
      <c r="G36" s="970">
        <f t="shared" si="39"/>
        <v>0</v>
      </c>
      <c r="H36" s="970">
        <f t="shared" si="39"/>
        <v>0</v>
      </c>
      <c r="I36" s="970">
        <f t="shared" si="39"/>
        <v>0</v>
      </c>
      <c r="J36" s="970">
        <f t="shared" si="39"/>
        <v>0</v>
      </c>
      <c r="K36" s="970">
        <f t="shared" si="39"/>
        <v>0</v>
      </c>
      <c r="L36" s="970">
        <f t="shared" si="39"/>
        <v>0</v>
      </c>
      <c r="M36" s="970">
        <f t="shared" si="39"/>
        <v>0</v>
      </c>
      <c r="N36" s="970">
        <f t="shared" si="39"/>
        <v>0</v>
      </c>
      <c r="O36" s="970">
        <f t="shared" ref="O36" si="40">+O154+O155</f>
        <v>0</v>
      </c>
      <c r="P36" s="970">
        <f t="shared" si="11"/>
        <v>0</v>
      </c>
    </row>
    <row r="37" spans="2:16">
      <c r="B37" s="979" t="s">
        <v>655</v>
      </c>
      <c r="C37" s="980">
        <f>SUM(C22:C36)</f>
        <v>0</v>
      </c>
      <c r="D37" s="980">
        <f t="shared" ref="D37:G37" si="41">SUM(D22:D36)</f>
        <v>-519217.49087500002</v>
      </c>
      <c r="E37" s="980">
        <f t="shared" si="41"/>
        <v>-10202.018375000001</v>
      </c>
      <c r="F37" s="980">
        <f t="shared" si="41"/>
        <v>-10158.255874999999</v>
      </c>
      <c r="G37" s="980">
        <f t="shared" si="41"/>
        <v>20330.515749999999</v>
      </c>
      <c r="H37" s="980">
        <f t="shared" ref="H37:P37" si="42">SUM(H22:H36)</f>
        <v>-10158.255874999999</v>
      </c>
      <c r="I37" s="980">
        <f t="shared" si="42"/>
        <v>-10202.018375000001</v>
      </c>
      <c r="J37" s="980">
        <f t="shared" si="42"/>
        <v>20390.032750000002</v>
      </c>
      <c r="K37" s="980">
        <f t="shared" si="42"/>
        <v>-10202.018375000001</v>
      </c>
      <c r="L37" s="980">
        <f t="shared" si="42"/>
        <v>-9759.2318749999995</v>
      </c>
      <c r="M37" s="980">
        <f t="shared" si="42"/>
        <v>20316.4015</v>
      </c>
      <c r="N37" s="980">
        <f t="shared" si="42"/>
        <v>10004.884625000004</v>
      </c>
      <c r="O37" s="980">
        <f t="shared" si="42"/>
        <v>-704452.64599999995</v>
      </c>
      <c r="P37" s="980">
        <f t="shared" si="42"/>
        <v>-1213310.101</v>
      </c>
    </row>
    <row r="38" spans="2:16">
      <c r="B38" s="969" t="s">
        <v>656</v>
      </c>
    </row>
    <row r="39" spans="2:16">
      <c r="B39" s="982" t="s">
        <v>657</v>
      </c>
      <c r="C39" s="970"/>
      <c r="D39" s="970">
        <f>+D163+D164+D167+D168</f>
        <v>11592.515279635205</v>
      </c>
      <c r="E39" s="970">
        <f t="shared" ref="E39:N39" si="43">+E163+E164+E167+E168</f>
        <v>11278.430429179221</v>
      </c>
      <c r="F39" s="970">
        <f t="shared" si="43"/>
        <v>11592.515279635205</v>
      </c>
      <c r="G39" s="970">
        <f t="shared" si="43"/>
        <v>11278.430429179221</v>
      </c>
      <c r="H39" s="970">
        <f t="shared" si="43"/>
        <v>11592.515279635205</v>
      </c>
      <c r="I39" s="970">
        <f t="shared" si="43"/>
        <v>11278.430429179221</v>
      </c>
      <c r="J39" s="970">
        <f t="shared" si="43"/>
        <v>11592.515279635205</v>
      </c>
      <c r="K39" s="970">
        <f t="shared" si="43"/>
        <v>11278.430429179221</v>
      </c>
      <c r="L39" s="970">
        <f t="shared" si="43"/>
        <v>-13346.75203191489</v>
      </c>
      <c r="M39" s="970">
        <f t="shared" si="43"/>
        <v>-12144.475130091072</v>
      </c>
      <c r="N39" s="970">
        <f t="shared" si="43"/>
        <v>-13346.75203191489</v>
      </c>
      <c r="O39" s="970">
        <f t="shared" ref="O39" si="44">+O163+O164+O167+O168</f>
        <v>-12144.475130091072</v>
      </c>
      <c r="P39" s="970">
        <f t="shared" ref="P39:P48" si="45">SUM(C39:O39)</f>
        <v>40501.328511245782</v>
      </c>
    </row>
    <row r="40" spans="2:16">
      <c r="B40" s="982" t="s">
        <v>658</v>
      </c>
      <c r="C40" s="970"/>
      <c r="D40" s="970"/>
      <c r="E40" s="970"/>
      <c r="F40" s="970"/>
      <c r="G40" s="970"/>
      <c r="H40" s="970"/>
      <c r="I40" s="970"/>
      <c r="J40" s="970"/>
      <c r="K40" s="970"/>
      <c r="L40" s="970"/>
      <c r="M40" s="970"/>
      <c r="N40" s="970"/>
      <c r="O40" s="970"/>
      <c r="P40" s="970">
        <f t="shared" si="45"/>
        <v>0</v>
      </c>
    </row>
    <row r="41" spans="2:16">
      <c r="B41" s="982" t="s">
        <v>659</v>
      </c>
      <c r="C41" s="970"/>
      <c r="D41" s="970">
        <f>+D179+D180</f>
        <v>304763.375</v>
      </c>
      <c r="E41" s="970">
        <f t="shared" ref="E41:N41" si="46">+E179+E180</f>
        <v>122282.64999999991</v>
      </c>
      <c r="F41" s="970">
        <f t="shared" si="46"/>
        <v>121905.34999999986</v>
      </c>
      <c r="G41" s="970">
        <f t="shared" si="46"/>
        <v>-122282.65000000014</v>
      </c>
      <c r="H41" s="970">
        <f t="shared" si="46"/>
        <v>-121905.35000000009</v>
      </c>
      <c r="I41" s="970">
        <f t="shared" si="46"/>
        <v>-122282.65000000014</v>
      </c>
      <c r="J41" s="970">
        <f t="shared" si="46"/>
        <v>-121905.35000000009</v>
      </c>
      <c r="K41" s="970">
        <f t="shared" si="46"/>
        <v>61141.324999999953</v>
      </c>
      <c r="L41" s="970">
        <f t="shared" si="46"/>
        <v>121905.34999999986</v>
      </c>
      <c r="M41" s="970">
        <f t="shared" si="46"/>
        <v>122282.64999999991</v>
      </c>
      <c r="N41" s="970">
        <f t="shared" si="46"/>
        <v>121905.34999999986</v>
      </c>
      <c r="O41" s="970">
        <f t="shared" ref="O41" si="47">+O179+O180</f>
        <v>122282.64999999991</v>
      </c>
      <c r="P41" s="970">
        <f t="shared" si="45"/>
        <v>610092.69999999879</v>
      </c>
    </row>
    <row r="42" spans="2:16">
      <c r="B42" s="982" t="s">
        <v>660</v>
      </c>
      <c r="C42" s="970"/>
      <c r="D42" s="970"/>
      <c r="E42" s="970"/>
      <c r="F42" s="970"/>
      <c r="G42" s="970"/>
      <c r="H42" s="970"/>
      <c r="I42" s="970"/>
      <c r="J42" s="970"/>
      <c r="K42" s="970"/>
      <c r="L42" s="970"/>
      <c r="M42" s="970"/>
      <c r="N42" s="970"/>
      <c r="O42" s="970"/>
      <c r="P42" s="970">
        <f t="shared" si="45"/>
        <v>0</v>
      </c>
    </row>
    <row r="43" spans="2:16">
      <c r="B43" s="982" t="s">
        <v>661</v>
      </c>
      <c r="C43" s="970"/>
      <c r="D43" s="970">
        <f t="shared" ref="D43" si="48">+D185+D186</f>
        <v>0</v>
      </c>
      <c r="E43" s="970">
        <f t="shared" ref="E43:N43" si="49">+E185+E186</f>
        <v>0</v>
      </c>
      <c r="F43" s="970">
        <f t="shared" si="49"/>
        <v>0</v>
      </c>
      <c r="G43" s="970">
        <f t="shared" si="49"/>
        <v>0</v>
      </c>
      <c r="H43" s="970">
        <f t="shared" si="49"/>
        <v>0</v>
      </c>
      <c r="I43" s="970">
        <f t="shared" si="49"/>
        <v>0</v>
      </c>
      <c r="J43" s="970">
        <f t="shared" si="49"/>
        <v>0</v>
      </c>
      <c r="K43" s="970">
        <f t="shared" si="49"/>
        <v>0</v>
      </c>
      <c r="L43" s="970">
        <f t="shared" si="49"/>
        <v>0</v>
      </c>
      <c r="M43" s="970">
        <f t="shared" si="49"/>
        <v>0</v>
      </c>
      <c r="N43" s="970">
        <f t="shared" si="49"/>
        <v>0</v>
      </c>
      <c r="O43" s="970">
        <f t="shared" ref="O43" si="50">+O185+O186</f>
        <v>0</v>
      </c>
      <c r="P43" s="970">
        <f t="shared" si="45"/>
        <v>0</v>
      </c>
    </row>
    <row r="44" spans="2:16">
      <c r="B44" s="982" t="s">
        <v>662</v>
      </c>
      <c r="C44" s="970"/>
      <c r="D44" s="970">
        <f t="shared" ref="D44" si="51">+D191+D192</f>
        <v>0</v>
      </c>
      <c r="E44" s="970">
        <f t="shared" ref="E44:N44" si="52">+E191+E192</f>
        <v>0</v>
      </c>
      <c r="F44" s="970">
        <f t="shared" si="52"/>
        <v>0</v>
      </c>
      <c r="G44" s="970">
        <f t="shared" si="52"/>
        <v>0</v>
      </c>
      <c r="H44" s="970">
        <f t="shared" si="52"/>
        <v>0</v>
      </c>
      <c r="I44" s="970">
        <f t="shared" si="52"/>
        <v>0</v>
      </c>
      <c r="J44" s="970">
        <f t="shared" si="52"/>
        <v>0</v>
      </c>
      <c r="K44" s="970">
        <f t="shared" si="52"/>
        <v>0</v>
      </c>
      <c r="L44" s="970">
        <f t="shared" si="52"/>
        <v>0</v>
      </c>
      <c r="M44" s="970">
        <f t="shared" si="52"/>
        <v>0</v>
      </c>
      <c r="N44" s="970">
        <f t="shared" si="52"/>
        <v>0</v>
      </c>
      <c r="O44" s="970">
        <f t="shared" ref="O44" si="53">+O191+O192</f>
        <v>0</v>
      </c>
      <c r="P44" s="970">
        <f t="shared" si="45"/>
        <v>0</v>
      </c>
    </row>
    <row r="45" spans="2:16">
      <c r="B45" s="982" t="s">
        <v>663</v>
      </c>
      <c r="C45" s="970"/>
      <c r="D45" s="970">
        <f t="shared" ref="D45" si="54">+D197+D198</f>
        <v>139876.88949999999</v>
      </c>
      <c r="E45" s="970">
        <f t="shared" ref="E45:N45" si="55">+E197+E198</f>
        <v>140116.42600000001</v>
      </c>
      <c r="F45" s="970">
        <f t="shared" si="55"/>
        <v>143434.28950000001</v>
      </c>
      <c r="G45" s="970">
        <f t="shared" si="55"/>
        <v>140276.02599999998</v>
      </c>
      <c r="H45" s="970">
        <f t="shared" si="55"/>
        <v>101964.28950000001</v>
      </c>
      <c r="I45" s="970">
        <f t="shared" si="55"/>
        <v>60786.426000000007</v>
      </c>
      <c r="J45" s="970">
        <f t="shared" si="55"/>
        <v>9876.8894999999902</v>
      </c>
      <c r="K45" s="970">
        <f t="shared" si="55"/>
        <v>20263.426000000007</v>
      </c>
      <c r="L45" s="970">
        <f t="shared" si="55"/>
        <v>139624.51675000001</v>
      </c>
      <c r="M45" s="970">
        <f t="shared" si="55"/>
        <v>136466.32149999999</v>
      </c>
      <c r="N45" s="970">
        <f t="shared" si="55"/>
        <v>136054.51675000001</v>
      </c>
      <c r="O45" s="970">
        <f t="shared" ref="O45" si="56">+O197+O198</f>
        <v>143320.72149999999</v>
      </c>
      <c r="P45" s="970">
        <f t="shared" si="45"/>
        <v>1312060.7385</v>
      </c>
    </row>
    <row r="46" spans="2:16">
      <c r="B46" s="982" t="s">
        <v>1102</v>
      </c>
      <c r="C46" s="970"/>
      <c r="D46" s="970"/>
      <c r="E46" s="970"/>
      <c r="F46" s="970"/>
      <c r="G46" s="970"/>
      <c r="H46" s="970"/>
      <c r="I46" s="970"/>
      <c r="J46" s="970"/>
      <c r="K46" s="970"/>
      <c r="L46" s="970"/>
      <c r="M46" s="970"/>
      <c r="N46" s="970"/>
      <c r="O46" s="970"/>
      <c r="P46" s="970"/>
    </row>
    <row r="47" spans="2:16">
      <c r="B47" s="982" t="s">
        <v>652</v>
      </c>
      <c r="C47" s="970"/>
      <c r="D47" s="969">
        <f t="shared" ref="D47" si="57">+D203+D204</f>
        <v>0</v>
      </c>
      <c r="E47" s="969">
        <f t="shared" ref="E47:N47" si="58">+E203+E204</f>
        <v>0</v>
      </c>
      <c r="F47" s="969">
        <f t="shared" si="58"/>
        <v>0</v>
      </c>
      <c r="G47" s="969">
        <f t="shared" si="58"/>
        <v>0</v>
      </c>
      <c r="H47" s="969">
        <f t="shared" si="58"/>
        <v>0</v>
      </c>
      <c r="I47" s="969">
        <f t="shared" si="58"/>
        <v>0</v>
      </c>
      <c r="J47" s="969">
        <f t="shared" si="58"/>
        <v>0</v>
      </c>
      <c r="K47" s="969">
        <f t="shared" si="58"/>
        <v>0</v>
      </c>
      <c r="L47" s="969">
        <f t="shared" si="58"/>
        <v>0</v>
      </c>
      <c r="M47" s="969">
        <f t="shared" si="58"/>
        <v>0</v>
      </c>
      <c r="N47" s="969">
        <f t="shared" si="58"/>
        <v>0</v>
      </c>
      <c r="O47" s="969">
        <f t="shared" ref="O47" si="59">+O203+O204</f>
        <v>0</v>
      </c>
      <c r="P47" s="970">
        <f t="shared" si="45"/>
        <v>0</v>
      </c>
    </row>
    <row r="48" spans="2:16">
      <c r="B48" s="982" t="s">
        <v>664</v>
      </c>
      <c r="C48" s="970"/>
      <c r="D48" s="970">
        <v>0</v>
      </c>
      <c r="E48" s="970">
        <v>0</v>
      </c>
      <c r="F48" s="970">
        <v>0</v>
      </c>
      <c r="G48" s="970">
        <v>0</v>
      </c>
      <c r="H48" s="970">
        <v>0</v>
      </c>
      <c r="I48" s="970">
        <v>0</v>
      </c>
      <c r="J48" s="970">
        <v>0</v>
      </c>
      <c r="K48" s="970">
        <v>0</v>
      </c>
      <c r="L48" s="970">
        <v>0</v>
      </c>
      <c r="M48" s="970">
        <v>0</v>
      </c>
      <c r="N48" s="970">
        <v>0</v>
      </c>
      <c r="O48" s="970">
        <v>0</v>
      </c>
      <c r="P48" s="970">
        <f t="shared" si="45"/>
        <v>0</v>
      </c>
    </row>
    <row r="49" spans="1:17">
      <c r="B49" s="979" t="s">
        <v>665</v>
      </c>
      <c r="C49" s="980">
        <f>SUM(C39:C48)</f>
        <v>0</v>
      </c>
      <c r="D49" s="980">
        <f>SUM(D39:D48)</f>
        <v>456232.7797796352</v>
      </c>
      <c r="E49" s="980">
        <f t="shared" ref="E49:P49" si="60">SUM(E39:E48)</f>
        <v>273677.50642917911</v>
      </c>
      <c r="F49" s="980">
        <f t="shared" si="60"/>
        <v>276932.15477963508</v>
      </c>
      <c r="G49" s="980">
        <f t="shared" si="60"/>
        <v>29271.806429179065</v>
      </c>
      <c r="H49" s="980">
        <f t="shared" si="60"/>
        <v>-8348.5452203648747</v>
      </c>
      <c r="I49" s="980">
        <f t="shared" si="60"/>
        <v>-50217.793570820912</v>
      </c>
      <c r="J49" s="980">
        <f t="shared" si="60"/>
        <v>-100435.9452203649</v>
      </c>
      <c r="K49" s="980">
        <f t="shared" si="60"/>
        <v>92683.181429179182</v>
      </c>
      <c r="L49" s="980">
        <f t="shared" si="60"/>
        <v>248183.11471808498</v>
      </c>
      <c r="M49" s="980">
        <f t="shared" si="60"/>
        <v>246604.49636990883</v>
      </c>
      <c r="N49" s="980">
        <f t="shared" si="60"/>
        <v>244613.11471808498</v>
      </c>
      <c r="O49" s="980">
        <f t="shared" si="60"/>
        <v>253458.89636990882</v>
      </c>
      <c r="P49" s="980">
        <f t="shared" si="60"/>
        <v>1962654.7670112445</v>
      </c>
    </row>
    <row r="50" spans="1:17">
      <c r="A50" s="984"/>
      <c r="B50" s="987" t="s">
        <v>666</v>
      </c>
      <c r="C50" s="986">
        <f>-C37-C49</f>
        <v>0</v>
      </c>
      <c r="D50" s="986">
        <f t="shared" ref="D50:P50" si="61">-D37-D49</f>
        <v>62984.711095364823</v>
      </c>
      <c r="E50" s="986">
        <f t="shared" si="61"/>
        <v>-263475.48805417912</v>
      </c>
      <c r="F50" s="986">
        <f t="shared" si="61"/>
        <v>-266773.89890463511</v>
      </c>
      <c r="G50" s="986">
        <f t="shared" si="61"/>
        <v>-49602.322179179064</v>
      </c>
      <c r="H50" s="986">
        <f t="shared" si="61"/>
        <v>18506.801095364874</v>
      </c>
      <c r="I50" s="986">
        <f t="shared" si="61"/>
        <v>60419.811945820911</v>
      </c>
      <c r="J50" s="986">
        <f t="shared" si="61"/>
        <v>80045.912470364899</v>
      </c>
      <c r="K50" s="986">
        <f t="shared" si="61"/>
        <v>-82481.163054179182</v>
      </c>
      <c r="L50" s="986">
        <f t="shared" si="61"/>
        <v>-238423.88284308498</v>
      </c>
      <c r="M50" s="986">
        <f t="shared" si="61"/>
        <v>-266920.89786990883</v>
      </c>
      <c r="N50" s="986">
        <f t="shared" si="61"/>
        <v>-254617.99934308499</v>
      </c>
      <c r="O50" s="986">
        <f t="shared" si="61"/>
        <v>450993.74963009113</v>
      </c>
      <c r="P50" s="986">
        <f t="shared" si="61"/>
        <v>-749344.66601124452</v>
      </c>
    </row>
    <row r="52" spans="1:17">
      <c r="A52" s="984"/>
      <c r="B52" s="987" t="s">
        <v>667</v>
      </c>
      <c r="C52" s="986">
        <v>0</v>
      </c>
      <c r="D52" s="986">
        <f t="shared" ref="D52:P52" si="62">+D50+D19</f>
        <v>315783.21454166679</v>
      </c>
      <c r="E52" s="986">
        <f t="shared" si="62"/>
        <v>-8674.5809583331284</v>
      </c>
      <c r="F52" s="986">
        <f t="shared" si="62"/>
        <v>-56862.395458333107</v>
      </c>
      <c r="G52" s="986">
        <f t="shared" si="62"/>
        <v>204400.58491666694</v>
      </c>
      <c r="H52" s="986">
        <f t="shared" si="62"/>
        <v>260868.30454166688</v>
      </c>
      <c r="I52" s="986">
        <f t="shared" si="62"/>
        <v>285170.71904166689</v>
      </c>
      <c r="J52" s="986">
        <f t="shared" si="62"/>
        <v>332844.41591666691</v>
      </c>
      <c r="K52" s="986">
        <f t="shared" si="62"/>
        <v>-192453.53231670568</v>
      </c>
      <c r="L52" s="986">
        <f t="shared" si="62"/>
        <v>-15733.476781050791</v>
      </c>
      <c r="M52" s="986">
        <f t="shared" si="62"/>
        <v>-20142.59613646887</v>
      </c>
      <c r="N52" s="986">
        <f t="shared" si="62"/>
        <v>-6761.8066415599606</v>
      </c>
      <c r="O52" s="986">
        <f t="shared" si="62"/>
        <v>-39095.89888631989</v>
      </c>
      <c r="P52" s="986">
        <f t="shared" si="62"/>
        <v>1059342.9517795625</v>
      </c>
    </row>
    <row r="53" spans="1:17">
      <c r="P53" s="969">
        <v>0</v>
      </c>
    </row>
    <row r="54" spans="1:17">
      <c r="A54" s="984"/>
      <c r="B54" s="987" t="s">
        <v>668</v>
      </c>
      <c r="C54" s="988">
        <v>0</v>
      </c>
      <c r="D54" s="986">
        <f>+D52+C52</f>
        <v>315783.21454166679</v>
      </c>
      <c r="E54" s="986">
        <f>+E52+D54</f>
        <v>307108.63358333369</v>
      </c>
      <c r="F54" s="986">
        <f t="shared" ref="F54:P54" si="63">+F52+E54</f>
        <v>250246.23812500059</v>
      </c>
      <c r="G54" s="986">
        <f t="shared" si="63"/>
        <v>454646.82304166752</v>
      </c>
      <c r="H54" s="986">
        <f t="shared" si="63"/>
        <v>715515.12758333446</v>
      </c>
      <c r="I54" s="986">
        <f t="shared" si="63"/>
        <v>1000685.8466250014</v>
      </c>
      <c r="J54" s="986">
        <f t="shared" si="63"/>
        <v>1333530.2625416683</v>
      </c>
      <c r="K54" s="986">
        <f t="shared" si="63"/>
        <v>1141076.7302249626</v>
      </c>
      <c r="L54" s="986">
        <f t="shared" si="63"/>
        <v>1125343.2534439117</v>
      </c>
      <c r="M54" s="986">
        <f t="shared" si="63"/>
        <v>1105200.6573074427</v>
      </c>
      <c r="N54" s="986">
        <f t="shared" si="63"/>
        <v>1098438.8506658827</v>
      </c>
      <c r="O54" s="986">
        <f t="shared" si="63"/>
        <v>1059342.9517795627</v>
      </c>
      <c r="P54" s="986">
        <f t="shared" si="63"/>
        <v>2118685.903559125</v>
      </c>
    </row>
    <row r="55" spans="1:17" ht="3.75" customHeight="1">
      <c r="H55" s="970"/>
      <c r="I55" s="970"/>
      <c r="J55" s="970"/>
      <c r="K55" s="970"/>
      <c r="L55" s="970"/>
      <c r="M55" s="970"/>
      <c r="N55" s="970"/>
      <c r="O55" s="970"/>
    </row>
    <row r="56" spans="1:17" s="989" customFormat="1">
      <c r="B56" s="990" t="s">
        <v>903</v>
      </c>
      <c r="C56" s="991" t="str">
        <f t="shared" ref="C56:P56" si="64">+C2</f>
        <v>AN</v>
      </c>
      <c r="D56" s="991" t="str">
        <f t="shared" si="64"/>
        <v>Mois 1</v>
      </c>
      <c r="E56" s="991" t="str">
        <f t="shared" si="64"/>
        <v>Mois 2</v>
      </c>
      <c r="F56" s="991" t="str">
        <f t="shared" si="64"/>
        <v>Mois 3</v>
      </c>
      <c r="G56" s="991" t="str">
        <f t="shared" si="64"/>
        <v>Mois 4</v>
      </c>
      <c r="H56" s="991" t="str">
        <f t="shared" si="64"/>
        <v>Mois 5</v>
      </c>
      <c r="I56" s="991" t="str">
        <f t="shared" si="64"/>
        <v>Mois 6</v>
      </c>
      <c r="J56" s="991" t="str">
        <f t="shared" si="64"/>
        <v>Mois 7</v>
      </c>
      <c r="K56" s="991" t="str">
        <f t="shared" si="64"/>
        <v>Mois 8</v>
      </c>
      <c r="L56" s="991" t="str">
        <f t="shared" si="64"/>
        <v>Mois 9</v>
      </c>
      <c r="M56" s="991" t="str">
        <f t="shared" si="64"/>
        <v>Mois 10</v>
      </c>
      <c r="N56" s="991" t="str">
        <f t="shared" si="64"/>
        <v>Mois 11</v>
      </c>
      <c r="O56" s="991" t="str">
        <f t="shared" si="64"/>
        <v>Mois 12</v>
      </c>
      <c r="P56" s="991" t="str">
        <f t="shared" si="64"/>
        <v>Total</v>
      </c>
    </row>
    <row r="57" spans="1:17" s="989" customFormat="1">
      <c r="B57" s="992" t="s">
        <v>669</v>
      </c>
      <c r="C57" s="993"/>
      <c r="D57" s="994">
        <f>+C62</f>
        <v>0</v>
      </c>
      <c r="E57" s="994">
        <f t="shared" ref="E57:O57" si="65">D62</f>
        <v>66666.666666666657</v>
      </c>
      <c r="F57" s="994">
        <f t="shared" si="65"/>
        <v>133333.33333333331</v>
      </c>
      <c r="G57" s="994">
        <f t="shared" si="65"/>
        <v>199999.99999999997</v>
      </c>
      <c r="H57" s="994">
        <f t="shared" si="65"/>
        <v>266666.66666666663</v>
      </c>
      <c r="I57" s="994">
        <f t="shared" si="65"/>
        <v>333333.33333333326</v>
      </c>
      <c r="J57" s="994">
        <f t="shared" si="65"/>
        <v>399999.99999999988</v>
      </c>
      <c r="K57" s="994">
        <f t="shared" si="65"/>
        <v>466666.66666666651</v>
      </c>
      <c r="L57" s="994">
        <f t="shared" si="65"/>
        <v>531602.47151251941</v>
      </c>
      <c r="M57" s="994">
        <f t="shared" si="65"/>
        <v>594778.56684054504</v>
      </c>
      <c r="N57" s="994">
        <f t="shared" si="65"/>
        <v>656165.62415877951</v>
      </c>
      <c r="O57" s="994">
        <f t="shared" si="65"/>
        <v>715733.82616705971</v>
      </c>
      <c r="P57" s="994">
        <f>+D57</f>
        <v>0</v>
      </c>
    </row>
    <row r="58" spans="1:17" s="989" customFormat="1">
      <c r="B58" s="995" t="s">
        <v>874</v>
      </c>
      <c r="C58" s="996"/>
      <c r="D58" s="997">
        <v>0</v>
      </c>
      <c r="E58" s="997">
        <v>0</v>
      </c>
      <c r="F58" s="997"/>
      <c r="G58" s="997"/>
      <c r="H58" s="997"/>
      <c r="I58" s="997"/>
      <c r="J58" s="997"/>
      <c r="K58" s="997"/>
      <c r="L58" s="997"/>
      <c r="M58" s="997"/>
      <c r="N58" s="997"/>
      <c r="O58" s="997"/>
      <c r="P58" s="997">
        <f>SUM(D58:O58)</f>
        <v>0</v>
      </c>
      <c r="Q58" s="998"/>
    </row>
    <row r="59" spans="1:17" s="989" customFormat="1">
      <c r="B59" s="995" t="s">
        <v>904</v>
      </c>
      <c r="C59" s="996"/>
      <c r="D59" s="997"/>
      <c r="E59" s="997"/>
      <c r="F59" s="997"/>
      <c r="G59" s="997"/>
      <c r="H59" s="997"/>
      <c r="I59" s="997"/>
      <c r="J59" s="997"/>
      <c r="K59" s="997"/>
      <c r="L59" s="997"/>
      <c r="M59" s="997"/>
      <c r="N59" s="997"/>
      <c r="O59" s="997"/>
      <c r="P59" s="997"/>
      <c r="Q59" s="998"/>
    </row>
    <row r="60" spans="1:17" s="989" customFormat="1">
      <c r="B60" s="999" t="s">
        <v>1104</v>
      </c>
      <c r="C60" s="996"/>
      <c r="D60" s="997">
        <f>+'Détails FF FD'!C3/1000</f>
        <v>66666.666666666657</v>
      </c>
      <c r="E60" s="997">
        <f>+'Détails FF FD'!D3/1000</f>
        <v>66666.666666666657</v>
      </c>
      <c r="F60" s="997">
        <f>+'Détails FF FD'!E3/1000</f>
        <v>66666.666666666657</v>
      </c>
      <c r="G60" s="997">
        <f>+'Détails FF FD'!F3/1000</f>
        <v>66666.666666666657</v>
      </c>
      <c r="H60" s="997">
        <f>+'Détails FF FD'!G3/1000</f>
        <v>66666.666666666657</v>
      </c>
      <c r="I60" s="997">
        <f>+'Détails FF FD'!H3/1000</f>
        <v>66666.666666666657</v>
      </c>
      <c r="J60" s="997">
        <f>+'Détails FF FD'!I3/1000</f>
        <v>66666.666666666657</v>
      </c>
      <c r="K60" s="997">
        <f>+'Détails FF FD'!J3/1000</f>
        <v>64935.804845852901</v>
      </c>
      <c r="L60" s="997">
        <f>+'Détails FF FD'!K3/1000</f>
        <v>63176.095328025585</v>
      </c>
      <c r="M60" s="997">
        <f>+'Détails FF FD'!L3/1000</f>
        <v>61387.057318234474</v>
      </c>
      <c r="N60" s="997">
        <f>+'Détails FF FD'!M3/1000</f>
        <v>59568.202008280183</v>
      </c>
      <c r="O60" s="997">
        <f>+'Détails FF FD'!N3/1000</f>
        <v>57719.03244315998</v>
      </c>
      <c r="P60" s="997">
        <f>SUM(D60:O60)</f>
        <v>773452.85861021967</v>
      </c>
      <c r="Q60" s="998"/>
    </row>
    <row r="61" spans="1:17" s="989" customFormat="1">
      <c r="B61" s="999" t="s">
        <v>1105</v>
      </c>
      <c r="C61" s="996"/>
      <c r="D61" s="997">
        <f>+'Détails FF FD'!C10/1000</f>
        <v>0</v>
      </c>
      <c r="E61" s="997">
        <f>+'Détails FF FD'!D10/1000</f>
        <v>0</v>
      </c>
      <c r="F61" s="997">
        <f>+'Détails FF FD'!E10/1000</f>
        <v>0</v>
      </c>
      <c r="G61" s="997">
        <f>+'Détails FF FD'!F10/1000</f>
        <v>0</v>
      </c>
      <c r="H61" s="997">
        <f>+'Détails FF FD'!G10/1000</f>
        <v>0</v>
      </c>
      <c r="I61" s="997">
        <f>+'Détails FF FD'!H10/1000</f>
        <v>0</v>
      </c>
      <c r="J61" s="997"/>
      <c r="K61" s="997"/>
      <c r="L61" s="997"/>
      <c r="M61" s="997"/>
      <c r="N61" s="997"/>
      <c r="O61" s="997"/>
      <c r="P61" s="997">
        <f>SUM(D61:O61)</f>
        <v>0</v>
      </c>
    </row>
    <row r="62" spans="1:17" s="989" customFormat="1">
      <c r="B62" s="1000" t="s">
        <v>673</v>
      </c>
      <c r="C62" s="1001">
        <v>0</v>
      </c>
      <c r="D62" s="1002">
        <f>+SUM(D57:D61)</f>
        <v>66666.666666666657</v>
      </c>
      <c r="E62" s="1002">
        <f t="shared" ref="E62:O62" si="66">+SUM(E57:E61)</f>
        <v>133333.33333333331</v>
      </c>
      <c r="F62" s="1002">
        <f t="shared" si="66"/>
        <v>199999.99999999997</v>
      </c>
      <c r="G62" s="1002">
        <f t="shared" si="66"/>
        <v>266666.66666666663</v>
      </c>
      <c r="H62" s="1002">
        <f t="shared" si="66"/>
        <v>333333.33333333326</v>
      </c>
      <c r="I62" s="1002">
        <f t="shared" si="66"/>
        <v>399999.99999999988</v>
      </c>
      <c r="J62" s="1002">
        <f t="shared" si="66"/>
        <v>466666.66666666651</v>
      </c>
      <c r="K62" s="1002">
        <f t="shared" si="66"/>
        <v>531602.47151251941</v>
      </c>
      <c r="L62" s="1002">
        <f t="shared" si="66"/>
        <v>594778.56684054504</v>
      </c>
      <c r="M62" s="1002">
        <f t="shared" si="66"/>
        <v>656165.62415877951</v>
      </c>
      <c r="N62" s="1002">
        <f t="shared" si="66"/>
        <v>715733.82616705971</v>
      </c>
      <c r="O62" s="1002">
        <f t="shared" si="66"/>
        <v>773452.85861021967</v>
      </c>
      <c r="P62" s="1002">
        <f>+P57+P58+P61</f>
        <v>0</v>
      </c>
      <c r="Q62" s="998"/>
    </row>
    <row r="63" spans="1:17">
      <c r="B63" s="1003"/>
      <c r="C63" s="1003"/>
      <c r="D63" s="970"/>
      <c r="E63" s="970"/>
      <c r="F63" s="970"/>
      <c r="G63" s="970"/>
      <c r="H63" s="970"/>
      <c r="I63" s="970"/>
      <c r="J63" s="970"/>
      <c r="K63" s="970"/>
      <c r="L63" s="970"/>
      <c r="M63" s="970"/>
      <c r="N63" s="970"/>
      <c r="O63" s="970"/>
      <c r="P63" s="970"/>
    </row>
    <row r="64" spans="1:17">
      <c r="B64" s="1004" t="s">
        <v>523</v>
      </c>
      <c r="C64" s="1005" t="str">
        <f t="shared" ref="C64:P64" si="67">+C2</f>
        <v>AN</v>
      </c>
      <c r="D64" s="1005" t="str">
        <f t="shared" si="67"/>
        <v>Mois 1</v>
      </c>
      <c r="E64" s="1005" t="str">
        <f t="shared" si="67"/>
        <v>Mois 2</v>
      </c>
      <c r="F64" s="1005" t="str">
        <f t="shared" si="67"/>
        <v>Mois 3</v>
      </c>
      <c r="G64" s="1005" t="str">
        <f t="shared" si="67"/>
        <v>Mois 4</v>
      </c>
      <c r="H64" s="1005" t="str">
        <f t="shared" si="67"/>
        <v>Mois 5</v>
      </c>
      <c r="I64" s="1005" t="str">
        <f t="shared" si="67"/>
        <v>Mois 6</v>
      </c>
      <c r="J64" s="1005" t="str">
        <f t="shared" si="67"/>
        <v>Mois 7</v>
      </c>
      <c r="K64" s="1005" t="str">
        <f t="shared" si="67"/>
        <v>Mois 8</v>
      </c>
      <c r="L64" s="1005" t="str">
        <f t="shared" si="67"/>
        <v>Mois 9</v>
      </c>
      <c r="M64" s="1005" t="str">
        <f t="shared" si="67"/>
        <v>Mois 10</v>
      </c>
      <c r="N64" s="1005" t="str">
        <f t="shared" si="67"/>
        <v>Mois 11</v>
      </c>
      <c r="O64" s="1005" t="str">
        <f t="shared" si="67"/>
        <v>Mois 12</v>
      </c>
      <c r="P64" s="1005" t="str">
        <f t="shared" si="67"/>
        <v>Total</v>
      </c>
    </row>
    <row r="65" spans="2:17">
      <c r="B65" s="1006" t="s">
        <v>669</v>
      </c>
      <c r="C65" s="1007"/>
      <c r="D65" s="1008">
        <f>C69</f>
        <v>0</v>
      </c>
      <c r="E65" s="1008">
        <f t="shared" ref="E65:O65" si="68">D69</f>
        <v>0</v>
      </c>
      <c r="F65" s="1008">
        <f t="shared" si="68"/>
        <v>0</v>
      </c>
      <c r="G65" s="1008">
        <f t="shared" si="68"/>
        <v>0</v>
      </c>
      <c r="H65" s="1008">
        <f t="shared" si="68"/>
        <v>0</v>
      </c>
      <c r="I65" s="1008">
        <f t="shared" si="68"/>
        <v>0</v>
      </c>
      <c r="J65" s="1008">
        <f t="shared" si="68"/>
        <v>0</v>
      </c>
      <c r="K65" s="1008">
        <f t="shared" si="68"/>
        <v>0</v>
      </c>
      <c r="L65" s="1008">
        <f t="shared" si="68"/>
        <v>0</v>
      </c>
      <c r="M65" s="1008">
        <f t="shared" si="68"/>
        <v>0</v>
      </c>
      <c r="N65" s="1008">
        <f t="shared" si="68"/>
        <v>0</v>
      </c>
      <c r="O65" s="1008">
        <f t="shared" si="68"/>
        <v>0</v>
      </c>
      <c r="P65" s="1008">
        <f>+D65</f>
        <v>0</v>
      </c>
    </row>
    <row r="66" spans="2:17">
      <c r="B66" s="1009" t="s">
        <v>670</v>
      </c>
      <c r="C66" s="1010"/>
      <c r="D66" s="1011">
        <f>-Achat!D35/1000</f>
        <v>-283206.91700000002</v>
      </c>
      <c r="E66" s="1011">
        <f>-Achat!E35/1000</f>
        <v>-284071.576</v>
      </c>
      <c r="F66" s="1011">
        <f>-Achat!F35/1000</f>
        <v>-283206.91700000002</v>
      </c>
      <c r="G66" s="1011">
        <f>-Achat!G35/1000</f>
        <v>-284071.576</v>
      </c>
      <c r="H66" s="1011">
        <f>-Achat!H35/1000</f>
        <v>-283206.91700000002</v>
      </c>
      <c r="I66" s="1011">
        <f>-Achat!I35/1000</f>
        <v>-296671.576</v>
      </c>
      <c r="J66" s="1011">
        <f>-Achat!J35/1000</f>
        <v>-283206.91700000002</v>
      </c>
      <c r="K66" s="1011">
        <f>-Achat!K35/1000</f>
        <v>-284071.576</v>
      </c>
      <c r="L66" s="1011">
        <f>-Achat!L35/1000</f>
        <v>-294847.13050000003</v>
      </c>
      <c r="M66" s="1011">
        <f>-Achat!M35/1000</f>
        <v>-296245.84899999999</v>
      </c>
      <c r="N66" s="1011">
        <f>-Achat!N35/1000</f>
        <v>-294847.13050000003</v>
      </c>
      <c r="O66" s="1011">
        <f>-Achat!O35/1000</f>
        <v>-308845.84899999999</v>
      </c>
      <c r="P66" s="1011">
        <f>SUM(D66:O66)</f>
        <v>-3476499.9309999994</v>
      </c>
      <c r="Q66" s="970"/>
    </row>
    <row r="67" spans="2:17">
      <c r="B67" s="1009" t="s">
        <v>671</v>
      </c>
      <c r="C67" s="1010"/>
      <c r="D67" s="1011"/>
      <c r="E67" s="1011"/>
      <c r="F67" s="1011"/>
      <c r="G67" s="1011"/>
      <c r="H67" s="1011"/>
      <c r="I67" s="1011"/>
      <c r="J67" s="1011"/>
      <c r="K67" s="1011"/>
      <c r="L67" s="1011"/>
      <c r="M67" s="1011"/>
      <c r="N67" s="1011"/>
      <c r="O67" s="1011"/>
      <c r="P67" s="1011">
        <f>SUM(D67:O67)</f>
        <v>0</v>
      </c>
    </row>
    <row r="68" spans="2:17">
      <c r="B68" s="1012" t="s">
        <v>672</v>
      </c>
      <c r="C68" s="1013"/>
      <c r="D68" s="1011">
        <f>-D66</f>
        <v>283206.91700000002</v>
      </c>
      <c r="E68" s="1011">
        <f t="shared" ref="E68:O68" si="69">-E66</f>
        <v>284071.576</v>
      </c>
      <c r="F68" s="1011">
        <f t="shared" si="69"/>
        <v>283206.91700000002</v>
      </c>
      <c r="G68" s="1011">
        <f t="shared" si="69"/>
        <v>284071.576</v>
      </c>
      <c r="H68" s="1011">
        <f t="shared" si="69"/>
        <v>283206.91700000002</v>
      </c>
      <c r="I68" s="1011">
        <f t="shared" si="69"/>
        <v>296671.576</v>
      </c>
      <c r="J68" s="1011">
        <f t="shared" si="69"/>
        <v>283206.91700000002</v>
      </c>
      <c r="K68" s="1011">
        <f t="shared" si="69"/>
        <v>284071.576</v>
      </c>
      <c r="L68" s="1011">
        <f t="shared" si="69"/>
        <v>294847.13050000003</v>
      </c>
      <c r="M68" s="1011">
        <f t="shared" si="69"/>
        <v>296245.84899999999</v>
      </c>
      <c r="N68" s="1011">
        <f t="shared" si="69"/>
        <v>294847.13050000003</v>
      </c>
      <c r="O68" s="1011">
        <f t="shared" si="69"/>
        <v>308845.84899999999</v>
      </c>
      <c r="P68" s="1014">
        <f>SUM(D68:O68)</f>
        <v>3476499.9309999994</v>
      </c>
      <c r="Q68" s="970"/>
    </row>
    <row r="69" spans="2:17">
      <c r="B69" s="1015" t="s">
        <v>673</v>
      </c>
      <c r="C69" s="1016">
        <f>+C22</f>
        <v>0</v>
      </c>
      <c r="D69" s="1017">
        <f>+D65+D66+D67+D68</f>
        <v>0</v>
      </c>
      <c r="E69" s="1017">
        <f t="shared" ref="E69:P69" si="70">+E65+E66+E67+E68</f>
        <v>0</v>
      </c>
      <c r="F69" s="1017">
        <f t="shared" si="70"/>
        <v>0</v>
      </c>
      <c r="G69" s="1017">
        <f t="shared" si="70"/>
        <v>0</v>
      </c>
      <c r="H69" s="1017">
        <f t="shared" si="70"/>
        <v>0</v>
      </c>
      <c r="I69" s="1017">
        <f t="shared" si="70"/>
        <v>0</v>
      </c>
      <c r="J69" s="1017">
        <f t="shared" si="70"/>
        <v>0</v>
      </c>
      <c r="K69" s="1017">
        <f t="shared" si="70"/>
        <v>0</v>
      </c>
      <c r="L69" s="1017">
        <f t="shared" si="70"/>
        <v>0</v>
      </c>
      <c r="M69" s="1017">
        <f t="shared" si="70"/>
        <v>0</v>
      </c>
      <c r="N69" s="1017">
        <f t="shared" si="70"/>
        <v>0</v>
      </c>
      <c r="O69" s="1017">
        <f t="shared" si="70"/>
        <v>0</v>
      </c>
      <c r="P69" s="1017">
        <f t="shared" si="70"/>
        <v>0</v>
      </c>
      <c r="Q69" s="970"/>
    </row>
    <row r="70" spans="2:17">
      <c r="C70" s="978"/>
      <c r="D70" s="970"/>
      <c r="E70" s="970"/>
      <c r="F70" s="970"/>
      <c r="G70" s="970"/>
      <c r="H70" s="970"/>
      <c r="I70" s="970"/>
      <c r="J70" s="970"/>
      <c r="K70" s="970"/>
      <c r="L70" s="970"/>
      <c r="M70" s="970"/>
      <c r="N70" s="970"/>
      <c r="O70" s="970"/>
    </row>
    <row r="71" spans="2:17">
      <c r="B71" s="1018" t="s">
        <v>642</v>
      </c>
      <c r="C71" s="1019" t="str">
        <f>+C64</f>
        <v>AN</v>
      </c>
      <c r="D71" s="1019" t="str">
        <f>+D64</f>
        <v>Mois 1</v>
      </c>
      <c r="E71" s="1019" t="str">
        <f t="shared" ref="E71:P71" si="71">+E64</f>
        <v>Mois 2</v>
      </c>
      <c r="F71" s="1019" t="str">
        <f t="shared" si="71"/>
        <v>Mois 3</v>
      </c>
      <c r="G71" s="1019" t="str">
        <f t="shared" si="71"/>
        <v>Mois 4</v>
      </c>
      <c r="H71" s="1019" t="str">
        <f t="shared" si="71"/>
        <v>Mois 5</v>
      </c>
      <c r="I71" s="1019" t="str">
        <f t="shared" si="71"/>
        <v>Mois 6</v>
      </c>
      <c r="J71" s="1019" t="str">
        <f t="shared" si="71"/>
        <v>Mois 7</v>
      </c>
      <c r="K71" s="1019" t="str">
        <f t="shared" si="71"/>
        <v>Mois 8</v>
      </c>
      <c r="L71" s="1019" t="str">
        <f t="shared" si="71"/>
        <v>Mois 9</v>
      </c>
      <c r="M71" s="1019" t="str">
        <f t="shared" si="71"/>
        <v>Mois 10</v>
      </c>
      <c r="N71" s="1019" t="str">
        <f t="shared" si="71"/>
        <v>Mois 11</v>
      </c>
      <c r="O71" s="1019" t="str">
        <f t="shared" si="71"/>
        <v>Mois 12</v>
      </c>
      <c r="P71" s="1019" t="str">
        <f t="shared" si="71"/>
        <v>Total</v>
      </c>
    </row>
    <row r="72" spans="2:17">
      <c r="B72" s="1020" t="s">
        <v>669</v>
      </c>
      <c r="C72" s="1007"/>
      <c r="D72" s="1008">
        <f>+C76</f>
        <v>0</v>
      </c>
      <c r="E72" s="1008">
        <f t="shared" ref="E72:O72" si="72">+D76</f>
        <v>0</v>
      </c>
      <c r="F72" s="1008">
        <f t="shared" si="72"/>
        <v>0</v>
      </c>
      <c r="G72" s="1008">
        <f t="shared" si="72"/>
        <v>0</v>
      </c>
      <c r="H72" s="1008">
        <f t="shared" si="72"/>
        <v>0</v>
      </c>
      <c r="I72" s="1008">
        <f t="shared" si="72"/>
        <v>0</v>
      </c>
      <c r="J72" s="1008">
        <f t="shared" si="72"/>
        <v>0</v>
      </c>
      <c r="K72" s="1008">
        <f t="shared" si="72"/>
        <v>0</v>
      </c>
      <c r="L72" s="1008">
        <f t="shared" si="72"/>
        <v>0</v>
      </c>
      <c r="M72" s="1008">
        <f t="shared" si="72"/>
        <v>0</v>
      </c>
      <c r="N72" s="1008">
        <f t="shared" si="72"/>
        <v>0</v>
      </c>
      <c r="O72" s="1008">
        <f t="shared" si="72"/>
        <v>0</v>
      </c>
      <c r="P72" s="1008">
        <f>+D72</f>
        <v>0</v>
      </c>
    </row>
    <row r="73" spans="2:17">
      <c r="B73" s="1021" t="s">
        <v>670</v>
      </c>
      <c r="C73" s="1010"/>
      <c r="D73" s="1011">
        <f>-'Invest FD'!C10/1000</f>
        <v>0</v>
      </c>
      <c r="E73" s="1011">
        <v>0</v>
      </c>
      <c r="F73" s="1011">
        <f>-'Invest FD'!E10/1000</f>
        <v>0</v>
      </c>
      <c r="G73" s="1011">
        <f>-'Invest FD'!F10/1000</f>
        <v>0</v>
      </c>
      <c r="H73" s="1011">
        <f>-'Invest FD'!G10/1000</f>
        <v>0</v>
      </c>
      <c r="I73" s="1011">
        <f>-'Invest FD'!H10/1000</f>
        <v>0</v>
      </c>
      <c r="J73" s="1011">
        <v>0</v>
      </c>
      <c r="K73" s="1011">
        <f>-'Invest FD'!D10/1000</f>
        <v>-367500</v>
      </c>
      <c r="L73" s="1011">
        <f>-'Invest FD'!K10/1000</f>
        <v>0</v>
      </c>
      <c r="M73" s="1011">
        <f>-'Invest FD'!L10/1000</f>
        <v>0</v>
      </c>
      <c r="N73" s="1011">
        <f>-'Invest FD'!M10/1000</f>
        <v>0</v>
      </c>
      <c r="O73" s="1011">
        <f>-'Invest FD'!N10/1000</f>
        <v>0</v>
      </c>
      <c r="P73" s="1011">
        <f>SUM(D73:O73)</f>
        <v>-367500</v>
      </c>
    </row>
    <row r="74" spans="2:17">
      <c r="B74" s="1021" t="s">
        <v>671</v>
      </c>
      <c r="C74" s="1010"/>
      <c r="D74" s="1011">
        <f>-D73</f>
        <v>0</v>
      </c>
      <c r="E74" s="1011">
        <f t="shared" ref="E74:O74" si="73">-E73</f>
        <v>0</v>
      </c>
      <c r="F74" s="1011">
        <f t="shared" ref="F74:L74" si="74">-F73</f>
        <v>0</v>
      </c>
      <c r="G74" s="1011">
        <f t="shared" si="74"/>
        <v>0</v>
      </c>
      <c r="H74" s="1011">
        <f t="shared" si="74"/>
        <v>0</v>
      </c>
      <c r="I74" s="1011">
        <f t="shared" si="74"/>
        <v>0</v>
      </c>
      <c r="J74" s="1011">
        <v>0</v>
      </c>
      <c r="K74" s="1011">
        <f t="shared" si="74"/>
        <v>367500</v>
      </c>
      <c r="L74" s="1011">
        <f t="shared" si="74"/>
        <v>0</v>
      </c>
      <c r="M74" s="1011">
        <f t="shared" si="73"/>
        <v>0</v>
      </c>
      <c r="N74" s="1011">
        <f t="shared" si="73"/>
        <v>0</v>
      </c>
      <c r="O74" s="1011">
        <f t="shared" si="73"/>
        <v>0</v>
      </c>
      <c r="P74" s="1011">
        <f>SUM(D74:O74)</f>
        <v>367500</v>
      </c>
    </row>
    <row r="75" spans="2:17">
      <c r="B75" s="1022" t="s">
        <v>672</v>
      </c>
      <c r="C75" s="1013"/>
      <c r="D75" s="1014">
        <v>0</v>
      </c>
      <c r="E75" s="1014">
        <f>-E72</f>
        <v>0</v>
      </c>
      <c r="F75" s="1023"/>
      <c r="G75" s="1014"/>
      <c r="H75" s="1014"/>
      <c r="I75" s="1014"/>
      <c r="J75" s="1014">
        <v>0</v>
      </c>
      <c r="K75" s="1014">
        <v>0</v>
      </c>
      <c r="L75" s="1014">
        <v>0</v>
      </c>
      <c r="M75" s="1014">
        <v>0</v>
      </c>
      <c r="N75" s="1014">
        <v>0</v>
      </c>
      <c r="O75" s="1014">
        <v>0</v>
      </c>
      <c r="P75" s="1014">
        <f>SUM(D75:O75)</f>
        <v>0</v>
      </c>
    </row>
    <row r="76" spans="2:17">
      <c r="B76" s="1012" t="s">
        <v>673</v>
      </c>
      <c r="C76" s="1013">
        <f>+C23</f>
        <v>0</v>
      </c>
      <c r="D76" s="1014">
        <f t="shared" ref="D76:P76" si="75">+D72+D73+D74+D75</f>
        <v>0</v>
      </c>
      <c r="E76" s="1014">
        <f t="shared" si="75"/>
        <v>0</v>
      </c>
      <c r="F76" s="1023">
        <f t="shared" si="75"/>
        <v>0</v>
      </c>
      <c r="G76" s="1014">
        <f t="shared" si="75"/>
        <v>0</v>
      </c>
      <c r="H76" s="1014">
        <f t="shared" si="75"/>
        <v>0</v>
      </c>
      <c r="I76" s="1014">
        <f t="shared" si="75"/>
        <v>0</v>
      </c>
      <c r="J76" s="1014">
        <f t="shared" si="75"/>
        <v>0</v>
      </c>
      <c r="K76" s="1014">
        <f t="shared" si="75"/>
        <v>0</v>
      </c>
      <c r="L76" s="1014">
        <f t="shared" si="75"/>
        <v>0</v>
      </c>
      <c r="M76" s="1014">
        <f t="shared" si="75"/>
        <v>0</v>
      </c>
      <c r="N76" s="1014">
        <f t="shared" si="75"/>
        <v>0</v>
      </c>
      <c r="O76" s="1014">
        <f t="shared" si="75"/>
        <v>0</v>
      </c>
      <c r="P76" s="1014">
        <f t="shared" si="75"/>
        <v>0</v>
      </c>
    </row>
    <row r="77" spans="2:17">
      <c r="C77" s="978"/>
    </row>
    <row r="78" spans="2:17">
      <c r="B78" s="1004" t="s">
        <v>674</v>
      </c>
      <c r="C78" s="1005" t="str">
        <f>+C71</f>
        <v>AN</v>
      </c>
      <c r="D78" s="1005" t="str">
        <f t="shared" ref="D78:P78" si="76">+D71</f>
        <v>Mois 1</v>
      </c>
      <c r="E78" s="1005" t="str">
        <f t="shared" si="76"/>
        <v>Mois 2</v>
      </c>
      <c r="F78" s="1005" t="str">
        <f t="shared" si="76"/>
        <v>Mois 3</v>
      </c>
      <c r="G78" s="1005" t="str">
        <f t="shared" si="76"/>
        <v>Mois 4</v>
      </c>
      <c r="H78" s="1005" t="str">
        <f t="shared" si="76"/>
        <v>Mois 5</v>
      </c>
      <c r="I78" s="1005" t="str">
        <f t="shared" si="76"/>
        <v>Mois 6</v>
      </c>
      <c r="J78" s="1005" t="str">
        <f t="shared" si="76"/>
        <v>Mois 7</v>
      </c>
      <c r="K78" s="1005" t="str">
        <f t="shared" si="76"/>
        <v>Mois 8</v>
      </c>
      <c r="L78" s="1005" t="str">
        <f t="shared" si="76"/>
        <v>Mois 9</v>
      </c>
      <c r="M78" s="1005" t="str">
        <f t="shared" si="76"/>
        <v>Mois 10</v>
      </c>
      <c r="N78" s="1005" t="str">
        <f t="shared" si="76"/>
        <v>Mois 11</v>
      </c>
      <c r="O78" s="1005" t="str">
        <f t="shared" si="76"/>
        <v>Mois 12</v>
      </c>
      <c r="P78" s="1005" t="str">
        <f t="shared" si="76"/>
        <v>Total</v>
      </c>
    </row>
    <row r="79" spans="2:17">
      <c r="B79" s="1006" t="s">
        <v>669</v>
      </c>
      <c r="C79" s="1007"/>
      <c r="D79" s="1007">
        <f>+C83</f>
        <v>0</v>
      </c>
      <c r="E79" s="1007">
        <f t="shared" ref="E79:O79" si="77">+D83</f>
        <v>0</v>
      </c>
      <c r="F79" s="1007">
        <f t="shared" si="77"/>
        <v>0</v>
      </c>
      <c r="G79" s="1007">
        <f t="shared" si="77"/>
        <v>0</v>
      </c>
      <c r="H79" s="1007">
        <f t="shared" si="77"/>
        <v>0</v>
      </c>
      <c r="I79" s="1024">
        <f t="shared" si="77"/>
        <v>0</v>
      </c>
      <c r="J79" s="1024">
        <f t="shared" si="77"/>
        <v>0</v>
      </c>
      <c r="K79" s="1024">
        <f t="shared" si="77"/>
        <v>0</v>
      </c>
      <c r="L79" s="1024">
        <f t="shared" si="77"/>
        <v>0</v>
      </c>
      <c r="M79" s="1024">
        <f t="shared" si="77"/>
        <v>0</v>
      </c>
      <c r="N79" s="1024">
        <f t="shared" si="77"/>
        <v>0</v>
      </c>
      <c r="O79" s="1024">
        <f t="shared" si="77"/>
        <v>0</v>
      </c>
      <c r="P79" s="1024">
        <f>+D79</f>
        <v>0</v>
      </c>
    </row>
    <row r="80" spans="2:17">
      <c r="B80" s="1009" t="s">
        <v>670</v>
      </c>
      <c r="C80" s="1010"/>
      <c r="D80" s="1025">
        <f>-Prestation!D79/1000</f>
        <v>-580999.54500000004</v>
      </c>
      <c r="E80" s="1025">
        <f>-Prestation!E79/1000</f>
        <v>-581550.48</v>
      </c>
      <c r="F80" s="1025">
        <f>-Prestation!F79/1000</f>
        <v>-602343.94499999995</v>
      </c>
      <c r="G80" s="1025">
        <f>-Prestation!G79/1000</f>
        <v>-582508.07999999996</v>
      </c>
      <c r="H80" s="1025">
        <f>-Prestation!H79/1000</f>
        <v>-593523.94499999995</v>
      </c>
      <c r="I80" s="1025">
        <f>-Prestation!I79/1000</f>
        <v>-602970.48</v>
      </c>
      <c r="J80" s="1025">
        <f>-Prestation!J79/1000</f>
        <v>-580999.54500000004</v>
      </c>
      <c r="K80" s="1025">
        <f>-Prestation!K79/1000</f>
        <v>-582432.48</v>
      </c>
      <c r="L80" s="1025">
        <f>-Prestation!L79/1000</f>
        <v>-582387.90749999997</v>
      </c>
      <c r="M80" s="1025">
        <f>-Prestation!M79/1000</f>
        <v>-562072.45499999996</v>
      </c>
      <c r="N80" s="1025">
        <f>-Prestation!N79/1000</f>
        <v>-560967.90749999997</v>
      </c>
      <c r="O80" s="1025">
        <f>-Prestation!O79/1000</f>
        <v>-590598.85499999998</v>
      </c>
      <c r="P80" s="1025">
        <f t="shared" ref="P80:P82" si="78">SUM(D80:O80)</f>
        <v>-7003355.625</v>
      </c>
    </row>
    <row r="81" spans="2:17">
      <c r="B81" s="1009" t="s">
        <v>671</v>
      </c>
      <c r="C81" s="1010"/>
      <c r="D81" s="1025"/>
      <c r="E81" s="1025"/>
      <c r="F81" s="1025"/>
      <c r="G81" s="1025"/>
      <c r="H81" s="1025"/>
      <c r="I81" s="1025"/>
      <c r="J81" s="1025"/>
      <c r="K81" s="1025"/>
      <c r="L81" s="1025"/>
      <c r="M81" s="1025"/>
      <c r="N81" s="1025"/>
      <c r="O81" s="1025"/>
      <c r="P81" s="1025">
        <f t="shared" si="78"/>
        <v>0</v>
      </c>
    </row>
    <row r="82" spans="2:17">
      <c r="B82" s="1012" t="s">
        <v>672</v>
      </c>
      <c r="C82" s="1010"/>
      <c r="D82" s="1025">
        <f>-D80</f>
        <v>580999.54500000004</v>
      </c>
      <c r="E82" s="1025">
        <f t="shared" ref="E82:O82" si="79">-E80</f>
        <v>581550.48</v>
      </c>
      <c r="F82" s="1025">
        <f t="shared" si="79"/>
        <v>602343.94499999995</v>
      </c>
      <c r="G82" s="1025">
        <f t="shared" si="79"/>
        <v>582508.07999999996</v>
      </c>
      <c r="H82" s="1025">
        <f t="shared" si="79"/>
        <v>593523.94499999995</v>
      </c>
      <c r="I82" s="1025">
        <f t="shared" si="79"/>
        <v>602970.48</v>
      </c>
      <c r="J82" s="1025">
        <f t="shared" si="79"/>
        <v>580999.54500000004</v>
      </c>
      <c r="K82" s="1025">
        <f t="shared" si="79"/>
        <v>582432.48</v>
      </c>
      <c r="L82" s="1025">
        <f t="shared" si="79"/>
        <v>582387.90749999997</v>
      </c>
      <c r="M82" s="1025">
        <f t="shared" si="79"/>
        <v>562072.45499999996</v>
      </c>
      <c r="N82" s="1025">
        <f t="shared" si="79"/>
        <v>560967.90749999997</v>
      </c>
      <c r="O82" s="1025">
        <f t="shared" si="79"/>
        <v>590598.85499999998</v>
      </c>
      <c r="P82" s="1025">
        <f t="shared" si="78"/>
        <v>7003355.625</v>
      </c>
    </row>
    <row r="83" spans="2:17">
      <c r="B83" s="1015" t="s">
        <v>673</v>
      </c>
      <c r="C83" s="1016">
        <f>+C24</f>
        <v>0</v>
      </c>
      <c r="D83" s="1026">
        <f t="shared" ref="D83:P83" si="80">+D79+D80+D81+D82</f>
        <v>0</v>
      </c>
      <c r="E83" s="1026">
        <f t="shared" si="80"/>
        <v>0</v>
      </c>
      <c r="F83" s="1026">
        <f t="shared" si="80"/>
        <v>0</v>
      </c>
      <c r="G83" s="1026">
        <f t="shared" si="80"/>
        <v>0</v>
      </c>
      <c r="H83" s="1026">
        <f t="shared" si="80"/>
        <v>0</v>
      </c>
      <c r="I83" s="1026">
        <f t="shared" si="80"/>
        <v>0</v>
      </c>
      <c r="J83" s="1026">
        <f t="shared" si="80"/>
        <v>0</v>
      </c>
      <c r="K83" s="1026">
        <f t="shared" si="80"/>
        <v>0</v>
      </c>
      <c r="L83" s="1026">
        <f t="shared" si="80"/>
        <v>0</v>
      </c>
      <c r="M83" s="1026">
        <f t="shared" si="80"/>
        <v>0</v>
      </c>
      <c r="N83" s="1026">
        <f t="shared" si="80"/>
        <v>0</v>
      </c>
      <c r="O83" s="1026">
        <f t="shared" si="80"/>
        <v>0</v>
      </c>
      <c r="P83" s="1026">
        <f t="shared" si="80"/>
        <v>0</v>
      </c>
      <c r="Q83" s="970"/>
    </row>
    <row r="84" spans="2:17" ht="3.75" customHeight="1">
      <c r="C84" s="978"/>
    </row>
    <row r="85" spans="2:17">
      <c r="B85" s="969" t="str">
        <f>+B25</f>
        <v>Avances clients</v>
      </c>
      <c r="C85" s="978"/>
      <c r="P85" s="1011">
        <f>SUM(H85:O85)</f>
        <v>0</v>
      </c>
      <c r="Q85" s="970">
        <f>+C85+Q69</f>
        <v>0</v>
      </c>
    </row>
    <row r="86" spans="2:17" ht="6" customHeight="1">
      <c r="C86" s="978"/>
    </row>
    <row r="87" spans="2:17">
      <c r="B87" s="1004" t="s">
        <v>645</v>
      </c>
      <c r="C87" s="1005" t="str">
        <f t="shared" ref="C87:P87" si="81">+C78</f>
        <v>AN</v>
      </c>
      <c r="D87" s="1005" t="str">
        <f t="shared" si="81"/>
        <v>Mois 1</v>
      </c>
      <c r="E87" s="1005" t="str">
        <f t="shared" si="81"/>
        <v>Mois 2</v>
      </c>
      <c r="F87" s="1005" t="str">
        <f t="shared" si="81"/>
        <v>Mois 3</v>
      </c>
      <c r="G87" s="1005" t="str">
        <f t="shared" si="81"/>
        <v>Mois 4</v>
      </c>
      <c r="H87" s="1005" t="str">
        <f t="shared" si="81"/>
        <v>Mois 5</v>
      </c>
      <c r="I87" s="1005" t="str">
        <f t="shared" si="81"/>
        <v>Mois 6</v>
      </c>
      <c r="J87" s="1005" t="str">
        <f t="shared" si="81"/>
        <v>Mois 7</v>
      </c>
      <c r="K87" s="1005" t="str">
        <f t="shared" si="81"/>
        <v>Mois 8</v>
      </c>
      <c r="L87" s="1005" t="str">
        <f t="shared" si="81"/>
        <v>Mois 9</v>
      </c>
      <c r="M87" s="1005" t="str">
        <f t="shared" si="81"/>
        <v>Mois 10</v>
      </c>
      <c r="N87" s="1005" t="str">
        <f t="shared" si="81"/>
        <v>Mois 11</v>
      </c>
      <c r="O87" s="1005" t="str">
        <f t="shared" si="81"/>
        <v>Mois 12</v>
      </c>
      <c r="P87" s="1005" t="str">
        <f t="shared" si="81"/>
        <v>Total</v>
      </c>
    </row>
    <row r="88" spans="2:17">
      <c r="B88" s="1006" t="s">
        <v>669</v>
      </c>
      <c r="C88" s="1007"/>
      <c r="D88" s="1025">
        <f>+C91</f>
        <v>0</v>
      </c>
      <c r="E88" s="1025">
        <f t="shared" ref="E88:O88" si="82">+D91</f>
        <v>0</v>
      </c>
      <c r="F88" s="1025">
        <f t="shared" si="82"/>
        <v>0</v>
      </c>
      <c r="G88" s="1025">
        <f t="shared" si="82"/>
        <v>0</v>
      </c>
      <c r="H88" s="1025">
        <f t="shared" si="82"/>
        <v>0</v>
      </c>
      <c r="I88" s="1025">
        <f t="shared" si="82"/>
        <v>0</v>
      </c>
      <c r="J88" s="1025">
        <f t="shared" si="82"/>
        <v>0</v>
      </c>
      <c r="K88" s="1025">
        <f t="shared" si="82"/>
        <v>0</v>
      </c>
      <c r="L88" s="1025">
        <f t="shared" si="82"/>
        <v>0</v>
      </c>
      <c r="M88" s="1025">
        <f t="shared" si="82"/>
        <v>0</v>
      </c>
      <c r="N88" s="1025">
        <f t="shared" si="82"/>
        <v>0</v>
      </c>
      <c r="O88" s="1025">
        <f t="shared" si="82"/>
        <v>0</v>
      </c>
      <c r="P88" s="1025">
        <f>+D88</f>
        <v>0</v>
      </c>
    </row>
    <row r="89" spans="2:17">
      <c r="B89" s="1009" t="s">
        <v>675</v>
      </c>
      <c r="C89" s="1010"/>
      <c r="D89" s="1025">
        <f>Sal!D181/1000</f>
        <v>-42282.565125000001</v>
      </c>
      <c r="E89" s="1025">
        <f>Sal!E181/1000</f>
        <v>-42344.610625000001</v>
      </c>
      <c r="F89" s="1025">
        <f>Sal!F181/1000</f>
        <v>-42282.565125000001</v>
      </c>
      <c r="G89" s="1025">
        <f>Sal!G181/1000</f>
        <v>-42344.610625000001</v>
      </c>
      <c r="H89" s="1025">
        <f>Sal!H181/1000</f>
        <v>-42282.565125000001</v>
      </c>
      <c r="I89" s="1025">
        <f>Sal!I181/1000</f>
        <v>-42344.610625000001</v>
      </c>
      <c r="J89" s="1025">
        <f>Sal!J181/1000</f>
        <v>-42282.565125000001</v>
      </c>
      <c r="K89" s="1025">
        <f>Sal!K181/1000</f>
        <v>-42344.610625000001</v>
      </c>
      <c r="L89" s="1025">
        <f>Sal!L181/1000</f>
        <v>-41450.613125000003</v>
      </c>
      <c r="M89" s="1025">
        <f>Sal!M181/1000</f>
        <v>-41542.086374999999</v>
      </c>
      <c r="N89" s="1025">
        <f>Sal!N181/1000</f>
        <v>-41450.613125000003</v>
      </c>
      <c r="O89" s="1025">
        <f>Sal!O181/1000</f>
        <v>-41542.086374999999</v>
      </c>
      <c r="P89" s="1025">
        <f t="shared" ref="P89:P90" si="83">SUM(D89:O89)</f>
        <v>-504494.10200000001</v>
      </c>
    </row>
    <row r="90" spans="2:17">
      <c r="B90" s="1009" t="s">
        <v>676</v>
      </c>
      <c r="C90" s="1010"/>
      <c r="D90" s="1025">
        <f>-D88-D89</f>
        <v>42282.565125000001</v>
      </c>
      <c r="E90" s="1025">
        <f>-E89</f>
        <v>42344.610625000001</v>
      </c>
      <c r="F90" s="1025">
        <f>-F89-F88*0.6</f>
        <v>42282.565125000001</v>
      </c>
      <c r="G90" s="1025">
        <f t="shared" ref="G90:J90" si="84">-G89-G88*0.6</f>
        <v>42344.610625000001</v>
      </c>
      <c r="H90" s="1025">
        <f t="shared" si="84"/>
        <v>42282.565125000001</v>
      </c>
      <c r="I90" s="1025">
        <f t="shared" si="84"/>
        <v>42344.610625000001</v>
      </c>
      <c r="J90" s="1025">
        <f t="shared" si="84"/>
        <v>42282.565125000001</v>
      </c>
      <c r="K90" s="1025">
        <f>-K89-K88</f>
        <v>42344.610625000001</v>
      </c>
      <c r="L90" s="1025">
        <f t="shared" ref="L90:O90" si="85">-L89-L88</f>
        <v>41450.613125000003</v>
      </c>
      <c r="M90" s="1025">
        <f t="shared" si="85"/>
        <v>41542.086374999999</v>
      </c>
      <c r="N90" s="1025">
        <f t="shared" si="85"/>
        <v>41450.613125000003</v>
      </c>
      <c r="O90" s="1025">
        <f t="shared" si="85"/>
        <v>41542.086374999999</v>
      </c>
      <c r="P90" s="1025">
        <f t="shared" si="83"/>
        <v>504494.10200000001</v>
      </c>
    </row>
    <row r="91" spans="2:17">
      <c r="B91" s="1015" t="s">
        <v>673</v>
      </c>
      <c r="C91" s="1026">
        <f>+C26</f>
        <v>0</v>
      </c>
      <c r="D91" s="1026">
        <f t="shared" ref="D91:P91" si="86">+D88+D89+D90</f>
        <v>0</v>
      </c>
      <c r="E91" s="1026">
        <f t="shared" si="86"/>
        <v>0</v>
      </c>
      <c r="F91" s="1026">
        <f t="shared" si="86"/>
        <v>0</v>
      </c>
      <c r="G91" s="1026">
        <f t="shared" si="86"/>
        <v>0</v>
      </c>
      <c r="H91" s="1026">
        <f t="shared" si="86"/>
        <v>0</v>
      </c>
      <c r="I91" s="1026">
        <f t="shared" si="86"/>
        <v>0</v>
      </c>
      <c r="J91" s="1026">
        <f t="shared" si="86"/>
        <v>0</v>
      </c>
      <c r="K91" s="1026">
        <f t="shared" si="86"/>
        <v>0</v>
      </c>
      <c r="L91" s="1026">
        <f t="shared" si="86"/>
        <v>0</v>
      </c>
      <c r="M91" s="1026">
        <f t="shared" si="86"/>
        <v>0</v>
      </c>
      <c r="N91" s="1026">
        <f t="shared" si="86"/>
        <v>0</v>
      </c>
      <c r="O91" s="1026">
        <f t="shared" si="86"/>
        <v>0</v>
      </c>
      <c r="P91" s="1026">
        <f t="shared" si="86"/>
        <v>0</v>
      </c>
    </row>
    <row r="92" spans="2:17">
      <c r="C92" s="978"/>
      <c r="F92" s="970"/>
      <c r="P92" s="970">
        <f t="shared" ref="P92" si="87">+P88+P89+P90+P91</f>
        <v>0</v>
      </c>
    </row>
    <row r="93" spans="2:17">
      <c r="B93" s="1004" t="s">
        <v>646</v>
      </c>
      <c r="C93" s="1005" t="str">
        <f t="shared" ref="C93:P93" si="88">+C87</f>
        <v>AN</v>
      </c>
      <c r="D93" s="1005" t="str">
        <f t="shared" si="88"/>
        <v>Mois 1</v>
      </c>
      <c r="E93" s="1005" t="str">
        <f t="shared" si="88"/>
        <v>Mois 2</v>
      </c>
      <c r="F93" s="1005" t="str">
        <f t="shared" si="88"/>
        <v>Mois 3</v>
      </c>
      <c r="G93" s="1005" t="str">
        <f t="shared" si="88"/>
        <v>Mois 4</v>
      </c>
      <c r="H93" s="1005" t="str">
        <f t="shared" si="88"/>
        <v>Mois 5</v>
      </c>
      <c r="I93" s="1005" t="str">
        <f t="shared" si="88"/>
        <v>Mois 6</v>
      </c>
      <c r="J93" s="1005" t="str">
        <f t="shared" si="88"/>
        <v>Mois 7</v>
      </c>
      <c r="K93" s="1005" t="str">
        <f t="shared" si="88"/>
        <v>Mois 8</v>
      </c>
      <c r="L93" s="1005" t="str">
        <f t="shared" si="88"/>
        <v>Mois 9</v>
      </c>
      <c r="M93" s="1005" t="str">
        <f t="shared" si="88"/>
        <v>Mois 10</v>
      </c>
      <c r="N93" s="1005" t="str">
        <f t="shared" si="88"/>
        <v>Mois 11</v>
      </c>
      <c r="O93" s="1005" t="str">
        <f t="shared" si="88"/>
        <v>Mois 12</v>
      </c>
      <c r="P93" s="1005" t="str">
        <f t="shared" si="88"/>
        <v>Total</v>
      </c>
    </row>
    <row r="94" spans="2:17">
      <c r="B94" s="1006" t="s">
        <v>669</v>
      </c>
      <c r="C94" s="1007"/>
      <c r="D94" s="1025">
        <f>+C97</f>
        <v>0</v>
      </c>
      <c r="E94" s="1025">
        <f t="shared" ref="E94:O94" si="89">+D97</f>
        <v>-10172.259875</v>
      </c>
      <c r="F94" s="1025">
        <f t="shared" si="89"/>
        <v>-20360.274250000002</v>
      </c>
      <c r="G94" s="1025">
        <f t="shared" si="89"/>
        <v>-30532.534125000002</v>
      </c>
      <c r="H94" s="1025">
        <f t="shared" si="89"/>
        <v>-10188.014375000002</v>
      </c>
      <c r="I94" s="1025">
        <f t="shared" si="89"/>
        <v>-20360.274250000002</v>
      </c>
      <c r="J94" s="1025">
        <f t="shared" si="89"/>
        <v>-30548.288625000001</v>
      </c>
      <c r="K94" s="1025">
        <f t="shared" si="89"/>
        <v>-10172.259875000003</v>
      </c>
      <c r="L94" s="1025">
        <f t="shared" si="89"/>
        <v>-20360.274250000002</v>
      </c>
      <c r="M94" s="1025">
        <f t="shared" si="89"/>
        <v>-30321.286125000002</v>
      </c>
      <c r="N94" s="1025">
        <f t="shared" si="89"/>
        <v>-9984.2386250000018</v>
      </c>
      <c r="O94" s="1025">
        <f t="shared" si="89"/>
        <v>0</v>
      </c>
      <c r="P94" s="1025">
        <f>+D94</f>
        <v>0</v>
      </c>
    </row>
    <row r="95" spans="2:17">
      <c r="B95" s="1009" t="s">
        <v>677</v>
      </c>
      <c r="C95" s="1010"/>
      <c r="D95" s="1025">
        <f>(Sal!D178+Sal!D179)/1000</f>
        <v>-10172.259875</v>
      </c>
      <c r="E95" s="1025">
        <f>(Sal!E178+Sal!E179)/1000</f>
        <v>-10188.014375000001</v>
      </c>
      <c r="F95" s="1025">
        <f>(Sal!F178+Sal!F179)/1000</f>
        <v>-10172.259875</v>
      </c>
      <c r="G95" s="1025">
        <f>(Sal!G178+Sal!G179)/1000</f>
        <v>-10188.014375000001</v>
      </c>
      <c r="H95" s="1025">
        <f>(Sal!H178+Sal!H179)/1000</f>
        <v>-10172.259875</v>
      </c>
      <c r="I95" s="1025">
        <f>(Sal!I178+Sal!I179)/1000</f>
        <v>-10188.014375000001</v>
      </c>
      <c r="J95" s="1025">
        <f>(Sal!J178+Sal!J179)/1000</f>
        <v>-10172.259875</v>
      </c>
      <c r="K95" s="1025">
        <f>(Sal!K178+Sal!K179)/1000</f>
        <v>-10188.014375000001</v>
      </c>
      <c r="L95" s="1025">
        <f>(Sal!L178+Sal!L179)/1000</f>
        <v>-9961.0118750000001</v>
      </c>
      <c r="M95" s="1025">
        <f>(Sal!M178+Sal!M179)/1000</f>
        <v>-9984.238625</v>
      </c>
      <c r="N95" s="1025">
        <f>(Sal!N178+Sal!N179)/1000</f>
        <v>-9961.0118750000001</v>
      </c>
      <c r="O95" s="1025">
        <f>(Sal!O178+Sal!O179)/1000</f>
        <v>-9984.238625</v>
      </c>
      <c r="P95" s="1025">
        <f t="shared" ref="P95:P96" si="90">SUM(D95:O95)</f>
        <v>-121331.598</v>
      </c>
    </row>
    <row r="96" spans="2:17">
      <c r="B96" s="1009" t="s">
        <v>678</v>
      </c>
      <c r="C96" s="1010"/>
      <c r="D96" s="1025">
        <v>0</v>
      </c>
      <c r="E96" s="1025">
        <v>0</v>
      </c>
      <c r="F96" s="1025">
        <v>0</v>
      </c>
      <c r="G96" s="1025">
        <f>-SUM(D95:F95)</f>
        <v>30532.534125000002</v>
      </c>
      <c r="H96" s="1025">
        <v>0</v>
      </c>
      <c r="I96" s="1025">
        <v>0</v>
      </c>
      <c r="J96" s="1025">
        <f>-SUM(G95:I95)</f>
        <v>30548.288625000001</v>
      </c>
      <c r="K96" s="1025">
        <v>0</v>
      </c>
      <c r="L96" s="1025">
        <v>0</v>
      </c>
      <c r="M96" s="1025">
        <f>-J95-K95-L95</f>
        <v>30321.286125000002</v>
      </c>
      <c r="N96" s="1025">
        <f>-N94-N95</f>
        <v>19945.250500000002</v>
      </c>
      <c r="O96" s="1025">
        <f>-O94-O95</f>
        <v>9984.238625</v>
      </c>
      <c r="P96" s="1025">
        <f t="shared" si="90"/>
        <v>121331.598</v>
      </c>
    </row>
    <row r="97" spans="2:16">
      <c r="B97" s="1015" t="s">
        <v>673</v>
      </c>
      <c r="C97" s="1026">
        <f>+C27</f>
        <v>0</v>
      </c>
      <c r="D97" s="1026">
        <f t="shared" ref="D97:P97" si="91">+D94+D95+D96</f>
        <v>-10172.259875</v>
      </c>
      <c r="E97" s="1026">
        <f t="shared" si="91"/>
        <v>-20360.274250000002</v>
      </c>
      <c r="F97" s="1026">
        <f t="shared" si="91"/>
        <v>-30532.534125000002</v>
      </c>
      <c r="G97" s="1026">
        <f t="shared" si="91"/>
        <v>-10188.014375000002</v>
      </c>
      <c r="H97" s="1026">
        <f t="shared" si="91"/>
        <v>-20360.274250000002</v>
      </c>
      <c r="I97" s="1026">
        <f t="shared" si="91"/>
        <v>-30548.288625000001</v>
      </c>
      <c r="J97" s="1026">
        <f t="shared" si="91"/>
        <v>-10172.259875000003</v>
      </c>
      <c r="K97" s="1026">
        <f t="shared" si="91"/>
        <v>-20360.274250000002</v>
      </c>
      <c r="L97" s="1026">
        <f t="shared" si="91"/>
        <v>-30321.286125000002</v>
      </c>
      <c r="M97" s="1026">
        <f t="shared" si="91"/>
        <v>-9984.2386250000018</v>
      </c>
      <c r="N97" s="1026">
        <f t="shared" si="91"/>
        <v>0</v>
      </c>
      <c r="O97" s="1026">
        <f t="shared" si="91"/>
        <v>0</v>
      </c>
      <c r="P97" s="1026">
        <f t="shared" si="91"/>
        <v>0</v>
      </c>
    </row>
    <row r="98" spans="2:16">
      <c r="C98" s="1005"/>
    </row>
    <row r="99" spans="2:16">
      <c r="B99" s="1004" t="str">
        <f>+B28</f>
        <v>OSIET</v>
      </c>
      <c r="C99" s="1005" t="str">
        <f t="shared" ref="C99:P99" si="92">+C93</f>
        <v>AN</v>
      </c>
      <c r="D99" s="1005" t="str">
        <f t="shared" si="92"/>
        <v>Mois 1</v>
      </c>
      <c r="E99" s="1005" t="str">
        <f t="shared" si="92"/>
        <v>Mois 2</v>
      </c>
      <c r="F99" s="1005" t="str">
        <f t="shared" si="92"/>
        <v>Mois 3</v>
      </c>
      <c r="G99" s="1005" t="str">
        <f t="shared" si="92"/>
        <v>Mois 4</v>
      </c>
      <c r="H99" s="1005" t="str">
        <f t="shared" si="92"/>
        <v>Mois 5</v>
      </c>
      <c r="I99" s="1005" t="str">
        <f t="shared" si="92"/>
        <v>Mois 6</v>
      </c>
      <c r="J99" s="1005" t="str">
        <f t="shared" si="92"/>
        <v>Mois 7</v>
      </c>
      <c r="K99" s="1005" t="str">
        <f t="shared" si="92"/>
        <v>Mois 8</v>
      </c>
      <c r="L99" s="1005" t="str">
        <f t="shared" si="92"/>
        <v>Mois 9</v>
      </c>
      <c r="M99" s="1005" t="str">
        <f t="shared" si="92"/>
        <v>Mois 10</v>
      </c>
      <c r="N99" s="1005" t="str">
        <f t="shared" si="92"/>
        <v>Mois 11</v>
      </c>
      <c r="O99" s="1005" t="str">
        <f t="shared" si="92"/>
        <v>Mois 12</v>
      </c>
      <c r="P99" s="1005" t="str">
        <f t="shared" si="92"/>
        <v>Total</v>
      </c>
    </row>
    <row r="100" spans="2:16">
      <c r="B100" s="1006" t="s">
        <v>669</v>
      </c>
      <c r="C100" s="1007"/>
      <c r="D100" s="1025">
        <f>+C103</f>
        <v>0</v>
      </c>
      <c r="E100" s="1025">
        <f>+D103</f>
        <v>0</v>
      </c>
      <c r="F100" s="1025">
        <f t="shared" ref="F100:O100" si="93">+E103</f>
        <v>0</v>
      </c>
      <c r="G100" s="1025">
        <f t="shared" si="93"/>
        <v>0</v>
      </c>
      <c r="H100" s="1025">
        <f t="shared" si="93"/>
        <v>0</v>
      </c>
      <c r="I100" s="1025">
        <f t="shared" si="93"/>
        <v>0</v>
      </c>
      <c r="J100" s="1025">
        <f t="shared" si="93"/>
        <v>0</v>
      </c>
      <c r="K100" s="1025">
        <f t="shared" si="93"/>
        <v>0</v>
      </c>
      <c r="L100" s="1025">
        <f t="shared" si="93"/>
        <v>0</v>
      </c>
      <c r="M100" s="1025">
        <f t="shared" si="93"/>
        <v>0</v>
      </c>
      <c r="N100" s="1025">
        <f t="shared" si="93"/>
        <v>0</v>
      </c>
      <c r="O100" s="1025">
        <f t="shared" si="93"/>
        <v>0</v>
      </c>
      <c r="P100" s="1025">
        <f>+D100</f>
        <v>0</v>
      </c>
    </row>
    <row r="101" spans="2:16">
      <c r="B101" s="1009" t="s">
        <v>679</v>
      </c>
      <c r="C101" s="1010"/>
      <c r="D101" s="1025">
        <v>0</v>
      </c>
      <c r="E101" s="1025">
        <v>0</v>
      </c>
      <c r="F101" s="1025">
        <v>0</v>
      </c>
      <c r="G101" s="1025">
        <v>0</v>
      </c>
      <c r="H101" s="1025">
        <v>0</v>
      </c>
      <c r="I101" s="1025">
        <v>0</v>
      </c>
      <c r="J101" s="1025">
        <v>0</v>
      </c>
      <c r="K101" s="1025">
        <v>0</v>
      </c>
      <c r="L101" s="1025">
        <v>0</v>
      </c>
      <c r="M101" s="1025">
        <v>0</v>
      </c>
      <c r="N101" s="1025">
        <v>0</v>
      </c>
      <c r="O101" s="1025">
        <v>0</v>
      </c>
      <c r="P101" s="1025">
        <f>SUM(H101:O101)</f>
        <v>0</v>
      </c>
    </row>
    <row r="102" spans="2:16">
      <c r="B102" s="1009" t="s">
        <v>678</v>
      </c>
      <c r="C102" s="1010"/>
      <c r="D102" s="1025">
        <v>0</v>
      </c>
      <c r="E102" s="1025">
        <v>0</v>
      </c>
      <c r="F102" s="1025">
        <v>0</v>
      </c>
      <c r="G102" s="1025">
        <v>0</v>
      </c>
      <c r="H102" s="1025">
        <v>0</v>
      </c>
      <c r="I102" s="1025">
        <v>0</v>
      </c>
      <c r="J102" s="1025">
        <v>0</v>
      </c>
      <c r="K102" s="1025">
        <v>0</v>
      </c>
      <c r="L102" s="1025">
        <v>0</v>
      </c>
      <c r="M102" s="1025">
        <v>0</v>
      </c>
      <c r="N102" s="1025">
        <v>0</v>
      </c>
      <c r="O102" s="1025">
        <v>0</v>
      </c>
      <c r="P102" s="1025">
        <f>SUM(H102:O102)</f>
        <v>0</v>
      </c>
    </row>
    <row r="103" spans="2:16">
      <c r="B103" s="1015" t="s">
        <v>673</v>
      </c>
      <c r="C103" s="1026">
        <f>+C28</f>
        <v>0</v>
      </c>
      <c r="D103" s="1026">
        <f t="shared" ref="D103:P103" si="94">+D100+D101+D102</f>
        <v>0</v>
      </c>
      <c r="E103" s="1026">
        <f t="shared" si="94"/>
        <v>0</v>
      </c>
      <c r="F103" s="1026">
        <f t="shared" si="94"/>
        <v>0</v>
      </c>
      <c r="G103" s="1026">
        <f t="shared" si="94"/>
        <v>0</v>
      </c>
      <c r="H103" s="1026">
        <f t="shared" si="94"/>
        <v>0</v>
      </c>
      <c r="I103" s="1026">
        <f t="shared" si="94"/>
        <v>0</v>
      </c>
      <c r="J103" s="1026">
        <f t="shared" si="94"/>
        <v>0</v>
      </c>
      <c r="K103" s="1026">
        <f t="shared" si="94"/>
        <v>0</v>
      </c>
      <c r="L103" s="1026">
        <f t="shared" si="94"/>
        <v>0</v>
      </c>
      <c r="M103" s="1026">
        <f t="shared" si="94"/>
        <v>0</v>
      </c>
      <c r="N103" s="1026">
        <f t="shared" si="94"/>
        <v>0</v>
      </c>
      <c r="O103" s="1026">
        <f t="shared" si="94"/>
        <v>0</v>
      </c>
      <c r="P103" s="1026">
        <f t="shared" si="94"/>
        <v>0</v>
      </c>
    </row>
    <row r="104" spans="2:16">
      <c r="C104" s="978"/>
    </row>
    <row r="105" spans="2:16">
      <c r="B105" s="1004" t="s">
        <v>648</v>
      </c>
      <c r="C105" s="1005" t="str">
        <f t="shared" ref="C105:P105" si="95">+C99</f>
        <v>AN</v>
      </c>
      <c r="D105" s="1005" t="str">
        <f t="shared" si="95"/>
        <v>Mois 1</v>
      </c>
      <c r="E105" s="1005" t="str">
        <f t="shared" si="95"/>
        <v>Mois 2</v>
      </c>
      <c r="F105" s="1005" t="str">
        <f t="shared" si="95"/>
        <v>Mois 3</v>
      </c>
      <c r="G105" s="1005" t="str">
        <f t="shared" si="95"/>
        <v>Mois 4</v>
      </c>
      <c r="H105" s="1005" t="str">
        <f t="shared" si="95"/>
        <v>Mois 5</v>
      </c>
      <c r="I105" s="1005" t="str">
        <f t="shared" si="95"/>
        <v>Mois 6</v>
      </c>
      <c r="J105" s="1005" t="str">
        <f t="shared" si="95"/>
        <v>Mois 7</v>
      </c>
      <c r="K105" s="1005" t="str">
        <f t="shared" si="95"/>
        <v>Mois 8</v>
      </c>
      <c r="L105" s="1005" t="str">
        <f t="shared" si="95"/>
        <v>Mois 9</v>
      </c>
      <c r="M105" s="1005" t="str">
        <f t="shared" si="95"/>
        <v>Mois 10</v>
      </c>
      <c r="N105" s="1005" t="str">
        <f t="shared" si="95"/>
        <v>Mois 11</v>
      </c>
      <c r="O105" s="1005" t="str">
        <f t="shared" si="95"/>
        <v>Mois 12</v>
      </c>
      <c r="P105" s="1005" t="str">
        <f t="shared" si="95"/>
        <v>Total</v>
      </c>
    </row>
    <row r="106" spans="2:16">
      <c r="B106" s="1006" t="s">
        <v>669</v>
      </c>
      <c r="C106" s="1007"/>
      <c r="D106" s="1025">
        <f>+C109</f>
        <v>0</v>
      </c>
      <c r="E106" s="1025">
        <f t="shared" ref="E106:O106" si="96">+D109</f>
        <v>-9045.2309999999998</v>
      </c>
      <c r="F106" s="1025">
        <f t="shared" si="96"/>
        <v>-9059.2350000000006</v>
      </c>
      <c r="G106" s="1025">
        <f t="shared" si="96"/>
        <v>-9045.2309999999998</v>
      </c>
      <c r="H106" s="1025">
        <f t="shared" si="96"/>
        <v>-9059.2350000000006</v>
      </c>
      <c r="I106" s="1025">
        <f t="shared" si="96"/>
        <v>-9045.2309999999998</v>
      </c>
      <c r="J106" s="1025">
        <f t="shared" si="96"/>
        <v>-9059.2350000000006</v>
      </c>
      <c r="K106" s="1025">
        <f t="shared" si="96"/>
        <v>-9045.2309999999998</v>
      </c>
      <c r="L106" s="1025">
        <f t="shared" si="96"/>
        <v>-9059.2350000000006</v>
      </c>
      <c r="M106" s="1025">
        <f t="shared" si="96"/>
        <v>-8857.4550000000017</v>
      </c>
      <c r="N106" s="1025">
        <f t="shared" si="96"/>
        <v>-8878.1010000000024</v>
      </c>
      <c r="O106" s="1025">
        <f t="shared" si="96"/>
        <v>-8857.4550000000017</v>
      </c>
      <c r="P106" s="1025">
        <f>+D106</f>
        <v>0</v>
      </c>
    </row>
    <row r="107" spans="2:16">
      <c r="B107" s="1009" t="s">
        <v>16</v>
      </c>
      <c r="C107" s="1010"/>
      <c r="D107" s="1025">
        <f>+Sal!D180/1000</f>
        <v>-9045.2309999999998</v>
      </c>
      <c r="E107" s="1025">
        <f>+Sal!E180/1000</f>
        <v>-9059.2350000000006</v>
      </c>
      <c r="F107" s="1025">
        <f>+Sal!F180/1000</f>
        <v>-9045.2309999999998</v>
      </c>
      <c r="G107" s="1025">
        <f>+Sal!G180/1000</f>
        <v>-9059.2350000000006</v>
      </c>
      <c r="H107" s="1025">
        <f>+Sal!H180/1000</f>
        <v>-9045.2309999999998</v>
      </c>
      <c r="I107" s="1025">
        <f>+Sal!I180/1000</f>
        <v>-9059.2350000000006</v>
      </c>
      <c r="J107" s="1025">
        <f>+Sal!J180/1000</f>
        <v>-9045.2309999999998</v>
      </c>
      <c r="K107" s="1025">
        <f>+Sal!K180/1000</f>
        <v>-9059.2350000000006</v>
      </c>
      <c r="L107" s="1025">
        <f>+Sal!L180/1000</f>
        <v>-8857.4549999999999</v>
      </c>
      <c r="M107" s="1025">
        <f>+Sal!M180/1000</f>
        <v>-8878.1010000000006</v>
      </c>
      <c r="N107" s="1025">
        <f>+Sal!N180/1000</f>
        <v>-8857.4549999999999</v>
      </c>
      <c r="O107" s="1025">
        <f>+Sal!O180/1000</f>
        <v>-8878.1010000000006</v>
      </c>
      <c r="P107" s="1025">
        <f>SUM(D107:O107)</f>
        <v>-107888.976</v>
      </c>
    </row>
    <row r="108" spans="2:16">
      <c r="B108" s="1009" t="s">
        <v>678</v>
      </c>
      <c r="C108" s="1010"/>
      <c r="D108" s="1025">
        <f t="shared" ref="D108:O108" si="97">-D106</f>
        <v>0</v>
      </c>
      <c r="E108" s="1025">
        <f t="shared" si="97"/>
        <v>9045.2309999999998</v>
      </c>
      <c r="F108" s="1025">
        <f t="shared" si="97"/>
        <v>9059.2350000000006</v>
      </c>
      <c r="G108" s="1025">
        <f t="shared" si="97"/>
        <v>9045.2309999999998</v>
      </c>
      <c r="H108" s="1025">
        <f t="shared" si="97"/>
        <v>9059.2350000000006</v>
      </c>
      <c r="I108" s="1025">
        <f t="shared" si="97"/>
        <v>9045.2309999999998</v>
      </c>
      <c r="J108" s="1025">
        <f t="shared" si="97"/>
        <v>9059.2350000000006</v>
      </c>
      <c r="K108" s="1025">
        <f t="shared" si="97"/>
        <v>9045.2309999999998</v>
      </c>
      <c r="L108" s="1025">
        <f t="shared" si="97"/>
        <v>9059.2350000000006</v>
      </c>
      <c r="M108" s="1025">
        <f t="shared" si="97"/>
        <v>8857.4550000000017</v>
      </c>
      <c r="N108" s="1025">
        <f t="shared" si="97"/>
        <v>8878.1010000000024</v>
      </c>
      <c r="O108" s="1025">
        <f t="shared" si="97"/>
        <v>8857.4550000000017</v>
      </c>
      <c r="P108" s="1025">
        <f>SUM(D108:O108)</f>
        <v>99010.875000000015</v>
      </c>
    </row>
    <row r="109" spans="2:16">
      <c r="B109" s="1015" t="s">
        <v>673</v>
      </c>
      <c r="C109" s="1026">
        <f>+C29</f>
        <v>0</v>
      </c>
      <c r="D109" s="1026">
        <f t="shared" ref="D109:P109" si="98">+D106+D107+D108</f>
        <v>-9045.2309999999998</v>
      </c>
      <c r="E109" s="1026">
        <f t="shared" si="98"/>
        <v>-9059.2350000000006</v>
      </c>
      <c r="F109" s="1026">
        <f t="shared" si="98"/>
        <v>-9045.2309999999998</v>
      </c>
      <c r="G109" s="1026">
        <f t="shared" si="98"/>
        <v>-9059.2350000000006</v>
      </c>
      <c r="H109" s="1026">
        <f t="shared" si="98"/>
        <v>-9045.2309999999998</v>
      </c>
      <c r="I109" s="1026">
        <f t="shared" si="98"/>
        <v>-9059.2350000000006</v>
      </c>
      <c r="J109" s="1026">
        <f t="shared" si="98"/>
        <v>-9045.2309999999998</v>
      </c>
      <c r="K109" s="1026">
        <f t="shared" si="98"/>
        <v>-9059.2350000000006</v>
      </c>
      <c r="L109" s="1026">
        <f t="shared" si="98"/>
        <v>-8857.4550000000017</v>
      </c>
      <c r="M109" s="1026">
        <f t="shared" si="98"/>
        <v>-8878.1010000000024</v>
      </c>
      <c r="N109" s="1026">
        <f t="shared" si="98"/>
        <v>-8857.4550000000017</v>
      </c>
      <c r="O109" s="1026">
        <f t="shared" si="98"/>
        <v>-8878.1010000000024</v>
      </c>
      <c r="P109" s="1026">
        <f t="shared" si="98"/>
        <v>-8878.1009999999806</v>
      </c>
    </row>
    <row r="110" spans="2:16">
      <c r="C110" s="978"/>
    </row>
    <row r="111" spans="2:16" ht="13.5" customHeight="1">
      <c r="B111" s="1004" t="s">
        <v>649</v>
      </c>
      <c r="C111" s="1005" t="str">
        <f t="shared" ref="C111:P111" si="99">+C105</f>
        <v>AN</v>
      </c>
      <c r="D111" s="1005" t="str">
        <f t="shared" si="99"/>
        <v>Mois 1</v>
      </c>
      <c r="E111" s="1005" t="str">
        <f t="shared" si="99"/>
        <v>Mois 2</v>
      </c>
      <c r="F111" s="1005" t="str">
        <f t="shared" si="99"/>
        <v>Mois 3</v>
      </c>
      <c r="G111" s="1005" t="str">
        <f t="shared" si="99"/>
        <v>Mois 4</v>
      </c>
      <c r="H111" s="1005" t="str">
        <f t="shared" si="99"/>
        <v>Mois 5</v>
      </c>
      <c r="I111" s="1005" t="str">
        <f t="shared" si="99"/>
        <v>Mois 6</v>
      </c>
      <c r="J111" s="1005" t="str">
        <f t="shared" si="99"/>
        <v>Mois 7</v>
      </c>
      <c r="K111" s="1005" t="str">
        <f t="shared" si="99"/>
        <v>Mois 8</v>
      </c>
      <c r="L111" s="1005" t="str">
        <f t="shared" si="99"/>
        <v>Mois 9</v>
      </c>
      <c r="M111" s="1005" t="str">
        <f t="shared" si="99"/>
        <v>Mois 10</v>
      </c>
      <c r="N111" s="1005" t="str">
        <f t="shared" si="99"/>
        <v>Mois 11</v>
      </c>
      <c r="O111" s="1005" t="str">
        <f t="shared" si="99"/>
        <v>Mois 12</v>
      </c>
      <c r="P111" s="1005" t="str">
        <f t="shared" si="99"/>
        <v>Total</v>
      </c>
    </row>
    <row r="112" spans="2:16">
      <c r="B112" s="1009" t="s">
        <v>669</v>
      </c>
      <c r="C112" s="1010"/>
      <c r="D112" s="1011">
        <f>+C116</f>
        <v>0</v>
      </c>
      <c r="E112" s="1011">
        <f t="shared" ref="E112:O112" si="100">+D116</f>
        <v>0</v>
      </c>
      <c r="F112" s="1011">
        <f t="shared" si="100"/>
        <v>0</v>
      </c>
      <c r="G112" s="1011">
        <f t="shared" si="100"/>
        <v>0</v>
      </c>
      <c r="H112" s="1011">
        <f t="shared" si="100"/>
        <v>0</v>
      </c>
      <c r="I112" s="1011">
        <f t="shared" si="100"/>
        <v>0</v>
      </c>
      <c r="J112" s="1011">
        <f t="shared" si="100"/>
        <v>0</v>
      </c>
      <c r="K112" s="1011">
        <f t="shared" si="100"/>
        <v>0</v>
      </c>
      <c r="L112" s="1011">
        <f t="shared" si="100"/>
        <v>0</v>
      </c>
      <c r="M112" s="1011">
        <f t="shared" si="100"/>
        <v>0</v>
      </c>
      <c r="N112" s="1011">
        <f t="shared" si="100"/>
        <v>0</v>
      </c>
      <c r="O112" s="1011">
        <f t="shared" si="100"/>
        <v>0</v>
      </c>
      <c r="P112" s="1008">
        <f>+D112</f>
        <v>0</v>
      </c>
    </row>
    <row r="113" spans="2:16">
      <c r="B113" s="1009" t="s">
        <v>680</v>
      </c>
      <c r="C113" s="1010"/>
      <c r="D113" s="1011">
        <v>0</v>
      </c>
      <c r="E113" s="1011">
        <v>0</v>
      </c>
      <c r="F113" s="1011">
        <v>0</v>
      </c>
      <c r="G113" s="1011">
        <v>0</v>
      </c>
      <c r="H113" s="1011">
        <v>0</v>
      </c>
      <c r="I113" s="1011">
        <v>0</v>
      </c>
      <c r="J113" s="1011">
        <v>0</v>
      </c>
      <c r="K113" s="1011">
        <v>0</v>
      </c>
      <c r="L113" s="1011">
        <v>0</v>
      </c>
      <c r="M113" s="1011">
        <v>0</v>
      </c>
      <c r="N113" s="1011">
        <v>0</v>
      </c>
      <c r="O113" s="1011">
        <f>-'CR Nature FD'!N28/1000</f>
        <v>-704432</v>
      </c>
      <c r="P113" s="1025">
        <f t="shared" ref="P113:P115" si="101">SUM(D113:O113)</f>
        <v>-704432</v>
      </c>
    </row>
    <row r="114" spans="2:16">
      <c r="B114" s="1009" t="s">
        <v>681</v>
      </c>
      <c r="C114" s="1010"/>
      <c r="D114" s="1011">
        <v>0</v>
      </c>
      <c r="E114" s="1011">
        <v>0</v>
      </c>
      <c r="F114" s="1011">
        <v>0</v>
      </c>
      <c r="G114" s="1011">
        <v>0</v>
      </c>
      <c r="H114" s="1011">
        <v>0</v>
      </c>
      <c r="I114" s="1011">
        <v>0</v>
      </c>
      <c r="J114" s="1011">
        <v>0</v>
      </c>
      <c r="K114" s="1011">
        <v>0</v>
      </c>
      <c r="L114" s="1011">
        <v>0</v>
      </c>
      <c r="M114" s="1011">
        <v>0</v>
      </c>
      <c r="N114" s="1011">
        <v>0</v>
      </c>
      <c r="O114" s="1011">
        <v>0</v>
      </c>
      <c r="P114" s="1025">
        <f t="shared" si="101"/>
        <v>0</v>
      </c>
    </row>
    <row r="115" spans="2:16">
      <c r="B115" s="1009" t="s">
        <v>678</v>
      </c>
      <c r="C115" s="1010"/>
      <c r="D115" s="1011">
        <v>0</v>
      </c>
      <c r="E115" s="1011">
        <v>0</v>
      </c>
      <c r="F115" s="1011">
        <v>0</v>
      </c>
      <c r="G115" s="1011">
        <v>0</v>
      </c>
      <c r="H115" s="1011">
        <f>-H112</f>
        <v>0</v>
      </c>
      <c r="I115" s="1011">
        <v>0</v>
      </c>
      <c r="J115" s="1011">
        <v>0</v>
      </c>
      <c r="K115" s="1011">
        <v>0</v>
      </c>
      <c r="L115" s="1011">
        <v>0</v>
      </c>
      <c r="M115" s="1011">
        <v>0</v>
      </c>
      <c r="N115" s="1011">
        <v>0</v>
      </c>
      <c r="O115" s="1011">
        <v>0</v>
      </c>
      <c r="P115" s="1025">
        <f t="shared" si="101"/>
        <v>0</v>
      </c>
    </row>
    <row r="116" spans="2:16">
      <c r="B116" s="1015" t="s">
        <v>673</v>
      </c>
      <c r="C116" s="1016">
        <f>+C30</f>
        <v>0</v>
      </c>
      <c r="D116" s="1017">
        <f t="shared" ref="D116:P116" si="102">SUM(D112:D115)</f>
        <v>0</v>
      </c>
      <c r="E116" s="1017">
        <f t="shared" si="102"/>
        <v>0</v>
      </c>
      <c r="F116" s="1017">
        <f t="shared" si="102"/>
        <v>0</v>
      </c>
      <c r="G116" s="1017">
        <f t="shared" si="102"/>
        <v>0</v>
      </c>
      <c r="H116" s="1017">
        <f t="shared" si="102"/>
        <v>0</v>
      </c>
      <c r="I116" s="1017">
        <f t="shared" si="102"/>
        <v>0</v>
      </c>
      <c r="J116" s="1017">
        <f t="shared" si="102"/>
        <v>0</v>
      </c>
      <c r="K116" s="1017">
        <f t="shared" si="102"/>
        <v>0</v>
      </c>
      <c r="L116" s="1017">
        <f t="shared" si="102"/>
        <v>0</v>
      </c>
      <c r="M116" s="1017">
        <f t="shared" si="102"/>
        <v>0</v>
      </c>
      <c r="N116" s="1017">
        <f t="shared" si="102"/>
        <v>0</v>
      </c>
      <c r="O116" s="1017">
        <f t="shared" si="102"/>
        <v>-704432</v>
      </c>
      <c r="P116" s="1017">
        <f t="shared" si="102"/>
        <v>-704432</v>
      </c>
    </row>
    <row r="117" spans="2:16">
      <c r="C117" s="978"/>
    </row>
    <row r="118" spans="2:16">
      <c r="B118" s="1004" t="str">
        <f>+B31</f>
        <v>Etat, TVA collectée</v>
      </c>
      <c r="C118" s="1005" t="str">
        <f t="shared" ref="C118:O118" si="103">+C111</f>
        <v>AN</v>
      </c>
      <c r="D118" s="1005" t="str">
        <f t="shared" si="103"/>
        <v>Mois 1</v>
      </c>
      <c r="E118" s="1005" t="str">
        <f t="shared" si="103"/>
        <v>Mois 2</v>
      </c>
      <c r="F118" s="1005" t="str">
        <f t="shared" si="103"/>
        <v>Mois 3</v>
      </c>
      <c r="G118" s="1005" t="str">
        <f t="shared" si="103"/>
        <v>Mois 4</v>
      </c>
      <c r="H118" s="1005" t="str">
        <f t="shared" si="103"/>
        <v>Mois 5</v>
      </c>
      <c r="I118" s="1005" t="str">
        <f t="shared" si="103"/>
        <v>Mois 6</v>
      </c>
      <c r="J118" s="1005" t="str">
        <f t="shared" si="103"/>
        <v>Mois 7</v>
      </c>
      <c r="K118" s="1005" t="str">
        <f t="shared" si="103"/>
        <v>Mois 8</v>
      </c>
      <c r="L118" s="1005" t="str">
        <f t="shared" si="103"/>
        <v>Mois 9</v>
      </c>
      <c r="M118" s="1005" t="str">
        <f t="shared" si="103"/>
        <v>Mois 10</v>
      </c>
      <c r="N118" s="1005" t="str">
        <f t="shared" si="103"/>
        <v>Mois 11</v>
      </c>
      <c r="O118" s="1005" t="str">
        <f t="shared" si="103"/>
        <v>Mois 12</v>
      </c>
      <c r="P118" s="1005" t="str">
        <f>+P111</f>
        <v>Total</v>
      </c>
    </row>
    <row r="119" spans="2:16">
      <c r="B119" s="1009" t="s">
        <v>669</v>
      </c>
      <c r="C119" s="1010"/>
      <c r="D119" s="1011">
        <f t="shared" ref="D119:G119" si="104">+C122</f>
        <v>0</v>
      </c>
      <c r="E119" s="1011">
        <f t="shared" si="104"/>
        <v>0</v>
      </c>
      <c r="F119" s="1011">
        <f t="shared" si="104"/>
        <v>0</v>
      </c>
      <c r="G119" s="1011">
        <f t="shared" si="104"/>
        <v>0</v>
      </c>
      <c r="H119" s="1011">
        <f>+G122</f>
        <v>0</v>
      </c>
      <c r="I119" s="1011">
        <f t="shared" ref="I119:O119" si="105">+H122</f>
        <v>0</v>
      </c>
      <c r="J119" s="1011">
        <f t="shared" si="105"/>
        <v>0</v>
      </c>
      <c r="K119" s="1011">
        <f t="shared" si="105"/>
        <v>0</v>
      </c>
      <c r="L119" s="1011">
        <f t="shared" si="105"/>
        <v>0</v>
      </c>
      <c r="M119" s="1011">
        <f t="shared" si="105"/>
        <v>0</v>
      </c>
      <c r="N119" s="1011">
        <f t="shared" si="105"/>
        <v>0</v>
      </c>
      <c r="O119" s="1011">
        <f t="shared" si="105"/>
        <v>0</v>
      </c>
      <c r="P119" s="1008">
        <f>+D119</f>
        <v>0</v>
      </c>
    </row>
    <row r="120" spans="2:16">
      <c r="B120" s="1009" t="s">
        <v>682</v>
      </c>
      <c r="C120" s="1010"/>
      <c r="D120" s="1011">
        <f>-CA!C33/1000</f>
        <v>-393.75</v>
      </c>
      <c r="E120" s="1011">
        <f>-CA!D33/1000</f>
        <v>-393.75</v>
      </c>
      <c r="F120" s="1011">
        <f>-CA!E33/1000</f>
        <v>-393.75</v>
      </c>
      <c r="G120" s="1011">
        <f>-CA!F33/1000</f>
        <v>-393.75</v>
      </c>
      <c r="H120" s="1011">
        <f>-CA!G33/1000</f>
        <v>-393.75</v>
      </c>
      <c r="I120" s="1011">
        <f>-CA!H33/1000</f>
        <v>-393.75</v>
      </c>
      <c r="J120" s="1011">
        <f>-CA!I33/1000</f>
        <v>-393.75</v>
      </c>
      <c r="K120" s="1011">
        <f>-CA!J33/1000</f>
        <v>-393.75</v>
      </c>
      <c r="L120" s="1011">
        <f>-CA!K33/1000</f>
        <v>-393.75</v>
      </c>
      <c r="M120" s="1011">
        <f>-CA!L33/1000</f>
        <v>-393.75</v>
      </c>
      <c r="N120" s="1011">
        <f>-CA!M33/1000</f>
        <v>-393.75</v>
      </c>
      <c r="O120" s="1011">
        <f>-CA!N33/1000</f>
        <v>-393.75</v>
      </c>
      <c r="P120" s="1011">
        <f>SUM(D120:O120)</f>
        <v>-4725</v>
      </c>
    </row>
    <row r="121" spans="2:16">
      <c r="B121" s="1009" t="s">
        <v>681</v>
      </c>
      <c r="C121" s="1010"/>
      <c r="D121" s="1011">
        <f>-D119-D120</f>
        <v>393.75</v>
      </c>
      <c r="E121" s="1011">
        <f>-E119-E120</f>
        <v>393.75</v>
      </c>
      <c r="F121" s="1011">
        <f t="shared" ref="F121:O121" si="106">-F119-F120</f>
        <v>393.75</v>
      </c>
      <c r="G121" s="1011">
        <f t="shared" si="106"/>
        <v>393.75</v>
      </c>
      <c r="H121" s="1011">
        <f t="shared" si="106"/>
        <v>393.75</v>
      </c>
      <c r="I121" s="1011">
        <f t="shared" si="106"/>
        <v>393.75</v>
      </c>
      <c r="J121" s="1011">
        <f t="shared" si="106"/>
        <v>393.75</v>
      </c>
      <c r="K121" s="1011">
        <f t="shared" si="106"/>
        <v>393.75</v>
      </c>
      <c r="L121" s="1011">
        <f t="shared" si="106"/>
        <v>393.75</v>
      </c>
      <c r="M121" s="1011">
        <f t="shared" si="106"/>
        <v>393.75</v>
      </c>
      <c r="N121" s="1011">
        <f t="shared" si="106"/>
        <v>393.75</v>
      </c>
      <c r="O121" s="1011">
        <f t="shared" si="106"/>
        <v>393.75</v>
      </c>
      <c r="P121" s="1011">
        <f>SUM(D121:O121)</f>
        <v>4725</v>
      </c>
    </row>
    <row r="122" spans="2:16">
      <c r="B122" s="1015" t="s">
        <v>673</v>
      </c>
      <c r="C122" s="1016">
        <f>+C31</f>
        <v>0</v>
      </c>
      <c r="D122" s="1017">
        <f t="shared" ref="D122:P122" si="107">SUM(D119:D121)</f>
        <v>0</v>
      </c>
      <c r="E122" s="1017">
        <f t="shared" si="107"/>
        <v>0</v>
      </c>
      <c r="F122" s="1017">
        <f t="shared" si="107"/>
        <v>0</v>
      </c>
      <c r="G122" s="1017">
        <f t="shared" si="107"/>
        <v>0</v>
      </c>
      <c r="H122" s="1017">
        <f t="shared" si="107"/>
        <v>0</v>
      </c>
      <c r="I122" s="1017">
        <f t="shared" si="107"/>
        <v>0</v>
      </c>
      <c r="J122" s="1017">
        <f t="shared" si="107"/>
        <v>0</v>
      </c>
      <c r="K122" s="1017">
        <f t="shared" si="107"/>
        <v>0</v>
      </c>
      <c r="L122" s="1017">
        <f t="shared" si="107"/>
        <v>0</v>
      </c>
      <c r="M122" s="1017">
        <f t="shared" si="107"/>
        <v>0</v>
      </c>
      <c r="N122" s="1017">
        <f t="shared" si="107"/>
        <v>0</v>
      </c>
      <c r="O122" s="1017">
        <f t="shared" si="107"/>
        <v>0</v>
      </c>
      <c r="P122" s="1017">
        <f t="shared" si="107"/>
        <v>0</v>
      </c>
    </row>
    <row r="123" spans="2:16">
      <c r="C123" s="978"/>
    </row>
    <row r="124" spans="2:16">
      <c r="B124" s="1004" t="s">
        <v>683</v>
      </c>
      <c r="C124" s="1005" t="str">
        <f t="shared" ref="C124:P124" si="108">+C111</f>
        <v>AN</v>
      </c>
      <c r="D124" s="1005" t="str">
        <f t="shared" si="108"/>
        <v>Mois 1</v>
      </c>
      <c r="E124" s="1005" t="str">
        <f t="shared" si="108"/>
        <v>Mois 2</v>
      </c>
      <c r="F124" s="1005" t="str">
        <f t="shared" si="108"/>
        <v>Mois 3</v>
      </c>
      <c r="G124" s="1005" t="str">
        <f t="shared" si="108"/>
        <v>Mois 4</v>
      </c>
      <c r="H124" s="1005" t="str">
        <f t="shared" si="108"/>
        <v>Mois 5</v>
      </c>
      <c r="I124" s="1005" t="str">
        <f t="shared" si="108"/>
        <v>Mois 6</v>
      </c>
      <c r="J124" s="1005" t="str">
        <f t="shared" si="108"/>
        <v>Mois 7</v>
      </c>
      <c r="K124" s="1005" t="str">
        <f t="shared" si="108"/>
        <v>Mois 8</v>
      </c>
      <c r="L124" s="1005" t="str">
        <f t="shared" si="108"/>
        <v>Mois 9</v>
      </c>
      <c r="M124" s="1005" t="str">
        <f t="shared" si="108"/>
        <v>Mois 10</v>
      </c>
      <c r="N124" s="1005" t="str">
        <f t="shared" si="108"/>
        <v>Mois 11</v>
      </c>
      <c r="O124" s="1005" t="str">
        <f t="shared" si="108"/>
        <v>Mois 12</v>
      </c>
      <c r="P124" s="1005" t="str">
        <f t="shared" si="108"/>
        <v>Total</v>
      </c>
    </row>
    <row r="125" spans="2:16">
      <c r="B125" s="1009" t="s">
        <v>669</v>
      </c>
      <c r="C125" s="1010"/>
      <c r="D125" s="1011">
        <f>+C136</f>
        <v>0</v>
      </c>
      <c r="E125" s="1011">
        <f t="shared" ref="E125:O125" si="109">+D136</f>
        <v>0</v>
      </c>
      <c r="F125" s="1011">
        <f t="shared" si="109"/>
        <v>0</v>
      </c>
      <c r="G125" s="1011">
        <f t="shared" si="109"/>
        <v>0</v>
      </c>
      <c r="H125" s="1011">
        <f t="shared" si="109"/>
        <v>0</v>
      </c>
      <c r="I125" s="1011">
        <f t="shared" si="109"/>
        <v>0</v>
      </c>
      <c r="J125" s="1011">
        <f t="shared" si="109"/>
        <v>0</v>
      </c>
      <c r="K125" s="1011">
        <f t="shared" si="109"/>
        <v>0</v>
      </c>
      <c r="L125" s="1011">
        <f t="shared" si="109"/>
        <v>0</v>
      </c>
      <c r="M125" s="1011">
        <f t="shared" si="109"/>
        <v>0</v>
      </c>
      <c r="N125" s="1011">
        <f t="shared" si="109"/>
        <v>0</v>
      </c>
      <c r="O125" s="1011">
        <f t="shared" si="109"/>
        <v>0</v>
      </c>
      <c r="P125" s="1011">
        <f>+D125</f>
        <v>0</v>
      </c>
    </row>
    <row r="126" spans="2:16">
      <c r="B126" s="1009" t="str">
        <f>+'I&amp;T'!B3</f>
        <v>Droit de certificat de conformité</v>
      </c>
      <c r="C126" s="1010"/>
      <c r="D126" s="1011">
        <f>-'I&amp;T'!D3/1000</f>
        <v>-2750</v>
      </c>
      <c r="E126" s="1011">
        <f>-'I&amp;T'!E3/1000</f>
        <v>-2750</v>
      </c>
      <c r="F126" s="1011">
        <f>-'I&amp;T'!F3/1000</f>
        <v>-2750</v>
      </c>
      <c r="G126" s="1011">
        <f>-'I&amp;T'!G3/1000</f>
        <v>-2750</v>
      </c>
      <c r="H126" s="1011">
        <f>-'I&amp;T'!H3/1000</f>
        <v>-2750</v>
      </c>
      <c r="I126" s="1011">
        <f>-'I&amp;T'!I3/1000</f>
        <v>-2750</v>
      </c>
      <c r="J126" s="1011">
        <f>-'I&amp;T'!J3/1000</f>
        <v>-2750</v>
      </c>
      <c r="K126" s="1011">
        <f>-'I&amp;T'!K3/1000</f>
        <v>-2750</v>
      </c>
      <c r="L126" s="1011">
        <f>-'I&amp;T'!L3/1000</f>
        <v>-2750</v>
      </c>
      <c r="M126" s="1011">
        <f>-'I&amp;T'!M3/1000</f>
        <v>-2750</v>
      </c>
      <c r="N126" s="1011">
        <f>-'I&amp;T'!N3/1000</f>
        <v>-2750</v>
      </c>
      <c r="O126" s="1011">
        <f>-'I&amp;T'!O3/1000</f>
        <v>-2750</v>
      </c>
      <c r="P126" s="1011">
        <f t="shared" ref="P126:P135" si="110">SUM(D126:O126)</f>
        <v>-33000</v>
      </c>
    </row>
    <row r="127" spans="2:16">
      <c r="B127" s="1009" t="str">
        <f>+'I&amp;T'!B4</f>
        <v>Ristournes</v>
      </c>
      <c r="C127" s="1011"/>
      <c r="D127" s="1011">
        <f>-'I&amp;T'!D4/1000</f>
        <v>0</v>
      </c>
      <c r="E127" s="1011">
        <f>-'I&amp;T'!E4/1000</f>
        <v>0</v>
      </c>
      <c r="F127" s="1011">
        <f>-'I&amp;T'!F4/1000</f>
        <v>0</v>
      </c>
      <c r="G127" s="1011">
        <f>-'I&amp;T'!G4/1000</f>
        <v>0</v>
      </c>
      <c r="H127" s="1011">
        <f>-'I&amp;T'!H4/1000</f>
        <v>0</v>
      </c>
      <c r="I127" s="1011">
        <f>-'I&amp;T'!I4/1000</f>
        <v>0</v>
      </c>
      <c r="J127" s="1011">
        <f>-'I&amp;T'!J4/1000</f>
        <v>0</v>
      </c>
      <c r="K127" s="1011">
        <f>-'I&amp;T'!K4/1000</f>
        <v>0</v>
      </c>
      <c r="L127" s="1011">
        <f>-'I&amp;T'!L4/1000</f>
        <v>0</v>
      </c>
      <c r="M127" s="1011">
        <f>-'I&amp;T'!M4/1000</f>
        <v>0</v>
      </c>
      <c r="N127" s="1011">
        <f>-'I&amp;T'!N4/1000</f>
        <v>0</v>
      </c>
      <c r="O127" s="1011">
        <f>-'I&amp;T'!O4/1000</f>
        <v>0</v>
      </c>
      <c r="P127" s="1011">
        <f t="shared" si="110"/>
        <v>0</v>
      </c>
    </row>
    <row r="128" spans="2:16">
      <c r="B128" s="1009" t="str">
        <f>+'I&amp;T'!B5</f>
        <v xml:space="preserve">Redevances </v>
      </c>
      <c r="C128" s="1011"/>
      <c r="D128" s="1011">
        <f>-'I&amp;T'!D5/1000</f>
        <v>-60834.55</v>
      </c>
      <c r="E128" s="1011">
        <f>-'I&amp;T'!E5/1000</f>
        <v>-61023.199999999997</v>
      </c>
      <c r="F128" s="1011">
        <f>-'I&amp;T'!F5/1000</f>
        <v>-60834.55</v>
      </c>
      <c r="G128" s="1011">
        <f>-'I&amp;T'!G5/1000</f>
        <v>-61023.199999999997</v>
      </c>
      <c r="H128" s="1011">
        <f>-'I&amp;T'!H5/1000</f>
        <v>-60834.55</v>
      </c>
      <c r="I128" s="1011">
        <f>-'I&amp;T'!I5/1000</f>
        <v>-61023.199999999997</v>
      </c>
      <c r="J128" s="1011">
        <f>-'I&amp;T'!J5/1000</f>
        <v>-60834.55</v>
      </c>
      <c r="K128" s="1011">
        <f>-'I&amp;T'!K5/1000</f>
        <v>-61023.199999999997</v>
      </c>
      <c r="L128" s="1011">
        <f>-'I&amp;T'!L5/1000</f>
        <v>-60834.55</v>
      </c>
      <c r="M128" s="1011">
        <f>-'I&amp;T'!M5/1000</f>
        <v>-61023.199999999997</v>
      </c>
      <c r="N128" s="1011">
        <f>-'I&amp;T'!N5/1000</f>
        <v>-60834.55</v>
      </c>
      <c r="O128" s="1011">
        <f>-'I&amp;T'!O5/1000</f>
        <v>-61023.199999999997</v>
      </c>
      <c r="P128" s="1011">
        <f t="shared" si="110"/>
        <v>-731146.5</v>
      </c>
    </row>
    <row r="129" spans="2:17">
      <c r="B129" s="1009" t="str">
        <f>+'I&amp;T'!B6</f>
        <v>DROIT DE VISITE TECHNIQUE</v>
      </c>
      <c r="C129" s="1027"/>
      <c r="D129" s="1011">
        <f>-'I&amp;T'!D6/1000</f>
        <v>-5</v>
      </c>
      <c r="E129" s="1011">
        <f>-'I&amp;T'!E6/1000</f>
        <v>-5</v>
      </c>
      <c r="F129" s="1011">
        <f>-'I&amp;T'!F6/1000</f>
        <v>-5</v>
      </c>
      <c r="G129" s="1011">
        <f>-'I&amp;T'!G6/1000</f>
        <v>-5</v>
      </c>
      <c r="H129" s="1011">
        <f>-'I&amp;T'!H6/1000</f>
        <v>-5</v>
      </c>
      <c r="I129" s="1011">
        <f>-'I&amp;T'!I6/1000</f>
        <v>-5</v>
      </c>
      <c r="J129" s="1011">
        <f>-'I&amp;T'!J6/1000</f>
        <v>-5</v>
      </c>
      <c r="K129" s="1011">
        <f>-'I&amp;T'!K6/1000</f>
        <v>-5</v>
      </c>
      <c r="L129" s="1011">
        <f>-'I&amp;T'!L6/1000</f>
        <v>-5</v>
      </c>
      <c r="M129" s="1011">
        <f>-'I&amp;T'!M6/1000</f>
        <v>-5</v>
      </c>
      <c r="N129" s="1011">
        <f>-'I&amp;T'!N6/1000</f>
        <v>-5</v>
      </c>
      <c r="O129" s="1011">
        <f>-'I&amp;T'!O6/1000</f>
        <v>-5</v>
      </c>
      <c r="P129" s="1011">
        <f t="shared" si="110"/>
        <v>-60</v>
      </c>
    </row>
    <row r="130" spans="2:17">
      <c r="B130" s="1009" t="str">
        <f>+'I&amp;T'!B7</f>
        <v>DROITS D'ENREGISTREMENT</v>
      </c>
      <c r="C130" s="1027"/>
      <c r="D130" s="1011">
        <f>-'I&amp;T'!D7/1000</f>
        <v>-20</v>
      </c>
      <c r="E130" s="1011">
        <f>-'I&amp;T'!E7/1000</f>
        <v>-20</v>
      </c>
      <c r="F130" s="1011">
        <f>-'I&amp;T'!F7/1000</f>
        <v>-20</v>
      </c>
      <c r="G130" s="1011">
        <f>-'I&amp;T'!G7/1000</f>
        <v>-20</v>
      </c>
      <c r="H130" s="1011">
        <f>-'I&amp;T'!H7/1000</f>
        <v>-20</v>
      </c>
      <c r="I130" s="1011">
        <f>-'I&amp;T'!I7/1000</f>
        <v>-20</v>
      </c>
      <c r="J130" s="1011">
        <f>-'I&amp;T'!J7/1000</f>
        <v>-20</v>
      </c>
      <c r="K130" s="1011">
        <f>-'I&amp;T'!K7/1000</f>
        <v>-20</v>
      </c>
      <c r="L130" s="1011">
        <f>-'I&amp;T'!L7/1000</f>
        <v>-20</v>
      </c>
      <c r="M130" s="1011">
        <f>-'I&amp;T'!M7/1000</f>
        <v>-20</v>
      </c>
      <c r="N130" s="1011">
        <f>-'I&amp;T'!N7/1000</f>
        <v>-20</v>
      </c>
      <c r="O130" s="1011">
        <f>-'I&amp;T'!O7/1000</f>
        <v>-20</v>
      </c>
      <c r="P130" s="1011">
        <f t="shared" si="110"/>
        <v>-240</v>
      </c>
    </row>
    <row r="131" spans="2:17">
      <c r="B131" s="1009" t="str">
        <f>+'I&amp;T'!B8</f>
        <v>DROITS ET TAXES DIVERS</v>
      </c>
      <c r="C131" s="1027"/>
      <c r="D131" s="1011">
        <f>-'I&amp;T'!D8/1000</f>
        <v>-75</v>
      </c>
      <c r="E131" s="1011">
        <f>-'I&amp;T'!E8/1000</f>
        <v>-75</v>
      </c>
      <c r="F131" s="1011">
        <f>-'I&amp;T'!F8/1000</f>
        <v>-75</v>
      </c>
      <c r="G131" s="1011">
        <f>-'I&amp;T'!G8/1000</f>
        <v>-75</v>
      </c>
      <c r="H131" s="1011">
        <f>-'I&amp;T'!H8/1000</f>
        <v>-75</v>
      </c>
      <c r="I131" s="1011">
        <f>-'I&amp;T'!I8/1000</f>
        <v>-75</v>
      </c>
      <c r="J131" s="1011">
        <f>-'I&amp;T'!J8/1000</f>
        <v>-75</v>
      </c>
      <c r="K131" s="1011">
        <f>-'I&amp;T'!K8/1000</f>
        <v>-75</v>
      </c>
      <c r="L131" s="1011">
        <f>-'I&amp;T'!L8/1000</f>
        <v>-75</v>
      </c>
      <c r="M131" s="1011">
        <f>-'I&amp;T'!M8/1000</f>
        <v>-75</v>
      </c>
      <c r="N131" s="1011">
        <f>-'I&amp;T'!N8/1000</f>
        <v>-75</v>
      </c>
      <c r="O131" s="1011">
        <f>-'I&amp;T'!O8/1000</f>
        <v>-75</v>
      </c>
      <c r="P131" s="1011">
        <f t="shared" si="110"/>
        <v>-900</v>
      </c>
    </row>
    <row r="132" spans="2:17">
      <c r="B132" s="1009" t="str">
        <f>+'I&amp;T'!B9</f>
        <v xml:space="preserve">FRAIS D'ADMINISTRATION MINIER </v>
      </c>
      <c r="C132" s="1027"/>
      <c r="D132" s="1011">
        <f>-'I&amp;T'!D9/1000</f>
        <v>0</v>
      </c>
      <c r="E132" s="1011">
        <f>-'I&amp;T'!E9/1000</f>
        <v>0</v>
      </c>
      <c r="F132" s="1011">
        <f>-'I&amp;T'!F9/1000</f>
        <v>-25000</v>
      </c>
      <c r="G132" s="1011">
        <f>-'I&amp;T'!G9/1000</f>
        <v>0</v>
      </c>
      <c r="H132" s="1011">
        <f>-'I&amp;T'!H9/1000</f>
        <v>0</v>
      </c>
      <c r="I132" s="1011">
        <f>-'I&amp;T'!I9/1000</f>
        <v>0</v>
      </c>
      <c r="J132" s="1011">
        <f>-'I&amp;T'!J9/1000</f>
        <v>0</v>
      </c>
      <c r="K132" s="1011">
        <f>-'I&amp;T'!K9/1000</f>
        <v>0</v>
      </c>
      <c r="L132" s="1011">
        <f>-'I&amp;T'!L9/1000</f>
        <v>0</v>
      </c>
      <c r="M132" s="1011">
        <f>-'I&amp;T'!M9/1000</f>
        <v>0</v>
      </c>
      <c r="N132" s="1011">
        <f>-'I&amp;T'!N9/1000</f>
        <v>0</v>
      </c>
      <c r="O132" s="1011">
        <f>-'I&amp;T'!O9/1000</f>
        <v>0</v>
      </c>
      <c r="P132" s="1011">
        <f t="shared" si="110"/>
        <v>-25000</v>
      </c>
    </row>
    <row r="133" spans="2:17">
      <c r="B133" s="1009" t="str">
        <f>+'I&amp;T'!B10</f>
        <v>IFPB</v>
      </c>
      <c r="C133" s="1011">
        <v>0</v>
      </c>
      <c r="D133" s="1011">
        <f>-'I&amp;T'!D10/1000</f>
        <v>0</v>
      </c>
      <c r="E133" s="1011">
        <f>-'I&amp;T'!E10/1000</f>
        <v>0</v>
      </c>
      <c r="F133" s="1011">
        <f>-'I&amp;T'!F10/1000</f>
        <v>0</v>
      </c>
      <c r="G133" s="1011">
        <f>-'I&amp;T'!G10/1000</f>
        <v>0</v>
      </c>
      <c r="H133" s="1011">
        <f>-'I&amp;T'!H10/1000</f>
        <v>0</v>
      </c>
      <c r="I133" s="1011">
        <f>-'I&amp;T'!I10/1000</f>
        <v>-1600</v>
      </c>
      <c r="J133" s="1011">
        <f>-'I&amp;T'!J10/1000</f>
        <v>0</v>
      </c>
      <c r="K133" s="1011">
        <f>-'I&amp;T'!K10/1000</f>
        <v>0</v>
      </c>
      <c r="L133" s="1011">
        <f>-'I&amp;T'!L10/1000</f>
        <v>0</v>
      </c>
      <c r="M133" s="1011">
        <f>-'I&amp;T'!M10/1000</f>
        <v>0</v>
      </c>
      <c r="N133" s="1011">
        <f>-'I&amp;T'!N10/1000</f>
        <v>0</v>
      </c>
      <c r="O133" s="1011">
        <f>-'I&amp;T'!O10/1000</f>
        <v>0</v>
      </c>
      <c r="P133" s="1011">
        <f t="shared" si="110"/>
        <v>-1600</v>
      </c>
    </row>
    <row r="134" spans="2:17">
      <c r="B134" s="1009" t="str">
        <f>+'I&amp;T'!B11</f>
        <v>IR INTERMITTENT</v>
      </c>
      <c r="C134" s="1011">
        <v>0</v>
      </c>
      <c r="D134" s="1011">
        <f>-'I&amp;T'!D11/1000</f>
        <v>0</v>
      </c>
      <c r="E134" s="1011">
        <f>-'I&amp;T'!E11/1000</f>
        <v>0</v>
      </c>
      <c r="F134" s="1011">
        <f>-'I&amp;T'!F11/1000</f>
        <v>0</v>
      </c>
      <c r="G134" s="1011">
        <f>-'I&amp;T'!G11/1000</f>
        <v>0</v>
      </c>
      <c r="H134" s="1011">
        <f>-'I&amp;T'!H11/1000</f>
        <v>0</v>
      </c>
      <c r="I134" s="1011">
        <f>-'I&amp;T'!I11/1000</f>
        <v>0</v>
      </c>
      <c r="J134" s="1011">
        <f>-'I&amp;T'!J11/1000</f>
        <v>0</v>
      </c>
      <c r="K134" s="1011">
        <f>-'I&amp;T'!K11/1000</f>
        <v>0</v>
      </c>
      <c r="L134" s="1011">
        <f>-'I&amp;T'!L11/1000</f>
        <v>0</v>
      </c>
      <c r="M134" s="1011">
        <f>-'I&amp;T'!M11/1000</f>
        <v>0</v>
      </c>
      <c r="N134" s="1011">
        <f>-'I&amp;T'!N11/1000</f>
        <v>0</v>
      </c>
      <c r="O134" s="1011">
        <f>-'I&amp;T'!O11/1000</f>
        <v>0</v>
      </c>
      <c r="P134" s="1011">
        <f t="shared" si="110"/>
        <v>0</v>
      </c>
    </row>
    <row r="135" spans="2:17">
      <c r="B135" s="1009" t="s">
        <v>678</v>
      </c>
      <c r="C135" s="1010"/>
      <c r="D135" s="1011">
        <f>-SUM(D126:D134)-D125</f>
        <v>63684.55</v>
      </c>
      <c r="E135" s="1011">
        <f t="shared" ref="E135:O135" si="111">-SUM(E126:E134)</f>
        <v>63873.2</v>
      </c>
      <c r="F135" s="1011">
        <f t="shared" si="111"/>
        <v>88684.55</v>
      </c>
      <c r="G135" s="1011">
        <f t="shared" si="111"/>
        <v>63873.2</v>
      </c>
      <c r="H135" s="1011">
        <f t="shared" si="111"/>
        <v>63684.55</v>
      </c>
      <c r="I135" s="1011">
        <f t="shared" si="111"/>
        <v>65473.2</v>
      </c>
      <c r="J135" s="1011">
        <f t="shared" si="111"/>
        <v>63684.55</v>
      </c>
      <c r="K135" s="1011">
        <f t="shared" si="111"/>
        <v>63873.2</v>
      </c>
      <c r="L135" s="1011">
        <f t="shared" si="111"/>
        <v>63684.55</v>
      </c>
      <c r="M135" s="1011">
        <f t="shared" si="111"/>
        <v>63873.2</v>
      </c>
      <c r="N135" s="1011">
        <f t="shared" si="111"/>
        <v>63684.55</v>
      </c>
      <c r="O135" s="1011">
        <f t="shared" si="111"/>
        <v>63873.2</v>
      </c>
      <c r="P135" s="1011">
        <f t="shared" si="110"/>
        <v>791946.5</v>
      </c>
    </row>
    <row r="136" spans="2:17">
      <c r="B136" s="1015" t="s">
        <v>673</v>
      </c>
      <c r="C136" s="1016">
        <f>+C32</f>
        <v>0</v>
      </c>
      <c r="D136" s="1017">
        <f t="shared" ref="D136:P136" si="112">SUM(D125:D135)</f>
        <v>0</v>
      </c>
      <c r="E136" s="1017">
        <f t="shared" si="112"/>
        <v>0</v>
      </c>
      <c r="F136" s="1017">
        <f t="shared" si="112"/>
        <v>0</v>
      </c>
      <c r="G136" s="1017">
        <f t="shared" si="112"/>
        <v>0</v>
      </c>
      <c r="H136" s="1017">
        <f t="shared" si="112"/>
        <v>0</v>
      </c>
      <c r="I136" s="1017">
        <f t="shared" si="112"/>
        <v>0</v>
      </c>
      <c r="J136" s="1017">
        <f t="shared" si="112"/>
        <v>0</v>
      </c>
      <c r="K136" s="1017">
        <f t="shared" si="112"/>
        <v>0</v>
      </c>
      <c r="L136" s="1017">
        <f t="shared" si="112"/>
        <v>0</v>
      </c>
      <c r="M136" s="1017">
        <f t="shared" si="112"/>
        <v>0</v>
      </c>
      <c r="N136" s="1017">
        <f t="shared" si="112"/>
        <v>0</v>
      </c>
      <c r="O136" s="1017">
        <f t="shared" si="112"/>
        <v>0</v>
      </c>
      <c r="P136" s="1017">
        <f t="shared" si="112"/>
        <v>0</v>
      </c>
      <c r="Q136" s="970"/>
    </row>
    <row r="137" spans="2:17">
      <c r="C137" s="978"/>
    </row>
    <row r="138" spans="2:17">
      <c r="B138" s="1004" t="str">
        <f>+B34</f>
        <v>Operations groupes</v>
      </c>
      <c r="C138" s="1005" t="str">
        <f>+C124</f>
        <v>AN</v>
      </c>
      <c r="D138" s="1005" t="str">
        <f t="shared" ref="D138:P138" si="113">+D124</f>
        <v>Mois 1</v>
      </c>
      <c r="E138" s="1005" t="str">
        <f t="shared" si="113"/>
        <v>Mois 2</v>
      </c>
      <c r="F138" s="1005" t="str">
        <f t="shared" si="113"/>
        <v>Mois 3</v>
      </c>
      <c r="G138" s="1005" t="str">
        <f t="shared" si="113"/>
        <v>Mois 4</v>
      </c>
      <c r="H138" s="1005" t="str">
        <f t="shared" si="113"/>
        <v>Mois 5</v>
      </c>
      <c r="I138" s="1005" t="str">
        <f t="shared" si="113"/>
        <v>Mois 6</v>
      </c>
      <c r="J138" s="1005" t="str">
        <f t="shared" si="113"/>
        <v>Mois 7</v>
      </c>
      <c r="K138" s="1005" t="str">
        <f t="shared" si="113"/>
        <v>Mois 8</v>
      </c>
      <c r="L138" s="1005" t="str">
        <f t="shared" si="113"/>
        <v>Mois 9</v>
      </c>
      <c r="M138" s="1005" t="str">
        <f t="shared" si="113"/>
        <v>Mois 10</v>
      </c>
      <c r="N138" s="1005" t="str">
        <f t="shared" si="113"/>
        <v>Mois 11</v>
      </c>
      <c r="O138" s="1005" t="str">
        <f t="shared" si="113"/>
        <v>Mois 12</v>
      </c>
      <c r="P138" s="1005" t="str">
        <f t="shared" si="113"/>
        <v>Total</v>
      </c>
    </row>
    <row r="139" spans="2:17">
      <c r="B139" s="1009" t="s">
        <v>669</v>
      </c>
      <c r="C139" s="1011"/>
      <c r="D139" s="1011">
        <f>+C143</f>
        <v>0</v>
      </c>
      <c r="E139" s="1011">
        <f>+D143</f>
        <v>0</v>
      </c>
      <c r="F139" s="1011">
        <f t="shared" ref="F139:O139" si="114">+E143</f>
        <v>0</v>
      </c>
      <c r="G139" s="1011">
        <f t="shared" si="114"/>
        <v>0</v>
      </c>
      <c r="H139" s="1011">
        <f t="shared" si="114"/>
        <v>0</v>
      </c>
      <c r="I139" s="1011">
        <f t="shared" si="114"/>
        <v>0</v>
      </c>
      <c r="J139" s="1011">
        <f t="shared" si="114"/>
        <v>0</v>
      </c>
      <c r="K139" s="1011">
        <f t="shared" si="114"/>
        <v>0</v>
      </c>
      <c r="L139" s="1011">
        <f t="shared" si="114"/>
        <v>0</v>
      </c>
      <c r="M139" s="1011">
        <f t="shared" si="114"/>
        <v>0</v>
      </c>
      <c r="N139" s="1011">
        <f t="shared" si="114"/>
        <v>0</v>
      </c>
      <c r="O139" s="1011">
        <f t="shared" si="114"/>
        <v>0</v>
      </c>
      <c r="P139" s="1011">
        <f>+D139</f>
        <v>0</v>
      </c>
    </row>
    <row r="140" spans="2:17">
      <c r="B140" s="1009" t="s">
        <v>684</v>
      </c>
      <c r="C140" s="1011"/>
      <c r="D140" s="1011">
        <v>0</v>
      </c>
      <c r="E140" s="1011">
        <v>0</v>
      </c>
      <c r="F140" s="1011">
        <v>0</v>
      </c>
      <c r="G140" s="1011">
        <v>0</v>
      </c>
      <c r="H140" s="1011">
        <v>0</v>
      </c>
      <c r="I140" s="1011">
        <v>0</v>
      </c>
      <c r="J140" s="1011">
        <v>0</v>
      </c>
      <c r="K140" s="1011">
        <v>0</v>
      </c>
      <c r="L140" s="1011">
        <v>0</v>
      </c>
      <c r="M140" s="1011">
        <v>0</v>
      </c>
      <c r="N140" s="1011">
        <v>0</v>
      </c>
      <c r="O140" s="1011">
        <v>0</v>
      </c>
      <c r="P140" s="1011">
        <f t="shared" ref="P140:P142" si="115">SUM(D140:O140)</f>
        <v>0</v>
      </c>
    </row>
    <row r="141" spans="2:17">
      <c r="B141" s="1009" t="s">
        <v>685</v>
      </c>
      <c r="C141" s="1011"/>
      <c r="D141" s="1011"/>
      <c r="E141" s="1011">
        <v>0</v>
      </c>
      <c r="F141" s="1011">
        <v>0</v>
      </c>
      <c r="G141" s="1011">
        <v>0</v>
      </c>
      <c r="H141" s="1011">
        <v>0</v>
      </c>
      <c r="I141" s="1011">
        <v>0</v>
      </c>
      <c r="J141" s="1011">
        <v>0</v>
      </c>
      <c r="K141" s="1011">
        <v>0</v>
      </c>
      <c r="L141" s="1011">
        <v>0</v>
      </c>
      <c r="M141" s="1011">
        <v>0</v>
      </c>
      <c r="N141" s="1011">
        <v>0</v>
      </c>
      <c r="O141" s="1011">
        <v>0</v>
      </c>
      <c r="P141" s="1011">
        <f t="shared" si="115"/>
        <v>0</v>
      </c>
    </row>
    <row r="142" spans="2:17">
      <c r="B142" s="1009" t="s">
        <v>686</v>
      </c>
      <c r="C142" s="1011"/>
      <c r="D142" s="1011">
        <v>0</v>
      </c>
      <c r="E142" s="1011">
        <v>0</v>
      </c>
      <c r="F142" s="1011">
        <v>0</v>
      </c>
      <c r="G142" s="1011">
        <v>0</v>
      </c>
      <c r="H142" s="1011">
        <v>0</v>
      </c>
      <c r="I142" s="1011">
        <v>0</v>
      </c>
      <c r="J142" s="1011">
        <v>0</v>
      </c>
      <c r="K142" s="1011">
        <v>0</v>
      </c>
      <c r="L142" s="1011">
        <v>0</v>
      </c>
      <c r="M142" s="1011">
        <v>0</v>
      </c>
      <c r="N142" s="1011">
        <v>0</v>
      </c>
      <c r="O142" s="1011">
        <v>0</v>
      </c>
      <c r="P142" s="1011">
        <f t="shared" si="115"/>
        <v>0</v>
      </c>
    </row>
    <row r="143" spans="2:17">
      <c r="B143" s="1015" t="s">
        <v>673</v>
      </c>
      <c r="C143" s="1016">
        <f>+C34</f>
        <v>0</v>
      </c>
      <c r="D143" s="1017">
        <f t="shared" ref="D143:P143" si="116">SUM(D139:D142)</f>
        <v>0</v>
      </c>
      <c r="E143" s="1017">
        <f t="shared" si="116"/>
        <v>0</v>
      </c>
      <c r="F143" s="1017">
        <f t="shared" si="116"/>
        <v>0</v>
      </c>
      <c r="G143" s="1017">
        <f t="shared" si="116"/>
        <v>0</v>
      </c>
      <c r="H143" s="1017">
        <f t="shared" si="116"/>
        <v>0</v>
      </c>
      <c r="I143" s="1017">
        <f t="shared" si="116"/>
        <v>0</v>
      </c>
      <c r="J143" s="1017">
        <f t="shared" si="116"/>
        <v>0</v>
      </c>
      <c r="K143" s="1017">
        <f t="shared" si="116"/>
        <v>0</v>
      </c>
      <c r="L143" s="1017">
        <f t="shared" si="116"/>
        <v>0</v>
      </c>
      <c r="M143" s="1017">
        <f t="shared" si="116"/>
        <v>0</v>
      </c>
      <c r="N143" s="1017">
        <f t="shared" si="116"/>
        <v>0</v>
      </c>
      <c r="O143" s="1017">
        <f t="shared" si="116"/>
        <v>0</v>
      </c>
      <c r="P143" s="1017">
        <f t="shared" si="116"/>
        <v>0</v>
      </c>
    </row>
    <row r="144" spans="2:17">
      <c r="C144" s="978"/>
    </row>
    <row r="145" spans="2:16">
      <c r="B145" s="1004" t="s">
        <v>687</v>
      </c>
      <c r="C145" s="1005" t="str">
        <f>+C138</f>
        <v>AN</v>
      </c>
      <c r="D145" s="1005" t="str">
        <f t="shared" ref="D145:P145" si="117">+D138</f>
        <v>Mois 1</v>
      </c>
      <c r="E145" s="1005" t="str">
        <f t="shared" si="117"/>
        <v>Mois 2</v>
      </c>
      <c r="F145" s="1005" t="str">
        <f t="shared" si="117"/>
        <v>Mois 3</v>
      </c>
      <c r="G145" s="1005" t="str">
        <f t="shared" si="117"/>
        <v>Mois 4</v>
      </c>
      <c r="H145" s="1005" t="str">
        <f t="shared" si="117"/>
        <v>Mois 5</v>
      </c>
      <c r="I145" s="1005" t="str">
        <f t="shared" si="117"/>
        <v>Mois 6</v>
      </c>
      <c r="J145" s="1005" t="str">
        <f t="shared" si="117"/>
        <v>Mois 7</v>
      </c>
      <c r="K145" s="1005" t="str">
        <f t="shared" si="117"/>
        <v>Mois 8</v>
      </c>
      <c r="L145" s="1005" t="str">
        <f t="shared" si="117"/>
        <v>Mois 9</v>
      </c>
      <c r="M145" s="1005" t="str">
        <f t="shared" si="117"/>
        <v>Mois 10</v>
      </c>
      <c r="N145" s="1005" t="str">
        <f t="shared" si="117"/>
        <v>Mois 11</v>
      </c>
      <c r="O145" s="1005" t="str">
        <f t="shared" si="117"/>
        <v>Mois 12</v>
      </c>
      <c r="P145" s="1005" t="str">
        <f t="shared" si="117"/>
        <v>Total</v>
      </c>
    </row>
    <row r="146" spans="2:16">
      <c r="B146" s="1009" t="s">
        <v>669</v>
      </c>
      <c r="C146" s="1010"/>
      <c r="D146" s="1011">
        <f>+C150</f>
        <v>0</v>
      </c>
      <c r="E146" s="1011">
        <f>+D150</f>
        <v>-500000</v>
      </c>
      <c r="F146" s="1011">
        <f t="shared" ref="F146:O146" si="118">+E150</f>
        <v>-500000</v>
      </c>
      <c r="G146" s="1011">
        <f t="shared" si="118"/>
        <v>-500000</v>
      </c>
      <c r="H146" s="1011">
        <f t="shared" si="118"/>
        <v>-500000</v>
      </c>
      <c r="I146" s="1011">
        <f t="shared" si="118"/>
        <v>-500000</v>
      </c>
      <c r="J146" s="1011">
        <f t="shared" si="118"/>
        <v>-500000</v>
      </c>
      <c r="K146" s="1011">
        <f t="shared" si="118"/>
        <v>-500000</v>
      </c>
      <c r="L146" s="1011">
        <f t="shared" si="118"/>
        <v>-500000</v>
      </c>
      <c r="M146" s="1011">
        <f t="shared" si="118"/>
        <v>-500000</v>
      </c>
      <c r="N146" s="1011">
        <f t="shared" si="118"/>
        <v>-500000</v>
      </c>
      <c r="O146" s="1011">
        <f t="shared" si="118"/>
        <v>-500000</v>
      </c>
      <c r="P146" s="1008">
        <f>+D146</f>
        <v>0</v>
      </c>
    </row>
    <row r="147" spans="2:16">
      <c r="B147" s="1009" t="s">
        <v>684</v>
      </c>
      <c r="C147" s="1010"/>
      <c r="D147" s="1011">
        <v>0</v>
      </c>
      <c r="E147" s="1011">
        <v>0</v>
      </c>
      <c r="F147" s="1011">
        <v>0</v>
      </c>
      <c r="G147" s="1011">
        <v>0</v>
      </c>
      <c r="H147" s="1011">
        <v>0</v>
      </c>
      <c r="I147" s="1011">
        <v>0</v>
      </c>
      <c r="J147" s="1011">
        <v>0</v>
      </c>
      <c r="K147" s="1011">
        <v>0</v>
      </c>
      <c r="L147" s="1011">
        <v>0</v>
      </c>
      <c r="M147" s="1011">
        <v>0</v>
      </c>
      <c r="N147" s="1011">
        <v>0</v>
      </c>
      <c r="O147" s="1011">
        <v>0</v>
      </c>
      <c r="P147" s="1011">
        <f t="shared" ref="P147:P149" si="119">SUM(D147:O147)</f>
        <v>0</v>
      </c>
    </row>
    <row r="148" spans="2:16">
      <c r="B148" s="1009" t="s">
        <v>685</v>
      </c>
      <c r="C148" s="1010"/>
      <c r="D148" s="1028">
        <v>-500000</v>
      </c>
      <c r="E148" s="1011">
        <v>0</v>
      </c>
      <c r="F148" s="1011">
        <v>0</v>
      </c>
      <c r="G148" s="1011">
        <v>0</v>
      </c>
      <c r="H148" s="1011">
        <v>0</v>
      </c>
      <c r="I148" s="1011">
        <v>0</v>
      </c>
      <c r="J148" s="1011">
        <v>0</v>
      </c>
      <c r="K148" s="1011">
        <v>0</v>
      </c>
      <c r="L148" s="1011">
        <v>0</v>
      </c>
      <c r="M148" s="1011">
        <v>0</v>
      </c>
      <c r="N148" s="1011">
        <v>0</v>
      </c>
      <c r="O148" s="1011">
        <v>0</v>
      </c>
      <c r="P148" s="1011">
        <f t="shared" si="119"/>
        <v>-500000</v>
      </c>
    </row>
    <row r="149" spans="2:16">
      <c r="B149" s="1009" t="s">
        <v>686</v>
      </c>
      <c r="C149" s="1010"/>
      <c r="D149" s="1011">
        <v>0</v>
      </c>
      <c r="E149" s="1011">
        <v>0</v>
      </c>
      <c r="F149" s="1011">
        <v>0</v>
      </c>
      <c r="G149" s="1011">
        <v>0</v>
      </c>
      <c r="H149" s="1011">
        <v>0</v>
      </c>
      <c r="I149" s="1011">
        <v>0</v>
      </c>
      <c r="J149" s="1011">
        <v>0</v>
      </c>
      <c r="K149" s="1011">
        <v>0</v>
      </c>
      <c r="L149" s="1011">
        <v>0</v>
      </c>
      <c r="M149" s="1011">
        <v>0</v>
      </c>
      <c r="N149" s="1011">
        <v>0</v>
      </c>
      <c r="O149" s="1011">
        <v>0</v>
      </c>
      <c r="P149" s="1011">
        <f t="shared" si="119"/>
        <v>0</v>
      </c>
    </row>
    <row r="150" spans="2:16">
      <c r="B150" s="1015" t="s">
        <v>673</v>
      </c>
      <c r="C150" s="1016">
        <f>+C35</f>
        <v>0</v>
      </c>
      <c r="D150" s="1017">
        <f t="shared" ref="D150:P150" si="120">SUM(D146:D149)</f>
        <v>-500000</v>
      </c>
      <c r="E150" s="1017">
        <f t="shared" si="120"/>
        <v>-500000</v>
      </c>
      <c r="F150" s="1017">
        <f t="shared" si="120"/>
        <v>-500000</v>
      </c>
      <c r="G150" s="1017">
        <f t="shared" si="120"/>
        <v>-500000</v>
      </c>
      <c r="H150" s="1017">
        <f t="shared" si="120"/>
        <v>-500000</v>
      </c>
      <c r="I150" s="1017">
        <f t="shared" si="120"/>
        <v>-500000</v>
      </c>
      <c r="J150" s="1017">
        <f t="shared" si="120"/>
        <v>-500000</v>
      </c>
      <c r="K150" s="1017">
        <f t="shared" si="120"/>
        <v>-500000</v>
      </c>
      <c r="L150" s="1017">
        <f t="shared" si="120"/>
        <v>-500000</v>
      </c>
      <c r="M150" s="1017">
        <f t="shared" si="120"/>
        <v>-500000</v>
      </c>
      <c r="N150" s="1017">
        <f t="shared" si="120"/>
        <v>-500000</v>
      </c>
      <c r="O150" s="1017">
        <f t="shared" si="120"/>
        <v>-500000</v>
      </c>
      <c r="P150" s="1017">
        <f t="shared" si="120"/>
        <v>-500000</v>
      </c>
    </row>
    <row r="151" spans="2:16">
      <c r="C151" s="978"/>
    </row>
    <row r="152" spans="2:16">
      <c r="B152" s="1004" t="str">
        <f>+B36</f>
        <v>Créditeurs divers</v>
      </c>
      <c r="C152" s="1005" t="str">
        <f>+C145</f>
        <v>AN</v>
      </c>
      <c r="D152" s="1005" t="str">
        <f t="shared" ref="D152:P152" si="121">+D145</f>
        <v>Mois 1</v>
      </c>
      <c r="E152" s="1005" t="str">
        <f t="shared" si="121"/>
        <v>Mois 2</v>
      </c>
      <c r="F152" s="1005" t="str">
        <f t="shared" si="121"/>
        <v>Mois 3</v>
      </c>
      <c r="G152" s="1005" t="str">
        <f t="shared" si="121"/>
        <v>Mois 4</v>
      </c>
      <c r="H152" s="1005" t="str">
        <f t="shared" si="121"/>
        <v>Mois 5</v>
      </c>
      <c r="I152" s="1005" t="str">
        <f t="shared" si="121"/>
        <v>Mois 6</v>
      </c>
      <c r="J152" s="1005" t="str">
        <f t="shared" si="121"/>
        <v>Mois 7</v>
      </c>
      <c r="K152" s="1005" t="str">
        <f t="shared" si="121"/>
        <v>Mois 8</v>
      </c>
      <c r="L152" s="1005" t="str">
        <f t="shared" si="121"/>
        <v>Mois 9</v>
      </c>
      <c r="M152" s="1005" t="str">
        <f t="shared" si="121"/>
        <v>Mois 10</v>
      </c>
      <c r="N152" s="1005" t="str">
        <f t="shared" si="121"/>
        <v>Mois 11</v>
      </c>
      <c r="O152" s="1005" t="str">
        <f t="shared" si="121"/>
        <v>Mois 12</v>
      </c>
      <c r="P152" s="1005" t="str">
        <f t="shared" si="121"/>
        <v>Total</v>
      </c>
    </row>
    <row r="153" spans="2:16">
      <c r="B153" s="1009" t="s">
        <v>669</v>
      </c>
      <c r="C153" s="1010"/>
      <c r="D153" s="1011">
        <f>+C156</f>
        <v>0</v>
      </c>
      <c r="E153" s="1011">
        <f t="shared" ref="E153:O153" si="122">+D156</f>
        <v>0</v>
      </c>
      <c r="F153" s="1011">
        <f t="shared" si="122"/>
        <v>0</v>
      </c>
      <c r="G153" s="1011">
        <f t="shared" si="122"/>
        <v>0</v>
      </c>
      <c r="H153" s="1011">
        <f t="shared" si="122"/>
        <v>0</v>
      </c>
      <c r="I153" s="1011">
        <f t="shared" si="122"/>
        <v>0</v>
      </c>
      <c r="J153" s="1011">
        <f t="shared" si="122"/>
        <v>0</v>
      </c>
      <c r="K153" s="1011">
        <f t="shared" si="122"/>
        <v>0</v>
      </c>
      <c r="L153" s="1011">
        <f t="shared" si="122"/>
        <v>0</v>
      </c>
      <c r="M153" s="1011">
        <f t="shared" si="122"/>
        <v>0</v>
      </c>
      <c r="N153" s="1011">
        <f t="shared" si="122"/>
        <v>0</v>
      </c>
      <c r="O153" s="1011">
        <f t="shared" si="122"/>
        <v>0</v>
      </c>
      <c r="P153" s="1008">
        <f>+D153</f>
        <v>0</v>
      </c>
    </row>
    <row r="154" spans="2:16">
      <c r="B154" s="1009" t="s">
        <v>688</v>
      </c>
      <c r="C154" s="1010"/>
      <c r="D154" s="1011">
        <f>-Autres!C5/1000</f>
        <v>0</v>
      </c>
      <c r="E154" s="1011">
        <f>-Autres!D5/1000</f>
        <v>0</v>
      </c>
      <c r="F154" s="1011">
        <f>-Autres!E5/1000</f>
        <v>-100</v>
      </c>
      <c r="G154" s="1011">
        <f>-Autres!F5/1000</f>
        <v>0</v>
      </c>
      <c r="H154" s="1011">
        <f>-Autres!G5/1000</f>
        <v>0</v>
      </c>
      <c r="I154" s="1011">
        <f>-Autres!H5/1000</f>
        <v>-100</v>
      </c>
      <c r="J154" s="1011">
        <f>-Autres!I5/1000</f>
        <v>0</v>
      </c>
      <c r="K154" s="1011">
        <f>-Autres!J5/1000</f>
        <v>0</v>
      </c>
      <c r="L154" s="1011">
        <f>-Autres!K5/1000</f>
        <v>-100</v>
      </c>
      <c r="M154" s="1011">
        <f>-Autres!L5/1000</f>
        <v>0</v>
      </c>
      <c r="N154" s="1011">
        <f>-Autres!M5/1000</f>
        <v>0</v>
      </c>
      <c r="O154" s="1011">
        <f>-Autres!N5/1000</f>
        <v>-5500</v>
      </c>
      <c r="P154" s="1011">
        <f t="shared" ref="P154:P155" si="123">SUM(D154:O154)</f>
        <v>-5800</v>
      </c>
    </row>
    <row r="155" spans="2:16">
      <c r="B155" s="1009" t="s">
        <v>686</v>
      </c>
      <c r="C155" s="1010"/>
      <c r="D155" s="1011">
        <f>-SUM(D153:D154)</f>
        <v>0</v>
      </c>
      <c r="E155" s="1011">
        <f t="shared" ref="E155:O155" si="124">-SUM(E153:E154)</f>
        <v>0</v>
      </c>
      <c r="F155" s="1011">
        <f t="shared" si="124"/>
        <v>100</v>
      </c>
      <c r="G155" s="1011">
        <f t="shared" si="124"/>
        <v>0</v>
      </c>
      <c r="H155" s="1011">
        <f t="shared" si="124"/>
        <v>0</v>
      </c>
      <c r="I155" s="1011">
        <f t="shared" si="124"/>
        <v>100</v>
      </c>
      <c r="J155" s="1011">
        <f t="shared" si="124"/>
        <v>0</v>
      </c>
      <c r="K155" s="1011">
        <f t="shared" si="124"/>
        <v>0</v>
      </c>
      <c r="L155" s="1011">
        <f t="shared" si="124"/>
        <v>100</v>
      </c>
      <c r="M155" s="1011">
        <f t="shared" si="124"/>
        <v>0</v>
      </c>
      <c r="N155" s="1011">
        <f t="shared" si="124"/>
        <v>0</v>
      </c>
      <c r="O155" s="1011">
        <f t="shared" si="124"/>
        <v>5500</v>
      </c>
      <c r="P155" s="1011">
        <f t="shared" si="123"/>
        <v>5800</v>
      </c>
    </row>
    <row r="156" spans="2:16">
      <c r="B156" s="1015" t="s">
        <v>673</v>
      </c>
      <c r="C156" s="1016">
        <f>+C36+C33</f>
        <v>0</v>
      </c>
      <c r="D156" s="1017">
        <f t="shared" ref="D156:P156" si="125">SUM(D153:D155)</f>
        <v>0</v>
      </c>
      <c r="E156" s="1017">
        <f t="shared" si="125"/>
        <v>0</v>
      </c>
      <c r="F156" s="1017">
        <f t="shared" si="125"/>
        <v>0</v>
      </c>
      <c r="G156" s="1017">
        <f t="shared" si="125"/>
        <v>0</v>
      </c>
      <c r="H156" s="1017">
        <f t="shared" si="125"/>
        <v>0</v>
      </c>
      <c r="I156" s="1017">
        <f t="shared" si="125"/>
        <v>0</v>
      </c>
      <c r="J156" s="1017">
        <f t="shared" si="125"/>
        <v>0</v>
      </c>
      <c r="K156" s="1017">
        <f t="shared" si="125"/>
        <v>0</v>
      </c>
      <c r="L156" s="1017">
        <f t="shared" si="125"/>
        <v>0</v>
      </c>
      <c r="M156" s="1017">
        <f t="shared" si="125"/>
        <v>0</v>
      </c>
      <c r="N156" s="1017">
        <f t="shared" si="125"/>
        <v>0</v>
      </c>
      <c r="O156" s="1017">
        <f t="shared" si="125"/>
        <v>0</v>
      </c>
      <c r="P156" s="1017">
        <f t="shared" si="125"/>
        <v>0</v>
      </c>
    </row>
    <row r="157" spans="2:16" ht="4.5" customHeight="1">
      <c r="C157" s="978"/>
    </row>
    <row r="158" spans="2:16">
      <c r="B158" s="979" t="s">
        <v>689</v>
      </c>
      <c r="C158" s="1029">
        <f>+C156+C150+C143+C136+C122+C116+C109+C103+C97+C91+C85+C83+C76+C69</f>
        <v>0</v>
      </c>
      <c r="D158" s="980">
        <f>+D155+D154+D149+D148+D147+D142+D141+D140+D135+D134+D133+D132+D131+D130+D129+D128+D126+D115+D114+D113+D108+D107+D102+D101+D96+D95+D90+D89+D85+D82+D81+D80+D75+D74+D73+D68+D67+D66+D120+D121</f>
        <v>-519217.49087500002</v>
      </c>
      <c r="E158" s="980">
        <f>+E155+E154+E149+E148+E147+E142+E141+E140+E135+E134+E133+E132+E131+E130+E129+E128+E126+E115+E114+E113+E108+E107+E102+E101+E96+E95+E90+E89+E85+E82+E81+E80+E75+E74+E73+E68+E67+E66+E120+E121</f>
        <v>-10202.018374999985</v>
      </c>
      <c r="F158" s="980">
        <f t="shared" ref="F158:O158" si="126">+F155+F154+F149+F148+F147+F142+F141+F140+F135+F134+F133+F132+F131+F130+F129+F128+F126+F115+F114+F113+F108+F107+F102+F101+F96+F95+F90+F89+F85+F82+F81+F80+F75+F74+F73+F68+F67+F66+F120+F121</f>
        <v>-10158.255875000032</v>
      </c>
      <c r="G158" s="980">
        <f t="shared" si="126"/>
        <v>20330.51575000002</v>
      </c>
      <c r="H158" s="980">
        <f t="shared" si="126"/>
        <v>-10158.255875000032</v>
      </c>
      <c r="I158" s="980">
        <f t="shared" si="126"/>
        <v>-10202.018374999985</v>
      </c>
      <c r="J158" s="980">
        <f t="shared" si="126"/>
        <v>20390.032750000013</v>
      </c>
      <c r="K158" s="980">
        <f t="shared" si="126"/>
        <v>-10202.018374999985</v>
      </c>
      <c r="L158" s="980">
        <f t="shared" si="126"/>
        <v>-9759.2318750000559</v>
      </c>
      <c r="M158" s="980">
        <f t="shared" si="126"/>
        <v>20316.401500000036</v>
      </c>
      <c r="N158" s="980">
        <f t="shared" si="126"/>
        <v>10004.884624999948</v>
      </c>
      <c r="O158" s="980">
        <f t="shared" si="126"/>
        <v>-704452.64600000007</v>
      </c>
      <c r="P158" s="1029">
        <f>+P156+P150+P143+P136+P122+P116+P109+P103+P97+P91+P85+P83+P76+P69</f>
        <v>-1213310.101</v>
      </c>
    </row>
    <row r="159" spans="2:16" s="1030" customFormat="1" ht="13.5" customHeight="1">
      <c r="B159" s="1030" t="s">
        <v>690</v>
      </c>
      <c r="C159" s="1031">
        <f t="shared" ref="C159:P159" si="127">+C158-C37</f>
        <v>0</v>
      </c>
      <c r="D159" s="1031">
        <f>+D158-D37</f>
        <v>0</v>
      </c>
      <c r="E159" s="1031">
        <f>+E158-E37</f>
        <v>1.6370904631912708E-11</v>
      </c>
      <c r="F159" s="1031">
        <f t="shared" si="127"/>
        <v>-3.2741809263825417E-11</v>
      </c>
      <c r="G159" s="1031">
        <f t="shared" si="127"/>
        <v>0</v>
      </c>
      <c r="H159" s="1031">
        <f t="shared" si="127"/>
        <v>-3.2741809263825417E-11</v>
      </c>
      <c r="I159" s="1031">
        <f t="shared" si="127"/>
        <v>1.6370904631912708E-11</v>
      </c>
      <c r="J159" s="1031">
        <f t="shared" si="127"/>
        <v>0</v>
      </c>
      <c r="K159" s="1031">
        <f t="shared" si="127"/>
        <v>1.6370904631912708E-11</v>
      </c>
      <c r="L159" s="1031">
        <f t="shared" si="127"/>
        <v>-5.6388671509921551E-11</v>
      </c>
      <c r="M159" s="1031">
        <f t="shared" si="127"/>
        <v>3.637978807091713E-11</v>
      </c>
      <c r="N159" s="1031">
        <f t="shared" si="127"/>
        <v>-5.6388671509921551E-11</v>
      </c>
      <c r="O159" s="1031">
        <f t="shared" si="127"/>
        <v>0</v>
      </c>
      <c r="P159" s="1031">
        <f t="shared" si="127"/>
        <v>0</v>
      </c>
    </row>
    <row r="160" spans="2:16">
      <c r="B160" s="1004" t="s">
        <v>657</v>
      </c>
      <c r="C160" s="1005" t="str">
        <f t="shared" ref="C160:P160" si="128">+C145</f>
        <v>AN</v>
      </c>
      <c r="D160" s="1005" t="str">
        <f t="shared" si="128"/>
        <v>Mois 1</v>
      </c>
      <c r="E160" s="1005" t="str">
        <f t="shared" si="128"/>
        <v>Mois 2</v>
      </c>
      <c r="F160" s="1005" t="str">
        <f t="shared" si="128"/>
        <v>Mois 3</v>
      </c>
      <c r="G160" s="1005" t="str">
        <f t="shared" si="128"/>
        <v>Mois 4</v>
      </c>
      <c r="H160" s="1005" t="str">
        <f t="shared" si="128"/>
        <v>Mois 5</v>
      </c>
      <c r="I160" s="1005" t="str">
        <f t="shared" si="128"/>
        <v>Mois 6</v>
      </c>
      <c r="J160" s="1005" t="str">
        <f t="shared" si="128"/>
        <v>Mois 7</v>
      </c>
      <c r="K160" s="1005" t="str">
        <f t="shared" si="128"/>
        <v>Mois 8</v>
      </c>
      <c r="L160" s="1005" t="str">
        <f t="shared" si="128"/>
        <v>Mois 9</v>
      </c>
      <c r="M160" s="1005" t="str">
        <f t="shared" si="128"/>
        <v>Mois 10</v>
      </c>
      <c r="N160" s="1005" t="str">
        <f t="shared" si="128"/>
        <v>Mois 11</v>
      </c>
      <c r="O160" s="1005" t="str">
        <f t="shared" si="128"/>
        <v>Mois 12</v>
      </c>
      <c r="P160" s="1005" t="str">
        <f t="shared" si="128"/>
        <v>Total</v>
      </c>
    </row>
    <row r="161" spans="2:16">
      <c r="B161" s="1032" t="s">
        <v>1767</v>
      </c>
      <c r="C161" s="1033"/>
      <c r="D161" s="1033"/>
      <c r="E161" s="1033"/>
      <c r="F161" s="1033"/>
      <c r="G161" s="1033"/>
      <c r="H161" s="1033"/>
      <c r="I161" s="1033"/>
      <c r="J161" s="1033"/>
      <c r="K161" s="1033"/>
      <c r="L161" s="1033"/>
      <c r="M161" s="1033"/>
      <c r="N161" s="1033"/>
      <c r="O161" s="1033"/>
      <c r="P161" s="1033"/>
    </row>
    <row r="162" spans="2:16">
      <c r="B162" s="1009" t="s">
        <v>669</v>
      </c>
      <c r="C162" s="1010"/>
      <c r="D162" s="1011">
        <f>+C169</f>
        <v>0</v>
      </c>
      <c r="E162" s="1011">
        <f t="shared" ref="E162:O162" si="129">+D169</f>
        <v>11592.515279635205</v>
      </c>
      <c r="F162" s="1011">
        <f t="shared" si="129"/>
        <v>22870.945708814426</v>
      </c>
      <c r="G162" s="1011">
        <f t="shared" si="129"/>
        <v>34463.460988449631</v>
      </c>
      <c r="H162" s="1011">
        <f t="shared" si="129"/>
        <v>45741.891417628853</v>
      </c>
      <c r="I162" s="1011">
        <f t="shared" si="129"/>
        <v>57334.406697264174</v>
      </c>
      <c r="J162" s="1011">
        <f t="shared" si="129"/>
        <v>68612.837126443512</v>
      </c>
      <c r="K162" s="1011">
        <f t="shared" si="129"/>
        <v>80205.352406078717</v>
      </c>
      <c r="L162" s="1011">
        <f t="shared" si="129"/>
        <v>91483.782835258055</v>
      </c>
      <c r="M162" s="1011">
        <f t="shared" si="129"/>
        <v>78137.030803343048</v>
      </c>
      <c r="N162" s="1011">
        <f t="shared" si="129"/>
        <v>65992.555673251976</v>
      </c>
      <c r="O162" s="1011">
        <f t="shared" si="129"/>
        <v>52645.803641337086</v>
      </c>
      <c r="P162" s="1011">
        <f>+D162</f>
        <v>0</v>
      </c>
    </row>
    <row r="163" spans="2:16">
      <c r="B163" s="1009" t="s">
        <v>691</v>
      </c>
      <c r="C163" s="1010"/>
      <c r="D163" s="1011">
        <f>+Production!D54*Production!$P$71/1000</f>
        <v>1003137.287063826</v>
      </c>
      <c r="E163" s="1011">
        <f>+Production!E54*Production!$P$71/1000</f>
        <v>1006061.8855683851</v>
      </c>
      <c r="F163" s="1011">
        <f>+Production!F54*Production!$P$71/1000</f>
        <v>1003137.287063826</v>
      </c>
      <c r="G163" s="1011">
        <f>+Production!G54*Production!$P$71/1000</f>
        <v>1006061.8855683851</v>
      </c>
      <c r="H163" s="1011">
        <f>+Production!H54*Production!$P$71/1000</f>
        <v>1003137.287063826</v>
      </c>
      <c r="I163" s="1011">
        <f>+Production!I54*Production!$P$71/1000</f>
        <v>1006061.8855683851</v>
      </c>
      <c r="J163" s="1011">
        <f>+Production!J54*Production!$P$71/1000</f>
        <v>1003137.287063826</v>
      </c>
      <c r="K163" s="1011">
        <f>+Production!K54*Production!$P$71/1000</f>
        <v>1006061.8855683851</v>
      </c>
      <c r="L163" s="1011">
        <f>+Production!L54*Production!$P$71/1000</f>
        <v>963655.2072522759</v>
      </c>
      <c r="M163" s="1011">
        <f>+Production!M54*Production!$P$71/1000</f>
        <v>968042.10500911484</v>
      </c>
      <c r="N163" s="1011">
        <f>+Production!N54*Production!$P$71/1000</f>
        <v>963655.2072522759</v>
      </c>
      <c r="O163" s="1011">
        <f>+Production!O54*Production!$P$71/1000</f>
        <v>968042.10500911484</v>
      </c>
      <c r="P163" s="1011">
        <f t="shared" ref="P163:P164" si="130">SUM(D163:O163)</f>
        <v>11900191.315051625</v>
      </c>
    </row>
    <row r="164" spans="2:16">
      <c r="B164" s="1009" t="s">
        <v>692</v>
      </c>
      <c r="C164" s="1010">
        <v>0</v>
      </c>
      <c r="D164" s="1011">
        <f>-Production!D58*Production!$P$71/1000</f>
        <v>-984127.39678419079</v>
      </c>
      <c r="E164" s="1011">
        <f>-Production!E58*Production!$P$71/1000</f>
        <v>-987344.45513920591</v>
      </c>
      <c r="F164" s="1011">
        <f>-Production!F58*Production!$P$71/1000</f>
        <v>-984127.39678419079</v>
      </c>
      <c r="G164" s="1011">
        <f>-Production!G58*Production!$P$71/1000</f>
        <v>-987344.45513920591</v>
      </c>
      <c r="H164" s="1011">
        <f>-Production!H58*Production!$P$71/1000</f>
        <v>-984127.39678419079</v>
      </c>
      <c r="I164" s="1011">
        <f>-Production!I58*Production!$P$71/1000</f>
        <v>-987344.45513920591</v>
      </c>
      <c r="J164" s="1011">
        <f>-Production!J58*Production!$P$71/1000</f>
        <v>-984127.39678419079</v>
      </c>
      <c r="K164" s="1011">
        <f>-Production!K58*Production!$P$71/1000</f>
        <v>-987344.45513920591</v>
      </c>
      <c r="L164" s="1011">
        <f>-Production!L58*Production!$P$71/1000</f>
        <v>-984127.39678419079</v>
      </c>
      <c r="M164" s="1011">
        <f>-Production!M58*Production!$P$71/1000</f>
        <v>-987344.45513920591</v>
      </c>
      <c r="N164" s="1011">
        <f>-Production!N58*Production!$P$71/1000</f>
        <v>-984127.39678419079</v>
      </c>
      <c r="O164" s="1011">
        <f>-Production!O58*Production!$P$71/1000</f>
        <v>-987344.45513920591</v>
      </c>
      <c r="P164" s="1011">
        <f t="shared" si="130"/>
        <v>-11828831.111540381</v>
      </c>
    </row>
    <row r="165" spans="2:16">
      <c r="B165" s="1032" t="s">
        <v>1768</v>
      </c>
      <c r="C165" s="1010"/>
      <c r="D165" s="1011"/>
      <c r="E165" s="1011"/>
      <c r="F165" s="1011"/>
      <c r="G165" s="1011"/>
      <c r="H165" s="1011"/>
      <c r="I165" s="1011"/>
      <c r="J165" s="1011"/>
      <c r="K165" s="1011"/>
      <c r="L165" s="1011"/>
      <c r="M165" s="1011"/>
      <c r="N165" s="1011"/>
      <c r="O165" s="1011"/>
      <c r="P165" s="1011"/>
    </row>
    <row r="166" spans="2:16">
      <c r="B166" s="1009" t="str">
        <f>+B162</f>
        <v>Début</v>
      </c>
      <c r="C166" s="1010"/>
      <c r="D166" s="1011"/>
      <c r="E166" s="1011"/>
      <c r="F166" s="1011"/>
      <c r="G166" s="1011"/>
      <c r="H166" s="1011"/>
      <c r="I166" s="1011"/>
      <c r="J166" s="1011"/>
      <c r="K166" s="1011"/>
      <c r="L166" s="1011"/>
      <c r="M166" s="1011"/>
      <c r="N166" s="1011"/>
      <c r="O166" s="1011"/>
      <c r="P166" s="1011">
        <f>+D166</f>
        <v>0</v>
      </c>
    </row>
    <row r="167" spans="2:16">
      <c r="B167" s="1009" t="str">
        <f t="shared" ref="B167:B168" si="131">+B163</f>
        <v>Entrées</v>
      </c>
      <c r="C167" s="1010"/>
      <c r="D167" s="1034">
        <f>-'Besoins en micas'!C17*'Besoins en micas'!$O$91/1000</f>
        <v>-378286.125</v>
      </c>
      <c r="E167" s="1034">
        <f>-'Besoins en micas'!D17*'Besoins en micas'!$O$91/1000</f>
        <v>-379389</v>
      </c>
      <c r="F167" s="1034">
        <f>-'Besoins en micas'!E17*'Besoins en micas'!$O$91/1000</f>
        <v>-378286.125</v>
      </c>
      <c r="G167" s="1034">
        <f>-'Besoins en micas'!F17*'Besoins en micas'!$O$91/1000</f>
        <v>-379389</v>
      </c>
      <c r="H167" s="1034">
        <f>-'Besoins en micas'!G17*'Besoins en micas'!$O$91/1000</f>
        <v>-378286.125</v>
      </c>
      <c r="I167" s="1034">
        <f>-'Besoins en micas'!H17*'Besoins en micas'!$O$91/1000</f>
        <v>-379389</v>
      </c>
      <c r="J167" s="1034">
        <f>-'Besoins en micas'!I17*'Besoins en micas'!$O$91/1000</f>
        <v>-378286.125</v>
      </c>
      <c r="K167" s="1034">
        <f>-'Besoins en micas'!J17*'Besoins en micas'!$O$91/1000</f>
        <v>-379389</v>
      </c>
      <c r="L167" s="1034">
        <f>-'Besoins en micas'!K17*'Besoins en micas'!$O$91/1000</f>
        <v>-349146.4375</v>
      </c>
      <c r="M167" s="1034">
        <f>-'Besoins en micas'!L17*'Besoins en micas'!$O$91/1000</f>
        <v>-350735.875</v>
      </c>
      <c r="N167" s="1034">
        <f>-'Besoins en micas'!M17*'Besoins en micas'!$O$91/1000</f>
        <v>-349146.4375</v>
      </c>
      <c r="O167" s="1034">
        <f>-'Besoins en micas'!N17*'Besoins en micas'!$O$91/1000</f>
        <v>-350735.875</v>
      </c>
      <c r="P167" s="1011">
        <f t="shared" ref="P167:P168" si="132">SUM(D167:O167)</f>
        <v>-4430465.125</v>
      </c>
    </row>
    <row r="168" spans="2:16">
      <c r="B168" s="1009" t="str">
        <f t="shared" si="131"/>
        <v>Sorties</v>
      </c>
      <c r="C168" s="1010">
        <v>0</v>
      </c>
      <c r="D168" s="1011">
        <f>+'Besoins en micas'!C21*'Besoins en micas'!$O$91/1000</f>
        <v>370868.75</v>
      </c>
      <c r="E168" s="1011">
        <f>+'Besoins en micas'!D21*'Besoins en micas'!$O$91/1000</f>
        <v>371950</v>
      </c>
      <c r="F168" s="1011">
        <f>+'Besoins en micas'!E21*'Besoins en micas'!$O$91/1000</f>
        <v>370868.75</v>
      </c>
      <c r="G168" s="1011">
        <f>+'Besoins en micas'!F21*'Besoins en micas'!$O$91/1000</f>
        <v>371950</v>
      </c>
      <c r="H168" s="1011">
        <f>+'Besoins en micas'!G21*'Besoins en micas'!$O$91/1000</f>
        <v>370868.75</v>
      </c>
      <c r="I168" s="1011">
        <f>+'Besoins en micas'!H21*'Besoins en micas'!$O$91/1000</f>
        <v>371950</v>
      </c>
      <c r="J168" s="1011">
        <f>+'Besoins en micas'!I21*'Besoins en micas'!$O$91/1000</f>
        <v>370868.75</v>
      </c>
      <c r="K168" s="1011">
        <f>+'Besoins en micas'!J21*'Besoins en micas'!$O$91/1000</f>
        <v>371950</v>
      </c>
      <c r="L168" s="1011">
        <f>+'Besoins en micas'!K21*'Besoins en micas'!$O$91/1000</f>
        <v>356271.875</v>
      </c>
      <c r="M168" s="1011">
        <f>+'Besoins en micas'!L21*'Besoins en micas'!$O$91/1000</f>
        <v>357893.75</v>
      </c>
      <c r="N168" s="1011">
        <f>+'Besoins en micas'!M21*'Besoins en micas'!$O$91/1000</f>
        <v>356271.875</v>
      </c>
      <c r="O168" s="1011">
        <f>+'Besoins en micas'!N21*'Besoins en micas'!$O$91/1000</f>
        <v>357893.75</v>
      </c>
      <c r="P168" s="1011">
        <f t="shared" si="132"/>
        <v>4399606.25</v>
      </c>
    </row>
    <row r="169" spans="2:16">
      <c r="B169" s="1015" t="s">
        <v>673</v>
      </c>
      <c r="C169" s="1016">
        <f>+Production!D50</f>
        <v>0</v>
      </c>
      <c r="D169" s="1017">
        <f>SUM(D162:D168)</f>
        <v>11592.515279635205</v>
      </c>
      <c r="E169" s="1017">
        <f t="shared" ref="E169:P169" si="133">SUM(E162:E168)</f>
        <v>22870.945708814426</v>
      </c>
      <c r="F169" s="1017">
        <f t="shared" si="133"/>
        <v>34463.460988449631</v>
      </c>
      <c r="G169" s="1017">
        <f t="shared" si="133"/>
        <v>45741.891417628853</v>
      </c>
      <c r="H169" s="1017">
        <f t="shared" si="133"/>
        <v>57334.406697264174</v>
      </c>
      <c r="I169" s="1017">
        <f t="shared" si="133"/>
        <v>68612.837126443512</v>
      </c>
      <c r="J169" s="1017">
        <f t="shared" si="133"/>
        <v>80205.352406078717</v>
      </c>
      <c r="K169" s="1017">
        <f t="shared" si="133"/>
        <v>91483.782835258055</v>
      </c>
      <c r="L169" s="1017">
        <f t="shared" si="133"/>
        <v>78137.030803343048</v>
      </c>
      <c r="M169" s="1017">
        <f t="shared" si="133"/>
        <v>65992.555673251976</v>
      </c>
      <c r="N169" s="1017">
        <f t="shared" si="133"/>
        <v>52645.803641337086</v>
      </c>
      <c r="O169" s="1017">
        <f t="shared" si="133"/>
        <v>40501.328511246014</v>
      </c>
      <c r="P169" s="1017">
        <f t="shared" si="133"/>
        <v>40501.328511243686</v>
      </c>
    </row>
    <row r="170" spans="2:16">
      <c r="C170" s="978"/>
    </row>
    <row r="171" spans="2:16">
      <c r="B171" s="1004" t="s">
        <v>736</v>
      </c>
      <c r="C171" s="1005" t="str">
        <f t="shared" ref="C171:O171" si="134">+C160</f>
        <v>AN</v>
      </c>
      <c r="D171" s="1005" t="str">
        <f t="shared" si="134"/>
        <v>Mois 1</v>
      </c>
      <c r="E171" s="1005" t="str">
        <f t="shared" si="134"/>
        <v>Mois 2</v>
      </c>
      <c r="F171" s="1005" t="str">
        <f t="shared" si="134"/>
        <v>Mois 3</v>
      </c>
      <c r="G171" s="1005" t="str">
        <f t="shared" si="134"/>
        <v>Mois 4</v>
      </c>
      <c r="H171" s="1005" t="str">
        <f t="shared" si="134"/>
        <v>Mois 5</v>
      </c>
      <c r="I171" s="1005" t="str">
        <f t="shared" si="134"/>
        <v>Mois 6</v>
      </c>
      <c r="J171" s="1005" t="str">
        <f t="shared" si="134"/>
        <v>Mois 7</v>
      </c>
      <c r="K171" s="1005" t="str">
        <f t="shared" si="134"/>
        <v>Mois 8</v>
      </c>
      <c r="L171" s="1005" t="str">
        <f t="shared" si="134"/>
        <v>Mois 9</v>
      </c>
      <c r="M171" s="1005" t="str">
        <f t="shared" si="134"/>
        <v>Mois 10</v>
      </c>
      <c r="N171" s="1005" t="str">
        <f t="shared" si="134"/>
        <v>Mois 11</v>
      </c>
      <c r="O171" s="1005" t="str">
        <f t="shared" si="134"/>
        <v>Mois 12</v>
      </c>
      <c r="P171" s="1005" t="str">
        <f>+P160</f>
        <v>Total</v>
      </c>
    </row>
    <row r="172" spans="2:16">
      <c r="B172" s="1009" t="s">
        <v>669</v>
      </c>
      <c r="C172" s="1010"/>
      <c r="D172" s="1011">
        <f>+C175</f>
        <v>0</v>
      </c>
      <c r="E172" s="1011">
        <f t="shared" ref="E172:O172" si="135">+D175</f>
        <v>0</v>
      </c>
      <c r="F172" s="1011">
        <f t="shared" si="135"/>
        <v>0</v>
      </c>
      <c r="G172" s="1011">
        <f t="shared" si="135"/>
        <v>0</v>
      </c>
      <c r="H172" s="1011">
        <f t="shared" si="135"/>
        <v>0</v>
      </c>
      <c r="I172" s="1011">
        <f t="shared" si="135"/>
        <v>0</v>
      </c>
      <c r="J172" s="1011">
        <f t="shared" si="135"/>
        <v>0</v>
      </c>
      <c r="K172" s="1011">
        <f t="shared" si="135"/>
        <v>0</v>
      </c>
      <c r="L172" s="1011">
        <f t="shared" si="135"/>
        <v>0</v>
      </c>
      <c r="M172" s="1011">
        <f t="shared" si="135"/>
        <v>0</v>
      </c>
      <c r="N172" s="1011">
        <f t="shared" si="135"/>
        <v>0</v>
      </c>
      <c r="O172" s="1011">
        <f t="shared" si="135"/>
        <v>0</v>
      </c>
      <c r="P172" s="1008">
        <f>+D172</f>
        <v>0</v>
      </c>
    </row>
    <row r="173" spans="2:16">
      <c r="B173" s="1009" t="s">
        <v>691</v>
      </c>
      <c r="C173" s="1010"/>
      <c r="D173" s="1011">
        <v>0</v>
      </c>
      <c r="E173" s="1011">
        <v>0</v>
      </c>
      <c r="F173" s="1011">
        <v>0</v>
      </c>
      <c r="G173" s="1011">
        <v>0</v>
      </c>
      <c r="H173" s="1011">
        <v>0</v>
      </c>
      <c r="I173" s="1011">
        <v>0</v>
      </c>
      <c r="J173" s="1011">
        <v>0</v>
      </c>
      <c r="K173" s="1011">
        <v>0</v>
      </c>
      <c r="L173" s="1011">
        <v>0</v>
      </c>
      <c r="M173" s="1011">
        <v>0</v>
      </c>
      <c r="N173" s="1011">
        <v>0</v>
      </c>
      <c r="O173" s="1011">
        <v>0</v>
      </c>
      <c r="P173" s="1011">
        <f>SUM(D173:O173)</f>
        <v>0</v>
      </c>
    </row>
    <row r="174" spans="2:16">
      <c r="B174" s="1009" t="s">
        <v>692</v>
      </c>
      <c r="C174" s="1010"/>
      <c r="D174" s="1011">
        <v>0</v>
      </c>
      <c r="E174" s="1011">
        <v>0</v>
      </c>
      <c r="F174" s="1011">
        <v>0</v>
      </c>
      <c r="G174" s="1011">
        <v>0</v>
      </c>
      <c r="H174" s="1011">
        <v>0</v>
      </c>
      <c r="I174" s="1011">
        <v>0</v>
      </c>
      <c r="J174" s="1011">
        <v>0</v>
      </c>
      <c r="K174" s="1011">
        <v>0</v>
      </c>
      <c r="L174" s="1011">
        <v>0</v>
      </c>
      <c r="M174" s="1011">
        <v>0</v>
      </c>
      <c r="N174" s="1011">
        <v>0</v>
      </c>
      <c r="O174" s="1011">
        <v>0</v>
      </c>
      <c r="P174" s="1011">
        <f>SUM(D174:O174)</f>
        <v>0</v>
      </c>
    </row>
    <row r="175" spans="2:16">
      <c r="B175" s="1015" t="s">
        <v>673</v>
      </c>
      <c r="C175" s="1016">
        <f>+C42</f>
        <v>0</v>
      </c>
      <c r="D175" s="1017">
        <f t="shared" ref="D175:P175" si="136">SUM(D171:D174)</f>
        <v>0</v>
      </c>
      <c r="E175" s="1017">
        <f t="shared" si="136"/>
        <v>0</v>
      </c>
      <c r="F175" s="1017">
        <f t="shared" si="136"/>
        <v>0</v>
      </c>
      <c r="G175" s="1017">
        <f t="shared" si="136"/>
        <v>0</v>
      </c>
      <c r="H175" s="1017">
        <f t="shared" si="136"/>
        <v>0</v>
      </c>
      <c r="I175" s="1017">
        <f t="shared" si="136"/>
        <v>0</v>
      </c>
      <c r="J175" s="1017">
        <f t="shared" si="136"/>
        <v>0</v>
      </c>
      <c r="K175" s="1017">
        <f t="shared" si="136"/>
        <v>0</v>
      </c>
      <c r="L175" s="1017">
        <f t="shared" si="136"/>
        <v>0</v>
      </c>
      <c r="M175" s="1017">
        <f t="shared" si="136"/>
        <v>0</v>
      </c>
      <c r="N175" s="1017">
        <f t="shared" si="136"/>
        <v>0</v>
      </c>
      <c r="O175" s="1017">
        <f t="shared" si="136"/>
        <v>0</v>
      </c>
      <c r="P175" s="1017">
        <f t="shared" si="136"/>
        <v>0</v>
      </c>
    </row>
    <row r="176" spans="2:16">
      <c r="C176" s="978"/>
    </row>
    <row r="177" spans="2:16">
      <c r="B177" s="1004" t="s">
        <v>659</v>
      </c>
      <c r="C177" s="1005" t="str">
        <f t="shared" ref="C177:P177" si="137">+C160</f>
        <v>AN</v>
      </c>
      <c r="D177" s="1005" t="str">
        <f t="shared" si="137"/>
        <v>Mois 1</v>
      </c>
      <c r="E177" s="1005" t="str">
        <f t="shared" si="137"/>
        <v>Mois 2</v>
      </c>
      <c r="F177" s="1005" t="str">
        <f t="shared" si="137"/>
        <v>Mois 3</v>
      </c>
      <c r="G177" s="1005" t="str">
        <f t="shared" si="137"/>
        <v>Mois 4</v>
      </c>
      <c r="H177" s="1005" t="str">
        <f t="shared" si="137"/>
        <v>Mois 5</v>
      </c>
      <c r="I177" s="1005" t="str">
        <f t="shared" si="137"/>
        <v>Mois 6</v>
      </c>
      <c r="J177" s="1005" t="str">
        <f t="shared" si="137"/>
        <v>Mois 7</v>
      </c>
      <c r="K177" s="1005" t="str">
        <f t="shared" si="137"/>
        <v>Mois 8</v>
      </c>
      <c r="L177" s="1005" t="str">
        <f t="shared" si="137"/>
        <v>Mois 9</v>
      </c>
      <c r="M177" s="1005" t="str">
        <f t="shared" si="137"/>
        <v>Mois 10</v>
      </c>
      <c r="N177" s="1005" t="str">
        <f t="shared" si="137"/>
        <v>Mois 11</v>
      </c>
      <c r="O177" s="1005" t="str">
        <f t="shared" si="137"/>
        <v>Mois 12</v>
      </c>
      <c r="P177" s="1019" t="str">
        <f t="shared" si="137"/>
        <v>Total</v>
      </c>
    </row>
    <row r="178" spans="2:16">
      <c r="B178" s="1009" t="s">
        <v>669</v>
      </c>
      <c r="C178" s="1010"/>
      <c r="D178" s="1011">
        <f>+C181</f>
        <v>0</v>
      </c>
      <c r="E178" s="1011">
        <f t="shared" ref="E178:O178" si="138">+D181</f>
        <v>304763.375</v>
      </c>
      <c r="F178" s="1011">
        <f t="shared" si="138"/>
        <v>427046.02499999991</v>
      </c>
      <c r="G178" s="1011">
        <f t="shared" si="138"/>
        <v>548951.37499999977</v>
      </c>
      <c r="H178" s="1011">
        <f t="shared" si="138"/>
        <v>426668.72499999963</v>
      </c>
      <c r="I178" s="1011">
        <f t="shared" si="138"/>
        <v>304763.37499999953</v>
      </c>
      <c r="J178" s="1011">
        <f t="shared" si="138"/>
        <v>182480.72499999939</v>
      </c>
      <c r="K178" s="1011">
        <f t="shared" si="138"/>
        <v>60575.374999999302</v>
      </c>
      <c r="L178" s="1011">
        <f t="shared" si="138"/>
        <v>121716.69999999925</v>
      </c>
      <c r="M178" s="1011">
        <f t="shared" si="138"/>
        <v>243622.04999999912</v>
      </c>
      <c r="N178" s="1011">
        <f t="shared" si="138"/>
        <v>365904.69999999902</v>
      </c>
      <c r="O178" s="1035">
        <f t="shared" si="138"/>
        <v>487810.04999999888</v>
      </c>
      <c r="P178" s="1008">
        <f>+D178</f>
        <v>0</v>
      </c>
    </row>
    <row r="179" spans="2:16">
      <c r="B179" s="1009" t="s">
        <v>693</v>
      </c>
      <c r="C179" s="1010"/>
      <c r="D179" s="1011">
        <f>+CA!D38</f>
        <v>1219053.5</v>
      </c>
      <c r="E179" s="1011">
        <f>+CA!E38</f>
        <v>1222826.5</v>
      </c>
      <c r="F179" s="1011">
        <f>+CA!F38</f>
        <v>1219053.5</v>
      </c>
      <c r="G179" s="1011">
        <f>+CA!G38</f>
        <v>1222826.5</v>
      </c>
      <c r="H179" s="1011">
        <f>+CA!H38</f>
        <v>1219053.5</v>
      </c>
      <c r="I179" s="1011">
        <f>+CA!I38</f>
        <v>1222826.5</v>
      </c>
      <c r="J179" s="1011">
        <f>+CA!J38</f>
        <v>1219053.5</v>
      </c>
      <c r="K179" s="1011">
        <f>+CA!K38</f>
        <v>1222826.5</v>
      </c>
      <c r="L179" s="1011">
        <f>+CA!L38</f>
        <v>1219053.5</v>
      </c>
      <c r="M179" s="1011">
        <f>+CA!M38</f>
        <v>1222826.5</v>
      </c>
      <c r="N179" s="1011">
        <f>+CA!N38</f>
        <v>1219053.5</v>
      </c>
      <c r="O179" s="1011">
        <f>+CA!O38</f>
        <v>1222826.5</v>
      </c>
      <c r="P179" s="1011">
        <f>SUM(D179:O179)</f>
        <v>14651280</v>
      </c>
    </row>
    <row r="180" spans="2:16">
      <c r="B180" s="1009" t="s">
        <v>694</v>
      </c>
      <c r="C180" s="1010"/>
      <c r="D180" s="1011">
        <f>+CA!D39</f>
        <v>-914290.125</v>
      </c>
      <c r="E180" s="1011">
        <f>+CA!E39</f>
        <v>-1100543.8500000001</v>
      </c>
      <c r="F180" s="1011">
        <f>+CA!F39</f>
        <v>-1097148.1500000001</v>
      </c>
      <c r="G180" s="1011">
        <f>+CA!G39</f>
        <v>-1345109.1500000001</v>
      </c>
      <c r="H180" s="1011">
        <f>+CA!H39</f>
        <v>-1340958.8500000001</v>
      </c>
      <c r="I180" s="1011">
        <f>+CA!I39</f>
        <v>-1345109.1500000001</v>
      </c>
      <c r="J180" s="1011">
        <f>+CA!J39</f>
        <v>-1340958.8500000001</v>
      </c>
      <c r="K180" s="1011">
        <f>+CA!K39</f>
        <v>-1161685.175</v>
      </c>
      <c r="L180" s="1011">
        <f>+CA!L39</f>
        <v>-1097148.1500000001</v>
      </c>
      <c r="M180" s="1011">
        <f>+CA!M39</f>
        <v>-1100543.8500000001</v>
      </c>
      <c r="N180" s="1011">
        <f>+CA!N39</f>
        <v>-1097148.1500000001</v>
      </c>
      <c r="O180" s="1011">
        <f>+CA!O39</f>
        <v>-1100543.8500000001</v>
      </c>
      <c r="P180" s="1014">
        <f>SUM(D180:O180)</f>
        <v>-14041187.300000001</v>
      </c>
    </row>
    <row r="181" spans="2:16">
      <c r="B181" s="1015" t="s">
        <v>673</v>
      </c>
      <c r="C181" s="1017">
        <f>+C41</f>
        <v>0</v>
      </c>
      <c r="D181" s="1017">
        <f t="shared" ref="D181:P181" si="139">SUM(D178:D180)</f>
        <v>304763.375</v>
      </c>
      <c r="E181" s="1017">
        <f t="shared" si="139"/>
        <v>427046.02499999991</v>
      </c>
      <c r="F181" s="1017">
        <f t="shared" si="139"/>
        <v>548951.37499999977</v>
      </c>
      <c r="G181" s="1017">
        <f t="shared" si="139"/>
        <v>426668.72499999963</v>
      </c>
      <c r="H181" s="1017">
        <f t="shared" si="139"/>
        <v>304763.37499999953</v>
      </c>
      <c r="I181" s="1017">
        <f t="shared" si="139"/>
        <v>182480.72499999939</v>
      </c>
      <c r="J181" s="1017">
        <f t="shared" si="139"/>
        <v>60575.374999999302</v>
      </c>
      <c r="K181" s="1017">
        <f t="shared" si="139"/>
        <v>121716.69999999925</v>
      </c>
      <c r="L181" s="1017">
        <f t="shared" si="139"/>
        <v>243622.04999999912</v>
      </c>
      <c r="M181" s="1017">
        <f t="shared" si="139"/>
        <v>365904.69999999902</v>
      </c>
      <c r="N181" s="1017">
        <f t="shared" si="139"/>
        <v>487810.04999999888</v>
      </c>
      <c r="O181" s="1017">
        <f t="shared" si="139"/>
        <v>610092.69999999879</v>
      </c>
      <c r="P181" s="1014">
        <f t="shared" si="139"/>
        <v>610092.69999999925</v>
      </c>
    </row>
    <row r="182" spans="2:16">
      <c r="C182" s="978"/>
    </row>
    <row r="183" spans="2:16">
      <c r="B183" s="1004" t="s">
        <v>661</v>
      </c>
      <c r="C183" s="1005" t="str">
        <f t="shared" ref="C183:P183" si="140">+C177</f>
        <v>AN</v>
      </c>
      <c r="D183" s="1005" t="str">
        <f t="shared" si="140"/>
        <v>Mois 1</v>
      </c>
      <c r="E183" s="1005" t="str">
        <f t="shared" si="140"/>
        <v>Mois 2</v>
      </c>
      <c r="F183" s="1005" t="str">
        <f t="shared" si="140"/>
        <v>Mois 3</v>
      </c>
      <c r="G183" s="1005" t="str">
        <f t="shared" si="140"/>
        <v>Mois 4</v>
      </c>
      <c r="H183" s="1005" t="str">
        <f t="shared" si="140"/>
        <v>Mois 5</v>
      </c>
      <c r="I183" s="1005" t="str">
        <f t="shared" si="140"/>
        <v>Mois 6</v>
      </c>
      <c r="J183" s="1005" t="str">
        <f t="shared" si="140"/>
        <v>Mois 7</v>
      </c>
      <c r="K183" s="1005" t="str">
        <f t="shared" si="140"/>
        <v>Mois 8</v>
      </c>
      <c r="L183" s="1005" t="str">
        <f t="shared" si="140"/>
        <v>Mois 9</v>
      </c>
      <c r="M183" s="1005" t="str">
        <f t="shared" si="140"/>
        <v>Mois 10</v>
      </c>
      <c r="N183" s="1005" t="str">
        <f t="shared" si="140"/>
        <v>Mois 11</v>
      </c>
      <c r="O183" s="1005" t="str">
        <f t="shared" si="140"/>
        <v>Mois 12</v>
      </c>
      <c r="P183" s="1019" t="str">
        <f t="shared" si="140"/>
        <v>Total</v>
      </c>
    </row>
    <row r="184" spans="2:16">
      <c r="B184" s="1009" t="s">
        <v>669</v>
      </c>
      <c r="C184" s="1010"/>
      <c r="D184" s="1011">
        <f>+C187</f>
        <v>0</v>
      </c>
      <c r="E184" s="1011">
        <f t="shared" ref="E184:O184" si="141">+D187</f>
        <v>0</v>
      </c>
      <c r="F184" s="1011">
        <f t="shared" si="141"/>
        <v>0</v>
      </c>
      <c r="G184" s="1011">
        <f t="shared" si="141"/>
        <v>0</v>
      </c>
      <c r="H184" s="1011">
        <f t="shared" si="141"/>
        <v>0</v>
      </c>
      <c r="I184" s="1011">
        <f t="shared" si="141"/>
        <v>0</v>
      </c>
      <c r="J184" s="1011">
        <f t="shared" si="141"/>
        <v>0</v>
      </c>
      <c r="K184" s="1011">
        <f t="shared" si="141"/>
        <v>0</v>
      </c>
      <c r="L184" s="1011">
        <f t="shared" si="141"/>
        <v>0</v>
      </c>
      <c r="M184" s="1011">
        <f t="shared" si="141"/>
        <v>0</v>
      </c>
      <c r="N184" s="1011">
        <f t="shared" si="141"/>
        <v>0</v>
      </c>
      <c r="O184" s="1035">
        <f t="shared" si="141"/>
        <v>0</v>
      </c>
      <c r="P184" s="1008">
        <f>+D184</f>
        <v>0</v>
      </c>
    </row>
    <row r="185" spans="2:16">
      <c r="B185" s="1009" t="s">
        <v>695</v>
      </c>
      <c r="C185" s="1010"/>
      <c r="D185" s="1011">
        <v>0</v>
      </c>
      <c r="E185" s="1011">
        <v>0</v>
      </c>
      <c r="F185" s="1011">
        <v>0</v>
      </c>
      <c r="G185" s="1011">
        <v>0</v>
      </c>
      <c r="H185" s="1011">
        <v>0</v>
      </c>
      <c r="I185" s="1011">
        <v>0</v>
      </c>
      <c r="J185" s="1011">
        <v>0</v>
      </c>
      <c r="K185" s="1011">
        <v>0</v>
      </c>
      <c r="L185" s="1011">
        <v>0</v>
      </c>
      <c r="M185" s="1011">
        <v>0</v>
      </c>
      <c r="N185" s="1011">
        <v>0</v>
      </c>
      <c r="O185" s="1035">
        <v>0</v>
      </c>
      <c r="P185" s="1011">
        <f t="shared" ref="P185:P186" si="142">SUM(D185:O185)</f>
        <v>0</v>
      </c>
    </row>
    <row r="186" spans="2:16">
      <c r="B186" s="1009" t="s">
        <v>696</v>
      </c>
      <c r="C186" s="1010"/>
      <c r="D186" s="1011">
        <v>0</v>
      </c>
      <c r="E186" s="1011">
        <v>0</v>
      </c>
      <c r="F186" s="1011">
        <v>0</v>
      </c>
      <c r="G186" s="1011">
        <v>0</v>
      </c>
      <c r="H186" s="1011">
        <v>0</v>
      </c>
      <c r="I186" s="1011">
        <v>0</v>
      </c>
      <c r="J186" s="1011">
        <v>0</v>
      </c>
      <c r="K186" s="1011">
        <v>0</v>
      </c>
      <c r="L186" s="1011">
        <v>0</v>
      </c>
      <c r="M186" s="1011">
        <v>0</v>
      </c>
      <c r="N186" s="1011">
        <v>0</v>
      </c>
      <c r="O186" s="1035">
        <v>0</v>
      </c>
      <c r="P186" s="1011">
        <f t="shared" si="142"/>
        <v>0</v>
      </c>
    </row>
    <row r="187" spans="2:16">
      <c r="B187" s="1015" t="s">
        <v>673</v>
      </c>
      <c r="C187" s="1017">
        <f>+C43</f>
        <v>0</v>
      </c>
      <c r="D187" s="1017">
        <f t="shared" ref="D187:P187" si="143">SUM(D184:D186)</f>
        <v>0</v>
      </c>
      <c r="E187" s="1017">
        <f t="shared" si="143"/>
        <v>0</v>
      </c>
      <c r="F187" s="1017">
        <f t="shared" si="143"/>
        <v>0</v>
      </c>
      <c r="G187" s="1017">
        <f t="shared" si="143"/>
        <v>0</v>
      </c>
      <c r="H187" s="1017">
        <f t="shared" si="143"/>
        <v>0</v>
      </c>
      <c r="I187" s="1017">
        <f t="shared" si="143"/>
        <v>0</v>
      </c>
      <c r="J187" s="1017">
        <f t="shared" si="143"/>
        <v>0</v>
      </c>
      <c r="K187" s="1017">
        <f t="shared" si="143"/>
        <v>0</v>
      </c>
      <c r="L187" s="1017">
        <f t="shared" si="143"/>
        <v>0</v>
      </c>
      <c r="M187" s="1017">
        <f t="shared" si="143"/>
        <v>0</v>
      </c>
      <c r="N187" s="1017">
        <f t="shared" si="143"/>
        <v>0</v>
      </c>
      <c r="O187" s="1017">
        <f t="shared" si="143"/>
        <v>0</v>
      </c>
      <c r="P187" s="1017">
        <f t="shared" si="143"/>
        <v>0</v>
      </c>
    </row>
    <row r="188" spans="2:16">
      <c r="C188" s="978"/>
    </row>
    <row r="189" spans="2:16">
      <c r="B189" s="1004" t="s">
        <v>662</v>
      </c>
      <c r="C189" s="1005" t="str">
        <f t="shared" ref="C189:P189" si="144">+C183</f>
        <v>AN</v>
      </c>
      <c r="D189" s="1005" t="str">
        <f t="shared" si="144"/>
        <v>Mois 1</v>
      </c>
      <c r="E189" s="1005" t="str">
        <f t="shared" si="144"/>
        <v>Mois 2</v>
      </c>
      <c r="F189" s="1005" t="str">
        <f t="shared" si="144"/>
        <v>Mois 3</v>
      </c>
      <c r="G189" s="1005" t="str">
        <f t="shared" si="144"/>
        <v>Mois 4</v>
      </c>
      <c r="H189" s="1005" t="str">
        <f t="shared" si="144"/>
        <v>Mois 5</v>
      </c>
      <c r="I189" s="1005" t="str">
        <f t="shared" si="144"/>
        <v>Mois 6</v>
      </c>
      <c r="J189" s="1005" t="str">
        <f t="shared" si="144"/>
        <v>Mois 7</v>
      </c>
      <c r="K189" s="1005" t="str">
        <f t="shared" si="144"/>
        <v>Mois 8</v>
      </c>
      <c r="L189" s="1005" t="str">
        <f t="shared" si="144"/>
        <v>Mois 9</v>
      </c>
      <c r="M189" s="1005" t="str">
        <f t="shared" si="144"/>
        <v>Mois 10</v>
      </c>
      <c r="N189" s="1005" t="str">
        <f t="shared" si="144"/>
        <v>Mois 11</v>
      </c>
      <c r="O189" s="1005" t="str">
        <f t="shared" si="144"/>
        <v>Mois 12</v>
      </c>
      <c r="P189" s="1005" t="str">
        <f t="shared" si="144"/>
        <v>Total</v>
      </c>
    </row>
    <row r="190" spans="2:16">
      <c r="B190" s="1009" t="s">
        <v>669</v>
      </c>
      <c r="C190" s="1010"/>
      <c r="D190" s="1011">
        <f>+C193</f>
        <v>0</v>
      </c>
      <c r="E190" s="1011">
        <f t="shared" ref="E190:O190" si="145">+D193</f>
        <v>0</v>
      </c>
      <c r="F190" s="1011">
        <f t="shared" si="145"/>
        <v>0</v>
      </c>
      <c r="G190" s="1011">
        <f t="shared" si="145"/>
        <v>0</v>
      </c>
      <c r="H190" s="1011">
        <f t="shared" si="145"/>
        <v>0</v>
      </c>
      <c r="I190" s="1011">
        <f t="shared" si="145"/>
        <v>0</v>
      </c>
      <c r="J190" s="1011">
        <f t="shared" si="145"/>
        <v>0</v>
      </c>
      <c r="K190" s="1011">
        <f t="shared" si="145"/>
        <v>0</v>
      </c>
      <c r="L190" s="1011">
        <f t="shared" si="145"/>
        <v>0</v>
      </c>
      <c r="M190" s="1011">
        <f t="shared" si="145"/>
        <v>0</v>
      </c>
      <c r="N190" s="1011">
        <f t="shared" si="145"/>
        <v>0</v>
      </c>
      <c r="O190" s="1035">
        <f t="shared" si="145"/>
        <v>0</v>
      </c>
      <c r="P190" s="1008">
        <f>+D190</f>
        <v>0</v>
      </c>
    </row>
    <row r="191" spans="2:16">
      <c r="B191" s="1009" t="s">
        <v>697</v>
      </c>
      <c r="C191" s="1010"/>
      <c r="D191" s="1011">
        <f>Achat!D34/1000+Prestation!D78/1000</f>
        <v>145270.63949999999</v>
      </c>
      <c r="E191" s="1011">
        <f>Achat!E34/1000+Prestation!E78/1000</f>
        <v>145510.17600000001</v>
      </c>
      <c r="F191" s="1011">
        <f>Achat!F34/1000+Prestation!F78/1000</f>
        <v>148828.03950000001</v>
      </c>
      <c r="G191" s="1011">
        <f>Achat!G34/1000+Prestation!G78/1000</f>
        <v>145669.77599999998</v>
      </c>
      <c r="H191" s="1011">
        <f>Achat!H34/1000+Prestation!H78/1000</f>
        <v>147358.03950000001</v>
      </c>
      <c r="I191" s="1011">
        <f>Achat!I34/1000+Prestation!I78/1000</f>
        <v>151180.17600000001</v>
      </c>
      <c r="J191" s="1011">
        <f>Achat!J34/1000+Prestation!J78/1000</f>
        <v>145270.63949999999</v>
      </c>
      <c r="K191" s="1011">
        <f>Achat!K34/1000+Prestation!K78/1000</f>
        <v>145657.17600000001</v>
      </c>
      <c r="L191" s="1011">
        <f>Achat!L34/1000+Prestation!L78/1000</f>
        <v>145018.26675000001</v>
      </c>
      <c r="M191" s="1011">
        <f>Achat!M34/1000+Prestation!M78/1000</f>
        <v>141860.07149999999</v>
      </c>
      <c r="N191" s="1011">
        <f>Achat!N34/1000+Prestation!N78/1000</f>
        <v>141448.26675000001</v>
      </c>
      <c r="O191" s="1011">
        <f>Achat!O34/1000+Prestation!O78/1000</f>
        <v>148714.47149999999</v>
      </c>
      <c r="P191" s="1011">
        <f t="shared" ref="P191:P192" si="146">SUM(D191:O191)</f>
        <v>1751785.7385</v>
      </c>
    </row>
    <row r="192" spans="2:16">
      <c r="B192" s="1009" t="s">
        <v>681</v>
      </c>
      <c r="C192" s="1010"/>
      <c r="D192" s="1011">
        <f>-D190-D191</f>
        <v>-145270.63949999999</v>
      </c>
      <c r="E192" s="1011">
        <f>-E190-E191</f>
        <v>-145510.17600000001</v>
      </c>
      <c r="F192" s="1011">
        <f t="shared" ref="F192:O192" si="147">-F190-F191</f>
        <v>-148828.03950000001</v>
      </c>
      <c r="G192" s="1011">
        <f t="shared" si="147"/>
        <v>-145669.77599999998</v>
      </c>
      <c r="H192" s="1011">
        <f t="shared" si="147"/>
        <v>-147358.03950000001</v>
      </c>
      <c r="I192" s="1011">
        <f t="shared" si="147"/>
        <v>-151180.17600000001</v>
      </c>
      <c r="J192" s="1011">
        <f t="shared" si="147"/>
        <v>-145270.63949999999</v>
      </c>
      <c r="K192" s="1011">
        <f t="shared" si="147"/>
        <v>-145657.17600000001</v>
      </c>
      <c r="L192" s="1011">
        <f t="shared" si="147"/>
        <v>-145018.26675000001</v>
      </c>
      <c r="M192" s="1011">
        <f t="shared" si="147"/>
        <v>-141860.07149999999</v>
      </c>
      <c r="N192" s="1011">
        <f t="shared" si="147"/>
        <v>-141448.26675000001</v>
      </c>
      <c r="O192" s="1011">
        <f t="shared" si="147"/>
        <v>-148714.47149999999</v>
      </c>
      <c r="P192" s="1011">
        <f t="shared" si="146"/>
        <v>-1751785.7385</v>
      </c>
    </row>
    <row r="193" spans="2:16">
      <c r="B193" s="1015" t="s">
        <v>673</v>
      </c>
      <c r="C193" s="1017">
        <f>+C44</f>
        <v>0</v>
      </c>
      <c r="D193" s="1017">
        <f t="shared" ref="D193:P193" si="148">SUM(D190:D192)</f>
        <v>0</v>
      </c>
      <c r="E193" s="1017">
        <f t="shared" si="148"/>
        <v>0</v>
      </c>
      <c r="F193" s="1017">
        <f t="shared" si="148"/>
        <v>0</v>
      </c>
      <c r="G193" s="1017">
        <f t="shared" si="148"/>
        <v>0</v>
      </c>
      <c r="H193" s="1017">
        <f t="shared" si="148"/>
        <v>0</v>
      </c>
      <c r="I193" s="1017">
        <f t="shared" si="148"/>
        <v>0</v>
      </c>
      <c r="J193" s="1017">
        <f t="shared" si="148"/>
        <v>0</v>
      </c>
      <c r="K193" s="1017">
        <f t="shared" si="148"/>
        <v>0</v>
      </c>
      <c r="L193" s="1017">
        <f t="shared" si="148"/>
        <v>0</v>
      </c>
      <c r="M193" s="1017">
        <f t="shared" si="148"/>
        <v>0</v>
      </c>
      <c r="N193" s="1017">
        <f t="shared" si="148"/>
        <v>0</v>
      </c>
      <c r="O193" s="1017">
        <f t="shared" si="148"/>
        <v>0</v>
      </c>
      <c r="P193" s="1017">
        <f t="shared" si="148"/>
        <v>0</v>
      </c>
    </row>
    <row r="194" spans="2:16">
      <c r="C194" s="978"/>
    </row>
    <row r="195" spans="2:16">
      <c r="B195" s="1004" t="s">
        <v>663</v>
      </c>
      <c r="C195" s="1005" t="str">
        <f t="shared" ref="C195:P195" si="149">+C189</f>
        <v>AN</v>
      </c>
      <c r="D195" s="1005" t="str">
        <f t="shared" si="149"/>
        <v>Mois 1</v>
      </c>
      <c r="E195" s="1005" t="str">
        <f t="shared" si="149"/>
        <v>Mois 2</v>
      </c>
      <c r="F195" s="1005" t="str">
        <f t="shared" si="149"/>
        <v>Mois 3</v>
      </c>
      <c r="G195" s="1005" t="str">
        <f t="shared" si="149"/>
        <v>Mois 4</v>
      </c>
      <c r="H195" s="1005" t="str">
        <f t="shared" si="149"/>
        <v>Mois 5</v>
      </c>
      <c r="I195" s="1005" t="str">
        <f t="shared" si="149"/>
        <v>Mois 6</v>
      </c>
      <c r="J195" s="1005" t="str">
        <f t="shared" si="149"/>
        <v>Mois 7</v>
      </c>
      <c r="K195" s="1005" t="str">
        <f t="shared" si="149"/>
        <v>Mois 8</v>
      </c>
      <c r="L195" s="1005" t="str">
        <f t="shared" si="149"/>
        <v>Mois 9</v>
      </c>
      <c r="M195" s="1005" t="str">
        <f t="shared" si="149"/>
        <v>Mois 10</v>
      </c>
      <c r="N195" s="1005" t="str">
        <f t="shared" si="149"/>
        <v>Mois 11</v>
      </c>
      <c r="O195" s="1005" t="str">
        <f t="shared" si="149"/>
        <v>Mois 12</v>
      </c>
      <c r="P195" s="1005" t="str">
        <f t="shared" si="149"/>
        <v>Total</v>
      </c>
    </row>
    <row r="196" spans="2:16">
      <c r="B196" s="1009" t="s">
        <v>669</v>
      </c>
      <c r="C196" s="1010"/>
      <c r="D196" s="1011">
        <f>+C199</f>
        <v>0</v>
      </c>
      <c r="E196" s="1011">
        <f t="shared" ref="E196:O196" si="150">+D199</f>
        <v>139876.88949999999</v>
      </c>
      <c r="F196" s="1011">
        <f t="shared" si="150"/>
        <v>279993.31550000003</v>
      </c>
      <c r="G196" s="1011">
        <f t="shared" si="150"/>
        <v>423427.60500000004</v>
      </c>
      <c r="H196" s="1011">
        <f t="shared" si="150"/>
        <v>563703.63100000005</v>
      </c>
      <c r="I196" s="1011">
        <f t="shared" si="150"/>
        <v>665667.92050000001</v>
      </c>
      <c r="J196" s="1011">
        <f t="shared" si="150"/>
        <v>726454.34649999999</v>
      </c>
      <c r="K196" s="1011">
        <f t="shared" si="150"/>
        <v>736331.23600000003</v>
      </c>
      <c r="L196" s="1011">
        <f t="shared" si="150"/>
        <v>756594.66200000001</v>
      </c>
      <c r="M196" s="1011">
        <f t="shared" si="150"/>
        <v>896219.17874999996</v>
      </c>
      <c r="N196" s="1011">
        <f t="shared" si="150"/>
        <v>1032685.5002499999</v>
      </c>
      <c r="O196" s="1035">
        <f t="shared" si="150"/>
        <v>1168740.017</v>
      </c>
      <c r="P196" s="1008">
        <f>+D196</f>
        <v>0</v>
      </c>
    </row>
    <row r="197" spans="2:16">
      <c r="B197" s="1009" t="s">
        <v>698</v>
      </c>
      <c r="C197" s="1010"/>
      <c r="D197" s="1011">
        <f>-D192-D121</f>
        <v>144876.88949999999</v>
      </c>
      <c r="E197" s="1011">
        <f t="shared" ref="E197:O197" si="151">-E192-E121</f>
        <v>145116.42600000001</v>
      </c>
      <c r="F197" s="1011">
        <f t="shared" si="151"/>
        <v>148434.28950000001</v>
      </c>
      <c r="G197" s="1011">
        <f t="shared" si="151"/>
        <v>145276.02599999998</v>
      </c>
      <c r="H197" s="1011">
        <f t="shared" si="151"/>
        <v>146964.28950000001</v>
      </c>
      <c r="I197" s="1011">
        <f t="shared" si="151"/>
        <v>150786.42600000001</v>
      </c>
      <c r="J197" s="1011">
        <f t="shared" si="151"/>
        <v>144876.88949999999</v>
      </c>
      <c r="K197" s="1011">
        <f t="shared" si="151"/>
        <v>145263.42600000001</v>
      </c>
      <c r="L197" s="1011">
        <f t="shared" si="151"/>
        <v>144624.51675000001</v>
      </c>
      <c r="M197" s="1011">
        <f t="shared" si="151"/>
        <v>141466.32149999999</v>
      </c>
      <c r="N197" s="1011">
        <f t="shared" si="151"/>
        <v>141054.51675000001</v>
      </c>
      <c r="O197" s="1011">
        <f t="shared" si="151"/>
        <v>148320.72149999999</v>
      </c>
      <c r="P197" s="1011">
        <f>SUM(D197:O197)</f>
        <v>1747060.7385</v>
      </c>
    </row>
    <row r="198" spans="2:16">
      <c r="B198" s="1009" t="s">
        <v>686</v>
      </c>
      <c r="C198" s="1010"/>
      <c r="D198" s="1011">
        <v>-5000</v>
      </c>
      <c r="E198" s="1011">
        <v>-5000</v>
      </c>
      <c r="F198" s="1011">
        <v>-5000</v>
      </c>
      <c r="G198" s="1011">
        <v>-5000</v>
      </c>
      <c r="H198" s="1011">
        <v>-45000</v>
      </c>
      <c r="I198" s="1011">
        <f>+H198*2</f>
        <v>-90000</v>
      </c>
      <c r="J198" s="1011">
        <f>+I198*1.5</f>
        <v>-135000</v>
      </c>
      <c r="K198" s="1011">
        <v>-125000</v>
      </c>
      <c r="L198" s="1011">
        <v>-5000</v>
      </c>
      <c r="M198" s="1011">
        <v>-5000</v>
      </c>
      <c r="N198" s="1011">
        <v>-5000</v>
      </c>
      <c r="O198" s="1011">
        <v>-5000</v>
      </c>
      <c r="P198" s="1011">
        <f>SUM(D198:O198)</f>
        <v>-435000</v>
      </c>
    </row>
    <row r="199" spans="2:16">
      <c r="B199" s="1015" t="s">
        <v>673</v>
      </c>
      <c r="C199" s="1016">
        <f>+C45</f>
        <v>0</v>
      </c>
      <c r="D199" s="1017">
        <f t="shared" ref="D199:P199" si="152">SUM(D196:D198)</f>
        <v>139876.88949999999</v>
      </c>
      <c r="E199" s="1017">
        <f t="shared" si="152"/>
        <v>279993.31550000003</v>
      </c>
      <c r="F199" s="1017">
        <f t="shared" si="152"/>
        <v>423427.60500000004</v>
      </c>
      <c r="G199" s="1017">
        <f t="shared" si="152"/>
        <v>563703.63100000005</v>
      </c>
      <c r="H199" s="1017">
        <f t="shared" si="152"/>
        <v>665667.92050000001</v>
      </c>
      <c r="I199" s="1017">
        <f t="shared" si="152"/>
        <v>726454.34649999999</v>
      </c>
      <c r="J199" s="1017">
        <f t="shared" si="152"/>
        <v>736331.23600000003</v>
      </c>
      <c r="K199" s="1017">
        <f t="shared" si="152"/>
        <v>756594.66200000001</v>
      </c>
      <c r="L199" s="1017">
        <f t="shared" si="152"/>
        <v>896219.17874999996</v>
      </c>
      <c r="M199" s="1017">
        <f t="shared" si="152"/>
        <v>1032685.5002499999</v>
      </c>
      <c r="N199" s="1017">
        <f t="shared" si="152"/>
        <v>1168740.017</v>
      </c>
      <c r="O199" s="1017">
        <f t="shared" si="152"/>
        <v>1312060.7385</v>
      </c>
      <c r="P199" s="1017">
        <f t="shared" si="152"/>
        <v>1312060.7385</v>
      </c>
    </row>
    <row r="200" spans="2:16">
      <c r="B200" s="982"/>
      <c r="C200" s="1036"/>
      <c r="D200" s="982"/>
      <c r="E200" s="982"/>
      <c r="F200" s="982"/>
      <c r="G200" s="982"/>
      <c r="H200" s="970"/>
      <c r="I200" s="970"/>
      <c r="J200" s="970"/>
      <c r="K200" s="970"/>
      <c r="L200" s="970"/>
      <c r="M200" s="970"/>
      <c r="N200" s="970"/>
      <c r="O200" s="970"/>
      <c r="P200" s="970"/>
    </row>
    <row r="201" spans="2:16">
      <c r="B201" s="1004" t="str">
        <f>+B47</f>
        <v>Operations groupes</v>
      </c>
      <c r="C201" s="1005" t="str">
        <f t="shared" ref="C201:P201" si="153">+C195</f>
        <v>AN</v>
      </c>
      <c r="D201" s="1005" t="str">
        <f t="shared" si="153"/>
        <v>Mois 1</v>
      </c>
      <c r="E201" s="1005" t="str">
        <f t="shared" si="153"/>
        <v>Mois 2</v>
      </c>
      <c r="F201" s="1005" t="str">
        <f t="shared" si="153"/>
        <v>Mois 3</v>
      </c>
      <c r="G201" s="1005" t="str">
        <f t="shared" si="153"/>
        <v>Mois 4</v>
      </c>
      <c r="H201" s="1005" t="str">
        <f t="shared" si="153"/>
        <v>Mois 5</v>
      </c>
      <c r="I201" s="1005" t="str">
        <f t="shared" si="153"/>
        <v>Mois 6</v>
      </c>
      <c r="J201" s="1005" t="str">
        <f t="shared" si="153"/>
        <v>Mois 7</v>
      </c>
      <c r="K201" s="1005" t="str">
        <f t="shared" si="153"/>
        <v>Mois 8</v>
      </c>
      <c r="L201" s="1005" t="str">
        <f t="shared" si="153"/>
        <v>Mois 9</v>
      </c>
      <c r="M201" s="1005" t="str">
        <f t="shared" si="153"/>
        <v>Mois 10</v>
      </c>
      <c r="N201" s="1005" t="str">
        <f t="shared" si="153"/>
        <v>Mois 11</v>
      </c>
      <c r="O201" s="1005" t="str">
        <f t="shared" si="153"/>
        <v>Mois 12</v>
      </c>
      <c r="P201" s="1005" t="str">
        <f t="shared" si="153"/>
        <v>Total</v>
      </c>
    </row>
    <row r="202" spans="2:16">
      <c r="B202" s="1009" t="s">
        <v>669</v>
      </c>
      <c r="C202" s="1010"/>
      <c r="D202" s="1011">
        <f>+C205</f>
        <v>0</v>
      </c>
      <c r="E202" s="1011">
        <f t="shared" ref="E202:O202" si="154">+D205</f>
        <v>0</v>
      </c>
      <c r="F202" s="1011">
        <f t="shared" si="154"/>
        <v>0</v>
      </c>
      <c r="G202" s="1011">
        <f t="shared" si="154"/>
        <v>0</v>
      </c>
      <c r="H202" s="1011">
        <f t="shared" si="154"/>
        <v>0</v>
      </c>
      <c r="I202" s="1011">
        <f t="shared" si="154"/>
        <v>0</v>
      </c>
      <c r="J202" s="1011">
        <f t="shared" si="154"/>
        <v>0</v>
      </c>
      <c r="K202" s="1011">
        <f t="shared" si="154"/>
        <v>0</v>
      </c>
      <c r="L202" s="1011">
        <f t="shared" si="154"/>
        <v>0</v>
      </c>
      <c r="M202" s="1011">
        <f t="shared" si="154"/>
        <v>0</v>
      </c>
      <c r="N202" s="1011">
        <f t="shared" si="154"/>
        <v>0</v>
      </c>
      <c r="O202" s="1011">
        <f t="shared" si="154"/>
        <v>0</v>
      </c>
      <c r="P202" s="1008">
        <f>+D202</f>
        <v>0</v>
      </c>
    </row>
    <row r="203" spans="2:16">
      <c r="B203" s="1009" t="s">
        <v>688</v>
      </c>
      <c r="C203" s="1010"/>
      <c r="D203" s="1011">
        <v>0</v>
      </c>
      <c r="E203" s="1011">
        <v>0</v>
      </c>
      <c r="F203" s="1011">
        <v>0</v>
      </c>
      <c r="G203" s="1011">
        <v>0</v>
      </c>
      <c r="H203" s="1011">
        <v>0</v>
      </c>
      <c r="I203" s="1011">
        <v>0</v>
      </c>
      <c r="J203" s="1011">
        <v>0</v>
      </c>
      <c r="K203" s="1011">
        <v>0</v>
      </c>
      <c r="L203" s="1011"/>
      <c r="M203" s="1011"/>
      <c r="N203" s="1011"/>
      <c r="O203" s="1011"/>
      <c r="P203" s="1011">
        <f>SUM(D203:O203)</f>
        <v>0</v>
      </c>
    </row>
    <row r="204" spans="2:16">
      <c r="B204" s="1009" t="s">
        <v>686</v>
      </c>
      <c r="C204" s="1010"/>
      <c r="D204" s="1011">
        <v>0</v>
      </c>
      <c r="E204" s="1011">
        <v>0</v>
      </c>
      <c r="F204" s="1011">
        <v>0</v>
      </c>
      <c r="G204" s="1011">
        <v>0</v>
      </c>
      <c r="H204" s="1011">
        <v>0</v>
      </c>
      <c r="I204" s="1011">
        <v>0</v>
      </c>
      <c r="J204" s="1011"/>
      <c r="K204" s="1011">
        <v>0</v>
      </c>
      <c r="L204" s="1011">
        <v>0</v>
      </c>
      <c r="M204" s="1011">
        <v>0</v>
      </c>
      <c r="N204" s="1011">
        <v>0</v>
      </c>
      <c r="O204" s="1011">
        <v>0</v>
      </c>
      <c r="P204" s="1011">
        <f>SUM(D204:O204)</f>
        <v>0</v>
      </c>
    </row>
    <row r="205" spans="2:16">
      <c r="B205" s="1015" t="s">
        <v>673</v>
      </c>
      <c r="C205" s="1016">
        <f>+C47</f>
        <v>0</v>
      </c>
      <c r="D205" s="1017">
        <f t="shared" ref="D205:P205" si="155">SUM(D202:D204)</f>
        <v>0</v>
      </c>
      <c r="E205" s="1017">
        <f t="shared" si="155"/>
        <v>0</v>
      </c>
      <c r="F205" s="1017">
        <f t="shared" si="155"/>
        <v>0</v>
      </c>
      <c r="G205" s="1017">
        <f t="shared" si="155"/>
        <v>0</v>
      </c>
      <c r="H205" s="1017">
        <f t="shared" si="155"/>
        <v>0</v>
      </c>
      <c r="I205" s="1017">
        <f t="shared" si="155"/>
        <v>0</v>
      </c>
      <c r="J205" s="1017">
        <f t="shared" si="155"/>
        <v>0</v>
      </c>
      <c r="K205" s="1017">
        <f t="shared" si="155"/>
        <v>0</v>
      </c>
      <c r="L205" s="1017">
        <f t="shared" si="155"/>
        <v>0</v>
      </c>
      <c r="M205" s="1017">
        <f t="shared" si="155"/>
        <v>0</v>
      </c>
      <c r="N205" s="1017">
        <f t="shared" si="155"/>
        <v>0</v>
      </c>
      <c r="O205" s="1017">
        <f t="shared" si="155"/>
        <v>0</v>
      </c>
      <c r="P205" s="1017">
        <f t="shared" si="155"/>
        <v>0</v>
      </c>
    </row>
    <row r="206" spans="2:16" ht="3" customHeight="1">
      <c r="B206" s="982"/>
      <c r="C206" s="1036"/>
      <c r="D206" s="982"/>
      <c r="E206" s="982"/>
      <c r="F206" s="982"/>
      <c r="G206" s="982"/>
      <c r="H206" s="970"/>
      <c r="I206" s="970"/>
      <c r="J206" s="970"/>
      <c r="K206" s="970"/>
      <c r="L206" s="970"/>
      <c r="M206" s="970"/>
      <c r="N206" s="970"/>
      <c r="O206" s="970"/>
      <c r="P206" s="970"/>
    </row>
    <row r="207" spans="2:16">
      <c r="B207" s="982" t="s">
        <v>1103</v>
      </c>
      <c r="C207" s="1036">
        <f>+C46</f>
        <v>0</v>
      </c>
      <c r="D207" s="982"/>
      <c r="E207" s="982"/>
      <c r="F207" s="982"/>
      <c r="G207" s="982"/>
      <c r="H207" s="970"/>
      <c r="I207" s="970"/>
      <c r="J207" s="970"/>
      <c r="K207" s="970"/>
      <c r="L207" s="970"/>
      <c r="M207" s="970"/>
      <c r="N207" s="970"/>
      <c r="O207" s="970"/>
      <c r="P207" s="970"/>
    </row>
    <row r="208" spans="2:16" ht="3.75" customHeight="1">
      <c r="C208" s="978"/>
    </row>
    <row r="209" spans="1:16">
      <c r="B209" s="1004" t="str">
        <f>+B48</f>
        <v>Débiteurs divers</v>
      </c>
      <c r="C209" s="1005" t="str">
        <f t="shared" ref="C209:P209" si="156">+C201</f>
        <v>AN</v>
      </c>
      <c r="D209" s="1005" t="str">
        <f t="shared" si="156"/>
        <v>Mois 1</v>
      </c>
      <c r="E209" s="1005" t="str">
        <f t="shared" si="156"/>
        <v>Mois 2</v>
      </c>
      <c r="F209" s="1005" t="str">
        <f t="shared" si="156"/>
        <v>Mois 3</v>
      </c>
      <c r="G209" s="1005" t="str">
        <f t="shared" si="156"/>
        <v>Mois 4</v>
      </c>
      <c r="H209" s="1005" t="str">
        <f t="shared" si="156"/>
        <v>Mois 5</v>
      </c>
      <c r="I209" s="1005" t="str">
        <f t="shared" si="156"/>
        <v>Mois 6</v>
      </c>
      <c r="J209" s="1005" t="str">
        <f t="shared" si="156"/>
        <v>Mois 7</v>
      </c>
      <c r="K209" s="1005" t="str">
        <f t="shared" si="156"/>
        <v>Mois 8</v>
      </c>
      <c r="L209" s="1005" t="str">
        <f t="shared" si="156"/>
        <v>Mois 9</v>
      </c>
      <c r="M209" s="1005" t="str">
        <f t="shared" si="156"/>
        <v>Mois 10</v>
      </c>
      <c r="N209" s="1005" t="str">
        <f t="shared" si="156"/>
        <v>Mois 11</v>
      </c>
      <c r="O209" s="1005" t="str">
        <f t="shared" si="156"/>
        <v>Mois 12</v>
      </c>
      <c r="P209" s="1005" t="str">
        <f t="shared" si="156"/>
        <v>Total</v>
      </c>
    </row>
    <row r="210" spans="1:16">
      <c r="B210" s="1009" t="s">
        <v>669</v>
      </c>
      <c r="C210" s="1010"/>
      <c r="D210" s="1011">
        <f>+C213</f>
        <v>0</v>
      </c>
      <c r="E210" s="1011">
        <f t="shared" ref="E210:O210" si="157">+D213</f>
        <v>0</v>
      </c>
      <c r="F210" s="1011">
        <f t="shared" si="157"/>
        <v>0</v>
      </c>
      <c r="G210" s="1011">
        <f t="shared" si="157"/>
        <v>0</v>
      </c>
      <c r="H210" s="1011">
        <f t="shared" si="157"/>
        <v>0</v>
      </c>
      <c r="I210" s="1011">
        <f t="shared" si="157"/>
        <v>0</v>
      </c>
      <c r="J210" s="1011">
        <f t="shared" si="157"/>
        <v>0</v>
      </c>
      <c r="K210" s="1011">
        <f t="shared" si="157"/>
        <v>0</v>
      </c>
      <c r="L210" s="1011">
        <f t="shared" si="157"/>
        <v>0</v>
      </c>
      <c r="M210" s="1011">
        <f t="shared" si="157"/>
        <v>0</v>
      </c>
      <c r="N210" s="1011">
        <f t="shared" si="157"/>
        <v>0</v>
      </c>
      <c r="O210" s="1011">
        <f t="shared" si="157"/>
        <v>0</v>
      </c>
      <c r="P210" s="1011">
        <f>+D210</f>
        <v>0</v>
      </c>
    </row>
    <row r="211" spans="1:16">
      <c r="B211" s="1009" t="s">
        <v>688</v>
      </c>
      <c r="C211" s="1010"/>
      <c r="D211" s="1011">
        <v>0</v>
      </c>
      <c r="E211" s="1011">
        <v>0</v>
      </c>
      <c r="F211" s="1011">
        <v>0</v>
      </c>
      <c r="G211" s="1011">
        <v>0</v>
      </c>
      <c r="H211" s="1011">
        <v>0</v>
      </c>
      <c r="I211" s="1011">
        <v>0</v>
      </c>
      <c r="J211" s="1011">
        <v>0</v>
      </c>
      <c r="K211" s="1011">
        <v>0</v>
      </c>
      <c r="L211" s="1011">
        <v>0</v>
      </c>
      <c r="M211" s="1011">
        <v>0</v>
      </c>
      <c r="N211" s="1011">
        <v>0</v>
      </c>
      <c r="O211" s="1011">
        <v>0</v>
      </c>
      <c r="P211" s="1011">
        <f>SUM(D211:O211)</f>
        <v>0</v>
      </c>
    </row>
    <row r="212" spans="1:16">
      <c r="B212" s="1009" t="s">
        <v>686</v>
      </c>
      <c r="C212" s="1010"/>
      <c r="D212" s="1011">
        <v>0</v>
      </c>
      <c r="E212" s="1011">
        <v>0</v>
      </c>
      <c r="F212" s="1011">
        <v>0</v>
      </c>
      <c r="G212" s="1011">
        <v>0</v>
      </c>
      <c r="H212" s="1011">
        <v>0</v>
      </c>
      <c r="I212" s="1011">
        <v>0</v>
      </c>
      <c r="J212" s="1011">
        <v>0</v>
      </c>
      <c r="K212" s="1011">
        <v>0</v>
      </c>
      <c r="L212" s="1011">
        <v>0</v>
      </c>
      <c r="M212" s="1011">
        <v>0</v>
      </c>
      <c r="N212" s="1011">
        <v>0</v>
      </c>
      <c r="O212" s="1011">
        <v>0</v>
      </c>
      <c r="P212" s="1011">
        <f>SUM(D212:O212)</f>
        <v>0</v>
      </c>
    </row>
    <row r="213" spans="1:16">
      <c r="B213" s="1015" t="s">
        <v>673</v>
      </c>
      <c r="C213" s="1016">
        <f>+C48</f>
        <v>0</v>
      </c>
      <c r="D213" s="1017">
        <f t="shared" ref="D213:P213" si="158">SUM(D210:D212)</f>
        <v>0</v>
      </c>
      <c r="E213" s="1017">
        <f t="shared" si="158"/>
        <v>0</v>
      </c>
      <c r="F213" s="1017">
        <f t="shared" si="158"/>
        <v>0</v>
      </c>
      <c r="G213" s="1017">
        <f t="shared" si="158"/>
        <v>0</v>
      </c>
      <c r="H213" s="1017">
        <f t="shared" si="158"/>
        <v>0</v>
      </c>
      <c r="I213" s="1017">
        <f t="shared" si="158"/>
        <v>0</v>
      </c>
      <c r="J213" s="1017">
        <f t="shared" si="158"/>
        <v>0</v>
      </c>
      <c r="K213" s="1017">
        <f t="shared" si="158"/>
        <v>0</v>
      </c>
      <c r="L213" s="1017">
        <f t="shared" si="158"/>
        <v>0</v>
      </c>
      <c r="M213" s="1017">
        <f t="shared" si="158"/>
        <v>0</v>
      </c>
      <c r="N213" s="1017">
        <f t="shared" si="158"/>
        <v>0</v>
      </c>
      <c r="O213" s="1017">
        <f t="shared" si="158"/>
        <v>0</v>
      </c>
      <c r="P213" s="1017">
        <f t="shared" si="158"/>
        <v>0</v>
      </c>
    </row>
    <row r="214" spans="1:16" ht="6" customHeight="1">
      <c r="C214" s="978"/>
    </row>
    <row r="215" spans="1:16">
      <c r="A215" s="984"/>
      <c r="B215" s="985" t="s">
        <v>699</v>
      </c>
      <c r="C215" s="986">
        <f>+C213+C207+C205+C199+C193+C187+C181+C175+C169</f>
        <v>0</v>
      </c>
      <c r="D215" s="986">
        <f>+D212+D211+D207+D204+D203+D198+D197+D192+D191+D186+D185+D180+D179+D174+D164+D163+D167+D168</f>
        <v>456232.77977963525</v>
      </c>
      <c r="E215" s="986">
        <f>+E212+E211+E207+E204+E203+E198+E197+E192+E191+E186+E185+E180+E179+E174+E164+E163+E167+E168</f>
        <v>273677.50642917911</v>
      </c>
      <c r="F215" s="986">
        <f t="shared" ref="F215:O215" si="159">+F212+F211+F207+F204+F203+F198+F197+F192+F191+F186+F185+F180+F179+F174+F164+F163+F167+F168</f>
        <v>276932.15477963502</v>
      </c>
      <c r="G215" s="986">
        <f t="shared" si="159"/>
        <v>29271.806429179152</v>
      </c>
      <c r="H215" s="986">
        <f t="shared" si="159"/>
        <v>-8348.5452203649329</v>
      </c>
      <c r="I215" s="986">
        <f t="shared" si="159"/>
        <v>-50217.793570821057</v>
      </c>
      <c r="J215" s="986">
        <f t="shared" si="159"/>
        <v>-100435.94522036484</v>
      </c>
      <c r="K215" s="986">
        <f t="shared" si="159"/>
        <v>92683.181429179152</v>
      </c>
      <c r="L215" s="986">
        <f t="shared" si="159"/>
        <v>248183.11471808492</v>
      </c>
      <c r="M215" s="986">
        <f t="shared" si="159"/>
        <v>246604.4963699088</v>
      </c>
      <c r="N215" s="986">
        <f t="shared" si="159"/>
        <v>244613.11471808492</v>
      </c>
      <c r="O215" s="986">
        <f t="shared" si="159"/>
        <v>253458.89636990882</v>
      </c>
      <c r="P215" s="986">
        <f>+P213+P207+P205+P199+P193+P187+P181+P175+P169</f>
        <v>1962654.7670112429</v>
      </c>
    </row>
    <row r="216" spans="1:16" s="1030" customFormat="1">
      <c r="B216" s="1030" t="s">
        <v>690</v>
      </c>
      <c r="C216" s="1031">
        <f t="shared" ref="C216:P216" si="160">+C215-C49</f>
        <v>0</v>
      </c>
      <c r="D216" s="1031">
        <f>+D215-D49</f>
        <v>0</v>
      </c>
      <c r="E216" s="1031">
        <f t="shared" si="160"/>
        <v>0</v>
      </c>
      <c r="F216" s="1031">
        <f t="shared" si="160"/>
        <v>0</v>
      </c>
      <c r="G216" s="1031">
        <f t="shared" si="160"/>
        <v>8.7311491370201111E-11</v>
      </c>
      <c r="H216" s="1031">
        <f t="shared" si="160"/>
        <v>-5.8207660913467407E-11</v>
      </c>
      <c r="I216" s="1031">
        <f t="shared" si="160"/>
        <v>-1.4551915228366852E-10</v>
      </c>
      <c r="J216" s="1031">
        <f t="shared" si="160"/>
        <v>0</v>
      </c>
      <c r="K216" s="1031">
        <f t="shared" si="160"/>
        <v>0</v>
      </c>
      <c r="L216" s="1031">
        <f t="shared" si="160"/>
        <v>0</v>
      </c>
      <c r="M216" s="1031">
        <f t="shared" si="160"/>
        <v>0</v>
      </c>
      <c r="N216" s="1031">
        <f t="shared" si="160"/>
        <v>0</v>
      </c>
      <c r="O216" s="1031">
        <f t="shared" si="160"/>
        <v>0</v>
      </c>
      <c r="P216" s="1031">
        <f t="shared" si="160"/>
        <v>0</v>
      </c>
    </row>
    <row r="217" spans="1:16">
      <c r="A217" s="984"/>
      <c r="B217" s="985" t="s">
        <v>700</v>
      </c>
      <c r="C217" s="986">
        <f>-C158-C215</f>
        <v>0</v>
      </c>
      <c r="D217" s="986">
        <f>-D158-D215</f>
        <v>62984.711095364764</v>
      </c>
      <c r="E217" s="986">
        <f t="shared" ref="E217:P217" si="161">-E158-E215</f>
        <v>-263475.48805417912</v>
      </c>
      <c r="F217" s="986">
        <f t="shared" si="161"/>
        <v>-266773.89890463499</v>
      </c>
      <c r="G217" s="986">
        <f t="shared" si="161"/>
        <v>-49602.322179179173</v>
      </c>
      <c r="H217" s="986">
        <f t="shared" si="161"/>
        <v>18506.801095364965</v>
      </c>
      <c r="I217" s="986">
        <f t="shared" si="161"/>
        <v>60419.811945821042</v>
      </c>
      <c r="J217" s="986">
        <f t="shared" si="161"/>
        <v>80045.912470364827</v>
      </c>
      <c r="K217" s="986">
        <f t="shared" si="161"/>
        <v>-82481.163054179167</v>
      </c>
      <c r="L217" s="986">
        <f t="shared" si="161"/>
        <v>-238423.88284308487</v>
      </c>
      <c r="M217" s="986">
        <f t="shared" si="161"/>
        <v>-266920.89786990883</v>
      </c>
      <c r="N217" s="986">
        <f t="shared" si="161"/>
        <v>-254617.99934308487</v>
      </c>
      <c r="O217" s="986">
        <f t="shared" si="161"/>
        <v>450993.74963009125</v>
      </c>
      <c r="P217" s="986">
        <f t="shared" si="161"/>
        <v>-749344.66601124289</v>
      </c>
    </row>
    <row r="218" spans="1:16" s="1030" customFormat="1">
      <c r="B218" s="1030" t="s">
        <v>690</v>
      </c>
      <c r="C218" s="1031">
        <f t="shared" ref="C218:P218" si="162">+C217-C50</f>
        <v>0</v>
      </c>
      <c r="D218" s="1031">
        <f>+D217-D50</f>
        <v>-5.8207660913467407E-11</v>
      </c>
      <c r="E218" s="1031">
        <f t="shared" si="162"/>
        <v>0</v>
      </c>
      <c r="F218" s="1031">
        <f t="shared" si="162"/>
        <v>0</v>
      </c>
      <c r="G218" s="1031">
        <f t="shared" si="162"/>
        <v>-1.0913936421275139E-10</v>
      </c>
      <c r="H218" s="1031">
        <f t="shared" si="162"/>
        <v>9.0949470177292824E-11</v>
      </c>
      <c r="I218" s="1031">
        <f t="shared" si="162"/>
        <v>1.3096723705530167E-10</v>
      </c>
      <c r="J218" s="1031">
        <f t="shared" si="162"/>
        <v>0</v>
      </c>
      <c r="K218" s="1031">
        <f t="shared" si="162"/>
        <v>0</v>
      </c>
      <c r="L218" s="1031">
        <f t="shared" si="162"/>
        <v>0</v>
      </c>
      <c r="M218" s="1031">
        <f t="shared" si="162"/>
        <v>0</v>
      </c>
      <c r="N218" s="1031">
        <f t="shared" si="162"/>
        <v>0</v>
      </c>
      <c r="O218" s="1031">
        <f t="shared" si="162"/>
        <v>0</v>
      </c>
      <c r="P218" s="1031">
        <f t="shared" si="162"/>
        <v>1.6298145055770874E-9</v>
      </c>
    </row>
    <row r="219" spans="1:16">
      <c r="A219" s="984"/>
      <c r="B219" s="985" t="s">
        <v>701</v>
      </c>
      <c r="C219" s="986">
        <f>C52</f>
        <v>0</v>
      </c>
      <c r="D219" s="986">
        <f>+D217+D19</f>
        <v>315783.21454166679</v>
      </c>
      <c r="E219" s="986">
        <f>+E217+E19</f>
        <v>-8674.5809583331284</v>
      </c>
      <c r="F219" s="986">
        <f t="shared" ref="F219:O219" si="163">+F217+F19</f>
        <v>-56862.395458332991</v>
      </c>
      <c r="G219" s="986">
        <f t="shared" si="163"/>
        <v>204400.58491666682</v>
      </c>
      <c r="H219" s="986">
        <f t="shared" si="163"/>
        <v>260868.30454166696</v>
      </c>
      <c r="I219" s="986">
        <f t="shared" si="163"/>
        <v>285170.71904166706</v>
      </c>
      <c r="J219" s="986">
        <f t="shared" si="163"/>
        <v>332844.41591666685</v>
      </c>
      <c r="K219" s="986">
        <f t="shared" si="163"/>
        <v>-192453.53231670568</v>
      </c>
      <c r="L219" s="986">
        <f t="shared" si="163"/>
        <v>-15733.476781050675</v>
      </c>
      <c r="M219" s="986">
        <f t="shared" si="163"/>
        <v>-20142.59613646887</v>
      </c>
      <c r="N219" s="986">
        <f t="shared" si="163"/>
        <v>-6761.8066415598441</v>
      </c>
      <c r="O219" s="986">
        <f t="shared" si="163"/>
        <v>-39095.898886319774</v>
      </c>
      <c r="P219" s="986">
        <f>+O221</f>
        <v>1059342.9517795637</v>
      </c>
    </row>
    <row r="220" spans="1:16" s="1030" customFormat="1">
      <c r="B220" s="1030" t="s">
        <v>690</v>
      </c>
      <c r="C220" s="1031"/>
      <c r="D220" s="1031"/>
      <c r="E220" s="1031"/>
      <c r="F220" s="1031"/>
      <c r="G220" s="1031"/>
      <c r="H220" s="1031">
        <f t="shared" ref="H220:O220" si="164">+H219-H52</f>
        <v>0</v>
      </c>
      <c r="I220" s="1031">
        <f t="shared" si="164"/>
        <v>0</v>
      </c>
      <c r="J220" s="1031">
        <f t="shared" si="164"/>
        <v>0</v>
      </c>
      <c r="K220" s="1031">
        <f t="shared" si="164"/>
        <v>0</v>
      </c>
      <c r="L220" s="1031">
        <f t="shared" si="164"/>
        <v>1.1641532182693481E-10</v>
      </c>
      <c r="M220" s="1031">
        <f t="shared" si="164"/>
        <v>0</v>
      </c>
      <c r="N220" s="1031">
        <f t="shared" si="164"/>
        <v>1.1641532182693481E-10</v>
      </c>
      <c r="O220" s="1031">
        <f t="shared" si="164"/>
        <v>1.1641532182693481E-10</v>
      </c>
      <c r="P220" s="1031"/>
    </row>
    <row r="221" spans="1:16">
      <c r="A221" s="984"/>
      <c r="B221" s="985" t="s">
        <v>668</v>
      </c>
      <c r="C221" s="1037">
        <f>+C219</f>
        <v>0</v>
      </c>
      <c r="D221" s="1038">
        <f>+D219+C221</f>
        <v>315783.21454166679</v>
      </c>
      <c r="E221" s="1038">
        <f t="shared" ref="E221:O221" si="165">+E219+D221</f>
        <v>307108.63358333369</v>
      </c>
      <c r="F221" s="1038">
        <f t="shared" si="165"/>
        <v>250246.2381250007</v>
      </c>
      <c r="G221" s="1038">
        <f t="shared" si="165"/>
        <v>454646.82304166752</v>
      </c>
      <c r="H221" s="1038">
        <f t="shared" si="165"/>
        <v>715515.12758333446</v>
      </c>
      <c r="I221" s="1038">
        <f t="shared" si="165"/>
        <v>1000685.8466250015</v>
      </c>
      <c r="J221" s="1038">
        <f t="shared" si="165"/>
        <v>1333530.2625416685</v>
      </c>
      <c r="K221" s="1038">
        <f t="shared" si="165"/>
        <v>1141076.7302249628</v>
      </c>
      <c r="L221" s="1038">
        <f t="shared" si="165"/>
        <v>1125343.2534439121</v>
      </c>
      <c r="M221" s="1038">
        <f t="shared" si="165"/>
        <v>1105200.6573074432</v>
      </c>
      <c r="N221" s="1038">
        <f t="shared" si="165"/>
        <v>1098438.8506658834</v>
      </c>
      <c r="O221" s="1038">
        <f t="shared" si="165"/>
        <v>1059342.9517795637</v>
      </c>
      <c r="P221" s="986"/>
    </row>
    <row r="222" spans="1:16" s="1030" customFormat="1">
      <c r="B222" s="1030" t="s">
        <v>595</v>
      </c>
      <c r="C222" s="1031"/>
      <c r="D222" s="1031">
        <v>0</v>
      </c>
      <c r="E222" s="1031">
        <v>0</v>
      </c>
      <c r="F222" s="1031">
        <v>0</v>
      </c>
      <c r="G222" s="1031">
        <v>0</v>
      </c>
      <c r="H222" s="1031">
        <v>0</v>
      </c>
      <c r="I222" s="1031">
        <v>0</v>
      </c>
      <c r="J222" s="1031">
        <v>0</v>
      </c>
      <c r="K222" s="1031">
        <v>0</v>
      </c>
      <c r="L222" s="1031">
        <v>0</v>
      </c>
      <c r="M222" s="1031">
        <v>0</v>
      </c>
      <c r="N222" s="1031">
        <v>0</v>
      </c>
      <c r="O222" s="1031">
        <v>0</v>
      </c>
      <c r="P222" s="1031"/>
    </row>
    <row r="223" spans="1:16" s="1039" customFormat="1">
      <c r="C223" s="1040" t="s">
        <v>464</v>
      </c>
      <c r="D223" s="1040">
        <f>-'Détails FF FD'!C3/1000</f>
        <v>-66666.666666666657</v>
      </c>
      <c r="E223" s="1040">
        <f>-'Détails FF FD'!D3/1000</f>
        <v>-66666.666666666657</v>
      </c>
      <c r="F223" s="1040">
        <f>-'Détails FF FD'!E3/1000</f>
        <v>-66666.666666666657</v>
      </c>
      <c r="G223" s="1040">
        <f>-'Détails FF FD'!F3/1000</f>
        <v>-66666.666666666657</v>
      </c>
      <c r="H223" s="1040">
        <f>-'Détails FF FD'!G3/1000</f>
        <v>-66666.666666666657</v>
      </c>
      <c r="I223" s="1040">
        <f>-'Détails FF FD'!H3/1000</f>
        <v>-66666.666666666657</v>
      </c>
      <c r="J223" s="1040">
        <f>-'Détails FF FD'!I3/1000</f>
        <v>-66666.666666666657</v>
      </c>
      <c r="K223" s="1040">
        <f>-'Détails FF FD'!J3/1000</f>
        <v>-64935.804845852901</v>
      </c>
      <c r="L223" s="1040">
        <f>-'Détails FF FD'!K3/1000</f>
        <v>-63176.095328025585</v>
      </c>
      <c r="M223" s="1040">
        <f>-'Détails FF FD'!L3/1000</f>
        <v>-61387.057318234474</v>
      </c>
      <c r="N223" s="1040">
        <f>-'Détails FF FD'!M3/1000</f>
        <v>-59568.202008280183</v>
      </c>
      <c r="O223" s="1040">
        <f>-'Détails FF FD'!N3/1000</f>
        <v>-57719.03244315998</v>
      </c>
      <c r="P223" s="1041"/>
    </row>
    <row r="224" spans="1:16" s="1030" customFormat="1">
      <c r="C224" s="1031"/>
      <c r="D224" s="1031"/>
      <c r="E224" s="1031"/>
      <c r="F224" s="1031"/>
      <c r="G224" s="1031"/>
      <c r="H224" s="1031"/>
      <c r="I224" s="1031"/>
      <c r="J224" s="1031"/>
      <c r="K224" s="1031"/>
      <c r="L224" s="1031"/>
      <c r="M224" s="1031"/>
      <c r="N224" s="1031"/>
      <c r="O224" s="1031"/>
      <c r="P224" s="1031"/>
    </row>
    <row r="225" spans="2:17">
      <c r="B225" s="1004" t="s">
        <v>702</v>
      </c>
      <c r="C225" s="1005" t="str">
        <f t="shared" ref="C225:P225" si="166">+C209</f>
        <v>AN</v>
      </c>
      <c r="D225" s="1005" t="str">
        <f t="shared" si="166"/>
        <v>Mois 1</v>
      </c>
      <c r="E225" s="1005" t="str">
        <f t="shared" si="166"/>
        <v>Mois 2</v>
      </c>
      <c r="F225" s="1005" t="str">
        <f t="shared" si="166"/>
        <v>Mois 3</v>
      </c>
      <c r="G225" s="1005" t="str">
        <f t="shared" si="166"/>
        <v>Mois 4</v>
      </c>
      <c r="H225" s="1005" t="str">
        <f t="shared" si="166"/>
        <v>Mois 5</v>
      </c>
      <c r="I225" s="1005" t="str">
        <f t="shared" si="166"/>
        <v>Mois 6</v>
      </c>
      <c r="J225" s="1005" t="str">
        <f t="shared" si="166"/>
        <v>Mois 7</v>
      </c>
      <c r="K225" s="1005" t="str">
        <f t="shared" si="166"/>
        <v>Mois 8</v>
      </c>
      <c r="L225" s="1005" t="str">
        <f t="shared" si="166"/>
        <v>Mois 9</v>
      </c>
      <c r="M225" s="1005" t="str">
        <f t="shared" si="166"/>
        <v>Mois 10</v>
      </c>
      <c r="N225" s="1005" t="str">
        <f t="shared" si="166"/>
        <v>Mois 11</v>
      </c>
      <c r="O225" s="1005" t="str">
        <f t="shared" si="166"/>
        <v>Mois 12</v>
      </c>
      <c r="P225" s="1005" t="str">
        <f t="shared" si="166"/>
        <v>Total</v>
      </c>
    </row>
    <row r="226" spans="2:17">
      <c r="B226" s="1006" t="s">
        <v>703</v>
      </c>
      <c r="C226" s="1007"/>
      <c r="D226" s="1011">
        <f>+C229</f>
        <v>0</v>
      </c>
      <c r="E226" s="1011">
        <f>+D229</f>
        <v>315783.21454166668</v>
      </c>
      <c r="F226" s="1011">
        <f t="shared" ref="F226:O226" si="167">+E229</f>
        <v>307108.63358333358</v>
      </c>
      <c r="G226" s="1011">
        <f t="shared" si="167"/>
        <v>250246.23812500038</v>
      </c>
      <c r="H226" s="1011">
        <f t="shared" si="167"/>
        <v>454646.82304166723</v>
      </c>
      <c r="I226" s="1011">
        <f t="shared" si="167"/>
        <v>715515.12758333399</v>
      </c>
      <c r="J226" s="1011">
        <f t="shared" si="167"/>
        <v>1000685.8466250007</v>
      </c>
      <c r="K226" s="1011">
        <f t="shared" si="167"/>
        <v>1333530.2625416673</v>
      </c>
      <c r="L226" s="1011">
        <f t="shared" si="167"/>
        <v>1141076.7302249616</v>
      </c>
      <c r="M226" s="1011">
        <f t="shared" si="167"/>
        <v>1125343.2534439107</v>
      </c>
      <c r="N226" s="1011">
        <f t="shared" si="167"/>
        <v>1105200.6573074418</v>
      </c>
      <c r="O226" s="1011">
        <f t="shared" si="167"/>
        <v>1098438.8506658813</v>
      </c>
      <c r="P226" s="1008">
        <f>+D226</f>
        <v>0</v>
      </c>
    </row>
    <row r="227" spans="2:17">
      <c r="B227" s="1009" t="s">
        <v>704</v>
      </c>
      <c r="C227" s="1010"/>
      <c r="D227" s="1011">
        <f>-D58-D180-D198-D212-D204-D148</f>
        <v>1419290.125</v>
      </c>
      <c r="E227" s="1011">
        <f t="shared" ref="E227:O227" si="168">-E58-E180-E198-E212-E204-E148</f>
        <v>1105543.8500000001</v>
      </c>
      <c r="F227" s="1011">
        <f t="shared" si="168"/>
        <v>1102148.1500000001</v>
      </c>
      <c r="G227" s="1011">
        <f t="shared" si="168"/>
        <v>1350109.1500000001</v>
      </c>
      <c r="H227" s="1011">
        <f t="shared" si="168"/>
        <v>1385958.85</v>
      </c>
      <c r="I227" s="1011">
        <f t="shared" si="168"/>
        <v>1435109.1500000001</v>
      </c>
      <c r="J227" s="1011">
        <f t="shared" si="168"/>
        <v>1475958.85</v>
      </c>
      <c r="K227" s="1011">
        <f>-K58-K180-K198-K212-K204-K148</f>
        <v>1286685.175</v>
      </c>
      <c r="L227" s="1011">
        <f t="shared" si="168"/>
        <v>1102148.1500000001</v>
      </c>
      <c r="M227" s="1011">
        <f t="shared" si="168"/>
        <v>1105543.8500000001</v>
      </c>
      <c r="N227" s="1011">
        <f t="shared" si="168"/>
        <v>1102148.1500000001</v>
      </c>
      <c r="O227" s="1011">
        <f t="shared" si="168"/>
        <v>1105543.8500000001</v>
      </c>
      <c r="P227" s="1011">
        <f>SUM(D227:O227)</f>
        <v>14976187.300000001</v>
      </c>
    </row>
    <row r="228" spans="2:17">
      <c r="B228" s="1009" t="s">
        <v>705</v>
      </c>
      <c r="C228" s="1010"/>
      <c r="D228" s="1011">
        <f>-(+D67+D68+D74+D75+D81+D82+D90+D96+D102+D108+D115+D135+D142+D149+D155)+D223-D61-D60</f>
        <v>-1103506.9104583333</v>
      </c>
      <c r="E228" s="1011">
        <f t="shared" ref="E228:O228" si="169">-(+E67+E68+E74+E75+E81+E82+E90+E96+E102+E108+E115+E135+E142+E149+E155)+E223-E61-E60</f>
        <v>-1114218.4309583332</v>
      </c>
      <c r="F228" s="1011">
        <f t="shared" si="169"/>
        <v>-1159010.5454583333</v>
      </c>
      <c r="G228" s="1011">
        <f t="shared" si="169"/>
        <v>-1145708.5650833333</v>
      </c>
      <c r="H228" s="1011">
        <f t="shared" si="169"/>
        <v>-1125090.5454583333</v>
      </c>
      <c r="I228" s="1011">
        <f t="shared" si="169"/>
        <v>-1149938.4309583334</v>
      </c>
      <c r="J228" s="1011">
        <f t="shared" si="169"/>
        <v>-1143114.4340833335</v>
      </c>
      <c r="K228" s="1011">
        <f>-(+K67+K68+K74+K75+K81+K82+K90+K96+K102+K108+K115+K135+K142+K149+K155)+K223-K61-K60</f>
        <v>-1479138.7073167057</v>
      </c>
      <c r="L228" s="1011">
        <f t="shared" si="169"/>
        <v>-1117881.626781051</v>
      </c>
      <c r="M228" s="1011">
        <f t="shared" si="169"/>
        <v>-1125686.446136469</v>
      </c>
      <c r="N228" s="1011">
        <f t="shared" si="169"/>
        <v>-1108909.9566415604</v>
      </c>
      <c r="O228" s="1011">
        <f t="shared" si="169"/>
        <v>-1144639.7488863198</v>
      </c>
      <c r="P228" s="1011">
        <f>SUM(D228:O228)</f>
        <v>-13916844.348220441</v>
      </c>
    </row>
    <row r="229" spans="2:17">
      <c r="B229" s="1015" t="s">
        <v>706</v>
      </c>
      <c r="C229" s="1016">
        <f>+C219</f>
        <v>0</v>
      </c>
      <c r="D229" s="1017">
        <f t="shared" ref="D229:O229" si="170">SUM(D226:D228)</f>
        <v>315783.21454166668</v>
      </c>
      <c r="E229" s="1017">
        <f t="shared" si="170"/>
        <v>307108.63358333358</v>
      </c>
      <c r="F229" s="1017">
        <f t="shared" si="170"/>
        <v>250246.23812500038</v>
      </c>
      <c r="G229" s="1017">
        <f t="shared" si="170"/>
        <v>454646.82304166723</v>
      </c>
      <c r="H229" s="1017">
        <f t="shared" si="170"/>
        <v>715515.12758333399</v>
      </c>
      <c r="I229" s="1017">
        <f t="shared" si="170"/>
        <v>1000685.8466250007</v>
      </c>
      <c r="J229" s="1017">
        <f t="shared" si="170"/>
        <v>1333530.2625416673</v>
      </c>
      <c r="K229" s="1017">
        <f t="shared" si="170"/>
        <v>1141076.7302249616</v>
      </c>
      <c r="L229" s="1017">
        <f t="shared" si="170"/>
        <v>1125343.2534439107</v>
      </c>
      <c r="M229" s="1017">
        <f t="shared" si="170"/>
        <v>1105200.6573074418</v>
      </c>
      <c r="N229" s="1017">
        <f t="shared" si="170"/>
        <v>1098438.8506658813</v>
      </c>
      <c r="O229" s="1017">
        <f t="shared" si="170"/>
        <v>1059342.9517795616</v>
      </c>
      <c r="P229" s="1017">
        <f>SUM(P226:P228)</f>
        <v>1059342.9517795593</v>
      </c>
      <c r="Q229" s="970"/>
    </row>
    <row r="230" spans="2:17" s="1030" customFormat="1">
      <c r="B230" s="1030" t="s">
        <v>595</v>
      </c>
      <c r="C230" s="1031">
        <f t="shared" ref="C230:O230" si="171">+C229-C221</f>
        <v>0</v>
      </c>
      <c r="D230" s="1031">
        <f>+D229-D221</f>
        <v>0</v>
      </c>
      <c r="E230" s="1031">
        <f>+E229-E221</f>
        <v>0</v>
      </c>
      <c r="F230" s="1031">
        <f t="shared" si="171"/>
        <v>-3.2014213502407074E-10</v>
      </c>
      <c r="G230" s="1031">
        <f t="shared" si="171"/>
        <v>0</v>
      </c>
      <c r="H230" s="1031">
        <f t="shared" si="171"/>
        <v>0</v>
      </c>
      <c r="I230" s="1031">
        <f t="shared" si="171"/>
        <v>0</v>
      </c>
      <c r="J230" s="1031">
        <f t="shared" si="171"/>
        <v>0</v>
      </c>
      <c r="K230" s="1031">
        <f t="shared" si="171"/>
        <v>0</v>
      </c>
      <c r="L230" s="1031">
        <f t="shared" si="171"/>
        <v>0</v>
      </c>
      <c r="M230" s="1031">
        <f t="shared" si="171"/>
        <v>0</v>
      </c>
      <c r="N230" s="1031">
        <f t="shared" si="171"/>
        <v>-2.0954757928848267E-9</v>
      </c>
      <c r="O230" s="1031">
        <f t="shared" si="171"/>
        <v>-2.0954757928848267E-9</v>
      </c>
      <c r="P230" s="1031">
        <f>+P229-P219</f>
        <v>-4.4237822294235229E-9</v>
      </c>
    </row>
    <row r="231" spans="2:17" s="1031" customFormat="1"/>
    <row r="232" spans="2:17" s="1031" customFormat="1" ht="13.5" thickBot="1"/>
    <row r="233" spans="2:17" s="1031" customFormat="1">
      <c r="B233" s="1051"/>
      <c r="C233" s="1052" t="str">
        <f t="shared" ref="C233:O233" si="172">+C2</f>
        <v>AN</v>
      </c>
      <c r="D233" s="1052" t="str">
        <f t="shared" si="172"/>
        <v>Mois 1</v>
      </c>
      <c r="E233" s="1052" t="str">
        <f t="shared" si="172"/>
        <v>Mois 2</v>
      </c>
      <c r="F233" s="1052" t="str">
        <f t="shared" si="172"/>
        <v>Mois 3</v>
      </c>
      <c r="G233" s="1052" t="str">
        <f t="shared" si="172"/>
        <v>Mois 4</v>
      </c>
      <c r="H233" s="1052" t="str">
        <f t="shared" si="172"/>
        <v>Mois 5</v>
      </c>
      <c r="I233" s="1052" t="str">
        <f t="shared" si="172"/>
        <v>Mois 6</v>
      </c>
      <c r="J233" s="1052" t="str">
        <f t="shared" si="172"/>
        <v>Mois 7</v>
      </c>
      <c r="K233" s="1052" t="str">
        <f t="shared" si="172"/>
        <v>Mois 8</v>
      </c>
      <c r="L233" s="1052" t="str">
        <f t="shared" si="172"/>
        <v>Mois 9</v>
      </c>
      <c r="M233" s="1052" t="str">
        <f t="shared" si="172"/>
        <v>Mois 10</v>
      </c>
      <c r="N233" s="1052" t="str">
        <f t="shared" si="172"/>
        <v>Mois 11</v>
      </c>
      <c r="O233" s="1052" t="str">
        <f t="shared" si="172"/>
        <v>Mois 12</v>
      </c>
    </row>
    <row r="234" spans="2:17" s="1031" customFormat="1">
      <c r="B234" s="1053" t="s">
        <v>1771</v>
      </c>
      <c r="C234" s="1054"/>
      <c r="D234" s="1055"/>
      <c r="E234" s="1056"/>
      <c r="F234" s="1054"/>
      <c r="G234" s="1054"/>
      <c r="H234" s="1054"/>
      <c r="I234" s="1054"/>
      <c r="J234" s="1054"/>
      <c r="K234" s="1054"/>
      <c r="L234" s="1054"/>
      <c r="M234" s="1054"/>
      <c r="N234" s="1054"/>
      <c r="O234" s="1054"/>
    </row>
    <row r="235" spans="2:17">
      <c r="B235" s="1057" t="s">
        <v>1772</v>
      </c>
      <c r="C235" s="1054"/>
      <c r="D235" s="1055"/>
      <c r="E235" s="1056"/>
      <c r="F235" s="1054"/>
      <c r="G235" s="1054"/>
      <c r="H235" s="1054"/>
      <c r="I235" s="1054"/>
      <c r="J235" s="1054"/>
      <c r="K235" s="1054"/>
      <c r="L235" s="1054"/>
      <c r="M235" s="1054"/>
      <c r="N235" s="1054"/>
      <c r="O235" s="1054"/>
    </row>
    <row r="236" spans="2:17">
      <c r="B236" s="1058" t="str">
        <f>+B15</f>
        <v>Immobilisations</v>
      </c>
      <c r="C236" s="1056">
        <f>+C15</f>
        <v>0</v>
      </c>
      <c r="D236" s="1056">
        <f>+C236+D15</f>
        <v>0</v>
      </c>
      <c r="E236" s="1056">
        <f t="shared" ref="E236:N236" si="173">+D236+E15</f>
        <v>0</v>
      </c>
      <c r="F236" s="1056">
        <f t="shared" si="173"/>
        <v>0</v>
      </c>
      <c r="G236" s="1056">
        <f t="shared" si="173"/>
        <v>0</v>
      </c>
      <c r="H236" s="1056">
        <f t="shared" si="173"/>
        <v>0</v>
      </c>
      <c r="I236" s="1056">
        <f t="shared" si="173"/>
        <v>0</v>
      </c>
      <c r="J236" s="1056">
        <f t="shared" si="173"/>
        <v>0</v>
      </c>
      <c r="K236" s="1056">
        <f t="shared" si="173"/>
        <v>367500</v>
      </c>
      <c r="L236" s="1056">
        <f t="shared" si="173"/>
        <v>367500</v>
      </c>
      <c r="M236" s="1056">
        <f t="shared" si="173"/>
        <v>367500</v>
      </c>
      <c r="N236" s="1056">
        <f t="shared" si="173"/>
        <v>367500</v>
      </c>
      <c r="O236" s="1056">
        <f t="shared" ref="O236" si="174">+N236+O15</f>
        <v>367500</v>
      </c>
    </row>
    <row r="237" spans="2:17">
      <c r="B237" s="1058" t="str">
        <f t="shared" ref="B237:B238" si="175">+B16</f>
        <v>Immobilisations en cours</v>
      </c>
      <c r="C237" s="1056">
        <f t="shared" ref="C237:C238" si="176">+C16</f>
        <v>0</v>
      </c>
      <c r="D237" s="1056">
        <f t="shared" ref="D237:O237" si="177">+C237+D16</f>
        <v>0</v>
      </c>
      <c r="E237" s="1056">
        <f t="shared" si="177"/>
        <v>0</v>
      </c>
      <c r="F237" s="1056">
        <f t="shared" si="177"/>
        <v>0</v>
      </c>
      <c r="G237" s="1056">
        <f t="shared" si="177"/>
        <v>0</v>
      </c>
      <c r="H237" s="1056">
        <f t="shared" si="177"/>
        <v>0</v>
      </c>
      <c r="I237" s="1056">
        <f t="shared" si="177"/>
        <v>0</v>
      </c>
      <c r="J237" s="1056">
        <f t="shared" si="177"/>
        <v>0</v>
      </c>
      <c r="K237" s="1056">
        <f t="shared" si="177"/>
        <v>0</v>
      </c>
      <c r="L237" s="1056">
        <f t="shared" si="177"/>
        <v>0</v>
      </c>
      <c r="M237" s="1056">
        <f t="shared" si="177"/>
        <v>0</v>
      </c>
      <c r="N237" s="1056">
        <f t="shared" si="177"/>
        <v>0</v>
      </c>
      <c r="O237" s="1056">
        <f t="shared" si="177"/>
        <v>0</v>
      </c>
    </row>
    <row r="238" spans="2:17">
      <c r="B238" s="1058" t="str">
        <f t="shared" si="175"/>
        <v xml:space="preserve">DEP &amp; CAUTIONN VERSES </v>
      </c>
      <c r="C238" s="1056">
        <f t="shared" si="176"/>
        <v>0</v>
      </c>
      <c r="D238" s="1056">
        <f>+C238+D17</f>
        <v>0</v>
      </c>
      <c r="E238" s="1056">
        <f t="shared" ref="E238:O238" si="178">+D238+E17</f>
        <v>0</v>
      </c>
      <c r="F238" s="1056">
        <f t="shared" si="178"/>
        <v>0</v>
      </c>
      <c r="G238" s="1056">
        <f t="shared" si="178"/>
        <v>0</v>
      </c>
      <c r="H238" s="1056">
        <f t="shared" si="178"/>
        <v>0</v>
      </c>
      <c r="I238" s="1056">
        <f t="shared" si="178"/>
        <v>0</v>
      </c>
      <c r="J238" s="1056">
        <f t="shared" si="178"/>
        <v>0</v>
      </c>
      <c r="K238" s="1056">
        <f t="shared" si="178"/>
        <v>0</v>
      </c>
      <c r="L238" s="1056">
        <f t="shared" si="178"/>
        <v>0</v>
      </c>
      <c r="M238" s="1056">
        <f t="shared" si="178"/>
        <v>0</v>
      </c>
      <c r="N238" s="1056">
        <f t="shared" si="178"/>
        <v>0</v>
      </c>
      <c r="O238" s="1056">
        <f t="shared" si="178"/>
        <v>0</v>
      </c>
    </row>
    <row r="239" spans="2:17">
      <c r="B239" s="1059" t="s">
        <v>1773</v>
      </c>
      <c r="C239" s="1060"/>
      <c r="D239" s="1060"/>
      <c r="E239" s="1060"/>
      <c r="F239" s="1060"/>
      <c r="G239" s="1060"/>
      <c r="H239" s="1060"/>
      <c r="I239" s="1060"/>
      <c r="J239" s="1060"/>
      <c r="K239" s="1060"/>
      <c r="L239" s="1060"/>
      <c r="M239" s="1060"/>
      <c r="N239" s="1060"/>
      <c r="O239" s="1060"/>
    </row>
    <row r="240" spans="2:17">
      <c r="B240" s="1058" t="str">
        <f>+B39</f>
        <v>Stocks</v>
      </c>
      <c r="C240" s="1056">
        <f t="shared" ref="C240" si="179">+C37</f>
        <v>0</v>
      </c>
      <c r="D240" s="1056">
        <f t="shared" ref="D240:E243" si="180">+C240+D39</f>
        <v>11592.515279635205</v>
      </c>
      <c r="E240" s="1056">
        <f t="shared" si="180"/>
        <v>22870.945708814426</v>
      </c>
      <c r="F240" s="1056">
        <f t="shared" ref="F240:O240" si="181">+E240+F39</f>
        <v>34463.460988449631</v>
      </c>
      <c r="G240" s="1056">
        <f t="shared" si="181"/>
        <v>45741.891417628853</v>
      </c>
      <c r="H240" s="1056">
        <f t="shared" si="181"/>
        <v>57334.406697264058</v>
      </c>
      <c r="I240" s="1056">
        <f t="shared" si="181"/>
        <v>68612.837126443279</v>
      </c>
      <c r="J240" s="1056">
        <f t="shared" si="181"/>
        <v>80205.352406078484</v>
      </c>
      <c r="K240" s="1056">
        <f t="shared" si="181"/>
        <v>91483.782835257705</v>
      </c>
      <c r="L240" s="1056">
        <f t="shared" si="181"/>
        <v>78137.030803342815</v>
      </c>
      <c r="M240" s="1056">
        <f t="shared" si="181"/>
        <v>65992.555673251743</v>
      </c>
      <c r="N240" s="1056">
        <f t="shared" si="181"/>
        <v>52645.803641336854</v>
      </c>
      <c r="O240" s="1056">
        <f t="shared" si="181"/>
        <v>40501.328511245782</v>
      </c>
    </row>
    <row r="241" spans="2:15">
      <c r="B241" s="1058" t="str">
        <f t="shared" ref="B241:B246" si="182">+B40</f>
        <v>Provisions stocks</v>
      </c>
      <c r="C241" s="1056">
        <f t="shared" ref="C241" si="183">+C38</f>
        <v>0</v>
      </c>
      <c r="D241" s="1056">
        <f t="shared" si="180"/>
        <v>0</v>
      </c>
      <c r="E241" s="1056">
        <f t="shared" si="180"/>
        <v>0</v>
      </c>
      <c r="F241" s="1056">
        <f t="shared" ref="F241:O242" si="184">+E241+F40</f>
        <v>0</v>
      </c>
      <c r="G241" s="1056">
        <f t="shared" si="184"/>
        <v>0</v>
      </c>
      <c r="H241" s="1056">
        <f t="shared" si="184"/>
        <v>0</v>
      </c>
      <c r="I241" s="1056">
        <f t="shared" si="184"/>
        <v>0</v>
      </c>
      <c r="J241" s="1056">
        <f t="shared" si="184"/>
        <v>0</v>
      </c>
      <c r="K241" s="1056">
        <f t="shared" si="184"/>
        <v>0</v>
      </c>
      <c r="L241" s="1056">
        <f t="shared" si="184"/>
        <v>0</v>
      </c>
      <c r="M241" s="1056">
        <f t="shared" si="184"/>
        <v>0</v>
      </c>
      <c r="N241" s="1056">
        <f t="shared" si="184"/>
        <v>0</v>
      </c>
      <c r="O241" s="1056">
        <f t="shared" si="184"/>
        <v>0</v>
      </c>
    </row>
    <row r="242" spans="2:15">
      <c r="B242" s="1058" t="str">
        <f t="shared" si="182"/>
        <v>Clients</v>
      </c>
      <c r="C242" s="1056">
        <f t="shared" ref="C242" si="185">+C39</f>
        <v>0</v>
      </c>
      <c r="D242" s="1056">
        <f t="shared" si="180"/>
        <v>304763.375</v>
      </c>
      <c r="E242" s="1056">
        <f t="shared" si="180"/>
        <v>427046.02499999991</v>
      </c>
      <c r="F242" s="1056">
        <f t="shared" si="184"/>
        <v>548951.37499999977</v>
      </c>
      <c r="G242" s="1056">
        <f t="shared" si="184"/>
        <v>426668.72499999963</v>
      </c>
      <c r="H242" s="1056">
        <f t="shared" si="184"/>
        <v>304763.37499999953</v>
      </c>
      <c r="I242" s="1056">
        <f t="shared" si="184"/>
        <v>182480.72499999939</v>
      </c>
      <c r="J242" s="1056">
        <f t="shared" si="184"/>
        <v>60575.374999999302</v>
      </c>
      <c r="K242" s="1056">
        <f t="shared" si="184"/>
        <v>121716.69999999925</v>
      </c>
      <c r="L242" s="1056">
        <f t="shared" si="184"/>
        <v>243622.04999999912</v>
      </c>
      <c r="M242" s="1056">
        <f t="shared" si="184"/>
        <v>365904.69999999902</v>
      </c>
      <c r="N242" s="1056">
        <f t="shared" si="184"/>
        <v>487810.04999999888</v>
      </c>
      <c r="O242" s="1056">
        <f t="shared" si="184"/>
        <v>610092.69999999879</v>
      </c>
    </row>
    <row r="243" spans="2:15">
      <c r="B243" s="1058" t="str">
        <f t="shared" si="182"/>
        <v>Avances Personnel</v>
      </c>
      <c r="C243" s="1056">
        <f t="shared" ref="C243" si="186">+C40</f>
        <v>0</v>
      </c>
      <c r="D243" s="1056">
        <f t="shared" si="180"/>
        <v>0</v>
      </c>
      <c r="E243" s="1056">
        <f t="shared" si="180"/>
        <v>0</v>
      </c>
      <c r="F243" s="1056">
        <f t="shared" ref="F243:O243" si="187">+E243+F42</f>
        <v>0</v>
      </c>
      <c r="G243" s="1056">
        <f t="shared" si="187"/>
        <v>0</v>
      </c>
      <c r="H243" s="1056">
        <f t="shared" si="187"/>
        <v>0</v>
      </c>
      <c r="I243" s="1056">
        <f t="shared" si="187"/>
        <v>0</v>
      </c>
      <c r="J243" s="1056">
        <f t="shared" si="187"/>
        <v>0</v>
      </c>
      <c r="K243" s="1056">
        <f t="shared" si="187"/>
        <v>0</v>
      </c>
      <c r="L243" s="1056">
        <f t="shared" si="187"/>
        <v>0</v>
      </c>
      <c r="M243" s="1056">
        <f t="shared" si="187"/>
        <v>0</v>
      </c>
      <c r="N243" s="1056">
        <f t="shared" si="187"/>
        <v>0</v>
      </c>
      <c r="O243" s="1056">
        <f t="shared" si="187"/>
        <v>0</v>
      </c>
    </row>
    <row r="244" spans="2:15">
      <c r="B244" s="1058" t="str">
        <f t="shared" si="182"/>
        <v>Acompte IR</v>
      </c>
      <c r="C244" s="1056">
        <f t="shared" ref="C244" si="188">+C41</f>
        <v>0</v>
      </c>
      <c r="D244" s="1056">
        <f>+C244+D43</f>
        <v>0</v>
      </c>
      <c r="E244" s="1056">
        <f>+D43+E43</f>
        <v>0</v>
      </c>
      <c r="F244" s="1056">
        <f t="shared" ref="F244:O244" si="189">+E43+F43</f>
        <v>0</v>
      </c>
      <c r="G244" s="1056">
        <f t="shared" si="189"/>
        <v>0</v>
      </c>
      <c r="H244" s="1056">
        <f t="shared" si="189"/>
        <v>0</v>
      </c>
      <c r="I244" s="1056">
        <f t="shared" si="189"/>
        <v>0</v>
      </c>
      <c r="J244" s="1056">
        <f t="shared" si="189"/>
        <v>0</v>
      </c>
      <c r="K244" s="1056">
        <f t="shared" si="189"/>
        <v>0</v>
      </c>
      <c r="L244" s="1056">
        <f t="shared" si="189"/>
        <v>0</v>
      </c>
      <c r="M244" s="1056">
        <f t="shared" si="189"/>
        <v>0</v>
      </c>
      <c r="N244" s="1056">
        <f t="shared" si="189"/>
        <v>0</v>
      </c>
      <c r="O244" s="1056">
        <f t="shared" si="189"/>
        <v>0</v>
      </c>
    </row>
    <row r="245" spans="2:15">
      <c r="B245" s="1058" t="str">
        <f t="shared" si="182"/>
        <v>TVA, Déductibles</v>
      </c>
      <c r="C245" s="1056">
        <f t="shared" ref="C245" si="190">+C42</f>
        <v>0</v>
      </c>
      <c r="D245" s="1056">
        <f t="shared" ref="D245:O246" si="191">+C245+D44</f>
        <v>0</v>
      </c>
      <c r="E245" s="1056">
        <f t="shared" si="191"/>
        <v>0</v>
      </c>
      <c r="F245" s="1056">
        <f t="shared" si="191"/>
        <v>0</v>
      </c>
      <c r="G245" s="1056">
        <f t="shared" si="191"/>
        <v>0</v>
      </c>
      <c r="H245" s="1056">
        <f t="shared" si="191"/>
        <v>0</v>
      </c>
      <c r="I245" s="1056">
        <f t="shared" si="191"/>
        <v>0</v>
      </c>
      <c r="J245" s="1056">
        <f t="shared" si="191"/>
        <v>0</v>
      </c>
      <c r="K245" s="1056">
        <f t="shared" si="191"/>
        <v>0</v>
      </c>
      <c r="L245" s="1056">
        <f t="shared" si="191"/>
        <v>0</v>
      </c>
      <c r="M245" s="1056">
        <f t="shared" si="191"/>
        <v>0</v>
      </c>
      <c r="N245" s="1056">
        <f t="shared" si="191"/>
        <v>0</v>
      </c>
      <c r="O245" s="1056">
        <f t="shared" ref="O245" si="192">+N245+O42</f>
        <v>0</v>
      </c>
    </row>
    <row r="246" spans="2:15">
      <c r="B246" s="1058" t="str">
        <f t="shared" si="182"/>
        <v>TVA, Crédit</v>
      </c>
      <c r="C246" s="1056">
        <f t="shared" ref="C246" si="193">+C43</f>
        <v>0</v>
      </c>
      <c r="D246" s="1056">
        <f t="shared" si="191"/>
        <v>139876.88949999999</v>
      </c>
      <c r="E246" s="1056">
        <f t="shared" si="191"/>
        <v>279993.31550000003</v>
      </c>
      <c r="F246" s="1056">
        <f t="shared" si="191"/>
        <v>423427.60500000004</v>
      </c>
      <c r="G246" s="1056">
        <f t="shared" si="191"/>
        <v>563703.63100000005</v>
      </c>
      <c r="H246" s="1056">
        <f t="shared" si="191"/>
        <v>665667.92050000001</v>
      </c>
      <c r="I246" s="1056">
        <f t="shared" si="191"/>
        <v>726454.34649999999</v>
      </c>
      <c r="J246" s="1056">
        <f t="shared" si="191"/>
        <v>736331.23600000003</v>
      </c>
      <c r="K246" s="1056">
        <f t="shared" si="191"/>
        <v>756594.66200000001</v>
      </c>
      <c r="L246" s="1056">
        <f t="shared" si="191"/>
        <v>896219.17874999996</v>
      </c>
      <c r="M246" s="1056">
        <f t="shared" si="191"/>
        <v>1032685.5002499999</v>
      </c>
      <c r="N246" s="1056">
        <f t="shared" si="191"/>
        <v>1168740.017</v>
      </c>
      <c r="O246" s="1056">
        <f t="shared" si="191"/>
        <v>1312060.7385</v>
      </c>
    </row>
    <row r="247" spans="2:15">
      <c r="B247" s="1057" t="s">
        <v>1774</v>
      </c>
      <c r="C247" s="1056"/>
      <c r="D247" s="1054"/>
      <c r="E247" s="1054"/>
      <c r="F247" s="1054"/>
      <c r="G247" s="1054"/>
      <c r="H247" s="1054"/>
      <c r="I247" s="1054"/>
      <c r="J247" s="1054"/>
      <c r="K247" s="1054"/>
      <c r="L247" s="1054"/>
      <c r="M247" s="1054"/>
      <c r="N247" s="1054"/>
      <c r="O247" s="1054"/>
    </row>
    <row r="248" spans="2:15">
      <c r="B248" s="1058" t="s">
        <v>1775</v>
      </c>
      <c r="C248" s="1056">
        <f>+IF(C47&gt;0,C47,0)</f>
        <v>0</v>
      </c>
      <c r="D248" s="1056">
        <f>+IF(D54&gt;0,D54,0)</f>
        <v>315783.21454166679</v>
      </c>
      <c r="E248" s="1056">
        <f t="shared" ref="E248:O248" si="194">+IF(E54&gt;0,E54,0)</f>
        <v>307108.63358333369</v>
      </c>
      <c r="F248" s="1056">
        <f t="shared" si="194"/>
        <v>250246.23812500059</v>
      </c>
      <c r="G248" s="1056">
        <f t="shared" si="194"/>
        <v>454646.82304166752</v>
      </c>
      <c r="H248" s="1056">
        <f t="shared" si="194"/>
        <v>715515.12758333446</v>
      </c>
      <c r="I248" s="1056">
        <f t="shared" si="194"/>
        <v>1000685.8466250014</v>
      </c>
      <c r="J248" s="1056">
        <f t="shared" si="194"/>
        <v>1333530.2625416683</v>
      </c>
      <c r="K248" s="1056">
        <f t="shared" si="194"/>
        <v>1141076.7302249626</v>
      </c>
      <c r="L248" s="1056">
        <f t="shared" si="194"/>
        <v>1125343.2534439117</v>
      </c>
      <c r="M248" s="1056">
        <f t="shared" si="194"/>
        <v>1105200.6573074427</v>
      </c>
      <c r="N248" s="1056">
        <f t="shared" si="194"/>
        <v>1098438.8506658827</v>
      </c>
      <c r="O248" s="1056">
        <f t="shared" si="194"/>
        <v>1059342.9517795627</v>
      </c>
    </row>
    <row r="249" spans="2:15">
      <c r="B249" s="1061" t="str">
        <f>"TOTAL   "&amp;B234</f>
        <v>TOTAL   ACTIFS</v>
      </c>
      <c r="C249" s="1062">
        <f>SUM(C236:C248)</f>
        <v>0</v>
      </c>
      <c r="D249" s="1062">
        <f>SUM(D236:D248)</f>
        <v>772015.99432130205</v>
      </c>
      <c r="E249" s="1062">
        <f>SUM(E236:E248)</f>
        <v>1037018.9197921481</v>
      </c>
      <c r="F249" s="1062">
        <f t="shared" ref="F249:O249" si="195">SUM(F236:F248)</f>
        <v>1257088.67911345</v>
      </c>
      <c r="G249" s="1062">
        <f t="shared" si="195"/>
        <v>1490761.070459296</v>
      </c>
      <c r="H249" s="1062">
        <f t="shared" si="195"/>
        <v>1743280.8297805982</v>
      </c>
      <c r="I249" s="1062">
        <f t="shared" si="195"/>
        <v>1978233.7552514439</v>
      </c>
      <c r="J249" s="1062">
        <f t="shared" si="195"/>
        <v>2210642.2259477461</v>
      </c>
      <c r="K249" s="1062">
        <f t="shared" si="195"/>
        <v>2478371.8750602193</v>
      </c>
      <c r="L249" s="1062">
        <f t="shared" si="195"/>
        <v>2710821.5129972538</v>
      </c>
      <c r="M249" s="1062">
        <f t="shared" si="195"/>
        <v>2937283.4132306934</v>
      </c>
      <c r="N249" s="1062">
        <f t="shared" si="195"/>
        <v>3175134.7213072185</v>
      </c>
      <c r="O249" s="1062">
        <f t="shared" si="195"/>
        <v>3389497.7187908078</v>
      </c>
    </row>
    <row r="250" spans="2:15">
      <c r="B250" s="1053" t="s">
        <v>1776</v>
      </c>
      <c r="C250" s="1056"/>
      <c r="D250" s="1054"/>
      <c r="E250" s="1054"/>
      <c r="F250" s="1054"/>
      <c r="G250" s="1054"/>
      <c r="H250" s="1054"/>
      <c r="I250" s="1054"/>
      <c r="J250" s="1054"/>
      <c r="K250" s="1054"/>
      <c r="L250" s="1054"/>
      <c r="M250" s="1054"/>
      <c r="N250" s="1054"/>
      <c r="O250" s="1054"/>
    </row>
    <row r="251" spans="2:15">
      <c r="B251" s="1057" t="s">
        <v>1777</v>
      </c>
      <c r="C251" s="1056"/>
      <c r="D251" s="1054"/>
      <c r="E251" s="1054"/>
      <c r="F251" s="1054"/>
      <c r="G251" s="1054"/>
      <c r="H251" s="1054"/>
      <c r="I251" s="1054"/>
      <c r="J251" s="1054"/>
      <c r="K251" s="1054"/>
      <c r="L251" s="1054"/>
      <c r="M251" s="1054"/>
      <c r="N251" s="1054"/>
      <c r="O251" s="1054"/>
    </row>
    <row r="252" spans="2:15">
      <c r="B252" s="1065" t="str">
        <f>+B4</f>
        <v>Capital</v>
      </c>
      <c r="C252" s="1056">
        <f>-C4</f>
        <v>0</v>
      </c>
      <c r="D252" s="1056">
        <f>-(-C252+D4)</f>
        <v>0</v>
      </c>
      <c r="E252" s="1056">
        <f t="shared" ref="E252:O252" si="196">-(-D252+E4)</f>
        <v>0</v>
      </c>
      <c r="F252" s="1056">
        <f t="shared" si="196"/>
        <v>0</v>
      </c>
      <c r="G252" s="1056">
        <f t="shared" si="196"/>
        <v>0</v>
      </c>
      <c r="H252" s="1056">
        <f t="shared" si="196"/>
        <v>0</v>
      </c>
      <c r="I252" s="1056">
        <f t="shared" si="196"/>
        <v>0</v>
      </c>
      <c r="J252" s="1056">
        <f t="shared" si="196"/>
        <v>0</v>
      </c>
      <c r="K252" s="1056">
        <f t="shared" si="196"/>
        <v>0</v>
      </c>
      <c r="L252" s="1056">
        <f t="shared" si="196"/>
        <v>0</v>
      </c>
      <c r="M252" s="1056">
        <f t="shared" si="196"/>
        <v>0</v>
      </c>
      <c r="N252" s="1056">
        <f t="shared" si="196"/>
        <v>0</v>
      </c>
      <c r="O252" s="1056">
        <f t="shared" si="196"/>
        <v>0</v>
      </c>
    </row>
    <row r="253" spans="2:15">
      <c r="B253" s="1065" t="str">
        <f t="shared" ref="B253:B256" si="197">+B5</f>
        <v>Réserves légales</v>
      </c>
      <c r="C253" s="1056">
        <f t="shared" ref="C253:C256" si="198">-C5</f>
        <v>0</v>
      </c>
      <c r="D253" s="1056">
        <f t="shared" ref="D253:O256" si="199">-(-C253+D5)</f>
        <v>0</v>
      </c>
      <c r="E253" s="1056">
        <f t="shared" si="199"/>
        <v>0</v>
      </c>
      <c r="F253" s="1056">
        <f t="shared" si="199"/>
        <v>0</v>
      </c>
      <c r="G253" s="1056">
        <f t="shared" si="199"/>
        <v>0</v>
      </c>
      <c r="H253" s="1056">
        <f t="shared" si="199"/>
        <v>0</v>
      </c>
      <c r="I253" s="1056">
        <f t="shared" si="199"/>
        <v>0</v>
      </c>
      <c r="J253" s="1056">
        <f t="shared" si="199"/>
        <v>0</v>
      </c>
      <c r="K253" s="1056">
        <f t="shared" si="199"/>
        <v>0</v>
      </c>
      <c r="L253" s="1056">
        <f t="shared" si="199"/>
        <v>0</v>
      </c>
      <c r="M253" s="1056">
        <f t="shared" si="199"/>
        <v>0</v>
      </c>
      <c r="N253" s="1056">
        <f t="shared" si="199"/>
        <v>0</v>
      </c>
      <c r="O253" s="1056">
        <f t="shared" si="199"/>
        <v>0</v>
      </c>
    </row>
    <row r="254" spans="2:15">
      <c r="B254" s="1065" t="str">
        <f t="shared" si="197"/>
        <v>Report à nouveau</v>
      </c>
      <c r="C254" s="1056">
        <f t="shared" si="198"/>
        <v>0</v>
      </c>
      <c r="D254" s="1056">
        <f t="shared" si="199"/>
        <v>0</v>
      </c>
      <c r="E254" s="1056">
        <f t="shared" si="199"/>
        <v>0</v>
      </c>
      <c r="F254" s="1056">
        <f t="shared" si="199"/>
        <v>0</v>
      </c>
      <c r="G254" s="1056">
        <f t="shared" si="199"/>
        <v>0</v>
      </c>
      <c r="H254" s="1056">
        <f t="shared" si="199"/>
        <v>0</v>
      </c>
      <c r="I254" s="1056">
        <f t="shared" si="199"/>
        <v>0</v>
      </c>
      <c r="J254" s="1056">
        <f t="shared" si="199"/>
        <v>0</v>
      </c>
      <c r="K254" s="1056">
        <f t="shared" si="199"/>
        <v>0</v>
      </c>
      <c r="L254" s="1056">
        <f t="shared" si="199"/>
        <v>0</v>
      </c>
      <c r="M254" s="1056">
        <f t="shared" si="199"/>
        <v>0</v>
      </c>
      <c r="N254" s="1056">
        <f t="shared" si="199"/>
        <v>0</v>
      </c>
      <c r="O254" s="1056">
        <f t="shared" si="199"/>
        <v>0</v>
      </c>
    </row>
    <row r="255" spans="2:15">
      <c r="B255" s="1065" t="str">
        <f t="shared" si="197"/>
        <v>Résultat de l'exo</v>
      </c>
      <c r="C255" s="1056">
        <f t="shared" si="198"/>
        <v>0</v>
      </c>
      <c r="D255" s="1056">
        <f t="shared" si="199"/>
        <v>313571.07945118478</v>
      </c>
      <c r="E255" s="1056">
        <f t="shared" si="199"/>
        <v>623582.06255191355</v>
      </c>
      <c r="F255" s="1056">
        <f t="shared" si="199"/>
        <v>888703.64200309827</v>
      </c>
      <c r="G255" s="1056">
        <f t="shared" si="199"/>
        <v>1197916.6251038271</v>
      </c>
      <c r="H255" s="1056">
        <f t="shared" si="199"/>
        <v>1495488.2045550118</v>
      </c>
      <c r="I255" s="1056">
        <f t="shared" si="199"/>
        <v>1775449.1876557407</v>
      </c>
      <c r="J255" s="1056">
        <f t="shared" si="199"/>
        <v>2083457.7671069254</v>
      </c>
      <c r="K255" s="1056">
        <f t="shared" si="199"/>
        <v>2394464.6120284679</v>
      </c>
      <c r="L255" s="1056">
        <f t="shared" si="199"/>
        <v>2668874.5227567437</v>
      </c>
      <c r="M255" s="1056">
        <f t="shared" si="199"/>
        <v>2965583.2911466341</v>
      </c>
      <c r="N255" s="1056">
        <f t="shared" si="199"/>
        <v>3261551.0951946555</v>
      </c>
      <c r="O255" s="1056">
        <f t="shared" si="199"/>
        <v>2817723.8884596205</v>
      </c>
    </row>
    <row r="256" spans="2:15">
      <c r="B256" s="1065" t="str">
        <f t="shared" si="197"/>
        <v>RIA</v>
      </c>
      <c r="C256" s="1056">
        <f t="shared" si="198"/>
        <v>0</v>
      </c>
      <c r="D256" s="1056">
        <f t="shared" si="199"/>
        <v>0</v>
      </c>
      <c r="E256" s="1056">
        <f t="shared" si="199"/>
        <v>0</v>
      </c>
      <c r="F256" s="1056">
        <f t="shared" si="199"/>
        <v>0</v>
      </c>
      <c r="G256" s="1056">
        <f t="shared" si="199"/>
        <v>0</v>
      </c>
      <c r="H256" s="1056">
        <f t="shared" si="199"/>
        <v>0</v>
      </c>
      <c r="I256" s="1056">
        <f t="shared" si="199"/>
        <v>0</v>
      </c>
      <c r="J256" s="1056">
        <f t="shared" si="199"/>
        <v>0</v>
      </c>
      <c r="K256" s="1056">
        <f t="shared" si="199"/>
        <v>0</v>
      </c>
      <c r="L256" s="1056">
        <f t="shared" si="199"/>
        <v>0</v>
      </c>
      <c r="M256" s="1056">
        <f t="shared" si="199"/>
        <v>0</v>
      </c>
      <c r="N256" s="1056">
        <f t="shared" si="199"/>
        <v>0</v>
      </c>
      <c r="O256" s="1056">
        <f t="shared" si="199"/>
        <v>0</v>
      </c>
    </row>
    <row r="257" spans="2:15">
      <c r="B257" s="1057" t="s">
        <v>1778</v>
      </c>
      <c r="C257" s="1054"/>
      <c r="D257" s="1054"/>
      <c r="E257" s="1054"/>
      <c r="F257" s="1054"/>
      <c r="G257" s="1054"/>
      <c r="H257" s="1054"/>
      <c r="I257" s="1054"/>
      <c r="J257" s="1054"/>
      <c r="K257" s="1054"/>
      <c r="L257" s="1054"/>
      <c r="M257" s="1054"/>
      <c r="N257" s="1054"/>
      <c r="O257" s="1054"/>
    </row>
    <row r="258" spans="2:15">
      <c r="B258" s="1058" t="str">
        <f>+B10</f>
        <v>Amortissements</v>
      </c>
      <c r="C258" s="1056">
        <f>-C10</f>
        <v>0</v>
      </c>
      <c r="D258" s="1056">
        <f>-(-C258+D10)</f>
        <v>5894.0906617838536</v>
      </c>
      <c r="E258" s="1056">
        <f>-(-D258+E10)</f>
        <v>17350.681323567711</v>
      </c>
      <c r="F258" s="1056">
        <f t="shared" ref="F258:O258" si="200">-(-E258+F10)</f>
        <v>28807.271985351566</v>
      </c>
      <c r="G258" s="1056">
        <f t="shared" si="200"/>
        <v>40263.862647135422</v>
      </c>
      <c r="H258" s="1056">
        <f t="shared" si="200"/>
        <v>51720.453308919277</v>
      </c>
      <c r="I258" s="1056">
        <f t="shared" si="200"/>
        <v>63177.043970703133</v>
      </c>
      <c r="J258" s="1056">
        <f t="shared" si="200"/>
        <v>74633.634632486996</v>
      </c>
      <c r="K258" s="1056">
        <f t="shared" si="200"/>
        <v>86090.225294270844</v>
      </c>
      <c r="L258" s="1056">
        <f t="shared" si="200"/>
        <v>97546.815956054692</v>
      </c>
      <c r="M258" s="1056">
        <f t="shared" si="200"/>
        <v>109003.40661783854</v>
      </c>
      <c r="N258" s="1056">
        <f t="shared" si="200"/>
        <v>120459.99727962239</v>
      </c>
      <c r="O258" s="1056">
        <f t="shared" si="200"/>
        <v>131916.58794140624</v>
      </c>
    </row>
    <row r="259" spans="2:15">
      <c r="B259" s="1058" t="str">
        <f>+B11</f>
        <v>Pertes de valeurs</v>
      </c>
      <c r="C259" s="1056">
        <f>-C11</f>
        <v>0</v>
      </c>
      <c r="D259" s="1056">
        <f>-(-C259+D11)</f>
        <v>0</v>
      </c>
      <c r="E259" s="1056">
        <f t="shared" ref="E259:O259" si="201">-(-D259+E11)</f>
        <v>0</v>
      </c>
      <c r="F259" s="1056">
        <f t="shared" si="201"/>
        <v>0</v>
      </c>
      <c r="G259" s="1056">
        <f t="shared" si="201"/>
        <v>0</v>
      </c>
      <c r="H259" s="1056">
        <f t="shared" si="201"/>
        <v>0</v>
      </c>
      <c r="I259" s="1056">
        <f t="shared" si="201"/>
        <v>0</v>
      </c>
      <c r="J259" s="1056">
        <f t="shared" si="201"/>
        <v>0</v>
      </c>
      <c r="K259" s="1056">
        <f t="shared" si="201"/>
        <v>0</v>
      </c>
      <c r="L259" s="1056">
        <f t="shared" si="201"/>
        <v>0</v>
      </c>
      <c r="M259" s="1056">
        <f t="shared" si="201"/>
        <v>0</v>
      </c>
      <c r="N259" s="1056">
        <f t="shared" si="201"/>
        <v>0</v>
      </c>
      <c r="O259" s="1056">
        <f t="shared" si="201"/>
        <v>0</v>
      </c>
    </row>
    <row r="260" spans="2:15">
      <c r="B260" s="1057" t="s">
        <v>1779</v>
      </c>
      <c r="C260" s="1054"/>
      <c r="D260" s="1054"/>
      <c r="E260" s="1054"/>
      <c r="F260" s="1054"/>
      <c r="G260" s="1054"/>
      <c r="H260" s="1054"/>
      <c r="I260" s="1054"/>
      <c r="J260" s="1054"/>
      <c r="K260" s="1054"/>
      <c r="L260" s="1054"/>
      <c r="M260" s="1054"/>
      <c r="N260" s="1054"/>
      <c r="O260" s="1054"/>
    </row>
    <row r="261" spans="2:15">
      <c r="B261" s="1058" t="str">
        <f>+B12</f>
        <v>Emprunt à LT</v>
      </c>
      <c r="C261" s="1056">
        <f>-C12</f>
        <v>0</v>
      </c>
      <c r="D261" s="1056">
        <f>(+C261-D12)</f>
        <v>-66666.666666666657</v>
      </c>
      <c r="E261" s="1056">
        <f>(+D261-E12)</f>
        <v>-133333.33333333331</v>
      </c>
      <c r="F261" s="1056">
        <f t="shared" ref="F261:O261" si="202">(+E261-F12)</f>
        <v>-199999.99999999997</v>
      </c>
      <c r="G261" s="1056">
        <f t="shared" si="202"/>
        <v>-266666.66666666663</v>
      </c>
      <c r="H261" s="1056">
        <f t="shared" si="202"/>
        <v>-333333.33333333326</v>
      </c>
      <c r="I261" s="1056">
        <f t="shared" si="202"/>
        <v>-399999.99999999988</v>
      </c>
      <c r="J261" s="1056">
        <f t="shared" si="202"/>
        <v>-466666.66666666651</v>
      </c>
      <c r="K261" s="1056">
        <f t="shared" si="202"/>
        <v>-531602.47151251941</v>
      </c>
      <c r="L261" s="1056">
        <f t="shared" si="202"/>
        <v>-594778.56684054504</v>
      </c>
      <c r="M261" s="1056">
        <f t="shared" si="202"/>
        <v>-656165.62415877951</v>
      </c>
      <c r="N261" s="1056">
        <f t="shared" si="202"/>
        <v>-715733.82616705971</v>
      </c>
      <c r="O261" s="1056">
        <f t="shared" si="202"/>
        <v>-773452.85861021967</v>
      </c>
    </row>
    <row r="262" spans="2:15">
      <c r="B262" s="1058" t="str">
        <f t="shared" ref="B262:B273" si="203">+B23</f>
        <v>Fournisseurs d'immo</v>
      </c>
      <c r="C262" s="1056">
        <f t="shared" ref="C262:C273" si="204">-C23</f>
        <v>0</v>
      </c>
      <c r="D262" s="1056">
        <f t="shared" ref="D262:O262" si="205">-(-C262+D23)</f>
        <v>0</v>
      </c>
      <c r="E262" s="1056">
        <f t="shared" si="205"/>
        <v>0</v>
      </c>
      <c r="F262" s="1056">
        <f t="shared" si="205"/>
        <v>0</v>
      </c>
      <c r="G262" s="1056">
        <f t="shared" si="205"/>
        <v>0</v>
      </c>
      <c r="H262" s="1056">
        <f t="shared" si="205"/>
        <v>0</v>
      </c>
      <c r="I262" s="1056">
        <f t="shared" si="205"/>
        <v>0</v>
      </c>
      <c r="J262" s="1056">
        <f t="shared" si="205"/>
        <v>0</v>
      </c>
      <c r="K262" s="1056">
        <f t="shared" si="205"/>
        <v>0</v>
      </c>
      <c r="L262" s="1056">
        <f t="shared" si="205"/>
        <v>0</v>
      </c>
      <c r="M262" s="1056">
        <f t="shared" si="205"/>
        <v>0</v>
      </c>
      <c r="N262" s="1056">
        <f t="shared" si="205"/>
        <v>0</v>
      </c>
      <c r="O262" s="1056">
        <f t="shared" si="205"/>
        <v>0</v>
      </c>
    </row>
    <row r="263" spans="2:15">
      <c r="B263" s="1058" t="str">
        <f t="shared" si="203"/>
        <v>Prestataires de services</v>
      </c>
      <c r="C263" s="1056">
        <f t="shared" si="204"/>
        <v>0</v>
      </c>
      <c r="D263" s="1056">
        <f t="shared" ref="D263:O263" si="206">-(-C263+D24)</f>
        <v>0</v>
      </c>
      <c r="E263" s="1056">
        <f t="shared" si="206"/>
        <v>0</v>
      </c>
      <c r="F263" s="1056">
        <f t="shared" si="206"/>
        <v>0</v>
      </c>
      <c r="G263" s="1056">
        <f t="shared" si="206"/>
        <v>0</v>
      </c>
      <c r="H263" s="1056">
        <f t="shared" si="206"/>
        <v>0</v>
      </c>
      <c r="I263" s="1056">
        <f t="shared" si="206"/>
        <v>0</v>
      </c>
      <c r="J263" s="1056">
        <f t="shared" si="206"/>
        <v>0</v>
      </c>
      <c r="K263" s="1056">
        <f t="shared" si="206"/>
        <v>0</v>
      </c>
      <c r="L263" s="1056">
        <f t="shared" si="206"/>
        <v>0</v>
      </c>
      <c r="M263" s="1056">
        <f t="shared" si="206"/>
        <v>0</v>
      </c>
      <c r="N263" s="1056">
        <f t="shared" si="206"/>
        <v>0</v>
      </c>
      <c r="O263" s="1056">
        <f t="shared" si="206"/>
        <v>0</v>
      </c>
    </row>
    <row r="264" spans="2:15">
      <c r="B264" s="1058" t="str">
        <f t="shared" si="203"/>
        <v>Avances clients</v>
      </c>
      <c r="C264" s="1056">
        <f t="shared" si="204"/>
        <v>0</v>
      </c>
      <c r="D264" s="1056">
        <f t="shared" ref="D264:O264" si="207">-(-C264+D25)</f>
        <v>0</v>
      </c>
      <c r="E264" s="1056">
        <f t="shared" si="207"/>
        <v>0</v>
      </c>
      <c r="F264" s="1056">
        <f t="shared" si="207"/>
        <v>0</v>
      </c>
      <c r="G264" s="1056">
        <f t="shared" si="207"/>
        <v>0</v>
      </c>
      <c r="H264" s="1056">
        <f t="shared" si="207"/>
        <v>0</v>
      </c>
      <c r="I264" s="1056">
        <f t="shared" si="207"/>
        <v>0</v>
      </c>
      <c r="J264" s="1056">
        <f t="shared" si="207"/>
        <v>0</v>
      </c>
      <c r="K264" s="1056">
        <f t="shared" si="207"/>
        <v>0</v>
      </c>
      <c r="L264" s="1056">
        <f t="shared" si="207"/>
        <v>0</v>
      </c>
      <c r="M264" s="1056">
        <f t="shared" si="207"/>
        <v>0</v>
      </c>
      <c r="N264" s="1056">
        <f t="shared" si="207"/>
        <v>0</v>
      </c>
      <c r="O264" s="1056">
        <f t="shared" si="207"/>
        <v>0</v>
      </c>
    </row>
    <row r="265" spans="2:15">
      <c r="B265" s="1058" t="str">
        <f t="shared" si="203"/>
        <v>Personnel</v>
      </c>
      <c r="C265" s="1056">
        <f t="shared" si="204"/>
        <v>0</v>
      </c>
      <c r="D265" s="1056">
        <f t="shared" ref="D265:O265" si="208">-(-C265+D26)</f>
        <v>0</v>
      </c>
      <c r="E265" s="1056">
        <f t="shared" si="208"/>
        <v>0</v>
      </c>
      <c r="F265" s="1056">
        <f t="shared" si="208"/>
        <v>0</v>
      </c>
      <c r="G265" s="1056">
        <f t="shared" si="208"/>
        <v>0</v>
      </c>
      <c r="H265" s="1056">
        <f t="shared" si="208"/>
        <v>0</v>
      </c>
      <c r="I265" s="1056">
        <f t="shared" si="208"/>
        <v>0</v>
      </c>
      <c r="J265" s="1056">
        <f t="shared" si="208"/>
        <v>0</v>
      </c>
      <c r="K265" s="1056">
        <f t="shared" si="208"/>
        <v>0</v>
      </c>
      <c r="L265" s="1056">
        <f t="shared" si="208"/>
        <v>0</v>
      </c>
      <c r="M265" s="1056">
        <f t="shared" si="208"/>
        <v>0</v>
      </c>
      <c r="N265" s="1056">
        <f t="shared" si="208"/>
        <v>0</v>
      </c>
      <c r="O265" s="1056">
        <f t="shared" si="208"/>
        <v>0</v>
      </c>
    </row>
    <row r="266" spans="2:15">
      <c r="B266" s="1058" t="str">
        <f t="shared" si="203"/>
        <v>Sécurité sociale</v>
      </c>
      <c r="C266" s="1056">
        <f t="shared" si="204"/>
        <v>0</v>
      </c>
      <c r="D266" s="1056">
        <f t="shared" ref="D266:O266" si="209">-(-C266+D27)</f>
        <v>10172.259875</v>
      </c>
      <c r="E266" s="1056">
        <f t="shared" si="209"/>
        <v>20360.274250000002</v>
      </c>
      <c r="F266" s="1056">
        <f t="shared" si="209"/>
        <v>30532.534125000002</v>
      </c>
      <c r="G266" s="1056">
        <f t="shared" si="209"/>
        <v>10188.014375000002</v>
      </c>
      <c r="H266" s="1056">
        <f t="shared" si="209"/>
        <v>20360.274250000002</v>
      </c>
      <c r="I266" s="1056">
        <f t="shared" si="209"/>
        <v>30548.288625000001</v>
      </c>
      <c r="J266" s="1056">
        <f t="shared" si="209"/>
        <v>10172.259875</v>
      </c>
      <c r="K266" s="1056">
        <f t="shared" si="209"/>
        <v>20360.274250000002</v>
      </c>
      <c r="L266" s="1056">
        <f t="shared" si="209"/>
        <v>30321.286125000002</v>
      </c>
      <c r="M266" s="1056">
        <f t="shared" si="209"/>
        <v>9984.2386250000018</v>
      </c>
      <c r="N266" s="1056">
        <f t="shared" si="209"/>
        <v>0</v>
      </c>
      <c r="O266" s="1056">
        <f t="shared" si="209"/>
        <v>0</v>
      </c>
    </row>
    <row r="267" spans="2:15">
      <c r="B267" s="1058" t="str">
        <f t="shared" si="203"/>
        <v>OSIET</v>
      </c>
      <c r="C267" s="1056">
        <f t="shared" si="204"/>
        <v>0</v>
      </c>
      <c r="D267" s="1056">
        <f t="shared" ref="D267:O267" si="210">-(-C267+D28)</f>
        <v>0</v>
      </c>
      <c r="E267" s="1056">
        <f t="shared" si="210"/>
        <v>0</v>
      </c>
      <c r="F267" s="1056">
        <f t="shared" si="210"/>
        <v>0</v>
      </c>
      <c r="G267" s="1056">
        <f t="shared" si="210"/>
        <v>0</v>
      </c>
      <c r="H267" s="1056">
        <f t="shared" si="210"/>
        <v>0</v>
      </c>
      <c r="I267" s="1056">
        <f t="shared" si="210"/>
        <v>0</v>
      </c>
      <c r="J267" s="1056">
        <f t="shared" si="210"/>
        <v>0</v>
      </c>
      <c r="K267" s="1056">
        <f t="shared" si="210"/>
        <v>0</v>
      </c>
      <c r="L267" s="1056">
        <f t="shared" si="210"/>
        <v>0</v>
      </c>
      <c r="M267" s="1056">
        <f t="shared" si="210"/>
        <v>0</v>
      </c>
      <c r="N267" s="1056">
        <f t="shared" si="210"/>
        <v>0</v>
      </c>
      <c r="O267" s="1056">
        <f t="shared" si="210"/>
        <v>0</v>
      </c>
    </row>
    <row r="268" spans="2:15">
      <c r="B268" s="1058" t="str">
        <f t="shared" si="203"/>
        <v>Etats - IGR</v>
      </c>
      <c r="C268" s="1056">
        <f t="shared" si="204"/>
        <v>0</v>
      </c>
      <c r="D268" s="1056">
        <f t="shared" ref="D268:O268" si="211">-(-C268+D29)</f>
        <v>9045.2309999999998</v>
      </c>
      <c r="E268" s="1056">
        <f t="shared" si="211"/>
        <v>9059.2350000000006</v>
      </c>
      <c r="F268" s="1056">
        <f t="shared" si="211"/>
        <v>9045.2309999999998</v>
      </c>
      <c r="G268" s="1056">
        <f t="shared" si="211"/>
        <v>9059.2350000000006</v>
      </c>
      <c r="H268" s="1056">
        <f t="shared" si="211"/>
        <v>9045.2309999999998</v>
      </c>
      <c r="I268" s="1056">
        <f t="shared" si="211"/>
        <v>9059.2350000000006</v>
      </c>
      <c r="J268" s="1056">
        <f t="shared" si="211"/>
        <v>9045.2309999999998</v>
      </c>
      <c r="K268" s="1056">
        <f t="shared" si="211"/>
        <v>9059.2350000000006</v>
      </c>
      <c r="L268" s="1056">
        <f t="shared" si="211"/>
        <v>8857.4549999999999</v>
      </c>
      <c r="M268" s="1056">
        <f t="shared" si="211"/>
        <v>8878.1009999999987</v>
      </c>
      <c r="N268" s="1056">
        <f t="shared" si="211"/>
        <v>8857.4549999999963</v>
      </c>
      <c r="O268" s="1056">
        <f t="shared" si="211"/>
        <v>8878.1009999999951</v>
      </c>
    </row>
    <row r="269" spans="2:15">
      <c r="B269" s="1058" t="str">
        <f t="shared" si="203"/>
        <v>IR</v>
      </c>
      <c r="C269" s="1056">
        <f t="shared" si="204"/>
        <v>0</v>
      </c>
      <c r="D269" s="1056">
        <f t="shared" ref="D269:O269" si="212">-(-C269+D30)</f>
        <v>0</v>
      </c>
      <c r="E269" s="1056">
        <f t="shared" si="212"/>
        <v>0</v>
      </c>
      <c r="F269" s="1056">
        <f t="shared" si="212"/>
        <v>0</v>
      </c>
      <c r="G269" s="1056">
        <f t="shared" si="212"/>
        <v>0</v>
      </c>
      <c r="H269" s="1056">
        <f t="shared" si="212"/>
        <v>0</v>
      </c>
      <c r="I269" s="1056">
        <f t="shared" si="212"/>
        <v>0</v>
      </c>
      <c r="J269" s="1056">
        <f t="shared" si="212"/>
        <v>0</v>
      </c>
      <c r="K269" s="1056">
        <f t="shared" si="212"/>
        <v>0</v>
      </c>
      <c r="L269" s="1056">
        <f t="shared" si="212"/>
        <v>0</v>
      </c>
      <c r="M269" s="1056">
        <f t="shared" si="212"/>
        <v>0</v>
      </c>
      <c r="N269" s="1056">
        <f t="shared" si="212"/>
        <v>0</v>
      </c>
      <c r="O269" s="1056">
        <f t="shared" si="212"/>
        <v>704432</v>
      </c>
    </row>
    <row r="270" spans="2:15">
      <c r="B270" s="1058" t="str">
        <f t="shared" si="203"/>
        <v>Etat, TVA collectée</v>
      </c>
      <c r="C270" s="1056">
        <f t="shared" si="204"/>
        <v>0</v>
      </c>
      <c r="D270" s="1056">
        <f t="shared" ref="D270:O270" si="213">-(-C270+D31)</f>
        <v>0</v>
      </c>
      <c r="E270" s="1056">
        <f t="shared" si="213"/>
        <v>0</v>
      </c>
      <c r="F270" s="1056">
        <f t="shared" si="213"/>
        <v>0</v>
      </c>
      <c r="G270" s="1056">
        <f t="shared" si="213"/>
        <v>0</v>
      </c>
      <c r="H270" s="1056">
        <f t="shared" si="213"/>
        <v>0</v>
      </c>
      <c r="I270" s="1056">
        <f t="shared" si="213"/>
        <v>0</v>
      </c>
      <c r="J270" s="1056">
        <f t="shared" si="213"/>
        <v>0</v>
      </c>
      <c r="K270" s="1056">
        <f t="shared" si="213"/>
        <v>0</v>
      </c>
      <c r="L270" s="1056">
        <f t="shared" si="213"/>
        <v>0</v>
      </c>
      <c r="M270" s="1056">
        <f t="shared" si="213"/>
        <v>0</v>
      </c>
      <c r="N270" s="1056">
        <f t="shared" si="213"/>
        <v>0</v>
      </c>
      <c r="O270" s="1056">
        <f t="shared" si="213"/>
        <v>0</v>
      </c>
    </row>
    <row r="271" spans="2:15">
      <c r="B271" s="1058" t="str">
        <f t="shared" si="203"/>
        <v>Etat, Autres impots</v>
      </c>
      <c r="C271" s="1056">
        <f t="shared" si="204"/>
        <v>0</v>
      </c>
      <c r="D271" s="1056">
        <f t="shared" ref="D271:O271" si="214">-(-C271+D32)</f>
        <v>0</v>
      </c>
      <c r="E271" s="1056">
        <f t="shared" si="214"/>
        <v>0</v>
      </c>
      <c r="F271" s="1056">
        <f t="shared" si="214"/>
        <v>0</v>
      </c>
      <c r="G271" s="1056">
        <f t="shared" si="214"/>
        <v>0</v>
      </c>
      <c r="H271" s="1056">
        <f t="shared" si="214"/>
        <v>0</v>
      </c>
      <c r="I271" s="1056">
        <f t="shared" si="214"/>
        <v>0</v>
      </c>
      <c r="J271" s="1056">
        <f t="shared" si="214"/>
        <v>0</v>
      </c>
      <c r="K271" s="1056">
        <f t="shared" si="214"/>
        <v>0</v>
      </c>
      <c r="L271" s="1056">
        <f t="shared" si="214"/>
        <v>0</v>
      </c>
      <c r="M271" s="1056">
        <f t="shared" si="214"/>
        <v>0</v>
      </c>
      <c r="N271" s="1056">
        <f t="shared" si="214"/>
        <v>0</v>
      </c>
      <c r="O271" s="1056">
        <f t="shared" si="214"/>
        <v>0</v>
      </c>
    </row>
    <row r="272" spans="2:15">
      <c r="B272" s="1058" t="str">
        <f t="shared" si="203"/>
        <v>ETAT : CHARGES A PAYER</v>
      </c>
      <c r="C272" s="1056">
        <f t="shared" si="204"/>
        <v>0</v>
      </c>
      <c r="D272" s="1056">
        <f t="shared" ref="D272:O272" si="215">-(-C272+D33)</f>
        <v>0</v>
      </c>
      <c r="E272" s="1056">
        <f t="shared" si="215"/>
        <v>0</v>
      </c>
      <c r="F272" s="1056">
        <f t="shared" si="215"/>
        <v>0</v>
      </c>
      <c r="G272" s="1056">
        <f t="shared" si="215"/>
        <v>0</v>
      </c>
      <c r="H272" s="1056">
        <f t="shared" si="215"/>
        <v>0</v>
      </c>
      <c r="I272" s="1056">
        <f t="shared" si="215"/>
        <v>0</v>
      </c>
      <c r="J272" s="1056">
        <f t="shared" si="215"/>
        <v>0</v>
      </c>
      <c r="K272" s="1056">
        <f t="shared" si="215"/>
        <v>0</v>
      </c>
      <c r="L272" s="1056">
        <f t="shared" si="215"/>
        <v>0</v>
      </c>
      <c r="M272" s="1056">
        <f t="shared" si="215"/>
        <v>0</v>
      </c>
      <c r="N272" s="1056">
        <f t="shared" si="215"/>
        <v>0</v>
      </c>
      <c r="O272" s="1056">
        <f t="shared" si="215"/>
        <v>0</v>
      </c>
    </row>
    <row r="273" spans="2:15">
      <c r="B273" s="1058" t="str">
        <f t="shared" si="203"/>
        <v>Operations groupes</v>
      </c>
      <c r="C273" s="1056">
        <f t="shared" si="204"/>
        <v>0</v>
      </c>
      <c r="D273" s="1056">
        <f t="shared" ref="D273:O274" si="216">-(-C273+D34)</f>
        <v>0</v>
      </c>
      <c r="E273" s="1056">
        <f t="shared" si="216"/>
        <v>0</v>
      </c>
      <c r="F273" s="1056">
        <f t="shared" si="216"/>
        <v>0</v>
      </c>
      <c r="G273" s="1056">
        <f t="shared" si="216"/>
        <v>0</v>
      </c>
      <c r="H273" s="1056">
        <f t="shared" si="216"/>
        <v>0</v>
      </c>
      <c r="I273" s="1056">
        <f t="shared" si="216"/>
        <v>0</v>
      </c>
      <c r="J273" s="1056">
        <f t="shared" si="216"/>
        <v>0</v>
      </c>
      <c r="K273" s="1056">
        <f t="shared" si="216"/>
        <v>0</v>
      </c>
      <c r="L273" s="1056">
        <f t="shared" si="216"/>
        <v>0</v>
      </c>
      <c r="M273" s="1056">
        <f t="shared" si="216"/>
        <v>0</v>
      </c>
      <c r="N273" s="1056">
        <f t="shared" si="216"/>
        <v>0</v>
      </c>
      <c r="O273" s="1056">
        <f t="shared" si="216"/>
        <v>0</v>
      </c>
    </row>
    <row r="274" spans="2:15">
      <c r="B274" s="1058" t="str">
        <f t="shared" ref="B274:B275" si="217">+B35</f>
        <v>Compte courants</v>
      </c>
      <c r="C274" s="1056">
        <f t="shared" ref="C274" si="218">-C35</f>
        <v>0</v>
      </c>
      <c r="D274" s="1056">
        <f t="shared" ref="D274:O275" si="219">-(-C274+D35)</f>
        <v>500000</v>
      </c>
      <c r="E274" s="1056">
        <f t="shared" si="216"/>
        <v>500000</v>
      </c>
      <c r="F274" s="1056">
        <f t="shared" si="216"/>
        <v>500000</v>
      </c>
      <c r="G274" s="1056">
        <f t="shared" si="216"/>
        <v>500000</v>
      </c>
      <c r="H274" s="1056">
        <f t="shared" si="216"/>
        <v>500000</v>
      </c>
      <c r="I274" s="1056">
        <f t="shared" si="216"/>
        <v>500000</v>
      </c>
      <c r="J274" s="1056">
        <f t="shared" si="216"/>
        <v>500000</v>
      </c>
      <c r="K274" s="1056">
        <f t="shared" si="216"/>
        <v>500000</v>
      </c>
      <c r="L274" s="1056">
        <f t="shared" si="216"/>
        <v>500000</v>
      </c>
      <c r="M274" s="1056">
        <f t="shared" si="216"/>
        <v>500000</v>
      </c>
      <c r="N274" s="1056">
        <f t="shared" si="216"/>
        <v>500000</v>
      </c>
      <c r="O274" s="1056">
        <f>-(-N274+O35)</f>
        <v>500000</v>
      </c>
    </row>
    <row r="275" spans="2:15">
      <c r="B275" s="1058" t="str">
        <f t="shared" si="217"/>
        <v>Créditeurs divers</v>
      </c>
      <c r="C275" s="1056">
        <f>-C36</f>
        <v>0</v>
      </c>
      <c r="D275" s="1056">
        <f t="shared" si="219"/>
        <v>0</v>
      </c>
      <c r="E275" s="1056">
        <f t="shared" si="219"/>
        <v>0</v>
      </c>
      <c r="F275" s="1056">
        <f t="shared" si="219"/>
        <v>0</v>
      </c>
      <c r="G275" s="1056">
        <f t="shared" si="219"/>
        <v>0</v>
      </c>
      <c r="H275" s="1056">
        <f t="shared" si="219"/>
        <v>0</v>
      </c>
      <c r="I275" s="1056">
        <f t="shared" si="219"/>
        <v>0</v>
      </c>
      <c r="J275" s="1056">
        <f t="shared" si="219"/>
        <v>0</v>
      </c>
      <c r="K275" s="1056">
        <f t="shared" si="219"/>
        <v>0</v>
      </c>
      <c r="L275" s="1056">
        <f t="shared" si="219"/>
        <v>0</v>
      </c>
      <c r="M275" s="1056">
        <f t="shared" si="219"/>
        <v>0</v>
      </c>
      <c r="N275" s="1056">
        <f t="shared" si="219"/>
        <v>0</v>
      </c>
      <c r="O275" s="1056">
        <f t="shared" si="219"/>
        <v>0</v>
      </c>
    </row>
    <row r="276" spans="2:15">
      <c r="B276" s="1057" t="s">
        <v>1774</v>
      </c>
      <c r="C276" s="1054"/>
      <c r="D276" s="1054"/>
      <c r="E276" s="1054"/>
      <c r="F276" s="1054"/>
      <c r="G276" s="1054"/>
      <c r="H276" s="1054"/>
      <c r="I276" s="1054"/>
      <c r="J276" s="1054"/>
      <c r="K276" s="1054"/>
      <c r="L276" s="1054"/>
      <c r="M276" s="1054"/>
      <c r="N276" s="1054"/>
      <c r="O276" s="1054"/>
    </row>
    <row r="277" spans="2:15">
      <c r="B277" s="1058" t="s">
        <v>1780</v>
      </c>
      <c r="C277" s="1056">
        <f>+IF(C49&lt;0,-C49,0)</f>
        <v>0</v>
      </c>
      <c r="D277" s="1056">
        <f>+IF(D54&lt;0,-D54,0)</f>
        <v>0</v>
      </c>
      <c r="E277" s="1056">
        <f t="shared" ref="E277:O277" si="220">+IF(E54&lt;0,-E54,0)</f>
        <v>0</v>
      </c>
      <c r="F277" s="1056">
        <f t="shared" si="220"/>
        <v>0</v>
      </c>
      <c r="G277" s="1056">
        <f t="shared" si="220"/>
        <v>0</v>
      </c>
      <c r="H277" s="1056">
        <f t="shared" si="220"/>
        <v>0</v>
      </c>
      <c r="I277" s="1056">
        <f t="shared" si="220"/>
        <v>0</v>
      </c>
      <c r="J277" s="1056">
        <f t="shared" si="220"/>
        <v>0</v>
      </c>
      <c r="K277" s="1056">
        <f t="shared" si="220"/>
        <v>0</v>
      </c>
      <c r="L277" s="1056">
        <f t="shared" si="220"/>
        <v>0</v>
      </c>
      <c r="M277" s="1056">
        <f t="shared" si="220"/>
        <v>0</v>
      </c>
      <c r="N277" s="1056">
        <f t="shared" si="220"/>
        <v>0</v>
      </c>
      <c r="O277" s="1056">
        <f t="shared" si="220"/>
        <v>0</v>
      </c>
    </row>
    <row r="278" spans="2:15" ht="13.5" thickBot="1">
      <c r="B278" s="1063" t="str">
        <f>"TOTAL   "&amp;B250</f>
        <v>TOTAL   PASSIFS</v>
      </c>
      <c r="C278" s="1064">
        <f t="shared" ref="C278:O278" si="221">SUM(C252:C277)</f>
        <v>0</v>
      </c>
      <c r="D278" s="1064">
        <f t="shared" si="221"/>
        <v>772015.99432130205</v>
      </c>
      <c r="E278" s="1064">
        <f t="shared" si="221"/>
        <v>1037018.9197921479</v>
      </c>
      <c r="F278" s="1064">
        <f t="shared" si="221"/>
        <v>1257088.67911345</v>
      </c>
      <c r="G278" s="1064">
        <f t="shared" si="221"/>
        <v>1490761.070459296</v>
      </c>
      <c r="H278" s="1064">
        <f t="shared" si="221"/>
        <v>1743280.8297805977</v>
      </c>
      <c r="I278" s="1064">
        <f t="shared" si="221"/>
        <v>1978233.7552514442</v>
      </c>
      <c r="J278" s="1064">
        <f t="shared" si="221"/>
        <v>2210642.2259477461</v>
      </c>
      <c r="K278" s="1064">
        <f t="shared" si="221"/>
        <v>2478371.8750602198</v>
      </c>
      <c r="L278" s="1064">
        <f t="shared" si="221"/>
        <v>2710821.5129972533</v>
      </c>
      <c r="M278" s="1064">
        <f t="shared" si="221"/>
        <v>2937283.413230693</v>
      </c>
      <c r="N278" s="1064">
        <f t="shared" si="221"/>
        <v>3175134.7213072185</v>
      </c>
      <c r="O278" s="1064">
        <f t="shared" si="221"/>
        <v>3389497.7187908068</v>
      </c>
    </row>
    <row r="279" spans="2:15">
      <c r="D279" s="970">
        <f>+D249-D278</f>
        <v>0</v>
      </c>
      <c r="E279" s="970">
        <f t="shared" ref="E279:O279" si="222">+E249-E278</f>
        <v>0</v>
      </c>
      <c r="F279" s="970">
        <f t="shared" si="222"/>
        <v>0</v>
      </c>
      <c r="G279" s="970">
        <f t="shared" si="222"/>
        <v>0</v>
      </c>
      <c r="H279" s="970">
        <f t="shared" si="222"/>
        <v>0</v>
      </c>
      <c r="I279" s="970">
        <f t="shared" si="222"/>
        <v>0</v>
      </c>
      <c r="J279" s="970">
        <f t="shared" si="222"/>
        <v>0</v>
      </c>
      <c r="K279" s="970">
        <f t="shared" si="222"/>
        <v>0</v>
      </c>
      <c r="L279" s="970">
        <f t="shared" si="222"/>
        <v>0</v>
      </c>
      <c r="M279" s="970">
        <f t="shared" si="222"/>
        <v>0</v>
      </c>
      <c r="N279" s="970">
        <f t="shared" si="222"/>
        <v>0</v>
      </c>
      <c r="O279" s="970">
        <f t="shared" si="222"/>
        <v>0</v>
      </c>
    </row>
    <row r="281" spans="2:15">
      <c r="O281" s="1056">
        <f>+O279*1000</f>
        <v>0</v>
      </c>
    </row>
  </sheetData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Feuil39">
    <pageSetUpPr fitToPage="1"/>
  </sheetPr>
  <dimension ref="A1:N117"/>
  <sheetViews>
    <sheetView showGridLines="0" topLeftCell="B2" zoomScale="110" zoomScaleNormal="110" workbookViewId="0">
      <selection activeCell="G15" sqref="G14:G25"/>
    </sheetView>
  </sheetViews>
  <sheetFormatPr baseColWidth="10" defaultRowHeight="12.75"/>
  <cols>
    <col min="1" max="1" width="6.28515625" style="250" hidden="1" customWidth="1"/>
    <col min="2" max="2" width="11.42578125" style="250"/>
    <col min="3" max="4" width="12.5703125" style="250" customWidth="1"/>
    <col min="5" max="5" width="15.28515625" style="250" bestFit="1" customWidth="1"/>
    <col min="6" max="6" width="13.85546875" style="250" bestFit="1" customWidth="1"/>
    <col min="7" max="7" width="12.85546875" style="250" bestFit="1" customWidth="1"/>
    <col min="8" max="8" width="13.85546875" style="250" customWidth="1"/>
    <col min="9" max="9" width="11.85546875" style="250" bestFit="1" customWidth="1"/>
    <col min="10" max="10" width="14.5703125" style="250" customWidth="1"/>
    <col min="11" max="11" width="13.85546875" style="250" bestFit="1" customWidth="1"/>
    <col min="12" max="12" width="19.5703125" style="250" customWidth="1"/>
    <col min="13" max="14" width="11.85546875" style="250" bestFit="1" customWidth="1"/>
    <col min="15" max="260" width="11.42578125" style="250"/>
    <col min="261" max="261" width="11.42578125" style="250" customWidth="1"/>
    <col min="262" max="262" width="11.42578125" style="250"/>
    <col min="263" max="263" width="11.85546875" style="250" bestFit="1" customWidth="1"/>
    <col min="264" max="264" width="10.85546875" style="250" bestFit="1" customWidth="1"/>
    <col min="265" max="265" width="11.85546875" style="250" bestFit="1" customWidth="1"/>
    <col min="266" max="266" width="14.5703125" style="250" customWidth="1"/>
    <col min="267" max="267" width="11.85546875" style="250" bestFit="1" customWidth="1"/>
    <col min="268" max="269" width="11.42578125" style="250"/>
    <col min="270" max="270" width="11.85546875" style="250" bestFit="1" customWidth="1"/>
    <col min="271" max="516" width="11.42578125" style="250"/>
    <col min="517" max="517" width="11.42578125" style="250" customWidth="1"/>
    <col min="518" max="518" width="11.42578125" style="250"/>
    <col min="519" max="519" width="11.85546875" style="250" bestFit="1" customWidth="1"/>
    <col min="520" max="520" width="10.85546875" style="250" bestFit="1" customWidth="1"/>
    <col min="521" max="521" width="11.85546875" style="250" bestFit="1" customWidth="1"/>
    <col min="522" max="522" width="14.5703125" style="250" customWidth="1"/>
    <col min="523" max="523" width="11.85546875" style="250" bestFit="1" customWidth="1"/>
    <col min="524" max="525" width="11.42578125" style="250"/>
    <col min="526" max="526" width="11.85546875" style="250" bestFit="1" customWidth="1"/>
    <col min="527" max="772" width="11.42578125" style="250"/>
    <col min="773" max="773" width="11.42578125" style="250" customWidth="1"/>
    <col min="774" max="774" width="11.42578125" style="250"/>
    <col min="775" max="775" width="11.85546875" style="250" bestFit="1" customWidth="1"/>
    <col min="776" max="776" width="10.85546875" style="250" bestFit="1" customWidth="1"/>
    <col min="777" max="777" width="11.85546875" style="250" bestFit="1" customWidth="1"/>
    <col min="778" max="778" width="14.5703125" style="250" customWidth="1"/>
    <col min="779" max="779" width="11.85546875" style="250" bestFit="1" customWidth="1"/>
    <col min="780" max="781" width="11.42578125" style="250"/>
    <col min="782" max="782" width="11.85546875" style="250" bestFit="1" customWidth="1"/>
    <col min="783" max="1028" width="11.42578125" style="250"/>
    <col min="1029" max="1029" width="11.42578125" style="250" customWidth="1"/>
    <col min="1030" max="1030" width="11.42578125" style="250"/>
    <col min="1031" max="1031" width="11.85546875" style="250" bestFit="1" customWidth="1"/>
    <col min="1032" max="1032" width="10.85546875" style="250" bestFit="1" customWidth="1"/>
    <col min="1033" max="1033" width="11.85546875" style="250" bestFit="1" customWidth="1"/>
    <col min="1034" max="1034" width="14.5703125" style="250" customWidth="1"/>
    <col min="1035" max="1035" width="11.85546875" style="250" bestFit="1" customWidth="1"/>
    <col min="1036" max="1037" width="11.42578125" style="250"/>
    <col min="1038" max="1038" width="11.85546875" style="250" bestFit="1" customWidth="1"/>
    <col min="1039" max="1284" width="11.42578125" style="250"/>
    <col min="1285" max="1285" width="11.42578125" style="250" customWidth="1"/>
    <col min="1286" max="1286" width="11.42578125" style="250"/>
    <col min="1287" max="1287" width="11.85546875" style="250" bestFit="1" customWidth="1"/>
    <col min="1288" max="1288" width="10.85546875" style="250" bestFit="1" customWidth="1"/>
    <col min="1289" max="1289" width="11.85546875" style="250" bestFit="1" customWidth="1"/>
    <col min="1290" max="1290" width="14.5703125" style="250" customWidth="1"/>
    <col min="1291" max="1291" width="11.85546875" style="250" bestFit="1" customWidth="1"/>
    <col min="1292" max="1293" width="11.42578125" style="250"/>
    <col min="1294" max="1294" width="11.85546875" style="250" bestFit="1" customWidth="1"/>
    <col min="1295" max="1540" width="11.42578125" style="250"/>
    <col min="1541" max="1541" width="11.42578125" style="250" customWidth="1"/>
    <col min="1542" max="1542" width="11.42578125" style="250"/>
    <col min="1543" max="1543" width="11.85546875" style="250" bestFit="1" customWidth="1"/>
    <col min="1544" max="1544" width="10.85546875" style="250" bestFit="1" customWidth="1"/>
    <col min="1545" max="1545" width="11.85546875" style="250" bestFit="1" customWidth="1"/>
    <col min="1546" max="1546" width="14.5703125" style="250" customWidth="1"/>
    <col min="1547" max="1547" width="11.85546875" style="250" bestFit="1" customWidth="1"/>
    <col min="1548" max="1549" width="11.42578125" style="250"/>
    <col min="1550" max="1550" width="11.85546875" style="250" bestFit="1" customWidth="1"/>
    <col min="1551" max="1796" width="11.42578125" style="250"/>
    <col min="1797" max="1797" width="11.42578125" style="250" customWidth="1"/>
    <col min="1798" max="1798" width="11.42578125" style="250"/>
    <col min="1799" max="1799" width="11.85546875" style="250" bestFit="1" customWidth="1"/>
    <col min="1800" max="1800" width="10.85546875" style="250" bestFit="1" customWidth="1"/>
    <col min="1801" max="1801" width="11.85546875" style="250" bestFit="1" customWidth="1"/>
    <col min="1802" max="1802" width="14.5703125" style="250" customWidth="1"/>
    <col min="1803" max="1803" width="11.85546875" style="250" bestFit="1" customWidth="1"/>
    <col min="1804" max="1805" width="11.42578125" style="250"/>
    <col min="1806" max="1806" width="11.85546875" style="250" bestFit="1" customWidth="1"/>
    <col min="1807" max="2052" width="11.42578125" style="250"/>
    <col min="2053" max="2053" width="11.42578125" style="250" customWidth="1"/>
    <col min="2054" max="2054" width="11.42578125" style="250"/>
    <col min="2055" max="2055" width="11.85546875" style="250" bestFit="1" customWidth="1"/>
    <col min="2056" max="2056" width="10.85546875" style="250" bestFit="1" customWidth="1"/>
    <col min="2057" max="2057" width="11.85546875" style="250" bestFit="1" customWidth="1"/>
    <col min="2058" max="2058" width="14.5703125" style="250" customWidth="1"/>
    <col min="2059" max="2059" width="11.85546875" style="250" bestFit="1" customWidth="1"/>
    <col min="2060" max="2061" width="11.42578125" style="250"/>
    <col min="2062" max="2062" width="11.85546875" style="250" bestFit="1" customWidth="1"/>
    <col min="2063" max="2308" width="11.42578125" style="250"/>
    <col min="2309" max="2309" width="11.42578125" style="250" customWidth="1"/>
    <col min="2310" max="2310" width="11.42578125" style="250"/>
    <col min="2311" max="2311" width="11.85546875" style="250" bestFit="1" customWidth="1"/>
    <col min="2312" max="2312" width="10.85546875" style="250" bestFit="1" customWidth="1"/>
    <col min="2313" max="2313" width="11.85546875" style="250" bestFit="1" customWidth="1"/>
    <col min="2314" max="2314" width="14.5703125" style="250" customWidth="1"/>
    <col min="2315" max="2315" width="11.85546875" style="250" bestFit="1" customWidth="1"/>
    <col min="2316" max="2317" width="11.42578125" style="250"/>
    <col min="2318" max="2318" width="11.85546875" style="250" bestFit="1" customWidth="1"/>
    <col min="2319" max="2564" width="11.42578125" style="250"/>
    <col min="2565" max="2565" width="11.42578125" style="250" customWidth="1"/>
    <col min="2566" max="2566" width="11.42578125" style="250"/>
    <col min="2567" max="2567" width="11.85546875" style="250" bestFit="1" customWidth="1"/>
    <col min="2568" max="2568" width="10.85546875" style="250" bestFit="1" customWidth="1"/>
    <col min="2569" max="2569" width="11.85546875" style="250" bestFit="1" customWidth="1"/>
    <col min="2570" max="2570" width="14.5703125" style="250" customWidth="1"/>
    <col min="2571" max="2571" width="11.85546875" style="250" bestFit="1" customWidth="1"/>
    <col min="2572" max="2573" width="11.42578125" style="250"/>
    <col min="2574" max="2574" width="11.85546875" style="250" bestFit="1" customWidth="1"/>
    <col min="2575" max="2820" width="11.42578125" style="250"/>
    <col min="2821" max="2821" width="11.42578125" style="250" customWidth="1"/>
    <col min="2822" max="2822" width="11.42578125" style="250"/>
    <col min="2823" max="2823" width="11.85546875" style="250" bestFit="1" customWidth="1"/>
    <col min="2824" max="2824" width="10.85546875" style="250" bestFit="1" customWidth="1"/>
    <col min="2825" max="2825" width="11.85546875" style="250" bestFit="1" customWidth="1"/>
    <col min="2826" max="2826" width="14.5703125" style="250" customWidth="1"/>
    <col min="2827" max="2827" width="11.85546875" style="250" bestFit="1" customWidth="1"/>
    <col min="2828" max="2829" width="11.42578125" style="250"/>
    <col min="2830" max="2830" width="11.85546875" style="250" bestFit="1" customWidth="1"/>
    <col min="2831" max="3076" width="11.42578125" style="250"/>
    <col min="3077" max="3077" width="11.42578125" style="250" customWidth="1"/>
    <col min="3078" max="3078" width="11.42578125" style="250"/>
    <col min="3079" max="3079" width="11.85546875" style="250" bestFit="1" customWidth="1"/>
    <col min="3080" max="3080" width="10.85546875" style="250" bestFit="1" customWidth="1"/>
    <col min="3081" max="3081" width="11.85546875" style="250" bestFit="1" customWidth="1"/>
    <col min="3082" max="3082" width="14.5703125" style="250" customWidth="1"/>
    <col min="3083" max="3083" width="11.85546875" style="250" bestFit="1" customWidth="1"/>
    <col min="3084" max="3085" width="11.42578125" style="250"/>
    <col min="3086" max="3086" width="11.85546875" style="250" bestFit="1" customWidth="1"/>
    <col min="3087" max="3332" width="11.42578125" style="250"/>
    <col min="3333" max="3333" width="11.42578125" style="250" customWidth="1"/>
    <col min="3334" max="3334" width="11.42578125" style="250"/>
    <col min="3335" max="3335" width="11.85546875" style="250" bestFit="1" customWidth="1"/>
    <col min="3336" max="3336" width="10.85546875" style="250" bestFit="1" customWidth="1"/>
    <col min="3337" max="3337" width="11.85546875" style="250" bestFit="1" customWidth="1"/>
    <col min="3338" max="3338" width="14.5703125" style="250" customWidth="1"/>
    <col min="3339" max="3339" width="11.85546875" style="250" bestFit="1" customWidth="1"/>
    <col min="3340" max="3341" width="11.42578125" style="250"/>
    <col min="3342" max="3342" width="11.85546875" style="250" bestFit="1" customWidth="1"/>
    <col min="3343" max="3588" width="11.42578125" style="250"/>
    <col min="3589" max="3589" width="11.42578125" style="250" customWidth="1"/>
    <col min="3590" max="3590" width="11.42578125" style="250"/>
    <col min="3591" max="3591" width="11.85546875" style="250" bestFit="1" customWidth="1"/>
    <col min="3592" max="3592" width="10.85546875" style="250" bestFit="1" customWidth="1"/>
    <col min="3593" max="3593" width="11.85546875" style="250" bestFit="1" customWidth="1"/>
    <col min="3594" max="3594" width="14.5703125" style="250" customWidth="1"/>
    <col min="3595" max="3595" width="11.85546875" style="250" bestFit="1" customWidth="1"/>
    <col min="3596" max="3597" width="11.42578125" style="250"/>
    <col min="3598" max="3598" width="11.85546875" style="250" bestFit="1" customWidth="1"/>
    <col min="3599" max="3844" width="11.42578125" style="250"/>
    <col min="3845" max="3845" width="11.42578125" style="250" customWidth="1"/>
    <col min="3846" max="3846" width="11.42578125" style="250"/>
    <col min="3847" max="3847" width="11.85546875" style="250" bestFit="1" customWidth="1"/>
    <col min="3848" max="3848" width="10.85546875" style="250" bestFit="1" customWidth="1"/>
    <col min="3849" max="3849" width="11.85546875" style="250" bestFit="1" customWidth="1"/>
    <col min="3850" max="3850" width="14.5703125" style="250" customWidth="1"/>
    <col min="3851" max="3851" width="11.85546875" style="250" bestFit="1" customWidth="1"/>
    <col min="3852" max="3853" width="11.42578125" style="250"/>
    <col min="3854" max="3854" width="11.85546875" style="250" bestFit="1" customWidth="1"/>
    <col min="3855" max="4100" width="11.42578125" style="250"/>
    <col min="4101" max="4101" width="11.42578125" style="250" customWidth="1"/>
    <col min="4102" max="4102" width="11.42578125" style="250"/>
    <col min="4103" max="4103" width="11.85546875" style="250" bestFit="1" customWidth="1"/>
    <col min="4104" max="4104" width="10.85546875" style="250" bestFit="1" customWidth="1"/>
    <col min="4105" max="4105" width="11.85546875" style="250" bestFit="1" customWidth="1"/>
    <col min="4106" max="4106" width="14.5703125" style="250" customWidth="1"/>
    <col min="4107" max="4107" width="11.85546875" style="250" bestFit="1" customWidth="1"/>
    <col min="4108" max="4109" width="11.42578125" style="250"/>
    <col min="4110" max="4110" width="11.85546875" style="250" bestFit="1" customWidth="1"/>
    <col min="4111" max="4356" width="11.42578125" style="250"/>
    <col min="4357" max="4357" width="11.42578125" style="250" customWidth="1"/>
    <col min="4358" max="4358" width="11.42578125" style="250"/>
    <col min="4359" max="4359" width="11.85546875" style="250" bestFit="1" customWidth="1"/>
    <col min="4360" max="4360" width="10.85546875" style="250" bestFit="1" customWidth="1"/>
    <col min="4361" max="4361" width="11.85546875" style="250" bestFit="1" customWidth="1"/>
    <col min="4362" max="4362" width="14.5703125" style="250" customWidth="1"/>
    <col min="4363" max="4363" width="11.85546875" style="250" bestFit="1" customWidth="1"/>
    <col min="4364" max="4365" width="11.42578125" style="250"/>
    <col min="4366" max="4366" width="11.85546875" style="250" bestFit="1" customWidth="1"/>
    <col min="4367" max="4612" width="11.42578125" style="250"/>
    <col min="4613" max="4613" width="11.42578125" style="250" customWidth="1"/>
    <col min="4614" max="4614" width="11.42578125" style="250"/>
    <col min="4615" max="4615" width="11.85546875" style="250" bestFit="1" customWidth="1"/>
    <col min="4616" max="4616" width="10.85546875" style="250" bestFit="1" customWidth="1"/>
    <col min="4617" max="4617" width="11.85546875" style="250" bestFit="1" customWidth="1"/>
    <col min="4618" max="4618" width="14.5703125" style="250" customWidth="1"/>
    <col min="4619" max="4619" width="11.85546875" style="250" bestFit="1" customWidth="1"/>
    <col min="4620" max="4621" width="11.42578125" style="250"/>
    <col min="4622" max="4622" width="11.85546875" style="250" bestFit="1" customWidth="1"/>
    <col min="4623" max="4868" width="11.42578125" style="250"/>
    <col min="4869" max="4869" width="11.42578125" style="250" customWidth="1"/>
    <col min="4870" max="4870" width="11.42578125" style="250"/>
    <col min="4871" max="4871" width="11.85546875" style="250" bestFit="1" customWidth="1"/>
    <col min="4872" max="4872" width="10.85546875" style="250" bestFit="1" customWidth="1"/>
    <col min="4873" max="4873" width="11.85546875" style="250" bestFit="1" customWidth="1"/>
    <col min="4874" max="4874" width="14.5703125" style="250" customWidth="1"/>
    <col min="4875" max="4875" width="11.85546875" style="250" bestFit="1" customWidth="1"/>
    <col min="4876" max="4877" width="11.42578125" style="250"/>
    <col min="4878" max="4878" width="11.85546875" style="250" bestFit="1" customWidth="1"/>
    <col min="4879" max="5124" width="11.42578125" style="250"/>
    <col min="5125" max="5125" width="11.42578125" style="250" customWidth="1"/>
    <col min="5126" max="5126" width="11.42578125" style="250"/>
    <col min="5127" max="5127" width="11.85546875" style="250" bestFit="1" customWidth="1"/>
    <col min="5128" max="5128" width="10.85546875" style="250" bestFit="1" customWidth="1"/>
    <col min="5129" max="5129" width="11.85546875" style="250" bestFit="1" customWidth="1"/>
    <col min="5130" max="5130" width="14.5703125" style="250" customWidth="1"/>
    <col min="5131" max="5131" width="11.85546875" style="250" bestFit="1" customWidth="1"/>
    <col min="5132" max="5133" width="11.42578125" style="250"/>
    <col min="5134" max="5134" width="11.85546875" style="250" bestFit="1" customWidth="1"/>
    <col min="5135" max="5380" width="11.42578125" style="250"/>
    <col min="5381" max="5381" width="11.42578125" style="250" customWidth="1"/>
    <col min="5382" max="5382" width="11.42578125" style="250"/>
    <col min="5383" max="5383" width="11.85546875" style="250" bestFit="1" customWidth="1"/>
    <col min="5384" max="5384" width="10.85546875" style="250" bestFit="1" customWidth="1"/>
    <col min="5385" max="5385" width="11.85546875" style="250" bestFit="1" customWidth="1"/>
    <col min="5386" max="5386" width="14.5703125" style="250" customWidth="1"/>
    <col min="5387" max="5387" width="11.85546875" style="250" bestFit="1" customWidth="1"/>
    <col min="5388" max="5389" width="11.42578125" style="250"/>
    <col min="5390" max="5390" width="11.85546875" style="250" bestFit="1" customWidth="1"/>
    <col min="5391" max="5636" width="11.42578125" style="250"/>
    <col min="5637" max="5637" width="11.42578125" style="250" customWidth="1"/>
    <col min="5638" max="5638" width="11.42578125" style="250"/>
    <col min="5639" max="5639" width="11.85546875" style="250" bestFit="1" customWidth="1"/>
    <col min="5640" max="5640" width="10.85546875" style="250" bestFit="1" customWidth="1"/>
    <col min="5641" max="5641" width="11.85546875" style="250" bestFit="1" customWidth="1"/>
    <col min="5642" max="5642" width="14.5703125" style="250" customWidth="1"/>
    <col min="5643" max="5643" width="11.85546875" style="250" bestFit="1" customWidth="1"/>
    <col min="5644" max="5645" width="11.42578125" style="250"/>
    <col min="5646" max="5646" width="11.85546875" style="250" bestFit="1" customWidth="1"/>
    <col min="5647" max="5892" width="11.42578125" style="250"/>
    <col min="5893" max="5893" width="11.42578125" style="250" customWidth="1"/>
    <col min="5894" max="5894" width="11.42578125" style="250"/>
    <col min="5895" max="5895" width="11.85546875" style="250" bestFit="1" customWidth="1"/>
    <col min="5896" max="5896" width="10.85546875" style="250" bestFit="1" customWidth="1"/>
    <col min="5897" max="5897" width="11.85546875" style="250" bestFit="1" customWidth="1"/>
    <col min="5898" max="5898" width="14.5703125" style="250" customWidth="1"/>
    <col min="5899" max="5899" width="11.85546875" style="250" bestFit="1" customWidth="1"/>
    <col min="5900" max="5901" width="11.42578125" style="250"/>
    <col min="5902" max="5902" width="11.85546875" style="250" bestFit="1" customWidth="1"/>
    <col min="5903" max="6148" width="11.42578125" style="250"/>
    <col min="6149" max="6149" width="11.42578125" style="250" customWidth="1"/>
    <col min="6150" max="6150" width="11.42578125" style="250"/>
    <col min="6151" max="6151" width="11.85546875" style="250" bestFit="1" customWidth="1"/>
    <col min="6152" max="6152" width="10.85546875" style="250" bestFit="1" customWidth="1"/>
    <col min="6153" max="6153" width="11.85546875" style="250" bestFit="1" customWidth="1"/>
    <col min="6154" max="6154" width="14.5703125" style="250" customWidth="1"/>
    <col min="6155" max="6155" width="11.85546875" style="250" bestFit="1" customWidth="1"/>
    <col min="6156" max="6157" width="11.42578125" style="250"/>
    <col min="6158" max="6158" width="11.85546875" style="250" bestFit="1" customWidth="1"/>
    <col min="6159" max="6404" width="11.42578125" style="250"/>
    <col min="6405" max="6405" width="11.42578125" style="250" customWidth="1"/>
    <col min="6406" max="6406" width="11.42578125" style="250"/>
    <col min="6407" max="6407" width="11.85546875" style="250" bestFit="1" customWidth="1"/>
    <col min="6408" max="6408" width="10.85546875" style="250" bestFit="1" customWidth="1"/>
    <col min="6409" max="6409" width="11.85546875" style="250" bestFit="1" customWidth="1"/>
    <col min="6410" max="6410" width="14.5703125" style="250" customWidth="1"/>
    <col min="6411" max="6411" width="11.85546875" style="250" bestFit="1" customWidth="1"/>
    <col min="6412" max="6413" width="11.42578125" style="250"/>
    <col min="6414" max="6414" width="11.85546875" style="250" bestFit="1" customWidth="1"/>
    <col min="6415" max="6660" width="11.42578125" style="250"/>
    <col min="6661" max="6661" width="11.42578125" style="250" customWidth="1"/>
    <col min="6662" max="6662" width="11.42578125" style="250"/>
    <col min="6663" max="6663" width="11.85546875" style="250" bestFit="1" customWidth="1"/>
    <col min="6664" max="6664" width="10.85546875" style="250" bestFit="1" customWidth="1"/>
    <col min="6665" max="6665" width="11.85546875" style="250" bestFit="1" customWidth="1"/>
    <col min="6666" max="6666" width="14.5703125" style="250" customWidth="1"/>
    <col min="6667" max="6667" width="11.85546875" style="250" bestFit="1" customWidth="1"/>
    <col min="6668" max="6669" width="11.42578125" style="250"/>
    <col min="6670" max="6670" width="11.85546875" style="250" bestFit="1" customWidth="1"/>
    <col min="6671" max="6916" width="11.42578125" style="250"/>
    <col min="6917" max="6917" width="11.42578125" style="250" customWidth="1"/>
    <col min="6918" max="6918" width="11.42578125" style="250"/>
    <col min="6919" max="6919" width="11.85546875" style="250" bestFit="1" customWidth="1"/>
    <col min="6920" max="6920" width="10.85546875" style="250" bestFit="1" customWidth="1"/>
    <col min="6921" max="6921" width="11.85546875" style="250" bestFit="1" customWidth="1"/>
    <col min="6922" max="6922" width="14.5703125" style="250" customWidth="1"/>
    <col min="6923" max="6923" width="11.85546875" style="250" bestFit="1" customWidth="1"/>
    <col min="6924" max="6925" width="11.42578125" style="250"/>
    <col min="6926" max="6926" width="11.85546875" style="250" bestFit="1" customWidth="1"/>
    <col min="6927" max="7172" width="11.42578125" style="250"/>
    <col min="7173" max="7173" width="11.42578125" style="250" customWidth="1"/>
    <col min="7174" max="7174" width="11.42578125" style="250"/>
    <col min="7175" max="7175" width="11.85546875" style="250" bestFit="1" customWidth="1"/>
    <col min="7176" max="7176" width="10.85546875" style="250" bestFit="1" customWidth="1"/>
    <col min="7177" max="7177" width="11.85546875" style="250" bestFit="1" customWidth="1"/>
    <col min="7178" max="7178" width="14.5703125" style="250" customWidth="1"/>
    <col min="7179" max="7179" width="11.85546875" style="250" bestFit="1" customWidth="1"/>
    <col min="7180" max="7181" width="11.42578125" style="250"/>
    <col min="7182" max="7182" width="11.85546875" style="250" bestFit="1" customWidth="1"/>
    <col min="7183" max="7428" width="11.42578125" style="250"/>
    <col min="7429" max="7429" width="11.42578125" style="250" customWidth="1"/>
    <col min="7430" max="7430" width="11.42578125" style="250"/>
    <col min="7431" max="7431" width="11.85546875" style="250" bestFit="1" customWidth="1"/>
    <col min="7432" max="7432" width="10.85546875" style="250" bestFit="1" customWidth="1"/>
    <col min="7433" max="7433" width="11.85546875" style="250" bestFit="1" customWidth="1"/>
    <col min="7434" max="7434" width="14.5703125" style="250" customWidth="1"/>
    <col min="7435" max="7435" width="11.85546875" style="250" bestFit="1" customWidth="1"/>
    <col min="7436" max="7437" width="11.42578125" style="250"/>
    <col min="7438" max="7438" width="11.85546875" style="250" bestFit="1" customWidth="1"/>
    <col min="7439" max="7684" width="11.42578125" style="250"/>
    <col min="7685" max="7685" width="11.42578125" style="250" customWidth="1"/>
    <col min="7686" max="7686" width="11.42578125" style="250"/>
    <col min="7687" max="7687" width="11.85546875" style="250" bestFit="1" customWidth="1"/>
    <col min="7688" max="7688" width="10.85546875" style="250" bestFit="1" customWidth="1"/>
    <col min="7689" max="7689" width="11.85546875" style="250" bestFit="1" customWidth="1"/>
    <col min="7690" max="7690" width="14.5703125" style="250" customWidth="1"/>
    <col min="7691" max="7691" width="11.85546875" style="250" bestFit="1" customWidth="1"/>
    <col min="7692" max="7693" width="11.42578125" style="250"/>
    <col min="7694" max="7694" width="11.85546875" style="250" bestFit="1" customWidth="1"/>
    <col min="7695" max="7940" width="11.42578125" style="250"/>
    <col min="7941" max="7941" width="11.42578125" style="250" customWidth="1"/>
    <col min="7942" max="7942" width="11.42578125" style="250"/>
    <col min="7943" max="7943" width="11.85546875" style="250" bestFit="1" customWidth="1"/>
    <col min="7944" max="7944" width="10.85546875" style="250" bestFit="1" customWidth="1"/>
    <col min="7945" max="7945" width="11.85546875" style="250" bestFit="1" customWidth="1"/>
    <col min="7946" max="7946" width="14.5703125" style="250" customWidth="1"/>
    <col min="7947" max="7947" width="11.85546875" style="250" bestFit="1" customWidth="1"/>
    <col min="7948" max="7949" width="11.42578125" style="250"/>
    <col min="7950" max="7950" width="11.85546875" style="250" bestFit="1" customWidth="1"/>
    <col min="7951" max="8196" width="11.42578125" style="250"/>
    <col min="8197" max="8197" width="11.42578125" style="250" customWidth="1"/>
    <col min="8198" max="8198" width="11.42578125" style="250"/>
    <col min="8199" max="8199" width="11.85546875" style="250" bestFit="1" customWidth="1"/>
    <col min="8200" max="8200" width="10.85546875" style="250" bestFit="1" customWidth="1"/>
    <col min="8201" max="8201" width="11.85546875" style="250" bestFit="1" customWidth="1"/>
    <col min="8202" max="8202" width="14.5703125" style="250" customWidth="1"/>
    <col min="8203" max="8203" width="11.85546875" style="250" bestFit="1" customWidth="1"/>
    <col min="8204" max="8205" width="11.42578125" style="250"/>
    <col min="8206" max="8206" width="11.85546875" style="250" bestFit="1" customWidth="1"/>
    <col min="8207" max="8452" width="11.42578125" style="250"/>
    <col min="8453" max="8453" width="11.42578125" style="250" customWidth="1"/>
    <col min="8454" max="8454" width="11.42578125" style="250"/>
    <col min="8455" max="8455" width="11.85546875" style="250" bestFit="1" customWidth="1"/>
    <col min="8456" max="8456" width="10.85546875" style="250" bestFit="1" customWidth="1"/>
    <col min="8457" max="8457" width="11.85546875" style="250" bestFit="1" customWidth="1"/>
    <col min="8458" max="8458" width="14.5703125" style="250" customWidth="1"/>
    <col min="8459" max="8459" width="11.85546875" style="250" bestFit="1" customWidth="1"/>
    <col min="8460" max="8461" width="11.42578125" style="250"/>
    <col min="8462" max="8462" width="11.85546875" style="250" bestFit="1" customWidth="1"/>
    <col min="8463" max="8708" width="11.42578125" style="250"/>
    <col min="8709" max="8709" width="11.42578125" style="250" customWidth="1"/>
    <col min="8710" max="8710" width="11.42578125" style="250"/>
    <col min="8711" max="8711" width="11.85546875" style="250" bestFit="1" customWidth="1"/>
    <col min="8712" max="8712" width="10.85546875" style="250" bestFit="1" customWidth="1"/>
    <col min="8713" max="8713" width="11.85546875" style="250" bestFit="1" customWidth="1"/>
    <col min="8714" max="8714" width="14.5703125" style="250" customWidth="1"/>
    <col min="8715" max="8715" width="11.85546875" style="250" bestFit="1" customWidth="1"/>
    <col min="8716" max="8717" width="11.42578125" style="250"/>
    <col min="8718" max="8718" width="11.85546875" style="250" bestFit="1" customWidth="1"/>
    <col min="8719" max="8964" width="11.42578125" style="250"/>
    <col min="8965" max="8965" width="11.42578125" style="250" customWidth="1"/>
    <col min="8966" max="8966" width="11.42578125" style="250"/>
    <col min="8967" max="8967" width="11.85546875" style="250" bestFit="1" customWidth="1"/>
    <col min="8968" max="8968" width="10.85546875" style="250" bestFit="1" customWidth="1"/>
    <col min="8969" max="8969" width="11.85546875" style="250" bestFit="1" customWidth="1"/>
    <col min="8970" max="8970" width="14.5703125" style="250" customWidth="1"/>
    <col min="8971" max="8971" width="11.85546875" style="250" bestFit="1" customWidth="1"/>
    <col min="8972" max="8973" width="11.42578125" style="250"/>
    <col min="8974" max="8974" width="11.85546875" style="250" bestFit="1" customWidth="1"/>
    <col min="8975" max="9220" width="11.42578125" style="250"/>
    <col min="9221" max="9221" width="11.42578125" style="250" customWidth="1"/>
    <col min="9222" max="9222" width="11.42578125" style="250"/>
    <col min="9223" max="9223" width="11.85546875" style="250" bestFit="1" customWidth="1"/>
    <col min="9224" max="9224" width="10.85546875" style="250" bestFit="1" customWidth="1"/>
    <col min="9225" max="9225" width="11.85546875" style="250" bestFit="1" customWidth="1"/>
    <col min="9226" max="9226" width="14.5703125" style="250" customWidth="1"/>
    <col min="9227" max="9227" width="11.85546875" style="250" bestFit="1" customWidth="1"/>
    <col min="9228" max="9229" width="11.42578125" style="250"/>
    <col min="9230" max="9230" width="11.85546875" style="250" bestFit="1" customWidth="1"/>
    <col min="9231" max="9476" width="11.42578125" style="250"/>
    <col min="9477" max="9477" width="11.42578125" style="250" customWidth="1"/>
    <col min="9478" max="9478" width="11.42578125" style="250"/>
    <col min="9479" max="9479" width="11.85546875" style="250" bestFit="1" customWidth="1"/>
    <col min="9480" max="9480" width="10.85546875" style="250" bestFit="1" customWidth="1"/>
    <col min="9481" max="9481" width="11.85546875" style="250" bestFit="1" customWidth="1"/>
    <col min="9482" max="9482" width="14.5703125" style="250" customWidth="1"/>
    <col min="9483" max="9483" width="11.85546875" style="250" bestFit="1" customWidth="1"/>
    <col min="9484" max="9485" width="11.42578125" style="250"/>
    <col min="9486" max="9486" width="11.85546875" style="250" bestFit="1" customWidth="1"/>
    <col min="9487" max="9732" width="11.42578125" style="250"/>
    <col min="9733" max="9733" width="11.42578125" style="250" customWidth="1"/>
    <col min="9734" max="9734" width="11.42578125" style="250"/>
    <col min="9735" max="9735" width="11.85546875" style="250" bestFit="1" customWidth="1"/>
    <col min="9736" max="9736" width="10.85546875" style="250" bestFit="1" customWidth="1"/>
    <col min="9737" max="9737" width="11.85546875" style="250" bestFit="1" customWidth="1"/>
    <col min="9738" max="9738" width="14.5703125" style="250" customWidth="1"/>
    <col min="9739" max="9739" width="11.85546875" style="250" bestFit="1" customWidth="1"/>
    <col min="9740" max="9741" width="11.42578125" style="250"/>
    <col min="9742" max="9742" width="11.85546875" style="250" bestFit="1" customWidth="1"/>
    <col min="9743" max="9988" width="11.42578125" style="250"/>
    <col min="9989" max="9989" width="11.42578125" style="250" customWidth="1"/>
    <col min="9990" max="9990" width="11.42578125" style="250"/>
    <col min="9991" max="9991" width="11.85546875" style="250" bestFit="1" customWidth="1"/>
    <col min="9992" max="9992" width="10.85546875" style="250" bestFit="1" customWidth="1"/>
    <col min="9993" max="9993" width="11.85546875" style="250" bestFit="1" customWidth="1"/>
    <col min="9994" max="9994" width="14.5703125" style="250" customWidth="1"/>
    <col min="9995" max="9995" width="11.85546875" style="250" bestFit="1" customWidth="1"/>
    <col min="9996" max="9997" width="11.42578125" style="250"/>
    <col min="9998" max="9998" width="11.85546875" style="250" bestFit="1" customWidth="1"/>
    <col min="9999" max="10244" width="11.42578125" style="250"/>
    <col min="10245" max="10245" width="11.42578125" style="250" customWidth="1"/>
    <col min="10246" max="10246" width="11.42578125" style="250"/>
    <col min="10247" max="10247" width="11.85546875" style="250" bestFit="1" customWidth="1"/>
    <col min="10248" max="10248" width="10.85546875" style="250" bestFit="1" customWidth="1"/>
    <col min="10249" max="10249" width="11.85546875" style="250" bestFit="1" customWidth="1"/>
    <col min="10250" max="10250" width="14.5703125" style="250" customWidth="1"/>
    <col min="10251" max="10251" width="11.85546875" style="250" bestFit="1" customWidth="1"/>
    <col min="10252" max="10253" width="11.42578125" style="250"/>
    <col min="10254" max="10254" width="11.85546875" style="250" bestFit="1" customWidth="1"/>
    <col min="10255" max="10500" width="11.42578125" style="250"/>
    <col min="10501" max="10501" width="11.42578125" style="250" customWidth="1"/>
    <col min="10502" max="10502" width="11.42578125" style="250"/>
    <col min="10503" max="10503" width="11.85546875" style="250" bestFit="1" customWidth="1"/>
    <col min="10504" max="10504" width="10.85546875" style="250" bestFit="1" customWidth="1"/>
    <col min="10505" max="10505" width="11.85546875" style="250" bestFit="1" customWidth="1"/>
    <col min="10506" max="10506" width="14.5703125" style="250" customWidth="1"/>
    <col min="10507" max="10507" width="11.85546875" style="250" bestFit="1" customWidth="1"/>
    <col min="10508" max="10509" width="11.42578125" style="250"/>
    <col min="10510" max="10510" width="11.85546875" style="250" bestFit="1" customWidth="1"/>
    <col min="10511" max="10756" width="11.42578125" style="250"/>
    <col min="10757" max="10757" width="11.42578125" style="250" customWidth="1"/>
    <col min="10758" max="10758" width="11.42578125" style="250"/>
    <col min="10759" max="10759" width="11.85546875" style="250" bestFit="1" customWidth="1"/>
    <col min="10760" max="10760" width="10.85546875" style="250" bestFit="1" customWidth="1"/>
    <col min="10761" max="10761" width="11.85546875" style="250" bestFit="1" customWidth="1"/>
    <col min="10762" max="10762" width="14.5703125" style="250" customWidth="1"/>
    <col min="10763" max="10763" width="11.85546875" style="250" bestFit="1" customWidth="1"/>
    <col min="10764" max="10765" width="11.42578125" style="250"/>
    <col min="10766" max="10766" width="11.85546875" style="250" bestFit="1" customWidth="1"/>
    <col min="10767" max="11012" width="11.42578125" style="250"/>
    <col min="11013" max="11013" width="11.42578125" style="250" customWidth="1"/>
    <col min="11014" max="11014" width="11.42578125" style="250"/>
    <col min="11015" max="11015" width="11.85546875" style="250" bestFit="1" customWidth="1"/>
    <col min="11016" max="11016" width="10.85546875" style="250" bestFit="1" customWidth="1"/>
    <col min="11017" max="11017" width="11.85546875" style="250" bestFit="1" customWidth="1"/>
    <col min="11018" max="11018" width="14.5703125" style="250" customWidth="1"/>
    <col min="11019" max="11019" width="11.85546875" style="250" bestFit="1" customWidth="1"/>
    <col min="11020" max="11021" width="11.42578125" style="250"/>
    <col min="11022" max="11022" width="11.85546875" style="250" bestFit="1" customWidth="1"/>
    <col min="11023" max="11268" width="11.42578125" style="250"/>
    <col min="11269" max="11269" width="11.42578125" style="250" customWidth="1"/>
    <col min="11270" max="11270" width="11.42578125" style="250"/>
    <col min="11271" max="11271" width="11.85546875" style="250" bestFit="1" customWidth="1"/>
    <col min="11272" max="11272" width="10.85546875" style="250" bestFit="1" customWidth="1"/>
    <col min="11273" max="11273" width="11.85546875" style="250" bestFit="1" customWidth="1"/>
    <col min="11274" max="11274" width="14.5703125" style="250" customWidth="1"/>
    <col min="11275" max="11275" width="11.85546875" style="250" bestFit="1" customWidth="1"/>
    <col min="11276" max="11277" width="11.42578125" style="250"/>
    <col min="11278" max="11278" width="11.85546875" style="250" bestFit="1" customWidth="1"/>
    <col min="11279" max="11524" width="11.42578125" style="250"/>
    <col min="11525" max="11525" width="11.42578125" style="250" customWidth="1"/>
    <col min="11526" max="11526" width="11.42578125" style="250"/>
    <col min="11527" max="11527" width="11.85546875" style="250" bestFit="1" customWidth="1"/>
    <col min="11528" max="11528" width="10.85546875" style="250" bestFit="1" customWidth="1"/>
    <col min="11529" max="11529" width="11.85546875" style="250" bestFit="1" customWidth="1"/>
    <col min="11530" max="11530" width="14.5703125" style="250" customWidth="1"/>
    <col min="11531" max="11531" width="11.85546875" style="250" bestFit="1" customWidth="1"/>
    <col min="11532" max="11533" width="11.42578125" style="250"/>
    <col min="11534" max="11534" width="11.85546875" style="250" bestFit="1" customWidth="1"/>
    <col min="11535" max="11780" width="11.42578125" style="250"/>
    <col min="11781" max="11781" width="11.42578125" style="250" customWidth="1"/>
    <col min="11782" max="11782" width="11.42578125" style="250"/>
    <col min="11783" max="11783" width="11.85546875" style="250" bestFit="1" customWidth="1"/>
    <col min="11784" max="11784" width="10.85546875" style="250" bestFit="1" customWidth="1"/>
    <col min="11785" max="11785" width="11.85546875" style="250" bestFit="1" customWidth="1"/>
    <col min="11786" max="11786" width="14.5703125" style="250" customWidth="1"/>
    <col min="11787" max="11787" width="11.85546875" style="250" bestFit="1" customWidth="1"/>
    <col min="11788" max="11789" width="11.42578125" style="250"/>
    <col min="11790" max="11790" width="11.85546875" style="250" bestFit="1" customWidth="1"/>
    <col min="11791" max="12036" width="11.42578125" style="250"/>
    <col min="12037" max="12037" width="11.42578125" style="250" customWidth="1"/>
    <col min="12038" max="12038" width="11.42578125" style="250"/>
    <col min="12039" max="12039" width="11.85546875" style="250" bestFit="1" customWidth="1"/>
    <col min="12040" max="12040" width="10.85546875" style="250" bestFit="1" customWidth="1"/>
    <col min="12041" max="12041" width="11.85546875" style="250" bestFit="1" customWidth="1"/>
    <col min="12042" max="12042" width="14.5703125" style="250" customWidth="1"/>
    <col min="12043" max="12043" width="11.85546875" style="250" bestFit="1" customWidth="1"/>
    <col min="12044" max="12045" width="11.42578125" style="250"/>
    <col min="12046" max="12046" width="11.85546875" style="250" bestFit="1" customWidth="1"/>
    <col min="12047" max="12292" width="11.42578125" style="250"/>
    <col min="12293" max="12293" width="11.42578125" style="250" customWidth="1"/>
    <col min="12294" max="12294" width="11.42578125" style="250"/>
    <col min="12295" max="12295" width="11.85546875" style="250" bestFit="1" customWidth="1"/>
    <col min="12296" max="12296" width="10.85546875" style="250" bestFit="1" customWidth="1"/>
    <col min="12297" max="12297" width="11.85546875" style="250" bestFit="1" customWidth="1"/>
    <col min="12298" max="12298" width="14.5703125" style="250" customWidth="1"/>
    <col min="12299" max="12299" width="11.85546875" style="250" bestFit="1" customWidth="1"/>
    <col min="12300" max="12301" width="11.42578125" style="250"/>
    <col min="12302" max="12302" width="11.85546875" style="250" bestFit="1" customWidth="1"/>
    <col min="12303" max="12548" width="11.42578125" style="250"/>
    <col min="12549" max="12549" width="11.42578125" style="250" customWidth="1"/>
    <col min="12550" max="12550" width="11.42578125" style="250"/>
    <col min="12551" max="12551" width="11.85546875" style="250" bestFit="1" customWidth="1"/>
    <col min="12552" max="12552" width="10.85546875" style="250" bestFit="1" customWidth="1"/>
    <col min="12553" max="12553" width="11.85546875" style="250" bestFit="1" customWidth="1"/>
    <col min="12554" max="12554" width="14.5703125" style="250" customWidth="1"/>
    <col min="12555" max="12555" width="11.85546875" style="250" bestFit="1" customWidth="1"/>
    <col min="12556" max="12557" width="11.42578125" style="250"/>
    <col min="12558" max="12558" width="11.85546875" style="250" bestFit="1" customWidth="1"/>
    <col min="12559" max="12804" width="11.42578125" style="250"/>
    <col min="12805" max="12805" width="11.42578125" style="250" customWidth="1"/>
    <col min="12806" max="12806" width="11.42578125" style="250"/>
    <col min="12807" max="12807" width="11.85546875" style="250" bestFit="1" customWidth="1"/>
    <col min="12808" max="12808" width="10.85546875" style="250" bestFit="1" customWidth="1"/>
    <col min="12809" max="12809" width="11.85546875" style="250" bestFit="1" customWidth="1"/>
    <col min="12810" max="12810" width="14.5703125" style="250" customWidth="1"/>
    <col min="12811" max="12811" width="11.85546875" style="250" bestFit="1" customWidth="1"/>
    <col min="12812" max="12813" width="11.42578125" style="250"/>
    <col min="12814" max="12814" width="11.85546875" style="250" bestFit="1" customWidth="1"/>
    <col min="12815" max="13060" width="11.42578125" style="250"/>
    <col min="13061" max="13061" width="11.42578125" style="250" customWidth="1"/>
    <col min="13062" max="13062" width="11.42578125" style="250"/>
    <col min="13063" max="13063" width="11.85546875" style="250" bestFit="1" customWidth="1"/>
    <col min="13064" max="13064" width="10.85546875" style="250" bestFit="1" customWidth="1"/>
    <col min="13065" max="13065" width="11.85546875" style="250" bestFit="1" customWidth="1"/>
    <col min="13066" max="13066" width="14.5703125" style="250" customWidth="1"/>
    <col min="13067" max="13067" width="11.85546875" style="250" bestFit="1" customWidth="1"/>
    <col min="13068" max="13069" width="11.42578125" style="250"/>
    <col min="13070" max="13070" width="11.85546875" style="250" bestFit="1" customWidth="1"/>
    <col min="13071" max="13316" width="11.42578125" style="250"/>
    <col min="13317" max="13317" width="11.42578125" style="250" customWidth="1"/>
    <col min="13318" max="13318" width="11.42578125" style="250"/>
    <col min="13319" max="13319" width="11.85546875" style="250" bestFit="1" customWidth="1"/>
    <col min="13320" max="13320" width="10.85546875" style="250" bestFit="1" customWidth="1"/>
    <col min="13321" max="13321" width="11.85546875" style="250" bestFit="1" customWidth="1"/>
    <col min="13322" max="13322" width="14.5703125" style="250" customWidth="1"/>
    <col min="13323" max="13323" width="11.85546875" style="250" bestFit="1" customWidth="1"/>
    <col min="13324" max="13325" width="11.42578125" style="250"/>
    <col min="13326" max="13326" width="11.85546875" style="250" bestFit="1" customWidth="1"/>
    <col min="13327" max="13572" width="11.42578125" style="250"/>
    <col min="13573" max="13573" width="11.42578125" style="250" customWidth="1"/>
    <col min="13574" max="13574" width="11.42578125" style="250"/>
    <col min="13575" max="13575" width="11.85546875" style="250" bestFit="1" customWidth="1"/>
    <col min="13576" max="13576" width="10.85546875" style="250" bestFit="1" customWidth="1"/>
    <col min="13577" max="13577" width="11.85546875" style="250" bestFit="1" customWidth="1"/>
    <col min="13578" max="13578" width="14.5703125" style="250" customWidth="1"/>
    <col min="13579" max="13579" width="11.85546875" style="250" bestFit="1" customWidth="1"/>
    <col min="13580" max="13581" width="11.42578125" style="250"/>
    <col min="13582" max="13582" width="11.85546875" style="250" bestFit="1" customWidth="1"/>
    <col min="13583" max="13828" width="11.42578125" style="250"/>
    <col min="13829" max="13829" width="11.42578125" style="250" customWidth="1"/>
    <col min="13830" max="13830" width="11.42578125" style="250"/>
    <col min="13831" max="13831" width="11.85546875" style="250" bestFit="1" customWidth="1"/>
    <col min="13832" max="13832" width="10.85546875" style="250" bestFit="1" customWidth="1"/>
    <col min="13833" max="13833" width="11.85546875" style="250" bestFit="1" customWidth="1"/>
    <col min="13834" max="13834" width="14.5703125" style="250" customWidth="1"/>
    <col min="13835" max="13835" width="11.85546875" style="250" bestFit="1" customWidth="1"/>
    <col min="13836" max="13837" width="11.42578125" style="250"/>
    <col min="13838" max="13838" width="11.85546875" style="250" bestFit="1" customWidth="1"/>
    <col min="13839" max="14084" width="11.42578125" style="250"/>
    <col min="14085" max="14085" width="11.42578125" style="250" customWidth="1"/>
    <col min="14086" max="14086" width="11.42578125" style="250"/>
    <col min="14087" max="14087" width="11.85546875" style="250" bestFit="1" customWidth="1"/>
    <col min="14088" max="14088" width="10.85546875" style="250" bestFit="1" customWidth="1"/>
    <col min="14089" max="14089" width="11.85546875" style="250" bestFit="1" customWidth="1"/>
    <col min="14090" max="14090" width="14.5703125" style="250" customWidth="1"/>
    <col min="14091" max="14091" width="11.85546875" style="250" bestFit="1" customWidth="1"/>
    <col min="14092" max="14093" width="11.42578125" style="250"/>
    <col min="14094" max="14094" width="11.85546875" style="250" bestFit="1" customWidth="1"/>
    <col min="14095" max="14340" width="11.42578125" style="250"/>
    <col min="14341" max="14341" width="11.42578125" style="250" customWidth="1"/>
    <col min="14342" max="14342" width="11.42578125" style="250"/>
    <col min="14343" max="14343" width="11.85546875" style="250" bestFit="1" customWidth="1"/>
    <col min="14344" max="14344" width="10.85546875" style="250" bestFit="1" customWidth="1"/>
    <col min="14345" max="14345" width="11.85546875" style="250" bestFit="1" customWidth="1"/>
    <col min="14346" max="14346" width="14.5703125" style="250" customWidth="1"/>
    <col min="14347" max="14347" width="11.85546875" style="250" bestFit="1" customWidth="1"/>
    <col min="14348" max="14349" width="11.42578125" style="250"/>
    <col min="14350" max="14350" width="11.85546875" style="250" bestFit="1" customWidth="1"/>
    <col min="14351" max="14596" width="11.42578125" style="250"/>
    <col min="14597" max="14597" width="11.42578125" style="250" customWidth="1"/>
    <col min="14598" max="14598" width="11.42578125" style="250"/>
    <col min="14599" max="14599" width="11.85546875" style="250" bestFit="1" customWidth="1"/>
    <col min="14600" max="14600" width="10.85546875" style="250" bestFit="1" customWidth="1"/>
    <col min="14601" max="14601" width="11.85546875" style="250" bestFit="1" customWidth="1"/>
    <col min="14602" max="14602" width="14.5703125" style="250" customWidth="1"/>
    <col min="14603" max="14603" width="11.85546875" style="250" bestFit="1" customWidth="1"/>
    <col min="14604" max="14605" width="11.42578125" style="250"/>
    <col min="14606" max="14606" width="11.85546875" style="250" bestFit="1" customWidth="1"/>
    <col min="14607" max="14852" width="11.42578125" style="250"/>
    <col min="14853" max="14853" width="11.42578125" style="250" customWidth="1"/>
    <col min="14854" max="14854" width="11.42578125" style="250"/>
    <col min="14855" max="14855" width="11.85546875" style="250" bestFit="1" customWidth="1"/>
    <col min="14856" max="14856" width="10.85546875" style="250" bestFit="1" customWidth="1"/>
    <col min="14857" max="14857" width="11.85546875" style="250" bestFit="1" customWidth="1"/>
    <col min="14858" max="14858" width="14.5703125" style="250" customWidth="1"/>
    <col min="14859" max="14859" width="11.85546875" style="250" bestFit="1" customWidth="1"/>
    <col min="14860" max="14861" width="11.42578125" style="250"/>
    <col min="14862" max="14862" width="11.85546875" style="250" bestFit="1" customWidth="1"/>
    <col min="14863" max="15108" width="11.42578125" style="250"/>
    <col min="15109" max="15109" width="11.42578125" style="250" customWidth="1"/>
    <col min="15110" max="15110" width="11.42578125" style="250"/>
    <col min="15111" max="15111" width="11.85546875" style="250" bestFit="1" customWidth="1"/>
    <col min="15112" max="15112" width="10.85546875" style="250" bestFit="1" customWidth="1"/>
    <col min="15113" max="15113" width="11.85546875" style="250" bestFit="1" customWidth="1"/>
    <col min="15114" max="15114" width="14.5703125" style="250" customWidth="1"/>
    <col min="15115" max="15115" width="11.85546875" style="250" bestFit="1" customWidth="1"/>
    <col min="15116" max="15117" width="11.42578125" style="250"/>
    <col min="15118" max="15118" width="11.85546875" style="250" bestFit="1" customWidth="1"/>
    <col min="15119" max="15364" width="11.42578125" style="250"/>
    <col min="15365" max="15365" width="11.42578125" style="250" customWidth="1"/>
    <col min="15366" max="15366" width="11.42578125" style="250"/>
    <col min="15367" max="15367" width="11.85546875" style="250" bestFit="1" customWidth="1"/>
    <col min="15368" max="15368" width="10.85546875" style="250" bestFit="1" customWidth="1"/>
    <col min="15369" max="15369" width="11.85546875" style="250" bestFit="1" customWidth="1"/>
    <col min="15370" max="15370" width="14.5703125" style="250" customWidth="1"/>
    <col min="15371" max="15371" width="11.85546875" style="250" bestFit="1" customWidth="1"/>
    <col min="15372" max="15373" width="11.42578125" style="250"/>
    <col min="15374" max="15374" width="11.85546875" style="250" bestFit="1" customWidth="1"/>
    <col min="15375" max="15620" width="11.42578125" style="250"/>
    <col min="15621" max="15621" width="11.42578125" style="250" customWidth="1"/>
    <col min="15622" max="15622" width="11.42578125" style="250"/>
    <col min="15623" max="15623" width="11.85546875" style="250" bestFit="1" customWidth="1"/>
    <col min="15624" max="15624" width="10.85546875" style="250" bestFit="1" customWidth="1"/>
    <col min="15625" max="15625" width="11.85546875" style="250" bestFit="1" customWidth="1"/>
    <col min="15626" max="15626" width="14.5703125" style="250" customWidth="1"/>
    <col min="15627" max="15627" width="11.85546875" style="250" bestFit="1" customWidth="1"/>
    <col min="15628" max="15629" width="11.42578125" style="250"/>
    <col min="15630" max="15630" width="11.85546875" style="250" bestFit="1" customWidth="1"/>
    <col min="15631" max="15876" width="11.42578125" style="250"/>
    <col min="15877" max="15877" width="11.42578125" style="250" customWidth="1"/>
    <col min="15878" max="15878" width="11.42578125" style="250"/>
    <col min="15879" max="15879" width="11.85546875" style="250" bestFit="1" customWidth="1"/>
    <col min="15880" max="15880" width="10.85546875" style="250" bestFit="1" customWidth="1"/>
    <col min="15881" max="15881" width="11.85546875" style="250" bestFit="1" customWidth="1"/>
    <col min="15882" max="15882" width="14.5703125" style="250" customWidth="1"/>
    <col min="15883" max="15883" width="11.85546875" style="250" bestFit="1" customWidth="1"/>
    <col min="15884" max="15885" width="11.42578125" style="250"/>
    <col min="15886" max="15886" width="11.85546875" style="250" bestFit="1" customWidth="1"/>
    <col min="15887" max="16132" width="11.42578125" style="250"/>
    <col min="16133" max="16133" width="11.42578125" style="250" customWidth="1"/>
    <col min="16134" max="16134" width="11.42578125" style="250"/>
    <col min="16135" max="16135" width="11.85546875" style="250" bestFit="1" customWidth="1"/>
    <col min="16136" max="16136" width="10.85546875" style="250" bestFit="1" customWidth="1"/>
    <col min="16137" max="16137" width="11.85546875" style="250" bestFit="1" customWidth="1"/>
    <col min="16138" max="16138" width="14.5703125" style="250" customWidth="1"/>
    <col min="16139" max="16139" width="11.85546875" style="250" bestFit="1" customWidth="1"/>
    <col min="16140" max="16141" width="11.42578125" style="250"/>
    <col min="16142" max="16142" width="11.85546875" style="250" bestFit="1" customWidth="1"/>
    <col min="16143" max="16384" width="11.42578125" style="250"/>
  </cols>
  <sheetData>
    <row r="1" spans="1:14" hidden="1">
      <c r="A1" s="249"/>
      <c r="B1" s="249"/>
      <c r="C1" s="249"/>
      <c r="D1" s="249"/>
    </row>
    <row r="2" spans="1:14">
      <c r="B2" s="251" t="s">
        <v>878</v>
      </c>
      <c r="C2" s="251"/>
      <c r="D2" s="251"/>
      <c r="E2" s="252">
        <v>4000000000</v>
      </c>
      <c r="F2" s="253">
        <f>+E2/1000</f>
        <v>4000000</v>
      </c>
      <c r="G2" s="254"/>
    </row>
    <row r="3" spans="1:14">
      <c r="A3" s="255"/>
      <c r="B3" s="256" t="s">
        <v>879</v>
      </c>
      <c r="C3" s="256"/>
      <c r="D3" s="256"/>
      <c r="E3" s="257">
        <f>+B8</f>
        <v>36</v>
      </c>
      <c r="F3" s="258" t="s">
        <v>381</v>
      </c>
      <c r="M3" s="259"/>
      <c r="N3" s="260"/>
    </row>
    <row r="4" spans="1:14">
      <c r="A4" s="255"/>
      <c r="B4" s="256" t="s">
        <v>880</v>
      </c>
      <c r="C4" s="256"/>
      <c r="D4" s="256"/>
      <c r="E4" s="261">
        <f>+C8</f>
        <v>6</v>
      </c>
      <c r="F4" s="258" t="s">
        <v>381</v>
      </c>
      <c r="M4" s="260"/>
      <c r="N4" s="260"/>
    </row>
    <row r="5" spans="1:14">
      <c r="A5" s="262"/>
      <c r="B5" s="263" t="s">
        <v>881</v>
      </c>
      <c r="C5" s="263"/>
      <c r="D5" s="263"/>
      <c r="E5" s="264">
        <v>0.2</v>
      </c>
      <c r="F5" s="258" t="s">
        <v>882</v>
      </c>
      <c r="M5" s="260"/>
      <c r="N5" s="260"/>
    </row>
    <row r="6" spans="1:14" ht="13.5">
      <c r="A6" s="255"/>
      <c r="B6" s="265" t="s">
        <v>883</v>
      </c>
      <c r="C6" s="265"/>
      <c r="D6" s="265"/>
      <c r="M6" s="260"/>
      <c r="N6" s="260"/>
    </row>
    <row r="7" spans="1:14">
      <c r="A7" s="266"/>
      <c r="B7" s="267" t="s">
        <v>884</v>
      </c>
      <c r="C7" s="267" t="s">
        <v>885</v>
      </c>
      <c r="D7" s="267" t="s">
        <v>884</v>
      </c>
      <c r="E7" s="267" t="s">
        <v>886</v>
      </c>
      <c r="F7" s="267" t="s">
        <v>887</v>
      </c>
      <c r="G7" s="267" t="s">
        <v>888</v>
      </c>
      <c r="H7" s="267" t="s">
        <v>598</v>
      </c>
      <c r="I7" s="267" t="s">
        <v>889</v>
      </c>
      <c r="J7" s="268" t="s">
        <v>890</v>
      </c>
      <c r="K7" s="269"/>
      <c r="L7" s="269"/>
    </row>
    <row r="8" spans="1:14">
      <c r="B8" s="270">
        <f>+C8+D8</f>
        <v>36</v>
      </c>
      <c r="C8" s="270">
        <v>6</v>
      </c>
      <c r="D8" s="270">
        <v>30</v>
      </c>
      <c r="E8" s="271">
        <f>+E5/12</f>
        <v>1.6666666666666666E-2</v>
      </c>
      <c r="F8" s="272">
        <f>+E2</f>
        <v>4000000000</v>
      </c>
      <c r="G8" s="273" t="s">
        <v>891</v>
      </c>
      <c r="H8" s="271">
        <v>0.2</v>
      </c>
      <c r="I8" s="272">
        <v>0</v>
      </c>
      <c r="J8" s="274" t="s">
        <v>892</v>
      </c>
      <c r="K8" s="275">
        <f>F8*(E8/(1-(1+E8)^-D8))</f>
        <v>170518375.91549209</v>
      </c>
      <c r="L8" s="269"/>
    </row>
    <row r="9" spans="1:14">
      <c r="J9" s="269"/>
      <c r="K9" s="269"/>
      <c r="L9" s="269"/>
    </row>
    <row r="10" spans="1:14">
      <c r="B10" s="249" t="s">
        <v>893</v>
      </c>
      <c r="C10" s="249"/>
      <c r="D10" s="249"/>
    </row>
    <row r="12" spans="1:14">
      <c r="A12" s="276" t="s">
        <v>894</v>
      </c>
      <c r="B12" s="276" t="s">
        <v>894</v>
      </c>
      <c r="C12" s="276" t="s">
        <v>627</v>
      </c>
      <c r="D12" s="276" t="s">
        <v>895</v>
      </c>
      <c r="E12" s="276" t="s">
        <v>896</v>
      </c>
      <c r="F12" s="276" t="s">
        <v>897</v>
      </c>
      <c r="G12" s="276" t="s">
        <v>898</v>
      </c>
      <c r="H12" s="276" t="s">
        <v>899</v>
      </c>
      <c r="I12" s="276" t="s">
        <v>627</v>
      </c>
    </row>
    <row r="13" spans="1:14">
      <c r="A13" s="277"/>
      <c r="B13" s="277"/>
      <c r="C13" s="277" t="s">
        <v>669</v>
      </c>
      <c r="D13" s="277"/>
      <c r="E13" s="277" t="s">
        <v>900</v>
      </c>
      <c r="F13" s="277"/>
      <c r="G13" s="277"/>
      <c r="H13" s="277" t="s">
        <v>901</v>
      </c>
      <c r="I13" s="277" t="s">
        <v>902</v>
      </c>
    </row>
    <row r="14" spans="1:14">
      <c r="A14" s="270"/>
      <c r="B14" s="270">
        <v>1</v>
      </c>
      <c r="C14" s="270"/>
      <c r="D14" s="278"/>
      <c r="E14" s="279">
        <f>+F8</f>
        <v>4000000000</v>
      </c>
      <c r="F14" s="538">
        <f t="shared" ref="F14:F19" si="0">+G14</f>
        <v>66666666.666666664</v>
      </c>
      <c r="G14" s="538">
        <f t="shared" ref="G14:G19" si="1">+E14*$E$8</f>
        <v>66666666.666666664</v>
      </c>
      <c r="H14" s="270">
        <v>0</v>
      </c>
      <c r="I14" s="279">
        <f t="shared" ref="I14" si="2">+E14+G14-F14</f>
        <v>4000000000</v>
      </c>
      <c r="K14" s="280"/>
    </row>
    <row r="15" spans="1:14">
      <c r="A15" s="270"/>
      <c r="B15" s="270">
        <f t="shared" ref="B15:B60" si="3">+B14+1</f>
        <v>2</v>
      </c>
      <c r="C15" s="270"/>
      <c r="D15" s="278"/>
      <c r="E15" s="279">
        <f t="shared" ref="E15:E19" si="4">+D15+I14</f>
        <v>4000000000</v>
      </c>
      <c r="F15" s="538">
        <f t="shared" si="0"/>
        <v>66666666.666666664</v>
      </c>
      <c r="G15" s="538">
        <f t="shared" si="1"/>
        <v>66666666.666666664</v>
      </c>
      <c r="H15" s="270">
        <v>0</v>
      </c>
      <c r="I15" s="270">
        <f t="shared" ref="I15:I78" si="5">IF(A14=" "," ",IF(A14+1&gt;$D$8," ",E15-H15))</f>
        <v>4000000000</v>
      </c>
      <c r="K15" s="280"/>
    </row>
    <row r="16" spans="1:14">
      <c r="A16" s="270"/>
      <c r="B16" s="270">
        <f t="shared" si="3"/>
        <v>3</v>
      </c>
      <c r="C16" s="270"/>
      <c r="D16" s="278"/>
      <c r="E16" s="279">
        <f t="shared" si="4"/>
        <v>4000000000</v>
      </c>
      <c r="F16" s="538">
        <f t="shared" si="0"/>
        <v>66666666.666666664</v>
      </c>
      <c r="G16" s="538">
        <f t="shared" si="1"/>
        <v>66666666.666666664</v>
      </c>
      <c r="H16" s="270">
        <v>0</v>
      </c>
      <c r="I16" s="270">
        <f t="shared" si="5"/>
        <v>4000000000</v>
      </c>
      <c r="K16" s="280"/>
    </row>
    <row r="17" spans="1:11">
      <c r="A17" s="270"/>
      <c r="B17" s="270">
        <f t="shared" si="3"/>
        <v>4</v>
      </c>
      <c r="C17" s="270"/>
      <c r="D17" s="278"/>
      <c r="E17" s="279">
        <f t="shared" si="4"/>
        <v>4000000000</v>
      </c>
      <c r="F17" s="538">
        <f t="shared" si="0"/>
        <v>66666666.666666664</v>
      </c>
      <c r="G17" s="538">
        <f t="shared" si="1"/>
        <v>66666666.666666664</v>
      </c>
      <c r="H17" s="270">
        <v>0</v>
      </c>
      <c r="I17" s="270">
        <f t="shared" si="5"/>
        <v>4000000000</v>
      </c>
      <c r="K17" s="280"/>
    </row>
    <row r="18" spans="1:11">
      <c r="A18" s="270"/>
      <c r="B18" s="270">
        <f t="shared" si="3"/>
        <v>5</v>
      </c>
      <c r="C18" s="270"/>
      <c r="D18" s="278"/>
      <c r="E18" s="279">
        <f t="shared" si="4"/>
        <v>4000000000</v>
      </c>
      <c r="F18" s="538">
        <f t="shared" si="0"/>
        <v>66666666.666666664</v>
      </c>
      <c r="G18" s="538">
        <f t="shared" si="1"/>
        <v>66666666.666666664</v>
      </c>
      <c r="H18" s="270">
        <v>0</v>
      </c>
      <c r="I18" s="270">
        <f t="shared" si="5"/>
        <v>4000000000</v>
      </c>
      <c r="K18" s="280"/>
    </row>
    <row r="19" spans="1:11">
      <c r="A19" s="270"/>
      <c r="B19" s="270">
        <f t="shared" si="3"/>
        <v>6</v>
      </c>
      <c r="C19" s="270"/>
      <c r="D19" s="278"/>
      <c r="E19" s="279">
        <f t="shared" si="4"/>
        <v>4000000000</v>
      </c>
      <c r="F19" s="538">
        <f t="shared" si="0"/>
        <v>66666666.666666664</v>
      </c>
      <c r="G19" s="538">
        <f t="shared" si="1"/>
        <v>66666666.666666664</v>
      </c>
      <c r="H19" s="270">
        <v>0</v>
      </c>
      <c r="I19" s="270">
        <f t="shared" si="5"/>
        <v>4000000000</v>
      </c>
      <c r="K19" s="280"/>
    </row>
    <row r="20" spans="1:11">
      <c r="A20" s="270">
        <v>1</v>
      </c>
      <c r="B20" s="270">
        <f>+B19+1</f>
        <v>7</v>
      </c>
      <c r="C20" s="270"/>
      <c r="D20" s="270"/>
      <c r="E20" s="270">
        <f>+I19</f>
        <v>4000000000</v>
      </c>
      <c r="F20" s="539">
        <f>+K8</f>
        <v>170518375.91549209</v>
      </c>
      <c r="G20" s="539">
        <f>IF(A20=" "," ",IF(A20+1&gt;$D$8," ",E20*$E$8))</f>
        <v>66666666.666666664</v>
      </c>
      <c r="H20" s="270">
        <f>IF(A20=" "," ",IF(A20+1&gt;$D$8," ",F20-G20))</f>
        <v>103851709.24882543</v>
      </c>
      <c r="I20" s="270">
        <f>IF(A20=" "," ",IF(A20+1&gt;$D$8," ",E20-H20))</f>
        <v>3896148290.7511744</v>
      </c>
      <c r="K20" s="280"/>
    </row>
    <row r="21" spans="1:11">
      <c r="A21" s="270">
        <f t="shared" ref="A21:A84" si="6">IF(A20=" "," ",IF(A20+1&gt;$D$8," ",A20+1))</f>
        <v>2</v>
      </c>
      <c r="B21" s="270">
        <f t="shared" si="3"/>
        <v>8</v>
      </c>
      <c r="C21" s="270"/>
      <c r="D21" s="270"/>
      <c r="E21" s="270">
        <f t="shared" ref="E21:E84" si="7">IF(A20=" "," ",IF(A20+1&gt;$D$8," ",I20))</f>
        <v>3896148290.7511744</v>
      </c>
      <c r="F21" s="539">
        <f t="shared" ref="F21:F84" si="8">IF(A20=" "," ",IF(A20+1&gt;$D$8," ",F20))</f>
        <v>170518375.91549209</v>
      </c>
      <c r="G21" s="539">
        <f t="shared" ref="G21:G84" si="9">IF(A20=" "," ",IF(A20+1&gt;$D$8," ",E21*$E$8))</f>
        <v>64935804.845852904</v>
      </c>
      <c r="H21" s="270">
        <f t="shared" ref="H21:H84" si="10">IF(A20=" "," ",IF(A20+1&gt;$D$8," ",F21-G21))</f>
        <v>105582571.06963918</v>
      </c>
      <c r="I21" s="270">
        <f t="shared" si="5"/>
        <v>3790565719.6815352</v>
      </c>
      <c r="K21" s="280"/>
    </row>
    <row r="22" spans="1:11">
      <c r="A22" s="270">
        <f t="shared" si="6"/>
        <v>3</v>
      </c>
      <c r="B22" s="270">
        <f t="shared" si="3"/>
        <v>9</v>
      </c>
      <c r="C22" s="270"/>
      <c r="D22" s="270"/>
      <c r="E22" s="270">
        <f t="shared" si="7"/>
        <v>3790565719.6815352</v>
      </c>
      <c r="F22" s="539">
        <f t="shared" si="8"/>
        <v>170518375.91549209</v>
      </c>
      <c r="G22" s="539">
        <f t="shared" si="9"/>
        <v>63176095.328025587</v>
      </c>
      <c r="H22" s="270">
        <f t="shared" si="10"/>
        <v>107342280.58746651</v>
      </c>
      <c r="I22" s="270">
        <f t="shared" si="5"/>
        <v>3683223439.0940685</v>
      </c>
      <c r="K22" s="280"/>
    </row>
    <row r="23" spans="1:11">
      <c r="A23" s="270">
        <f t="shared" si="6"/>
        <v>4</v>
      </c>
      <c r="B23" s="270">
        <f t="shared" si="3"/>
        <v>10</v>
      </c>
      <c r="C23" s="270"/>
      <c r="D23" s="270"/>
      <c r="E23" s="270">
        <f t="shared" si="7"/>
        <v>3683223439.0940685</v>
      </c>
      <c r="F23" s="539">
        <f t="shared" si="8"/>
        <v>170518375.91549209</v>
      </c>
      <c r="G23" s="539">
        <f t="shared" si="9"/>
        <v>61387057.318234473</v>
      </c>
      <c r="H23" s="270">
        <f t="shared" si="10"/>
        <v>109131318.59725761</v>
      </c>
      <c r="I23" s="270">
        <f t="shared" si="5"/>
        <v>3574092120.4968109</v>
      </c>
      <c r="K23" s="280"/>
    </row>
    <row r="24" spans="1:11">
      <c r="A24" s="270">
        <f t="shared" si="6"/>
        <v>5</v>
      </c>
      <c r="B24" s="270">
        <f t="shared" si="3"/>
        <v>11</v>
      </c>
      <c r="C24" s="270"/>
      <c r="D24" s="270"/>
      <c r="E24" s="270">
        <f t="shared" si="7"/>
        <v>3574092120.4968109</v>
      </c>
      <c r="F24" s="539">
        <f t="shared" si="8"/>
        <v>170518375.91549209</v>
      </c>
      <c r="G24" s="539">
        <f t="shared" si="9"/>
        <v>59568202.00828018</v>
      </c>
      <c r="H24" s="270">
        <f t="shared" si="10"/>
        <v>110950173.9072119</v>
      </c>
      <c r="I24" s="270">
        <f t="shared" si="5"/>
        <v>3463141946.5895991</v>
      </c>
      <c r="K24" s="280"/>
    </row>
    <row r="25" spans="1:11">
      <c r="A25" s="270">
        <f t="shared" si="6"/>
        <v>6</v>
      </c>
      <c r="B25" s="270">
        <f t="shared" si="3"/>
        <v>12</v>
      </c>
      <c r="C25" s="270"/>
      <c r="D25" s="270"/>
      <c r="E25" s="270">
        <f t="shared" si="7"/>
        <v>3463141946.5895991</v>
      </c>
      <c r="F25" s="539">
        <f t="shared" si="8"/>
        <v>170518375.91549209</v>
      </c>
      <c r="G25" s="539">
        <f t="shared" si="9"/>
        <v>57719032.443159983</v>
      </c>
      <c r="H25" s="270">
        <f t="shared" si="10"/>
        <v>112799343.47233211</v>
      </c>
      <c r="I25" s="270">
        <f>IF(A24=" "," ",IF(A24+1&gt;$D$8," ",E25-H25))</f>
        <v>3350342603.1172671</v>
      </c>
      <c r="K25" s="280"/>
    </row>
    <row r="26" spans="1:11">
      <c r="A26" s="270">
        <f t="shared" si="6"/>
        <v>7</v>
      </c>
      <c r="B26" s="270">
        <f t="shared" si="3"/>
        <v>13</v>
      </c>
      <c r="C26" s="270"/>
      <c r="D26" s="270"/>
      <c r="E26" s="270">
        <f t="shared" si="7"/>
        <v>3350342603.1172671</v>
      </c>
      <c r="F26" s="1149">
        <f t="shared" si="8"/>
        <v>170518375.91549209</v>
      </c>
      <c r="G26" s="1149">
        <f t="shared" si="9"/>
        <v>55839043.385287784</v>
      </c>
      <c r="H26" s="270">
        <f t="shared" si="10"/>
        <v>114679332.5302043</v>
      </c>
      <c r="I26" s="270">
        <f t="shared" si="5"/>
        <v>3235663270.5870628</v>
      </c>
      <c r="K26" s="280"/>
    </row>
    <row r="27" spans="1:11">
      <c r="A27" s="270">
        <f t="shared" si="6"/>
        <v>8</v>
      </c>
      <c r="B27" s="270">
        <f t="shared" si="3"/>
        <v>14</v>
      </c>
      <c r="C27" s="270"/>
      <c r="D27" s="270"/>
      <c r="E27" s="270">
        <f t="shared" si="7"/>
        <v>3235663270.5870628</v>
      </c>
      <c r="F27" s="1149">
        <f t="shared" si="8"/>
        <v>170518375.91549209</v>
      </c>
      <c r="G27" s="1149">
        <f t="shared" si="9"/>
        <v>53927721.17645105</v>
      </c>
      <c r="H27" s="270">
        <f t="shared" si="10"/>
        <v>116590654.73904103</v>
      </c>
      <c r="I27" s="270">
        <f t="shared" si="5"/>
        <v>3119072615.848022</v>
      </c>
      <c r="K27" s="280"/>
    </row>
    <row r="28" spans="1:11">
      <c r="A28" s="270">
        <f t="shared" si="6"/>
        <v>9</v>
      </c>
      <c r="B28" s="270">
        <f t="shared" si="3"/>
        <v>15</v>
      </c>
      <c r="C28" s="270"/>
      <c r="D28" s="270"/>
      <c r="E28" s="270">
        <f t="shared" si="7"/>
        <v>3119072615.848022</v>
      </c>
      <c r="F28" s="1149">
        <f t="shared" si="8"/>
        <v>170518375.91549209</v>
      </c>
      <c r="G28" s="1149">
        <f t="shared" si="9"/>
        <v>51984543.597467035</v>
      </c>
      <c r="H28" s="270">
        <f t="shared" si="10"/>
        <v>118533832.31802505</v>
      </c>
      <c r="I28" s="270">
        <f t="shared" si="5"/>
        <v>3000538783.5299969</v>
      </c>
      <c r="K28" s="280"/>
    </row>
    <row r="29" spans="1:11">
      <c r="A29" s="270">
        <f t="shared" si="6"/>
        <v>10</v>
      </c>
      <c r="B29" s="270">
        <f t="shared" si="3"/>
        <v>16</v>
      </c>
      <c r="C29" s="270"/>
      <c r="D29" s="270"/>
      <c r="E29" s="270">
        <f t="shared" si="7"/>
        <v>3000538783.5299969</v>
      </c>
      <c r="F29" s="1149">
        <f t="shared" si="8"/>
        <v>170518375.91549209</v>
      </c>
      <c r="G29" s="1149">
        <f t="shared" si="9"/>
        <v>50008979.72549995</v>
      </c>
      <c r="H29" s="270">
        <f t="shared" si="10"/>
        <v>120509396.18999213</v>
      </c>
      <c r="I29" s="270">
        <f t="shared" si="5"/>
        <v>2880029387.3400049</v>
      </c>
      <c r="K29" s="280"/>
    </row>
    <row r="30" spans="1:11">
      <c r="A30" s="270">
        <f t="shared" si="6"/>
        <v>11</v>
      </c>
      <c r="B30" s="270">
        <f t="shared" si="3"/>
        <v>17</v>
      </c>
      <c r="C30" s="270"/>
      <c r="D30" s="270"/>
      <c r="E30" s="270">
        <f t="shared" si="7"/>
        <v>2880029387.3400049</v>
      </c>
      <c r="F30" s="1149">
        <f t="shared" si="8"/>
        <v>170518375.91549209</v>
      </c>
      <c r="G30" s="1149">
        <f t="shared" si="9"/>
        <v>48000489.789000079</v>
      </c>
      <c r="H30" s="270">
        <f t="shared" si="10"/>
        <v>122517886.12649201</v>
      </c>
      <c r="I30" s="270">
        <f t="shared" si="5"/>
        <v>2757511501.2135129</v>
      </c>
      <c r="K30" s="280"/>
    </row>
    <row r="31" spans="1:11">
      <c r="A31" s="270">
        <f t="shared" si="6"/>
        <v>12</v>
      </c>
      <c r="B31" s="270">
        <f t="shared" si="3"/>
        <v>18</v>
      </c>
      <c r="C31" s="270"/>
      <c r="D31" s="270"/>
      <c r="E31" s="270">
        <f t="shared" si="7"/>
        <v>2757511501.2135129</v>
      </c>
      <c r="F31" s="1149">
        <f t="shared" si="8"/>
        <v>170518375.91549209</v>
      </c>
      <c r="G31" s="1149">
        <f t="shared" si="9"/>
        <v>45958525.020225212</v>
      </c>
      <c r="H31" s="270">
        <f t="shared" si="10"/>
        <v>124559850.89526688</v>
      </c>
      <c r="I31" s="270">
        <f t="shared" si="5"/>
        <v>2632951650.3182459</v>
      </c>
      <c r="K31" s="280"/>
    </row>
    <row r="32" spans="1:11">
      <c r="A32" s="270">
        <f t="shared" si="6"/>
        <v>13</v>
      </c>
      <c r="B32" s="270">
        <f t="shared" si="3"/>
        <v>19</v>
      </c>
      <c r="C32" s="270"/>
      <c r="D32" s="270"/>
      <c r="E32" s="270">
        <f t="shared" si="7"/>
        <v>2632951650.3182459</v>
      </c>
      <c r="F32" s="1149">
        <f t="shared" si="8"/>
        <v>170518375.91549209</v>
      </c>
      <c r="G32" s="1149">
        <f t="shared" si="9"/>
        <v>43882527.505304098</v>
      </c>
      <c r="H32" s="270">
        <f t="shared" si="10"/>
        <v>126635848.41018799</v>
      </c>
      <c r="I32" s="270">
        <f t="shared" si="5"/>
        <v>2506315801.9080577</v>
      </c>
      <c r="K32" s="280"/>
    </row>
    <row r="33" spans="1:11">
      <c r="A33" s="270">
        <f t="shared" si="6"/>
        <v>14</v>
      </c>
      <c r="B33" s="270">
        <f t="shared" si="3"/>
        <v>20</v>
      </c>
      <c r="C33" s="270"/>
      <c r="D33" s="270"/>
      <c r="E33" s="270">
        <f t="shared" si="7"/>
        <v>2506315801.9080577</v>
      </c>
      <c r="F33" s="1149">
        <f t="shared" si="8"/>
        <v>170518375.91549209</v>
      </c>
      <c r="G33" s="1149">
        <f t="shared" si="9"/>
        <v>41771930.031800963</v>
      </c>
      <c r="H33" s="270">
        <f t="shared" si="10"/>
        <v>128746445.88369113</v>
      </c>
      <c r="I33" s="270">
        <f t="shared" si="5"/>
        <v>2377569356.0243664</v>
      </c>
      <c r="K33" s="280"/>
    </row>
    <row r="34" spans="1:11">
      <c r="A34" s="270">
        <f t="shared" si="6"/>
        <v>15</v>
      </c>
      <c r="B34" s="270">
        <f t="shared" si="3"/>
        <v>21</v>
      </c>
      <c r="C34" s="270"/>
      <c r="D34" s="270"/>
      <c r="E34" s="270">
        <f t="shared" si="7"/>
        <v>2377569356.0243664</v>
      </c>
      <c r="F34" s="1149">
        <f t="shared" si="8"/>
        <v>170518375.91549209</v>
      </c>
      <c r="G34" s="1149">
        <f t="shared" si="9"/>
        <v>39626155.933739439</v>
      </c>
      <c r="H34" s="270">
        <f t="shared" si="10"/>
        <v>130892219.98175265</v>
      </c>
      <c r="I34" s="270">
        <f t="shared" si="5"/>
        <v>2246677136.0426135</v>
      </c>
      <c r="K34" s="280"/>
    </row>
    <row r="35" spans="1:11">
      <c r="A35" s="270">
        <f t="shared" si="6"/>
        <v>16</v>
      </c>
      <c r="B35" s="270">
        <f t="shared" si="3"/>
        <v>22</v>
      </c>
      <c r="C35" s="270"/>
      <c r="D35" s="270"/>
      <c r="E35" s="270">
        <f t="shared" si="7"/>
        <v>2246677136.0426135</v>
      </c>
      <c r="F35" s="1149">
        <f t="shared" si="8"/>
        <v>170518375.91549209</v>
      </c>
      <c r="G35" s="1149">
        <f t="shared" si="9"/>
        <v>37444618.934043556</v>
      </c>
      <c r="H35" s="270">
        <f t="shared" si="10"/>
        <v>133073756.98144853</v>
      </c>
      <c r="I35" s="270">
        <f t="shared" si="5"/>
        <v>2113603379.0611649</v>
      </c>
      <c r="K35" s="280"/>
    </row>
    <row r="36" spans="1:11">
      <c r="A36" s="270">
        <f t="shared" si="6"/>
        <v>17</v>
      </c>
      <c r="B36" s="270">
        <f t="shared" si="3"/>
        <v>23</v>
      </c>
      <c r="C36" s="270"/>
      <c r="D36" s="270"/>
      <c r="E36" s="270">
        <f t="shared" si="7"/>
        <v>2113603379.0611649</v>
      </c>
      <c r="F36" s="1149">
        <f t="shared" si="8"/>
        <v>170518375.91549209</v>
      </c>
      <c r="G36" s="1149">
        <f t="shared" si="9"/>
        <v>35226722.984352745</v>
      </c>
      <c r="H36" s="270">
        <f t="shared" si="10"/>
        <v>135291652.93113935</v>
      </c>
      <c r="I36" s="270">
        <f t="shared" si="5"/>
        <v>1978311726.1300254</v>
      </c>
      <c r="K36" s="280"/>
    </row>
    <row r="37" spans="1:11">
      <c r="A37" s="270">
        <f t="shared" si="6"/>
        <v>18</v>
      </c>
      <c r="B37" s="270">
        <f t="shared" si="3"/>
        <v>24</v>
      </c>
      <c r="C37" s="270"/>
      <c r="D37" s="270"/>
      <c r="E37" s="270">
        <f t="shared" si="7"/>
        <v>1978311726.1300254</v>
      </c>
      <c r="F37" s="1149">
        <f t="shared" si="8"/>
        <v>170518375.91549209</v>
      </c>
      <c r="G37" s="1149">
        <f t="shared" si="9"/>
        <v>32971862.102167089</v>
      </c>
      <c r="H37" s="270">
        <f t="shared" si="10"/>
        <v>137546513.81332499</v>
      </c>
      <c r="I37" s="270">
        <f t="shared" si="5"/>
        <v>1840765212.3167005</v>
      </c>
      <c r="K37" s="280"/>
    </row>
    <row r="38" spans="1:11">
      <c r="A38" s="270">
        <f t="shared" si="6"/>
        <v>19</v>
      </c>
      <c r="B38" s="270">
        <f t="shared" si="3"/>
        <v>25</v>
      </c>
      <c r="C38" s="270"/>
      <c r="D38" s="270"/>
      <c r="E38" s="270">
        <f t="shared" si="7"/>
        <v>1840765212.3167005</v>
      </c>
      <c r="F38" s="1150">
        <f t="shared" si="8"/>
        <v>170518375.91549209</v>
      </c>
      <c r="G38" s="1150">
        <f t="shared" si="9"/>
        <v>30679420.205278341</v>
      </c>
      <c r="H38" s="270">
        <f t="shared" si="10"/>
        <v>139838955.71021375</v>
      </c>
      <c r="I38" s="270">
        <f t="shared" si="5"/>
        <v>1700926256.6064868</v>
      </c>
      <c r="K38" s="280"/>
    </row>
    <row r="39" spans="1:11">
      <c r="A39" s="270">
        <f t="shared" si="6"/>
        <v>20</v>
      </c>
      <c r="B39" s="270">
        <f t="shared" si="3"/>
        <v>26</v>
      </c>
      <c r="C39" s="270"/>
      <c r="D39" s="270"/>
      <c r="E39" s="270">
        <f t="shared" si="7"/>
        <v>1700926256.6064868</v>
      </c>
      <c r="F39" s="1150">
        <f t="shared" si="8"/>
        <v>170518375.91549209</v>
      </c>
      <c r="G39" s="1150">
        <f t="shared" si="9"/>
        <v>28348770.943441447</v>
      </c>
      <c r="H39" s="270">
        <f t="shared" si="10"/>
        <v>142169604.97205064</v>
      </c>
      <c r="I39" s="270">
        <f t="shared" si="5"/>
        <v>1558756651.6344361</v>
      </c>
      <c r="K39" s="280"/>
    </row>
    <row r="40" spans="1:11">
      <c r="A40" s="270">
        <f t="shared" si="6"/>
        <v>21</v>
      </c>
      <c r="B40" s="270">
        <f t="shared" si="3"/>
        <v>27</v>
      </c>
      <c r="C40" s="270"/>
      <c r="D40" s="270"/>
      <c r="E40" s="270">
        <f t="shared" si="7"/>
        <v>1558756651.6344361</v>
      </c>
      <c r="F40" s="1150">
        <f t="shared" si="8"/>
        <v>170518375.91549209</v>
      </c>
      <c r="G40" s="1150">
        <f t="shared" si="9"/>
        <v>25979277.5272406</v>
      </c>
      <c r="H40" s="270">
        <f t="shared" si="10"/>
        <v>144539098.38825148</v>
      </c>
      <c r="I40" s="270">
        <f t="shared" si="5"/>
        <v>1414217553.2461846</v>
      </c>
      <c r="K40" s="280"/>
    </row>
    <row r="41" spans="1:11">
      <c r="A41" s="270">
        <f t="shared" si="6"/>
        <v>22</v>
      </c>
      <c r="B41" s="270">
        <f t="shared" si="3"/>
        <v>28</v>
      </c>
      <c r="C41" s="270"/>
      <c r="D41" s="270"/>
      <c r="E41" s="270">
        <f t="shared" si="7"/>
        <v>1414217553.2461846</v>
      </c>
      <c r="F41" s="1150">
        <f t="shared" si="8"/>
        <v>170518375.91549209</v>
      </c>
      <c r="G41" s="1150">
        <f t="shared" si="9"/>
        <v>23570292.554103076</v>
      </c>
      <c r="H41" s="270">
        <f t="shared" si="10"/>
        <v>146948083.36138901</v>
      </c>
      <c r="I41" s="270">
        <f t="shared" si="5"/>
        <v>1267269469.8847957</v>
      </c>
      <c r="K41" s="280"/>
    </row>
    <row r="42" spans="1:11">
      <c r="A42" s="270">
        <f t="shared" si="6"/>
        <v>23</v>
      </c>
      <c r="B42" s="270">
        <f t="shared" si="3"/>
        <v>29</v>
      </c>
      <c r="C42" s="270"/>
      <c r="D42" s="270"/>
      <c r="E42" s="270">
        <f t="shared" si="7"/>
        <v>1267269469.8847957</v>
      </c>
      <c r="F42" s="1150">
        <f t="shared" si="8"/>
        <v>170518375.91549209</v>
      </c>
      <c r="G42" s="1150">
        <f t="shared" si="9"/>
        <v>21121157.831413262</v>
      </c>
      <c r="H42" s="270">
        <f t="shared" si="10"/>
        <v>149397218.08407882</v>
      </c>
      <c r="I42" s="270">
        <f t="shared" si="5"/>
        <v>1117872251.8007169</v>
      </c>
      <c r="K42" s="280"/>
    </row>
    <row r="43" spans="1:11">
      <c r="A43" s="270">
        <f t="shared" si="6"/>
        <v>24</v>
      </c>
      <c r="B43" s="270">
        <f t="shared" si="3"/>
        <v>30</v>
      </c>
      <c r="C43" s="270"/>
      <c r="D43" s="270"/>
      <c r="E43" s="270">
        <f t="shared" si="7"/>
        <v>1117872251.8007169</v>
      </c>
      <c r="F43" s="1150">
        <f t="shared" si="8"/>
        <v>170518375.91549209</v>
      </c>
      <c r="G43" s="1150">
        <f t="shared" si="9"/>
        <v>18631204.196678616</v>
      </c>
      <c r="H43" s="270">
        <f t="shared" si="10"/>
        <v>151887171.71881348</v>
      </c>
      <c r="I43" s="270">
        <f t="shared" si="5"/>
        <v>965985080.08190346</v>
      </c>
      <c r="K43" s="280"/>
    </row>
    <row r="44" spans="1:11">
      <c r="A44" s="270">
        <f t="shared" si="6"/>
        <v>25</v>
      </c>
      <c r="B44" s="270">
        <f t="shared" si="3"/>
        <v>31</v>
      </c>
      <c r="C44" s="270"/>
      <c r="D44" s="270"/>
      <c r="E44" s="270">
        <f t="shared" si="7"/>
        <v>965985080.08190346</v>
      </c>
      <c r="F44" s="1150">
        <f t="shared" si="8"/>
        <v>170518375.91549209</v>
      </c>
      <c r="G44" s="1150">
        <f t="shared" si="9"/>
        <v>16099751.33469839</v>
      </c>
      <c r="H44" s="270">
        <f t="shared" si="10"/>
        <v>154418624.58079371</v>
      </c>
      <c r="I44" s="270">
        <f t="shared" si="5"/>
        <v>811566455.50110972</v>
      </c>
      <c r="K44" s="280"/>
    </row>
    <row r="45" spans="1:11">
      <c r="A45" s="270">
        <f t="shared" si="6"/>
        <v>26</v>
      </c>
      <c r="B45" s="270">
        <f t="shared" si="3"/>
        <v>32</v>
      </c>
      <c r="C45" s="270"/>
      <c r="D45" s="270"/>
      <c r="E45" s="270">
        <f t="shared" si="7"/>
        <v>811566455.50110972</v>
      </c>
      <c r="F45" s="1150">
        <f t="shared" si="8"/>
        <v>170518375.91549209</v>
      </c>
      <c r="G45" s="1150">
        <f t="shared" si="9"/>
        <v>13526107.591685161</v>
      </c>
      <c r="H45" s="270">
        <f t="shared" si="10"/>
        <v>156992268.32380694</v>
      </c>
      <c r="I45" s="270">
        <f t="shared" si="5"/>
        <v>654574187.17730284</v>
      </c>
      <c r="K45" s="280"/>
    </row>
    <row r="46" spans="1:11">
      <c r="A46" s="270">
        <f t="shared" si="6"/>
        <v>27</v>
      </c>
      <c r="B46" s="270">
        <f t="shared" si="3"/>
        <v>33</v>
      </c>
      <c r="C46" s="270"/>
      <c r="D46" s="270"/>
      <c r="E46" s="270">
        <f t="shared" si="7"/>
        <v>654574187.17730284</v>
      </c>
      <c r="F46" s="1150">
        <f t="shared" si="8"/>
        <v>170518375.91549209</v>
      </c>
      <c r="G46" s="1150">
        <f t="shared" si="9"/>
        <v>10909569.786288381</v>
      </c>
      <c r="H46" s="270">
        <f t="shared" si="10"/>
        <v>159608806.12920371</v>
      </c>
      <c r="I46" s="270">
        <f t="shared" si="5"/>
        <v>494965381.04809916</v>
      </c>
      <c r="K46" s="280"/>
    </row>
    <row r="47" spans="1:11">
      <c r="A47" s="270">
        <f t="shared" si="6"/>
        <v>28</v>
      </c>
      <c r="B47" s="270">
        <f t="shared" si="3"/>
        <v>34</v>
      </c>
      <c r="C47" s="270"/>
      <c r="D47" s="270"/>
      <c r="E47" s="270">
        <f t="shared" si="7"/>
        <v>494965381.04809916</v>
      </c>
      <c r="F47" s="1150">
        <f t="shared" si="8"/>
        <v>170518375.91549209</v>
      </c>
      <c r="G47" s="1150">
        <f t="shared" si="9"/>
        <v>8249423.0174683193</v>
      </c>
      <c r="H47" s="270">
        <f t="shared" si="10"/>
        <v>162268952.89802375</v>
      </c>
      <c r="I47" s="270">
        <f t="shared" si="5"/>
        <v>332696428.15007544</v>
      </c>
      <c r="K47" s="280"/>
    </row>
    <row r="48" spans="1:11">
      <c r="A48" s="270">
        <f t="shared" si="6"/>
        <v>29</v>
      </c>
      <c r="B48" s="270">
        <f t="shared" si="3"/>
        <v>35</v>
      </c>
      <c r="C48" s="270"/>
      <c r="D48" s="270"/>
      <c r="E48" s="270">
        <f t="shared" si="7"/>
        <v>332696428.15007544</v>
      </c>
      <c r="F48" s="1150">
        <f t="shared" si="8"/>
        <v>170518375.91549209</v>
      </c>
      <c r="G48" s="1150">
        <f t="shared" si="9"/>
        <v>5544940.4691679236</v>
      </c>
      <c r="H48" s="270">
        <f t="shared" si="10"/>
        <v>164973435.44632417</v>
      </c>
      <c r="I48" s="270">
        <f t="shared" si="5"/>
        <v>167722992.70375127</v>
      </c>
      <c r="K48" s="280"/>
    </row>
    <row r="49" spans="1:11">
      <c r="A49" s="270">
        <f t="shared" si="6"/>
        <v>30</v>
      </c>
      <c r="B49" s="270">
        <f t="shared" si="3"/>
        <v>36</v>
      </c>
      <c r="C49" s="270"/>
      <c r="D49" s="270"/>
      <c r="E49" s="270">
        <f t="shared" si="7"/>
        <v>167722992.70375127</v>
      </c>
      <c r="F49" s="1150">
        <f t="shared" si="8"/>
        <v>170518375.91549209</v>
      </c>
      <c r="G49" s="1150">
        <f t="shared" si="9"/>
        <v>2795383.2117291875</v>
      </c>
      <c r="H49" s="270">
        <f t="shared" si="10"/>
        <v>167722992.70376289</v>
      </c>
      <c r="I49" s="270">
        <f t="shared" si="5"/>
        <v>-1.1622905731201172E-5</v>
      </c>
      <c r="K49" s="280"/>
    </row>
    <row r="50" spans="1:11" hidden="1">
      <c r="A50" s="270" t="str">
        <f t="shared" si="6"/>
        <v xml:space="preserve"> </v>
      </c>
      <c r="B50" s="270">
        <f t="shared" si="3"/>
        <v>37</v>
      </c>
      <c r="C50" s="270"/>
      <c r="D50" s="270"/>
      <c r="E50" s="270" t="str">
        <f t="shared" si="7"/>
        <v xml:space="preserve"> </v>
      </c>
      <c r="F50" s="1151" t="str">
        <f t="shared" si="8"/>
        <v xml:space="preserve"> </v>
      </c>
      <c r="G50" s="1151" t="str">
        <f t="shared" si="9"/>
        <v xml:space="preserve"> </v>
      </c>
      <c r="H50" s="270" t="str">
        <f t="shared" si="10"/>
        <v xml:space="preserve"> </v>
      </c>
      <c r="I50" s="270" t="str">
        <f t="shared" si="5"/>
        <v xml:space="preserve"> </v>
      </c>
      <c r="K50" s="280"/>
    </row>
    <row r="51" spans="1:11" hidden="1">
      <c r="A51" s="270" t="str">
        <f t="shared" si="6"/>
        <v xml:space="preserve"> </v>
      </c>
      <c r="B51" s="270">
        <f t="shared" si="3"/>
        <v>38</v>
      </c>
      <c r="C51" s="270"/>
      <c r="D51" s="270"/>
      <c r="E51" s="270" t="str">
        <f t="shared" si="7"/>
        <v xml:space="preserve"> </v>
      </c>
      <c r="F51" s="1151" t="str">
        <f t="shared" si="8"/>
        <v xml:space="preserve"> </v>
      </c>
      <c r="G51" s="1151" t="str">
        <f t="shared" si="9"/>
        <v xml:space="preserve"> </v>
      </c>
      <c r="H51" s="270" t="str">
        <f t="shared" si="10"/>
        <v xml:space="preserve"> </v>
      </c>
      <c r="I51" s="270" t="str">
        <f t="shared" si="5"/>
        <v xml:space="preserve"> </v>
      </c>
    </row>
    <row r="52" spans="1:11" hidden="1">
      <c r="A52" s="270" t="str">
        <f t="shared" si="6"/>
        <v xml:space="preserve"> </v>
      </c>
      <c r="B52" s="270">
        <f t="shared" si="3"/>
        <v>39</v>
      </c>
      <c r="C52" s="270"/>
      <c r="D52" s="270"/>
      <c r="E52" s="270" t="str">
        <f t="shared" si="7"/>
        <v xml:space="preserve"> </v>
      </c>
      <c r="F52" s="1151" t="str">
        <f t="shared" si="8"/>
        <v xml:space="preserve"> </v>
      </c>
      <c r="G52" s="1151" t="str">
        <f t="shared" si="9"/>
        <v xml:space="preserve"> </v>
      </c>
      <c r="H52" s="270" t="str">
        <f t="shared" si="10"/>
        <v xml:space="preserve"> </v>
      </c>
      <c r="I52" s="270" t="str">
        <f t="shared" si="5"/>
        <v xml:space="preserve"> </v>
      </c>
    </row>
    <row r="53" spans="1:11" hidden="1">
      <c r="A53" s="270" t="str">
        <f t="shared" si="6"/>
        <v xml:space="preserve"> </v>
      </c>
      <c r="B53" s="270">
        <f t="shared" si="3"/>
        <v>40</v>
      </c>
      <c r="C53" s="270"/>
      <c r="D53" s="270"/>
      <c r="E53" s="270" t="str">
        <f t="shared" si="7"/>
        <v xml:space="preserve"> </v>
      </c>
      <c r="F53" s="1151" t="str">
        <f t="shared" si="8"/>
        <v xml:space="preserve"> </v>
      </c>
      <c r="G53" s="1151" t="str">
        <f t="shared" si="9"/>
        <v xml:space="preserve"> </v>
      </c>
      <c r="H53" s="270" t="str">
        <f t="shared" si="10"/>
        <v xml:space="preserve"> </v>
      </c>
      <c r="I53" s="270" t="str">
        <f t="shared" si="5"/>
        <v xml:space="preserve"> </v>
      </c>
    </row>
    <row r="54" spans="1:11" hidden="1">
      <c r="A54" s="270" t="str">
        <f t="shared" si="6"/>
        <v xml:space="preserve"> </v>
      </c>
      <c r="B54" s="270">
        <f t="shared" si="3"/>
        <v>41</v>
      </c>
      <c r="C54" s="270"/>
      <c r="D54" s="270"/>
      <c r="E54" s="270" t="str">
        <f t="shared" si="7"/>
        <v xml:space="preserve"> </v>
      </c>
      <c r="F54" s="1151" t="str">
        <f t="shared" si="8"/>
        <v xml:space="preserve"> </v>
      </c>
      <c r="G54" s="1151" t="str">
        <f t="shared" si="9"/>
        <v xml:space="preserve"> </v>
      </c>
      <c r="H54" s="270" t="str">
        <f t="shared" si="10"/>
        <v xml:space="preserve"> </v>
      </c>
      <c r="I54" s="270" t="str">
        <f t="shared" si="5"/>
        <v xml:space="preserve"> </v>
      </c>
    </row>
    <row r="55" spans="1:11" hidden="1">
      <c r="A55" s="270" t="str">
        <f t="shared" si="6"/>
        <v xml:space="preserve"> </v>
      </c>
      <c r="B55" s="270">
        <f t="shared" si="3"/>
        <v>42</v>
      </c>
      <c r="C55" s="270"/>
      <c r="D55" s="270"/>
      <c r="E55" s="270" t="str">
        <f t="shared" si="7"/>
        <v xml:space="preserve"> </v>
      </c>
      <c r="F55" s="1151" t="str">
        <f t="shared" si="8"/>
        <v xml:space="preserve"> </v>
      </c>
      <c r="G55" s="1151" t="str">
        <f t="shared" si="9"/>
        <v xml:space="preserve"> </v>
      </c>
      <c r="H55" s="270" t="str">
        <f t="shared" si="10"/>
        <v xml:space="preserve"> </v>
      </c>
      <c r="I55" s="270" t="str">
        <f t="shared" si="5"/>
        <v xml:space="preserve"> </v>
      </c>
    </row>
    <row r="56" spans="1:11" hidden="1">
      <c r="A56" s="270" t="str">
        <f t="shared" si="6"/>
        <v xml:space="preserve"> </v>
      </c>
      <c r="B56" s="270">
        <f t="shared" si="3"/>
        <v>43</v>
      </c>
      <c r="C56" s="270"/>
      <c r="D56" s="270"/>
      <c r="E56" s="270" t="str">
        <f t="shared" si="7"/>
        <v xml:space="preserve"> </v>
      </c>
      <c r="F56" s="1151" t="str">
        <f t="shared" si="8"/>
        <v xml:space="preserve"> </v>
      </c>
      <c r="G56" s="1151" t="str">
        <f t="shared" si="9"/>
        <v xml:space="preserve"> </v>
      </c>
      <c r="H56" s="270" t="str">
        <f t="shared" si="10"/>
        <v xml:space="preserve"> </v>
      </c>
      <c r="I56" s="270" t="str">
        <f t="shared" si="5"/>
        <v xml:space="preserve"> </v>
      </c>
    </row>
    <row r="57" spans="1:11" hidden="1">
      <c r="A57" s="270" t="str">
        <f t="shared" si="6"/>
        <v xml:space="preserve"> </v>
      </c>
      <c r="B57" s="270">
        <f t="shared" si="3"/>
        <v>44</v>
      </c>
      <c r="C57" s="270"/>
      <c r="D57" s="270"/>
      <c r="E57" s="270" t="str">
        <f t="shared" si="7"/>
        <v xml:space="preserve"> </v>
      </c>
      <c r="F57" s="1151" t="str">
        <f t="shared" si="8"/>
        <v xml:space="preserve"> </v>
      </c>
      <c r="G57" s="1151" t="str">
        <f t="shared" si="9"/>
        <v xml:space="preserve"> </v>
      </c>
      <c r="H57" s="270" t="str">
        <f t="shared" si="10"/>
        <v xml:space="preserve"> </v>
      </c>
      <c r="I57" s="270" t="str">
        <f t="shared" si="5"/>
        <v xml:space="preserve"> </v>
      </c>
    </row>
    <row r="58" spans="1:11" hidden="1">
      <c r="A58" s="270" t="str">
        <f t="shared" si="6"/>
        <v xml:space="preserve"> </v>
      </c>
      <c r="B58" s="270">
        <f t="shared" si="3"/>
        <v>45</v>
      </c>
      <c r="C58" s="270"/>
      <c r="D58" s="270"/>
      <c r="E58" s="270" t="str">
        <f t="shared" si="7"/>
        <v xml:space="preserve"> </v>
      </c>
      <c r="F58" s="1151" t="str">
        <f t="shared" si="8"/>
        <v xml:space="preserve"> </v>
      </c>
      <c r="G58" s="1151" t="str">
        <f t="shared" si="9"/>
        <v xml:space="preserve"> </v>
      </c>
      <c r="H58" s="270" t="str">
        <f t="shared" si="10"/>
        <v xml:space="preserve"> </v>
      </c>
      <c r="I58" s="270" t="str">
        <f t="shared" si="5"/>
        <v xml:space="preserve"> </v>
      </c>
    </row>
    <row r="59" spans="1:11" hidden="1">
      <c r="A59" s="270" t="str">
        <f t="shared" si="6"/>
        <v xml:space="preserve"> </v>
      </c>
      <c r="B59" s="270">
        <f t="shared" si="3"/>
        <v>46</v>
      </c>
      <c r="C59" s="270"/>
      <c r="D59" s="270"/>
      <c r="E59" s="270" t="str">
        <f t="shared" si="7"/>
        <v xml:space="preserve"> </v>
      </c>
      <c r="F59" s="1151" t="str">
        <f t="shared" si="8"/>
        <v xml:space="preserve"> </v>
      </c>
      <c r="G59" s="1151" t="str">
        <f t="shared" si="9"/>
        <v xml:space="preserve"> </v>
      </c>
      <c r="H59" s="270" t="str">
        <f t="shared" si="10"/>
        <v xml:space="preserve"> </v>
      </c>
      <c r="I59" s="270" t="str">
        <f t="shared" si="5"/>
        <v xml:space="preserve"> </v>
      </c>
    </row>
    <row r="60" spans="1:11" hidden="1">
      <c r="A60" s="270" t="str">
        <f t="shared" si="6"/>
        <v xml:space="preserve"> </v>
      </c>
      <c r="B60" s="270">
        <f t="shared" si="3"/>
        <v>47</v>
      </c>
      <c r="C60" s="270"/>
      <c r="D60" s="270"/>
      <c r="E60" s="270" t="str">
        <f t="shared" si="7"/>
        <v xml:space="preserve"> </v>
      </c>
      <c r="F60" s="1151" t="str">
        <f t="shared" si="8"/>
        <v xml:space="preserve"> </v>
      </c>
      <c r="G60" s="1151" t="str">
        <f t="shared" si="9"/>
        <v xml:space="preserve"> </v>
      </c>
      <c r="H60" s="270" t="str">
        <f t="shared" si="10"/>
        <v xml:space="preserve"> </v>
      </c>
      <c r="I60" s="270" t="str">
        <f t="shared" si="5"/>
        <v xml:space="preserve"> </v>
      </c>
    </row>
    <row r="61" spans="1:11" hidden="1">
      <c r="A61" s="270" t="str">
        <f t="shared" si="6"/>
        <v xml:space="preserve"> </v>
      </c>
      <c r="B61" s="270">
        <f t="shared" ref="B61:B109" si="11">+B60+1</f>
        <v>48</v>
      </c>
      <c r="C61" s="270"/>
      <c r="D61" s="270"/>
      <c r="E61" s="270" t="str">
        <f t="shared" si="7"/>
        <v xml:space="preserve"> </v>
      </c>
      <c r="F61" s="1151" t="str">
        <f t="shared" si="8"/>
        <v xml:space="preserve"> </v>
      </c>
      <c r="G61" s="1151" t="str">
        <f t="shared" si="9"/>
        <v xml:space="preserve"> </v>
      </c>
      <c r="H61" s="270" t="str">
        <f t="shared" si="10"/>
        <v xml:space="preserve"> </v>
      </c>
      <c r="I61" s="270" t="str">
        <f t="shared" si="5"/>
        <v xml:space="preserve"> </v>
      </c>
    </row>
    <row r="62" spans="1:11" hidden="1">
      <c r="A62" s="270" t="str">
        <f t="shared" si="6"/>
        <v xml:space="preserve"> </v>
      </c>
      <c r="B62" s="270">
        <f t="shared" si="11"/>
        <v>49</v>
      </c>
      <c r="C62" s="270"/>
      <c r="D62" s="270"/>
      <c r="E62" s="270" t="str">
        <f t="shared" si="7"/>
        <v xml:space="preserve"> </v>
      </c>
      <c r="F62" s="270" t="str">
        <f t="shared" si="8"/>
        <v xml:space="preserve"> </v>
      </c>
      <c r="G62" s="270" t="str">
        <f t="shared" si="9"/>
        <v xml:space="preserve"> </v>
      </c>
      <c r="H62" s="270" t="str">
        <f t="shared" si="10"/>
        <v xml:space="preserve"> </v>
      </c>
      <c r="I62" s="270" t="str">
        <f t="shared" si="5"/>
        <v xml:space="preserve"> </v>
      </c>
    </row>
    <row r="63" spans="1:11" hidden="1">
      <c r="A63" s="270" t="str">
        <f t="shared" si="6"/>
        <v xml:space="preserve"> </v>
      </c>
      <c r="B63" s="270">
        <f t="shared" si="11"/>
        <v>50</v>
      </c>
      <c r="C63" s="270"/>
      <c r="D63" s="270"/>
      <c r="E63" s="270" t="str">
        <f t="shared" si="7"/>
        <v xml:space="preserve"> </v>
      </c>
      <c r="F63" s="270" t="str">
        <f t="shared" si="8"/>
        <v xml:space="preserve"> </v>
      </c>
      <c r="G63" s="270" t="str">
        <f t="shared" si="9"/>
        <v xml:space="preserve"> </v>
      </c>
      <c r="H63" s="270" t="str">
        <f t="shared" si="10"/>
        <v xml:space="preserve"> </v>
      </c>
      <c r="I63" s="270" t="str">
        <f t="shared" si="5"/>
        <v xml:space="preserve"> </v>
      </c>
    </row>
    <row r="64" spans="1:11" hidden="1">
      <c r="A64" s="270" t="str">
        <f t="shared" si="6"/>
        <v xml:space="preserve"> </v>
      </c>
      <c r="B64" s="270">
        <f t="shared" si="11"/>
        <v>51</v>
      </c>
      <c r="C64" s="270"/>
      <c r="D64" s="270"/>
      <c r="E64" s="270" t="str">
        <f t="shared" si="7"/>
        <v xml:space="preserve"> </v>
      </c>
      <c r="F64" s="270" t="str">
        <f t="shared" si="8"/>
        <v xml:space="preserve"> </v>
      </c>
      <c r="G64" s="270" t="str">
        <f t="shared" si="9"/>
        <v xml:space="preserve"> </v>
      </c>
      <c r="H64" s="270" t="str">
        <f t="shared" si="10"/>
        <v xml:space="preserve"> </v>
      </c>
      <c r="I64" s="270" t="str">
        <f t="shared" si="5"/>
        <v xml:space="preserve"> </v>
      </c>
    </row>
    <row r="65" spans="1:10" hidden="1">
      <c r="A65" s="270" t="str">
        <f t="shared" si="6"/>
        <v xml:space="preserve"> </v>
      </c>
      <c r="B65" s="270">
        <f t="shared" si="11"/>
        <v>52</v>
      </c>
      <c r="C65" s="270"/>
      <c r="D65" s="270"/>
      <c r="E65" s="270" t="str">
        <f t="shared" si="7"/>
        <v xml:space="preserve"> </v>
      </c>
      <c r="F65" s="270" t="str">
        <f t="shared" si="8"/>
        <v xml:space="preserve"> </v>
      </c>
      <c r="G65" s="270" t="str">
        <f t="shared" si="9"/>
        <v xml:space="preserve"> </v>
      </c>
      <c r="H65" s="270" t="str">
        <f t="shared" si="10"/>
        <v xml:space="preserve"> </v>
      </c>
      <c r="I65" s="270" t="str">
        <f t="shared" si="5"/>
        <v xml:space="preserve"> </v>
      </c>
    </row>
    <row r="66" spans="1:10" hidden="1">
      <c r="A66" s="270" t="str">
        <f t="shared" si="6"/>
        <v xml:space="preserve"> </v>
      </c>
      <c r="B66" s="270">
        <f t="shared" si="11"/>
        <v>53</v>
      </c>
      <c r="C66" s="270"/>
      <c r="D66" s="270"/>
      <c r="E66" s="270" t="str">
        <f t="shared" si="7"/>
        <v xml:space="preserve"> </v>
      </c>
      <c r="F66" s="270" t="str">
        <f t="shared" si="8"/>
        <v xml:space="preserve"> </v>
      </c>
      <c r="G66" s="270" t="str">
        <f t="shared" si="9"/>
        <v xml:space="preserve"> </v>
      </c>
      <c r="H66" s="270" t="str">
        <f t="shared" si="10"/>
        <v xml:space="preserve"> </v>
      </c>
      <c r="I66" s="270" t="str">
        <f t="shared" si="5"/>
        <v xml:space="preserve"> </v>
      </c>
    </row>
    <row r="67" spans="1:10" hidden="1">
      <c r="A67" s="270" t="str">
        <f t="shared" si="6"/>
        <v xml:space="preserve"> </v>
      </c>
      <c r="B67" s="270">
        <f t="shared" si="11"/>
        <v>54</v>
      </c>
      <c r="C67" s="270"/>
      <c r="D67" s="270"/>
      <c r="E67" s="270" t="str">
        <f t="shared" si="7"/>
        <v xml:space="preserve"> </v>
      </c>
      <c r="F67" s="270" t="str">
        <f t="shared" si="8"/>
        <v xml:space="preserve"> </v>
      </c>
      <c r="G67" s="270" t="str">
        <f t="shared" si="9"/>
        <v xml:space="preserve"> </v>
      </c>
      <c r="H67" s="270" t="str">
        <f t="shared" si="10"/>
        <v xml:space="preserve"> </v>
      </c>
      <c r="I67" s="270" t="str">
        <f t="shared" si="5"/>
        <v xml:space="preserve"> </v>
      </c>
    </row>
    <row r="68" spans="1:10" hidden="1">
      <c r="A68" s="270" t="str">
        <f t="shared" si="6"/>
        <v xml:space="preserve"> </v>
      </c>
      <c r="B68" s="270">
        <f t="shared" si="11"/>
        <v>55</v>
      </c>
      <c r="C68" s="270"/>
      <c r="D68" s="270"/>
      <c r="E68" s="270" t="str">
        <f t="shared" si="7"/>
        <v xml:space="preserve"> </v>
      </c>
      <c r="F68" s="270" t="str">
        <f t="shared" si="8"/>
        <v xml:space="preserve"> </v>
      </c>
      <c r="G68" s="270" t="str">
        <f t="shared" si="9"/>
        <v xml:space="preserve"> </v>
      </c>
      <c r="H68" s="270" t="str">
        <f t="shared" si="10"/>
        <v xml:space="preserve"> </v>
      </c>
      <c r="I68" s="270" t="str">
        <f t="shared" si="5"/>
        <v xml:space="preserve"> </v>
      </c>
    </row>
    <row r="69" spans="1:10" hidden="1">
      <c r="A69" s="270" t="str">
        <f t="shared" si="6"/>
        <v xml:space="preserve"> </v>
      </c>
      <c r="B69" s="270">
        <f t="shared" si="11"/>
        <v>56</v>
      </c>
      <c r="C69" s="270"/>
      <c r="D69" s="270"/>
      <c r="E69" s="270" t="str">
        <f t="shared" si="7"/>
        <v xml:space="preserve"> </v>
      </c>
      <c r="F69" s="270" t="str">
        <f t="shared" si="8"/>
        <v xml:space="preserve"> </v>
      </c>
      <c r="G69" s="270" t="str">
        <f t="shared" si="9"/>
        <v xml:space="preserve"> </v>
      </c>
      <c r="H69" s="270" t="str">
        <f t="shared" si="10"/>
        <v xml:space="preserve"> </v>
      </c>
      <c r="I69" s="270" t="str">
        <f t="shared" si="5"/>
        <v xml:space="preserve"> </v>
      </c>
    </row>
    <row r="70" spans="1:10" hidden="1">
      <c r="A70" s="270" t="str">
        <f t="shared" si="6"/>
        <v xml:space="preserve"> </v>
      </c>
      <c r="B70" s="270">
        <f t="shared" si="11"/>
        <v>57</v>
      </c>
      <c r="C70" s="270"/>
      <c r="D70" s="270"/>
      <c r="E70" s="270" t="str">
        <f t="shared" si="7"/>
        <v xml:space="preserve"> </v>
      </c>
      <c r="F70" s="270" t="str">
        <f t="shared" si="8"/>
        <v xml:space="preserve"> </v>
      </c>
      <c r="G70" s="270" t="str">
        <f t="shared" si="9"/>
        <v xml:space="preserve"> </v>
      </c>
      <c r="H70" s="270" t="str">
        <f t="shared" si="10"/>
        <v xml:space="preserve"> </v>
      </c>
      <c r="I70" s="270" t="str">
        <f t="shared" si="5"/>
        <v xml:space="preserve"> </v>
      </c>
    </row>
    <row r="71" spans="1:10" hidden="1">
      <c r="A71" s="270" t="str">
        <f t="shared" si="6"/>
        <v xml:space="preserve"> </v>
      </c>
      <c r="B71" s="270">
        <f t="shared" si="11"/>
        <v>58</v>
      </c>
      <c r="C71" s="270"/>
      <c r="D71" s="270"/>
      <c r="E71" s="270" t="str">
        <f t="shared" si="7"/>
        <v xml:space="preserve"> </v>
      </c>
      <c r="F71" s="270" t="str">
        <f t="shared" si="8"/>
        <v xml:space="preserve"> </v>
      </c>
      <c r="G71" s="270" t="str">
        <f t="shared" si="9"/>
        <v xml:space="preserve"> </v>
      </c>
      <c r="H71" s="270" t="str">
        <f t="shared" si="10"/>
        <v xml:space="preserve"> </v>
      </c>
      <c r="I71" s="270" t="str">
        <f t="shared" si="5"/>
        <v xml:space="preserve"> </v>
      </c>
    </row>
    <row r="72" spans="1:10" hidden="1">
      <c r="A72" s="270" t="str">
        <f t="shared" si="6"/>
        <v xml:space="preserve"> </v>
      </c>
      <c r="B72" s="270">
        <f t="shared" si="11"/>
        <v>59</v>
      </c>
      <c r="C72" s="270"/>
      <c r="D72" s="270"/>
      <c r="E72" s="270" t="str">
        <f t="shared" si="7"/>
        <v xml:space="preserve"> </v>
      </c>
      <c r="F72" s="270" t="str">
        <f t="shared" si="8"/>
        <v xml:space="preserve"> </v>
      </c>
      <c r="G72" s="270" t="str">
        <f t="shared" si="9"/>
        <v xml:space="preserve"> </v>
      </c>
      <c r="H72" s="270" t="str">
        <f t="shared" si="10"/>
        <v xml:space="preserve"> </v>
      </c>
      <c r="I72" s="270" t="str">
        <f t="shared" si="5"/>
        <v xml:space="preserve"> </v>
      </c>
    </row>
    <row r="73" spans="1:10" hidden="1">
      <c r="A73" s="270" t="str">
        <f t="shared" si="6"/>
        <v xml:space="preserve"> </v>
      </c>
      <c r="B73" s="270">
        <f t="shared" si="11"/>
        <v>60</v>
      </c>
      <c r="C73" s="270"/>
      <c r="D73" s="270"/>
      <c r="E73" s="270" t="str">
        <f t="shared" si="7"/>
        <v xml:space="preserve"> </v>
      </c>
      <c r="F73" s="270" t="str">
        <f t="shared" si="8"/>
        <v xml:space="preserve"> </v>
      </c>
      <c r="G73" s="270" t="str">
        <f t="shared" si="9"/>
        <v xml:space="preserve"> </v>
      </c>
      <c r="H73" s="270" t="str">
        <f t="shared" si="10"/>
        <v xml:space="preserve"> </v>
      </c>
      <c r="I73" s="270" t="str">
        <f t="shared" si="5"/>
        <v xml:space="preserve"> </v>
      </c>
      <c r="J73" s="281"/>
    </row>
    <row r="74" spans="1:10" hidden="1">
      <c r="A74" s="270" t="str">
        <f t="shared" si="6"/>
        <v xml:space="preserve"> </v>
      </c>
      <c r="B74" s="270">
        <f t="shared" si="11"/>
        <v>61</v>
      </c>
      <c r="C74" s="270"/>
      <c r="D74" s="270"/>
      <c r="E74" s="270" t="str">
        <f t="shared" si="7"/>
        <v xml:space="preserve"> </v>
      </c>
      <c r="F74" s="270" t="str">
        <f t="shared" si="8"/>
        <v xml:space="preserve"> </v>
      </c>
      <c r="G74" s="270" t="str">
        <f t="shared" si="9"/>
        <v xml:space="preserve"> </v>
      </c>
      <c r="H74" s="270" t="str">
        <f t="shared" si="10"/>
        <v xml:space="preserve"> </v>
      </c>
      <c r="I74" s="270" t="str">
        <f t="shared" si="5"/>
        <v xml:space="preserve"> </v>
      </c>
    </row>
    <row r="75" spans="1:10" hidden="1">
      <c r="A75" s="270" t="str">
        <f t="shared" si="6"/>
        <v xml:space="preserve"> </v>
      </c>
      <c r="B75" s="270">
        <f t="shared" si="11"/>
        <v>62</v>
      </c>
      <c r="C75" s="270"/>
      <c r="D75" s="270"/>
      <c r="E75" s="270" t="str">
        <f t="shared" si="7"/>
        <v xml:space="preserve"> </v>
      </c>
      <c r="F75" s="270" t="str">
        <f t="shared" si="8"/>
        <v xml:space="preserve"> </v>
      </c>
      <c r="G75" s="270" t="str">
        <f t="shared" si="9"/>
        <v xml:space="preserve"> </v>
      </c>
      <c r="H75" s="270" t="str">
        <f t="shared" si="10"/>
        <v xml:space="preserve"> </v>
      </c>
      <c r="I75" s="270" t="str">
        <f t="shared" si="5"/>
        <v xml:space="preserve"> </v>
      </c>
    </row>
    <row r="76" spans="1:10" hidden="1">
      <c r="A76" s="270" t="str">
        <f t="shared" si="6"/>
        <v xml:space="preserve"> </v>
      </c>
      <c r="B76" s="270">
        <f t="shared" si="11"/>
        <v>63</v>
      </c>
      <c r="C76" s="270"/>
      <c r="D76" s="270"/>
      <c r="E76" s="270" t="str">
        <f t="shared" si="7"/>
        <v xml:space="preserve"> </v>
      </c>
      <c r="F76" s="270" t="str">
        <f t="shared" si="8"/>
        <v xml:space="preserve"> </v>
      </c>
      <c r="G76" s="270" t="str">
        <f t="shared" si="9"/>
        <v xml:space="preserve"> </v>
      </c>
      <c r="H76" s="270" t="str">
        <f t="shared" si="10"/>
        <v xml:space="preserve"> </v>
      </c>
      <c r="I76" s="270" t="str">
        <f t="shared" si="5"/>
        <v xml:space="preserve"> </v>
      </c>
    </row>
    <row r="77" spans="1:10" hidden="1">
      <c r="A77" s="270" t="str">
        <f t="shared" si="6"/>
        <v xml:space="preserve"> </v>
      </c>
      <c r="B77" s="270">
        <f t="shared" si="11"/>
        <v>64</v>
      </c>
      <c r="C77" s="270"/>
      <c r="D77" s="270"/>
      <c r="E77" s="270" t="str">
        <f t="shared" si="7"/>
        <v xml:space="preserve"> </v>
      </c>
      <c r="F77" s="270" t="str">
        <f t="shared" si="8"/>
        <v xml:space="preserve"> </v>
      </c>
      <c r="G77" s="270" t="str">
        <f t="shared" si="9"/>
        <v xml:space="preserve"> </v>
      </c>
      <c r="H77" s="270" t="str">
        <f t="shared" si="10"/>
        <v xml:space="preserve"> </v>
      </c>
      <c r="I77" s="270" t="str">
        <f t="shared" si="5"/>
        <v xml:space="preserve"> </v>
      </c>
    </row>
    <row r="78" spans="1:10" hidden="1">
      <c r="A78" s="270" t="str">
        <f t="shared" si="6"/>
        <v xml:space="preserve"> </v>
      </c>
      <c r="B78" s="270">
        <f t="shared" si="11"/>
        <v>65</v>
      </c>
      <c r="C78" s="270"/>
      <c r="D78" s="270"/>
      <c r="E78" s="270" t="str">
        <f t="shared" si="7"/>
        <v xml:space="preserve"> </v>
      </c>
      <c r="F78" s="270" t="str">
        <f t="shared" si="8"/>
        <v xml:space="preserve"> </v>
      </c>
      <c r="G78" s="270" t="str">
        <f t="shared" si="9"/>
        <v xml:space="preserve"> </v>
      </c>
      <c r="H78" s="270" t="str">
        <f t="shared" si="10"/>
        <v xml:space="preserve"> </v>
      </c>
      <c r="I78" s="270" t="str">
        <f t="shared" si="5"/>
        <v xml:space="preserve"> </v>
      </c>
    </row>
    <row r="79" spans="1:10" hidden="1">
      <c r="A79" s="270" t="str">
        <f t="shared" si="6"/>
        <v xml:space="preserve"> </v>
      </c>
      <c r="B79" s="270">
        <f t="shared" si="11"/>
        <v>66</v>
      </c>
      <c r="C79" s="270"/>
      <c r="D79" s="270"/>
      <c r="E79" s="270" t="str">
        <f t="shared" si="7"/>
        <v xml:space="preserve"> </v>
      </c>
      <c r="F79" s="270" t="str">
        <f t="shared" si="8"/>
        <v xml:space="preserve"> </v>
      </c>
      <c r="G79" s="270" t="str">
        <f t="shared" si="9"/>
        <v xml:space="preserve"> </v>
      </c>
      <c r="H79" s="270" t="str">
        <f t="shared" si="10"/>
        <v xml:space="preserve"> </v>
      </c>
      <c r="I79" s="270" t="str">
        <f t="shared" ref="I79:I109" si="12">IF(A78=" "," ",IF(A78+1&gt;$D$8," ",E79-H79))</f>
        <v xml:space="preserve"> </v>
      </c>
    </row>
    <row r="80" spans="1:10" hidden="1">
      <c r="A80" s="270" t="str">
        <f t="shared" si="6"/>
        <v xml:space="preserve"> </v>
      </c>
      <c r="B80" s="270">
        <f t="shared" si="11"/>
        <v>67</v>
      </c>
      <c r="C80" s="270"/>
      <c r="D80" s="270"/>
      <c r="E80" s="270" t="str">
        <f t="shared" si="7"/>
        <v xml:space="preserve"> </v>
      </c>
      <c r="F80" s="270" t="str">
        <f t="shared" si="8"/>
        <v xml:space="preserve"> </v>
      </c>
      <c r="G80" s="270" t="str">
        <f t="shared" si="9"/>
        <v xml:space="preserve"> </v>
      </c>
      <c r="H80" s="270" t="str">
        <f t="shared" si="10"/>
        <v xml:space="preserve"> </v>
      </c>
      <c r="I80" s="270" t="str">
        <f t="shared" si="12"/>
        <v xml:space="preserve"> </v>
      </c>
    </row>
    <row r="81" spans="1:9" hidden="1">
      <c r="A81" s="270" t="str">
        <f t="shared" si="6"/>
        <v xml:space="preserve"> </v>
      </c>
      <c r="B81" s="270">
        <f t="shared" si="11"/>
        <v>68</v>
      </c>
      <c r="C81" s="270"/>
      <c r="D81" s="270"/>
      <c r="E81" s="270" t="str">
        <f t="shared" si="7"/>
        <v xml:space="preserve"> </v>
      </c>
      <c r="F81" s="270" t="str">
        <f t="shared" si="8"/>
        <v xml:space="preserve"> </v>
      </c>
      <c r="G81" s="270" t="str">
        <f t="shared" si="9"/>
        <v xml:space="preserve"> </v>
      </c>
      <c r="H81" s="270" t="str">
        <f t="shared" si="10"/>
        <v xml:space="preserve"> </v>
      </c>
      <c r="I81" s="270" t="str">
        <f t="shared" si="12"/>
        <v xml:space="preserve"> </v>
      </c>
    </row>
    <row r="82" spans="1:9" hidden="1">
      <c r="A82" s="270" t="str">
        <f t="shared" si="6"/>
        <v xml:space="preserve"> </v>
      </c>
      <c r="B82" s="270">
        <f t="shared" si="11"/>
        <v>69</v>
      </c>
      <c r="C82" s="270"/>
      <c r="D82" s="270"/>
      <c r="E82" s="270" t="str">
        <f t="shared" si="7"/>
        <v xml:space="preserve"> </v>
      </c>
      <c r="F82" s="270" t="str">
        <f t="shared" si="8"/>
        <v xml:space="preserve"> </v>
      </c>
      <c r="G82" s="270" t="str">
        <f t="shared" si="9"/>
        <v xml:space="preserve"> </v>
      </c>
      <c r="H82" s="270" t="str">
        <f t="shared" si="10"/>
        <v xml:space="preserve"> </v>
      </c>
      <c r="I82" s="270" t="str">
        <f t="shared" si="12"/>
        <v xml:space="preserve"> </v>
      </c>
    </row>
    <row r="83" spans="1:9" hidden="1">
      <c r="A83" s="270" t="str">
        <f t="shared" si="6"/>
        <v xml:space="preserve"> </v>
      </c>
      <c r="B83" s="270">
        <f t="shared" si="11"/>
        <v>70</v>
      </c>
      <c r="C83" s="270"/>
      <c r="D83" s="270"/>
      <c r="E83" s="270" t="str">
        <f t="shared" si="7"/>
        <v xml:space="preserve"> </v>
      </c>
      <c r="F83" s="270" t="str">
        <f t="shared" si="8"/>
        <v xml:space="preserve"> </v>
      </c>
      <c r="G83" s="270" t="str">
        <f t="shared" si="9"/>
        <v xml:space="preserve"> </v>
      </c>
      <c r="H83" s="270" t="str">
        <f t="shared" si="10"/>
        <v xml:space="preserve"> </v>
      </c>
      <c r="I83" s="270" t="str">
        <f t="shared" si="12"/>
        <v xml:space="preserve"> </v>
      </c>
    </row>
    <row r="84" spans="1:9" hidden="1">
      <c r="A84" s="270" t="str">
        <f t="shared" si="6"/>
        <v xml:space="preserve"> </v>
      </c>
      <c r="B84" s="270">
        <f t="shared" si="11"/>
        <v>71</v>
      </c>
      <c r="C84" s="270"/>
      <c r="D84" s="270"/>
      <c r="E84" s="270" t="str">
        <f t="shared" si="7"/>
        <v xml:space="preserve"> </v>
      </c>
      <c r="F84" s="270" t="str">
        <f t="shared" si="8"/>
        <v xml:space="preserve"> </v>
      </c>
      <c r="G84" s="270" t="str">
        <f t="shared" si="9"/>
        <v xml:space="preserve"> </v>
      </c>
      <c r="H84" s="270" t="str">
        <f t="shared" si="10"/>
        <v xml:space="preserve"> </v>
      </c>
      <c r="I84" s="270" t="str">
        <f t="shared" si="12"/>
        <v xml:space="preserve"> </v>
      </c>
    </row>
    <row r="85" spans="1:9" hidden="1">
      <c r="A85" s="270" t="str">
        <f t="shared" ref="A85:A109" si="13">IF(A84=" "," ",IF(A84+1&gt;$D$8," ",A84+1))</f>
        <v xml:space="preserve"> </v>
      </c>
      <c r="B85" s="270">
        <f t="shared" si="11"/>
        <v>72</v>
      </c>
      <c r="C85" s="270"/>
      <c r="D85" s="270"/>
      <c r="E85" s="270" t="str">
        <f t="shared" ref="E85:E109" si="14">IF(A84=" "," ",IF(A84+1&gt;$D$8," ",I84))</f>
        <v xml:space="preserve"> </v>
      </c>
      <c r="F85" s="270" t="str">
        <f t="shared" ref="F85:F109" si="15">IF(A84=" "," ",IF(A84+1&gt;$D$8," ",F84))</f>
        <v xml:space="preserve"> </v>
      </c>
      <c r="G85" s="270" t="str">
        <f t="shared" ref="G85:G109" si="16">IF(A84=" "," ",IF(A84+1&gt;$D$8," ",E85*$E$8))</f>
        <v xml:space="preserve"> </v>
      </c>
      <c r="H85" s="270" t="str">
        <f t="shared" ref="H85:H109" si="17">IF(A84=" "," ",IF(A84+1&gt;$D$8," ",F85-G85))</f>
        <v xml:space="preserve"> </v>
      </c>
      <c r="I85" s="270" t="str">
        <f t="shared" si="12"/>
        <v xml:space="preserve"> </v>
      </c>
    </row>
    <row r="86" spans="1:9" hidden="1">
      <c r="A86" s="270" t="str">
        <f t="shared" si="13"/>
        <v xml:space="preserve"> </v>
      </c>
      <c r="B86" s="270">
        <f t="shared" si="11"/>
        <v>73</v>
      </c>
      <c r="C86" s="270"/>
      <c r="D86" s="270"/>
      <c r="E86" s="270" t="str">
        <f t="shared" si="14"/>
        <v xml:space="preserve"> </v>
      </c>
      <c r="F86" s="270" t="str">
        <f t="shared" si="15"/>
        <v xml:space="preserve"> </v>
      </c>
      <c r="G86" s="270" t="str">
        <f t="shared" si="16"/>
        <v xml:space="preserve"> </v>
      </c>
      <c r="H86" s="270" t="str">
        <f t="shared" si="17"/>
        <v xml:space="preserve"> </v>
      </c>
      <c r="I86" s="270" t="str">
        <f t="shared" si="12"/>
        <v xml:space="preserve"> </v>
      </c>
    </row>
    <row r="87" spans="1:9" hidden="1">
      <c r="A87" s="270" t="str">
        <f t="shared" si="13"/>
        <v xml:space="preserve"> </v>
      </c>
      <c r="B87" s="270">
        <f t="shared" si="11"/>
        <v>74</v>
      </c>
      <c r="C87" s="270"/>
      <c r="D87" s="270"/>
      <c r="E87" s="270" t="str">
        <f t="shared" si="14"/>
        <v xml:space="preserve"> </v>
      </c>
      <c r="F87" s="270" t="str">
        <f t="shared" si="15"/>
        <v xml:space="preserve"> </v>
      </c>
      <c r="G87" s="270" t="str">
        <f t="shared" si="16"/>
        <v xml:space="preserve"> </v>
      </c>
      <c r="H87" s="270" t="str">
        <f t="shared" si="17"/>
        <v xml:space="preserve"> </v>
      </c>
      <c r="I87" s="270" t="str">
        <f t="shared" si="12"/>
        <v xml:space="preserve"> </v>
      </c>
    </row>
    <row r="88" spans="1:9" hidden="1">
      <c r="A88" s="270" t="str">
        <f t="shared" si="13"/>
        <v xml:space="preserve"> </v>
      </c>
      <c r="B88" s="270">
        <f t="shared" si="11"/>
        <v>75</v>
      </c>
      <c r="C88" s="270"/>
      <c r="D88" s="270"/>
      <c r="E88" s="270" t="str">
        <f t="shared" si="14"/>
        <v xml:space="preserve"> </v>
      </c>
      <c r="F88" s="270" t="str">
        <f t="shared" si="15"/>
        <v xml:space="preserve"> </v>
      </c>
      <c r="G88" s="270" t="str">
        <f t="shared" si="16"/>
        <v xml:space="preserve"> </v>
      </c>
      <c r="H88" s="270" t="str">
        <f t="shared" si="17"/>
        <v xml:space="preserve"> </v>
      </c>
      <c r="I88" s="270" t="str">
        <f t="shared" si="12"/>
        <v xml:space="preserve"> </v>
      </c>
    </row>
    <row r="89" spans="1:9" hidden="1">
      <c r="A89" s="270" t="str">
        <f t="shared" si="13"/>
        <v xml:space="preserve"> </v>
      </c>
      <c r="B89" s="270">
        <f t="shared" si="11"/>
        <v>76</v>
      </c>
      <c r="C89" s="270"/>
      <c r="D89" s="270"/>
      <c r="E89" s="270" t="str">
        <f t="shared" si="14"/>
        <v xml:space="preserve"> </v>
      </c>
      <c r="F89" s="270" t="str">
        <f t="shared" si="15"/>
        <v xml:space="preserve"> </v>
      </c>
      <c r="G89" s="270" t="str">
        <f t="shared" si="16"/>
        <v xml:space="preserve"> </v>
      </c>
      <c r="H89" s="270" t="str">
        <f t="shared" si="17"/>
        <v xml:space="preserve"> </v>
      </c>
      <c r="I89" s="270" t="str">
        <f t="shared" si="12"/>
        <v xml:space="preserve"> </v>
      </c>
    </row>
    <row r="90" spans="1:9" hidden="1">
      <c r="A90" s="270" t="str">
        <f t="shared" si="13"/>
        <v xml:space="preserve"> </v>
      </c>
      <c r="B90" s="270">
        <f t="shared" si="11"/>
        <v>77</v>
      </c>
      <c r="C90" s="270"/>
      <c r="D90" s="270"/>
      <c r="E90" s="270" t="str">
        <f t="shared" si="14"/>
        <v xml:space="preserve"> </v>
      </c>
      <c r="F90" s="270" t="str">
        <f t="shared" si="15"/>
        <v xml:space="preserve"> </v>
      </c>
      <c r="G90" s="270" t="str">
        <f t="shared" si="16"/>
        <v xml:space="preserve"> </v>
      </c>
      <c r="H90" s="270" t="str">
        <f t="shared" si="17"/>
        <v xml:space="preserve"> </v>
      </c>
      <c r="I90" s="270" t="str">
        <f t="shared" si="12"/>
        <v xml:space="preserve"> </v>
      </c>
    </row>
    <row r="91" spans="1:9" hidden="1">
      <c r="A91" s="270" t="str">
        <f t="shared" si="13"/>
        <v xml:space="preserve"> </v>
      </c>
      <c r="B91" s="270">
        <f t="shared" si="11"/>
        <v>78</v>
      </c>
      <c r="C91" s="270"/>
      <c r="D91" s="270"/>
      <c r="E91" s="270" t="str">
        <f t="shared" si="14"/>
        <v xml:space="preserve"> </v>
      </c>
      <c r="F91" s="270" t="str">
        <f t="shared" si="15"/>
        <v xml:space="preserve"> </v>
      </c>
      <c r="G91" s="270" t="str">
        <f t="shared" si="16"/>
        <v xml:space="preserve"> </v>
      </c>
      <c r="H91" s="270" t="str">
        <f t="shared" si="17"/>
        <v xml:space="preserve"> </v>
      </c>
      <c r="I91" s="270" t="str">
        <f t="shared" si="12"/>
        <v xml:space="preserve"> </v>
      </c>
    </row>
    <row r="92" spans="1:9" hidden="1">
      <c r="A92" s="270" t="str">
        <f t="shared" si="13"/>
        <v xml:space="preserve"> </v>
      </c>
      <c r="B92" s="270">
        <f t="shared" si="11"/>
        <v>79</v>
      </c>
      <c r="C92" s="270"/>
      <c r="D92" s="270"/>
      <c r="E92" s="270" t="str">
        <f t="shared" si="14"/>
        <v xml:space="preserve"> </v>
      </c>
      <c r="F92" s="270" t="str">
        <f t="shared" si="15"/>
        <v xml:space="preserve"> </v>
      </c>
      <c r="G92" s="270" t="str">
        <f t="shared" si="16"/>
        <v xml:space="preserve"> </v>
      </c>
      <c r="H92" s="270" t="str">
        <f t="shared" si="17"/>
        <v xml:space="preserve"> </v>
      </c>
      <c r="I92" s="270" t="str">
        <f t="shared" si="12"/>
        <v xml:space="preserve"> </v>
      </c>
    </row>
    <row r="93" spans="1:9" hidden="1">
      <c r="A93" s="270" t="str">
        <f t="shared" si="13"/>
        <v xml:space="preserve"> </v>
      </c>
      <c r="B93" s="270">
        <f t="shared" si="11"/>
        <v>80</v>
      </c>
      <c r="C93" s="270"/>
      <c r="D93" s="270"/>
      <c r="E93" s="270" t="str">
        <f t="shared" si="14"/>
        <v xml:space="preserve"> </v>
      </c>
      <c r="F93" s="270" t="str">
        <f t="shared" si="15"/>
        <v xml:space="preserve"> </v>
      </c>
      <c r="G93" s="270" t="str">
        <f t="shared" si="16"/>
        <v xml:space="preserve"> </v>
      </c>
      <c r="H93" s="270" t="str">
        <f t="shared" si="17"/>
        <v xml:space="preserve"> </v>
      </c>
      <c r="I93" s="270" t="str">
        <f t="shared" si="12"/>
        <v xml:space="preserve"> </v>
      </c>
    </row>
    <row r="94" spans="1:9" hidden="1">
      <c r="A94" s="270" t="str">
        <f t="shared" si="13"/>
        <v xml:space="preserve"> </v>
      </c>
      <c r="B94" s="270">
        <f t="shared" si="11"/>
        <v>81</v>
      </c>
      <c r="C94" s="270"/>
      <c r="D94" s="270"/>
      <c r="E94" s="270" t="str">
        <f t="shared" si="14"/>
        <v xml:space="preserve"> </v>
      </c>
      <c r="F94" s="270" t="str">
        <f t="shared" si="15"/>
        <v xml:space="preserve"> </v>
      </c>
      <c r="G94" s="270" t="str">
        <f t="shared" si="16"/>
        <v xml:space="preserve"> </v>
      </c>
      <c r="H94" s="270" t="str">
        <f t="shared" si="17"/>
        <v xml:space="preserve"> </v>
      </c>
      <c r="I94" s="270" t="str">
        <f t="shared" si="12"/>
        <v xml:space="preserve"> </v>
      </c>
    </row>
    <row r="95" spans="1:9" hidden="1">
      <c r="A95" s="270" t="str">
        <f t="shared" si="13"/>
        <v xml:space="preserve"> </v>
      </c>
      <c r="B95" s="270">
        <f t="shared" si="11"/>
        <v>82</v>
      </c>
      <c r="C95" s="270"/>
      <c r="D95" s="270"/>
      <c r="E95" s="270" t="str">
        <f t="shared" si="14"/>
        <v xml:space="preserve"> </v>
      </c>
      <c r="F95" s="270" t="str">
        <f t="shared" si="15"/>
        <v xml:space="preserve"> </v>
      </c>
      <c r="G95" s="270" t="str">
        <f t="shared" si="16"/>
        <v xml:space="preserve"> </v>
      </c>
      <c r="H95" s="270" t="str">
        <f t="shared" si="17"/>
        <v xml:space="preserve"> </v>
      </c>
      <c r="I95" s="270" t="str">
        <f t="shared" si="12"/>
        <v xml:space="preserve"> </v>
      </c>
    </row>
    <row r="96" spans="1:9" hidden="1">
      <c r="A96" s="270" t="str">
        <f t="shared" si="13"/>
        <v xml:space="preserve"> </v>
      </c>
      <c r="B96" s="270">
        <f t="shared" si="11"/>
        <v>83</v>
      </c>
      <c r="C96" s="270"/>
      <c r="D96" s="270"/>
      <c r="E96" s="270" t="str">
        <f t="shared" si="14"/>
        <v xml:space="preserve"> </v>
      </c>
      <c r="F96" s="270" t="str">
        <f t="shared" si="15"/>
        <v xml:space="preserve"> </v>
      </c>
      <c r="G96" s="270" t="str">
        <f t="shared" si="16"/>
        <v xml:space="preserve"> </v>
      </c>
      <c r="H96" s="270" t="str">
        <f t="shared" si="17"/>
        <v xml:space="preserve"> </v>
      </c>
      <c r="I96" s="270" t="str">
        <f t="shared" si="12"/>
        <v xml:space="preserve"> </v>
      </c>
    </row>
    <row r="97" spans="1:9" hidden="1">
      <c r="A97" s="270" t="str">
        <f t="shared" si="13"/>
        <v xml:space="preserve"> </v>
      </c>
      <c r="B97" s="270">
        <f t="shared" si="11"/>
        <v>84</v>
      </c>
      <c r="C97" s="270"/>
      <c r="D97" s="270"/>
      <c r="E97" s="270" t="str">
        <f t="shared" si="14"/>
        <v xml:space="preserve"> </v>
      </c>
      <c r="F97" s="270" t="str">
        <f t="shared" si="15"/>
        <v xml:space="preserve"> </v>
      </c>
      <c r="G97" s="270" t="str">
        <f t="shared" si="16"/>
        <v xml:space="preserve"> </v>
      </c>
      <c r="H97" s="270" t="str">
        <f t="shared" si="17"/>
        <v xml:space="preserve"> </v>
      </c>
      <c r="I97" s="270" t="str">
        <f t="shared" si="12"/>
        <v xml:space="preserve"> </v>
      </c>
    </row>
    <row r="98" spans="1:9" hidden="1">
      <c r="A98" s="270" t="str">
        <f t="shared" si="13"/>
        <v xml:space="preserve"> </v>
      </c>
      <c r="B98" s="270">
        <f t="shared" si="11"/>
        <v>85</v>
      </c>
      <c r="C98" s="270"/>
      <c r="D98" s="270"/>
      <c r="E98" s="270" t="str">
        <f t="shared" si="14"/>
        <v xml:space="preserve"> </v>
      </c>
      <c r="F98" s="270" t="str">
        <f t="shared" si="15"/>
        <v xml:space="preserve"> </v>
      </c>
      <c r="G98" s="270" t="str">
        <f t="shared" si="16"/>
        <v xml:space="preserve"> </v>
      </c>
      <c r="H98" s="270" t="str">
        <f t="shared" si="17"/>
        <v xml:space="preserve"> </v>
      </c>
      <c r="I98" s="270" t="str">
        <f t="shared" si="12"/>
        <v xml:space="preserve"> </v>
      </c>
    </row>
    <row r="99" spans="1:9" hidden="1">
      <c r="A99" s="270" t="str">
        <f t="shared" si="13"/>
        <v xml:space="preserve"> </v>
      </c>
      <c r="B99" s="270">
        <f t="shared" si="11"/>
        <v>86</v>
      </c>
      <c r="C99" s="270"/>
      <c r="D99" s="270"/>
      <c r="E99" s="270" t="str">
        <f t="shared" si="14"/>
        <v xml:space="preserve"> </v>
      </c>
      <c r="F99" s="270" t="str">
        <f t="shared" si="15"/>
        <v xml:space="preserve"> </v>
      </c>
      <c r="G99" s="270" t="str">
        <f t="shared" si="16"/>
        <v xml:space="preserve"> </v>
      </c>
      <c r="H99" s="270" t="str">
        <f t="shared" si="17"/>
        <v xml:space="preserve"> </v>
      </c>
      <c r="I99" s="270" t="str">
        <f t="shared" si="12"/>
        <v xml:space="preserve"> </v>
      </c>
    </row>
    <row r="100" spans="1:9" hidden="1">
      <c r="A100" s="270" t="str">
        <f t="shared" si="13"/>
        <v xml:space="preserve"> </v>
      </c>
      <c r="B100" s="270">
        <f t="shared" si="11"/>
        <v>87</v>
      </c>
      <c r="C100" s="270"/>
      <c r="D100" s="270"/>
      <c r="E100" s="270" t="str">
        <f t="shared" si="14"/>
        <v xml:space="preserve"> </v>
      </c>
      <c r="F100" s="270" t="str">
        <f t="shared" si="15"/>
        <v xml:space="preserve"> </v>
      </c>
      <c r="G100" s="270" t="str">
        <f t="shared" si="16"/>
        <v xml:space="preserve"> </v>
      </c>
      <c r="H100" s="270" t="str">
        <f t="shared" si="17"/>
        <v xml:space="preserve"> </v>
      </c>
      <c r="I100" s="270" t="str">
        <f t="shared" si="12"/>
        <v xml:space="preserve"> </v>
      </c>
    </row>
    <row r="101" spans="1:9" hidden="1">
      <c r="A101" s="270" t="str">
        <f t="shared" si="13"/>
        <v xml:space="preserve"> </v>
      </c>
      <c r="B101" s="270">
        <f t="shared" si="11"/>
        <v>88</v>
      </c>
      <c r="C101" s="270"/>
      <c r="D101" s="270"/>
      <c r="E101" s="270" t="str">
        <f t="shared" si="14"/>
        <v xml:space="preserve"> </v>
      </c>
      <c r="F101" s="270" t="str">
        <f t="shared" si="15"/>
        <v xml:space="preserve"> </v>
      </c>
      <c r="G101" s="270" t="str">
        <f t="shared" si="16"/>
        <v xml:space="preserve"> </v>
      </c>
      <c r="H101" s="270" t="str">
        <f t="shared" si="17"/>
        <v xml:space="preserve"> </v>
      </c>
      <c r="I101" s="270" t="str">
        <f t="shared" si="12"/>
        <v xml:space="preserve"> </v>
      </c>
    </row>
    <row r="102" spans="1:9" hidden="1">
      <c r="A102" s="270" t="str">
        <f t="shared" si="13"/>
        <v xml:space="preserve"> </v>
      </c>
      <c r="B102" s="270">
        <f t="shared" si="11"/>
        <v>89</v>
      </c>
      <c r="C102" s="270"/>
      <c r="D102" s="270"/>
      <c r="E102" s="270" t="str">
        <f t="shared" si="14"/>
        <v xml:space="preserve"> </v>
      </c>
      <c r="F102" s="270" t="str">
        <f t="shared" si="15"/>
        <v xml:space="preserve"> </v>
      </c>
      <c r="G102" s="270" t="str">
        <f t="shared" si="16"/>
        <v xml:space="preserve"> </v>
      </c>
      <c r="H102" s="270" t="str">
        <f t="shared" si="17"/>
        <v xml:space="preserve"> </v>
      </c>
      <c r="I102" s="270" t="str">
        <f t="shared" si="12"/>
        <v xml:space="preserve"> </v>
      </c>
    </row>
    <row r="103" spans="1:9" hidden="1">
      <c r="A103" s="270" t="str">
        <f t="shared" si="13"/>
        <v xml:space="preserve"> </v>
      </c>
      <c r="B103" s="270">
        <f t="shared" si="11"/>
        <v>90</v>
      </c>
      <c r="C103" s="270"/>
      <c r="D103" s="270"/>
      <c r="E103" s="270" t="str">
        <f t="shared" si="14"/>
        <v xml:space="preserve"> </v>
      </c>
      <c r="F103" s="270" t="str">
        <f t="shared" si="15"/>
        <v xml:space="preserve"> </v>
      </c>
      <c r="G103" s="270" t="str">
        <f t="shared" si="16"/>
        <v xml:space="preserve"> </v>
      </c>
      <c r="H103" s="270" t="str">
        <f t="shared" si="17"/>
        <v xml:space="preserve"> </v>
      </c>
      <c r="I103" s="270" t="str">
        <f t="shared" si="12"/>
        <v xml:space="preserve"> </v>
      </c>
    </row>
    <row r="104" spans="1:9" hidden="1">
      <c r="A104" s="270" t="str">
        <f t="shared" si="13"/>
        <v xml:space="preserve"> </v>
      </c>
      <c r="B104" s="270">
        <f t="shared" si="11"/>
        <v>91</v>
      </c>
      <c r="C104" s="270"/>
      <c r="D104" s="270"/>
      <c r="E104" s="270" t="str">
        <f t="shared" si="14"/>
        <v xml:space="preserve"> </v>
      </c>
      <c r="F104" s="270" t="str">
        <f t="shared" si="15"/>
        <v xml:space="preserve"> </v>
      </c>
      <c r="G104" s="270" t="str">
        <f t="shared" si="16"/>
        <v xml:space="preserve"> </v>
      </c>
      <c r="H104" s="270" t="str">
        <f t="shared" si="17"/>
        <v xml:space="preserve"> </v>
      </c>
      <c r="I104" s="270" t="str">
        <f t="shared" si="12"/>
        <v xml:space="preserve"> </v>
      </c>
    </row>
    <row r="105" spans="1:9" hidden="1">
      <c r="A105" s="270" t="str">
        <f t="shared" si="13"/>
        <v xml:space="preserve"> </v>
      </c>
      <c r="B105" s="270">
        <f t="shared" si="11"/>
        <v>92</v>
      </c>
      <c r="C105" s="270"/>
      <c r="D105" s="270"/>
      <c r="E105" s="270" t="str">
        <f t="shared" si="14"/>
        <v xml:space="preserve"> </v>
      </c>
      <c r="F105" s="270" t="str">
        <f t="shared" si="15"/>
        <v xml:space="preserve"> </v>
      </c>
      <c r="G105" s="270" t="str">
        <f t="shared" si="16"/>
        <v xml:space="preserve"> </v>
      </c>
      <c r="H105" s="270" t="str">
        <f t="shared" si="17"/>
        <v xml:space="preserve"> </v>
      </c>
      <c r="I105" s="270" t="str">
        <f t="shared" si="12"/>
        <v xml:space="preserve"> </v>
      </c>
    </row>
    <row r="106" spans="1:9" hidden="1">
      <c r="A106" s="270" t="str">
        <f t="shared" si="13"/>
        <v xml:space="preserve"> </v>
      </c>
      <c r="B106" s="270">
        <f t="shared" si="11"/>
        <v>93</v>
      </c>
      <c r="C106" s="270"/>
      <c r="D106" s="270"/>
      <c r="E106" s="270" t="str">
        <f t="shared" si="14"/>
        <v xml:space="preserve"> </v>
      </c>
      <c r="F106" s="270" t="str">
        <f t="shared" si="15"/>
        <v xml:space="preserve"> </v>
      </c>
      <c r="G106" s="270" t="str">
        <f t="shared" si="16"/>
        <v xml:space="preserve"> </v>
      </c>
      <c r="H106" s="270" t="str">
        <f t="shared" si="17"/>
        <v xml:space="preserve"> </v>
      </c>
      <c r="I106" s="270" t="str">
        <f t="shared" si="12"/>
        <v xml:space="preserve"> </v>
      </c>
    </row>
    <row r="107" spans="1:9" hidden="1">
      <c r="A107" s="270" t="str">
        <f t="shared" si="13"/>
        <v xml:space="preserve"> </v>
      </c>
      <c r="B107" s="270">
        <f t="shared" si="11"/>
        <v>94</v>
      </c>
      <c r="C107" s="270"/>
      <c r="D107" s="270"/>
      <c r="E107" s="270" t="str">
        <f t="shared" si="14"/>
        <v xml:space="preserve"> </v>
      </c>
      <c r="F107" s="270" t="str">
        <f t="shared" si="15"/>
        <v xml:space="preserve"> </v>
      </c>
      <c r="G107" s="270" t="str">
        <f t="shared" si="16"/>
        <v xml:space="preserve"> </v>
      </c>
      <c r="H107" s="270" t="str">
        <f t="shared" si="17"/>
        <v xml:space="preserve"> </v>
      </c>
      <c r="I107" s="270" t="str">
        <f t="shared" si="12"/>
        <v xml:space="preserve"> </v>
      </c>
    </row>
    <row r="108" spans="1:9" hidden="1">
      <c r="A108" s="270" t="str">
        <f t="shared" si="13"/>
        <v xml:space="preserve"> </v>
      </c>
      <c r="B108" s="270">
        <f t="shared" si="11"/>
        <v>95</v>
      </c>
      <c r="C108" s="270"/>
      <c r="D108" s="270"/>
      <c r="E108" s="270" t="str">
        <f t="shared" si="14"/>
        <v xml:space="preserve"> </v>
      </c>
      <c r="F108" s="270" t="str">
        <f t="shared" si="15"/>
        <v xml:space="preserve"> </v>
      </c>
      <c r="G108" s="270" t="str">
        <f t="shared" si="16"/>
        <v xml:space="preserve"> </v>
      </c>
      <c r="H108" s="270" t="str">
        <f t="shared" si="17"/>
        <v xml:space="preserve"> </v>
      </c>
      <c r="I108" s="270" t="str">
        <f t="shared" si="12"/>
        <v xml:space="preserve"> </v>
      </c>
    </row>
    <row r="109" spans="1:9" hidden="1">
      <c r="A109" s="270" t="str">
        <f t="shared" si="13"/>
        <v xml:space="preserve"> </v>
      </c>
      <c r="B109" s="270">
        <f t="shared" si="11"/>
        <v>96</v>
      </c>
      <c r="C109" s="270"/>
      <c r="D109" s="270"/>
      <c r="E109" s="270" t="str">
        <f t="shared" si="14"/>
        <v xml:space="preserve"> </v>
      </c>
      <c r="F109" s="270" t="str">
        <f t="shared" si="15"/>
        <v xml:space="preserve"> </v>
      </c>
      <c r="G109" s="270" t="str">
        <f t="shared" si="16"/>
        <v xml:space="preserve"> </v>
      </c>
      <c r="H109" s="270" t="str">
        <f t="shared" si="17"/>
        <v xml:space="preserve"> </v>
      </c>
      <c r="I109" s="270" t="str">
        <f t="shared" si="12"/>
        <v xml:space="preserve"> </v>
      </c>
    </row>
    <row r="110" spans="1:9" s="249" customFormat="1">
      <c r="A110" s="282"/>
      <c r="B110" s="1156" t="s">
        <v>896</v>
      </c>
      <c r="C110" s="1157"/>
      <c r="D110" s="1157"/>
      <c r="E110" s="1158"/>
      <c r="F110" s="282">
        <f>+SUM(F14:F109)</f>
        <v>5515551277.4647617</v>
      </c>
      <c r="G110" s="282">
        <f>+SUM(G14:G109)</f>
        <v>1515551277.4647515</v>
      </c>
      <c r="H110" s="282">
        <f>+SUM(H14:H109)</f>
        <v>4000000000.000011</v>
      </c>
      <c r="I110" s="282"/>
    </row>
    <row r="112" spans="1:9">
      <c r="F112" s="281"/>
      <c r="G112" s="572"/>
      <c r="H112" s="281"/>
    </row>
    <row r="117" spans="9:9">
      <c r="I117" s="281"/>
    </row>
  </sheetData>
  <mergeCells count="1">
    <mergeCell ref="B110:E110"/>
  </mergeCells>
  <printOptions horizontalCentered="1"/>
  <pageMargins left="0.78740157480314965" right="0.78740157480314965" top="0.98425196850393704" bottom="0.98425196850393704" header="0.51181102362204722" footer="0.51181102362204722"/>
  <pageSetup paperSize="9" scale="64"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Feuil40"/>
  <dimension ref="B1:P22"/>
  <sheetViews>
    <sheetView workbookViewId="0">
      <selection activeCell="H27" sqref="H27"/>
    </sheetView>
  </sheetViews>
  <sheetFormatPr baseColWidth="10" defaultRowHeight="12.75"/>
  <cols>
    <col min="1" max="1" width="2.85546875" style="143" customWidth="1"/>
    <col min="2" max="2" width="12.7109375" style="143" bestFit="1" customWidth="1"/>
    <col min="3" max="14" width="12.140625" style="143" bestFit="1" customWidth="1"/>
    <col min="15" max="15" width="13.42578125" style="143" bestFit="1" customWidth="1"/>
    <col min="16" max="16384" width="11.42578125" style="143"/>
  </cols>
  <sheetData>
    <row r="1" spans="2:16" ht="13.5" thickBot="1"/>
    <row r="2" spans="2:16">
      <c r="B2" s="835" t="s">
        <v>898</v>
      </c>
      <c r="C2" s="837" t="s">
        <v>614</v>
      </c>
      <c r="D2" s="837" t="s">
        <v>615</v>
      </c>
      <c r="E2" s="837" t="s">
        <v>616</v>
      </c>
      <c r="F2" s="837" t="s">
        <v>617</v>
      </c>
      <c r="G2" s="837" t="s">
        <v>618</v>
      </c>
      <c r="H2" s="837" t="s">
        <v>619</v>
      </c>
      <c r="I2" s="837" t="s">
        <v>620</v>
      </c>
      <c r="J2" s="837" t="s">
        <v>621</v>
      </c>
      <c r="K2" s="837" t="s">
        <v>622</v>
      </c>
      <c r="L2" s="837" t="s">
        <v>623</v>
      </c>
      <c r="M2" s="837" t="s">
        <v>624</v>
      </c>
      <c r="N2" s="837" t="s">
        <v>625</v>
      </c>
      <c r="O2" s="837" t="s">
        <v>362</v>
      </c>
    </row>
    <row r="3" spans="2:16">
      <c r="B3" s="149" t="s">
        <v>870</v>
      </c>
      <c r="C3" s="211">
        <f t="array" ref="C3:N3">TRANSPOSE('Emprunts FD'!G14:G25)</f>
        <v>66666666.666666664</v>
      </c>
      <c r="D3" s="211">
        <v>66666666.666666664</v>
      </c>
      <c r="E3" s="211">
        <v>66666666.666666664</v>
      </c>
      <c r="F3" s="211">
        <v>66666666.666666664</v>
      </c>
      <c r="G3" s="211">
        <v>66666666.666666664</v>
      </c>
      <c r="H3" s="211">
        <v>66666666.666666664</v>
      </c>
      <c r="I3" s="211">
        <v>66666666.666666664</v>
      </c>
      <c r="J3" s="211">
        <v>64935804.845852904</v>
      </c>
      <c r="K3" s="211">
        <v>63176095.328025587</v>
      </c>
      <c r="L3" s="211">
        <v>61387057.318234473</v>
      </c>
      <c r="M3" s="211">
        <v>59568202.00828018</v>
      </c>
      <c r="N3" s="211">
        <v>57719032.443159983</v>
      </c>
      <c r="O3" s="211">
        <f>SUM(C3:N3)</f>
        <v>773452858.61021972</v>
      </c>
    </row>
    <row r="4" spans="2:16">
      <c r="B4" s="149" t="s">
        <v>871</v>
      </c>
      <c r="C4" s="211">
        <f t="array" ref="C4:N4">TRANSPOSE('Emprunts FD'!G26:G37)</f>
        <v>55839043.385287784</v>
      </c>
      <c r="D4" s="211">
        <v>53927721.17645105</v>
      </c>
      <c r="E4" s="211">
        <v>51984543.597467035</v>
      </c>
      <c r="F4" s="211">
        <v>50008979.72549995</v>
      </c>
      <c r="G4" s="211">
        <v>48000489.789000079</v>
      </c>
      <c r="H4" s="211">
        <v>45958525.020225212</v>
      </c>
      <c r="I4" s="211">
        <v>43882527.505304098</v>
      </c>
      <c r="J4" s="211">
        <v>41771930.031800963</v>
      </c>
      <c r="K4" s="211">
        <v>39626155.933739439</v>
      </c>
      <c r="L4" s="211">
        <v>37444618.934043556</v>
      </c>
      <c r="M4" s="211">
        <v>35226722.984352745</v>
      </c>
      <c r="N4" s="211">
        <v>32971862.102167089</v>
      </c>
      <c r="O4" s="211">
        <f t="shared" ref="O4:O6" si="0">SUM(C4:N4)</f>
        <v>536643120.18533897</v>
      </c>
    </row>
    <row r="5" spans="2:16">
      <c r="B5" s="149" t="s">
        <v>872</v>
      </c>
      <c r="C5" s="211">
        <f t="array" ref="C5:N5">TRANSPOSE('Emprunts FD'!G38:G49)</f>
        <v>30679420.205278341</v>
      </c>
      <c r="D5" s="211">
        <v>28348770.943441447</v>
      </c>
      <c r="E5" s="211">
        <v>25979277.5272406</v>
      </c>
      <c r="F5" s="211">
        <v>23570292.554103076</v>
      </c>
      <c r="G5" s="211">
        <v>21121157.831413262</v>
      </c>
      <c r="H5" s="211">
        <v>18631204.196678616</v>
      </c>
      <c r="I5" s="211">
        <v>16099751.33469839</v>
      </c>
      <c r="J5" s="211">
        <v>13526107.591685161</v>
      </c>
      <c r="K5" s="211">
        <v>10909569.786288381</v>
      </c>
      <c r="L5" s="211">
        <v>8249423.0174683193</v>
      </c>
      <c r="M5" s="211">
        <v>5544940.4691679236</v>
      </c>
      <c r="N5" s="211">
        <v>2795383.2117291875</v>
      </c>
      <c r="O5" s="211">
        <f t="shared" si="0"/>
        <v>205455298.66919273</v>
      </c>
    </row>
    <row r="6" spans="2:16">
      <c r="B6" s="1154" t="s">
        <v>873</v>
      </c>
      <c r="C6" s="1155" t="str">
        <f t="array" ref="C6:N6">TRANSPOSE('Emprunts FD'!G50:G61)</f>
        <v xml:space="preserve"> </v>
      </c>
      <c r="D6" s="1155" t="str">
        <v xml:space="preserve"> </v>
      </c>
      <c r="E6" s="1155" t="str">
        <v xml:space="preserve"> </v>
      </c>
      <c r="F6" s="1155" t="str">
        <v xml:space="preserve"> </v>
      </c>
      <c r="G6" s="1155" t="str">
        <v xml:space="preserve"> </v>
      </c>
      <c r="H6" s="1155" t="str">
        <v xml:space="preserve"> </v>
      </c>
      <c r="I6" s="1155" t="str">
        <v xml:space="preserve"> </v>
      </c>
      <c r="J6" s="1155" t="str">
        <v xml:space="preserve"> </v>
      </c>
      <c r="K6" s="1155" t="str">
        <v xml:space="preserve"> </v>
      </c>
      <c r="L6" s="1155" t="str">
        <v xml:space="preserve"> </v>
      </c>
      <c r="M6" s="1155" t="str">
        <v xml:space="preserve"> </v>
      </c>
      <c r="N6" s="1155" t="str">
        <v xml:space="preserve"> </v>
      </c>
      <c r="O6" s="1155">
        <f t="shared" si="0"/>
        <v>0</v>
      </c>
    </row>
    <row r="7" spans="2:16" ht="13.5" thickBot="1">
      <c r="B7" s="1152" t="s">
        <v>362</v>
      </c>
      <c r="C7" s="1153">
        <f t="shared" ref="C7:O7" si="1">SUM(C3:C6)</f>
        <v>153185130.25723279</v>
      </c>
      <c r="D7" s="1153">
        <f t="shared" si="1"/>
        <v>148943158.78655916</v>
      </c>
      <c r="E7" s="1153">
        <f t="shared" si="1"/>
        <v>144630487.7913743</v>
      </c>
      <c r="F7" s="1153">
        <f t="shared" si="1"/>
        <v>140245938.94626969</v>
      </c>
      <c r="G7" s="1153">
        <f t="shared" si="1"/>
        <v>135788314.28708002</v>
      </c>
      <c r="H7" s="1153">
        <f t="shared" si="1"/>
        <v>131256395.88357049</v>
      </c>
      <c r="I7" s="1153">
        <f t="shared" si="1"/>
        <v>126648945.50666915</v>
      </c>
      <c r="J7" s="1153">
        <f t="shared" si="1"/>
        <v>120233842.46933903</v>
      </c>
      <c r="K7" s="1153">
        <f t="shared" si="1"/>
        <v>113711821.04805341</v>
      </c>
      <c r="L7" s="1153">
        <f t="shared" si="1"/>
        <v>107081099.26974635</v>
      </c>
      <c r="M7" s="1153">
        <f t="shared" si="1"/>
        <v>100339865.46180084</v>
      </c>
      <c r="N7" s="1153">
        <f t="shared" si="1"/>
        <v>93486277.757056251</v>
      </c>
      <c r="O7" s="1153">
        <f t="shared" si="1"/>
        <v>1515551277.4647515</v>
      </c>
      <c r="P7" s="283">
        <f>+O7-'Emprunts FD'!G110</f>
        <v>0</v>
      </c>
    </row>
    <row r="8" spans="2:16" ht="5.25" customHeight="1" thickBot="1"/>
    <row r="9" spans="2:16">
      <c r="B9" s="835" t="s">
        <v>686</v>
      </c>
      <c r="C9" s="837" t="str">
        <f t="shared" ref="C9:O9" si="2">+C2</f>
        <v>Mois 1</v>
      </c>
      <c r="D9" s="837" t="str">
        <f t="shared" si="2"/>
        <v>Mois 2</v>
      </c>
      <c r="E9" s="837" t="str">
        <f t="shared" si="2"/>
        <v>Mois 3</v>
      </c>
      <c r="F9" s="837" t="str">
        <f t="shared" si="2"/>
        <v>Mois 4</v>
      </c>
      <c r="G9" s="837" t="str">
        <f t="shared" si="2"/>
        <v>Mois 5</v>
      </c>
      <c r="H9" s="837" t="str">
        <f t="shared" si="2"/>
        <v>Mois 6</v>
      </c>
      <c r="I9" s="837" t="str">
        <f t="shared" si="2"/>
        <v>Mois 7</v>
      </c>
      <c r="J9" s="837" t="str">
        <f t="shared" si="2"/>
        <v>Mois 8</v>
      </c>
      <c r="K9" s="837" t="str">
        <f t="shared" si="2"/>
        <v>Mois 9</v>
      </c>
      <c r="L9" s="837" t="str">
        <f t="shared" si="2"/>
        <v>Mois 10</v>
      </c>
      <c r="M9" s="837" t="str">
        <f t="shared" si="2"/>
        <v>Mois 11</v>
      </c>
      <c r="N9" s="837" t="str">
        <f t="shared" si="2"/>
        <v>Mois 12</v>
      </c>
      <c r="O9" s="837" t="str">
        <f t="shared" si="2"/>
        <v>Total</v>
      </c>
    </row>
    <row r="10" spans="2:16">
      <c r="B10" s="149" t="str">
        <f>+B3</f>
        <v>Année 1</v>
      </c>
      <c r="C10" s="211">
        <f t="array" ref="C10:N10">TRANSPOSE('Emprunts FD'!H14:H25)</f>
        <v>0</v>
      </c>
      <c r="D10" s="211">
        <v>0</v>
      </c>
      <c r="E10" s="211">
        <v>0</v>
      </c>
      <c r="F10" s="211">
        <v>0</v>
      </c>
      <c r="G10" s="211">
        <v>0</v>
      </c>
      <c r="H10" s="211">
        <v>0</v>
      </c>
      <c r="I10" s="211">
        <v>103851709.24882543</v>
      </c>
      <c r="J10" s="211">
        <v>105582571.06963918</v>
      </c>
      <c r="K10" s="211">
        <v>107342280.58746651</v>
      </c>
      <c r="L10" s="211">
        <v>109131318.59725761</v>
      </c>
      <c r="M10" s="211">
        <v>110950173.9072119</v>
      </c>
      <c r="N10" s="211">
        <v>112799343.47233211</v>
      </c>
      <c r="O10" s="211">
        <f>SUM(C10:N10)</f>
        <v>649657396.88273275</v>
      </c>
    </row>
    <row r="11" spans="2:16">
      <c r="B11" s="149" t="str">
        <f t="shared" ref="B11:B13" si="3">+B4</f>
        <v>Année 2</v>
      </c>
      <c r="C11" s="211">
        <f t="array" ref="C11:N11">TRANSPOSE('Emprunts FD'!H26:H37)</f>
        <v>114679332.5302043</v>
      </c>
      <c r="D11" s="211">
        <v>116590654.73904103</v>
      </c>
      <c r="E11" s="211">
        <v>118533832.31802505</v>
      </c>
      <c r="F11" s="211">
        <v>120509396.18999213</v>
      </c>
      <c r="G11" s="211">
        <v>122517886.12649201</v>
      </c>
      <c r="H11" s="211">
        <v>124559850.89526688</v>
      </c>
      <c r="I11" s="211">
        <v>126635848.41018799</v>
      </c>
      <c r="J11" s="211">
        <v>128746445.88369113</v>
      </c>
      <c r="K11" s="211">
        <v>130892219.98175265</v>
      </c>
      <c r="L11" s="211">
        <v>133073756.98144853</v>
      </c>
      <c r="M11" s="211">
        <v>135291652.93113935</v>
      </c>
      <c r="N11" s="211">
        <v>137546513.81332499</v>
      </c>
      <c r="O11" s="211">
        <f t="shared" ref="O11:O13" si="4">SUM(C11:N11)</f>
        <v>1509577390.8005662</v>
      </c>
    </row>
    <row r="12" spans="2:16">
      <c r="B12" s="149" t="str">
        <f t="shared" si="3"/>
        <v>Année 3</v>
      </c>
      <c r="C12" s="211">
        <f t="array" ref="C12:N12">TRANSPOSE('Emprunts FD'!H38:H49)</f>
        <v>139838955.71021375</v>
      </c>
      <c r="D12" s="211">
        <v>142169604.97205064</v>
      </c>
      <c r="E12" s="211">
        <v>144539098.38825148</v>
      </c>
      <c r="F12" s="211">
        <v>146948083.36138901</v>
      </c>
      <c r="G12" s="211">
        <v>149397218.08407882</v>
      </c>
      <c r="H12" s="211">
        <v>151887171.71881348</v>
      </c>
      <c r="I12" s="211">
        <v>154418624.58079371</v>
      </c>
      <c r="J12" s="211">
        <v>156992268.32380694</v>
      </c>
      <c r="K12" s="211">
        <v>159608806.12920371</v>
      </c>
      <c r="L12" s="211">
        <v>162268952.89802375</v>
      </c>
      <c r="M12" s="211">
        <v>164973435.44632417</v>
      </c>
      <c r="N12" s="211">
        <v>167722992.70376289</v>
      </c>
      <c r="O12" s="211">
        <f t="shared" si="4"/>
        <v>1840765212.3167124</v>
      </c>
    </row>
    <row r="13" spans="2:16">
      <c r="B13" s="1154" t="str">
        <f t="shared" si="3"/>
        <v>Année 4</v>
      </c>
      <c r="C13" s="1155" t="str">
        <f t="array" ref="C13:N13">TRANSPOSE('Emprunts FD'!H50:H61)</f>
        <v xml:space="preserve"> </v>
      </c>
      <c r="D13" s="1155" t="str">
        <v xml:space="preserve"> </v>
      </c>
      <c r="E13" s="1155" t="str">
        <v xml:space="preserve"> </v>
      </c>
      <c r="F13" s="1155" t="str">
        <v xml:space="preserve"> </v>
      </c>
      <c r="G13" s="1155" t="str">
        <v xml:space="preserve"> </v>
      </c>
      <c r="H13" s="1155" t="str">
        <v xml:space="preserve"> </v>
      </c>
      <c r="I13" s="1155" t="str">
        <v xml:space="preserve"> </v>
      </c>
      <c r="J13" s="1155" t="str">
        <v xml:space="preserve"> </v>
      </c>
      <c r="K13" s="1155" t="str">
        <v xml:space="preserve"> </v>
      </c>
      <c r="L13" s="1155" t="str">
        <v xml:space="preserve"> </v>
      </c>
      <c r="M13" s="1155" t="str">
        <v xml:space="preserve"> </v>
      </c>
      <c r="N13" s="1155" t="str">
        <v xml:space="preserve"> </v>
      </c>
      <c r="O13" s="1155">
        <f t="shared" si="4"/>
        <v>0</v>
      </c>
    </row>
    <row r="14" spans="2:16" ht="13.5" thickBot="1">
      <c r="B14" s="1152" t="s">
        <v>362</v>
      </c>
      <c r="C14" s="1153">
        <f t="shared" ref="C14:O14" si="5">SUM(C10:C13)</f>
        <v>254518288.24041805</v>
      </c>
      <c r="D14" s="1153">
        <f t="shared" si="5"/>
        <v>258760259.71109167</v>
      </c>
      <c r="E14" s="1153">
        <f t="shared" si="5"/>
        <v>263072930.70627654</v>
      </c>
      <c r="F14" s="1153">
        <f t="shared" si="5"/>
        <v>267457479.55138114</v>
      </c>
      <c r="G14" s="1153">
        <f t="shared" si="5"/>
        <v>271915104.21057081</v>
      </c>
      <c r="H14" s="1153">
        <f t="shared" si="5"/>
        <v>276447022.61408037</v>
      </c>
      <c r="I14" s="1153">
        <f t="shared" si="5"/>
        <v>384906182.23980713</v>
      </c>
      <c r="J14" s="1153">
        <f t="shared" si="5"/>
        <v>391321285.27713728</v>
      </c>
      <c r="K14" s="1153">
        <f t="shared" si="5"/>
        <v>397843306.69842291</v>
      </c>
      <c r="L14" s="1153">
        <f t="shared" si="5"/>
        <v>404474028.47672987</v>
      </c>
      <c r="M14" s="1153">
        <f t="shared" si="5"/>
        <v>411215262.28467542</v>
      </c>
      <c r="N14" s="1153">
        <f t="shared" si="5"/>
        <v>418068849.98942</v>
      </c>
      <c r="O14" s="1153">
        <f t="shared" si="5"/>
        <v>4000000000.0000114</v>
      </c>
      <c r="P14" s="283">
        <f>+'Emprunts FD'!H110-O14</f>
        <v>0</v>
      </c>
    </row>
    <row r="15" spans="2:16" ht="5.25" customHeight="1" thickBot="1"/>
    <row r="16" spans="2:16">
      <c r="B16" s="835" t="s">
        <v>897</v>
      </c>
      <c r="C16" s="837" t="str">
        <f t="shared" ref="C16:O16" si="6">+C9</f>
        <v>Mois 1</v>
      </c>
      <c r="D16" s="837" t="str">
        <f t="shared" si="6"/>
        <v>Mois 2</v>
      </c>
      <c r="E16" s="837" t="str">
        <f t="shared" si="6"/>
        <v>Mois 3</v>
      </c>
      <c r="F16" s="837" t="str">
        <f t="shared" si="6"/>
        <v>Mois 4</v>
      </c>
      <c r="G16" s="837" t="str">
        <f t="shared" si="6"/>
        <v>Mois 5</v>
      </c>
      <c r="H16" s="837" t="str">
        <f t="shared" si="6"/>
        <v>Mois 6</v>
      </c>
      <c r="I16" s="837" t="str">
        <f t="shared" si="6"/>
        <v>Mois 7</v>
      </c>
      <c r="J16" s="837" t="str">
        <f t="shared" si="6"/>
        <v>Mois 8</v>
      </c>
      <c r="K16" s="837" t="str">
        <f t="shared" si="6"/>
        <v>Mois 9</v>
      </c>
      <c r="L16" s="837" t="str">
        <f t="shared" si="6"/>
        <v>Mois 10</v>
      </c>
      <c r="M16" s="837" t="str">
        <f t="shared" si="6"/>
        <v>Mois 11</v>
      </c>
      <c r="N16" s="837" t="str">
        <f t="shared" si="6"/>
        <v>Mois 12</v>
      </c>
      <c r="O16" s="837" t="str">
        <f t="shared" si="6"/>
        <v>Total</v>
      </c>
    </row>
    <row r="17" spans="2:16">
      <c r="B17" s="149" t="str">
        <f>+B10</f>
        <v>Année 1</v>
      </c>
      <c r="C17" s="211">
        <f>IFERROR(+C10+C3,0)</f>
        <v>66666666.666666664</v>
      </c>
      <c r="D17" s="211">
        <f t="shared" ref="D17:N17" si="7">IFERROR(+D10+D3,0)</f>
        <v>66666666.666666664</v>
      </c>
      <c r="E17" s="211">
        <f t="shared" si="7"/>
        <v>66666666.666666664</v>
      </c>
      <c r="F17" s="211">
        <f t="shared" si="7"/>
        <v>66666666.666666664</v>
      </c>
      <c r="G17" s="211">
        <f t="shared" si="7"/>
        <v>66666666.666666664</v>
      </c>
      <c r="H17" s="211">
        <f t="shared" si="7"/>
        <v>66666666.666666664</v>
      </c>
      <c r="I17" s="211">
        <f t="shared" si="7"/>
        <v>170518375.91549209</v>
      </c>
      <c r="J17" s="211">
        <f t="shared" si="7"/>
        <v>170518375.91549209</v>
      </c>
      <c r="K17" s="211">
        <f t="shared" si="7"/>
        <v>170518375.91549209</v>
      </c>
      <c r="L17" s="211">
        <f t="shared" si="7"/>
        <v>170518375.91549209</v>
      </c>
      <c r="M17" s="211">
        <f t="shared" si="7"/>
        <v>170518375.91549209</v>
      </c>
      <c r="N17" s="211">
        <f t="shared" si="7"/>
        <v>170518375.91549209</v>
      </c>
      <c r="O17" s="211">
        <f>SUM(C17:N17)</f>
        <v>1423110255.4929523</v>
      </c>
    </row>
    <row r="18" spans="2:16">
      <c r="B18" s="149" t="str">
        <f t="shared" ref="B18:B20" si="8">+B11</f>
        <v>Année 2</v>
      </c>
      <c r="C18" s="211">
        <f>IFERROR(+C11+C4,0)</f>
        <v>170518375.91549209</v>
      </c>
      <c r="D18" s="211">
        <f t="shared" ref="D18:N18" si="9">IFERROR(+D11+D4,0)</f>
        <v>170518375.91549209</v>
      </c>
      <c r="E18" s="211">
        <f t="shared" si="9"/>
        <v>170518375.91549209</v>
      </c>
      <c r="F18" s="211">
        <f t="shared" si="9"/>
        <v>170518375.91549209</v>
      </c>
      <c r="G18" s="211">
        <f t="shared" si="9"/>
        <v>170518375.91549209</v>
      </c>
      <c r="H18" s="211">
        <f t="shared" si="9"/>
        <v>170518375.91549209</v>
      </c>
      <c r="I18" s="211">
        <f t="shared" si="9"/>
        <v>170518375.91549209</v>
      </c>
      <c r="J18" s="211">
        <f t="shared" si="9"/>
        <v>170518375.91549209</v>
      </c>
      <c r="K18" s="211">
        <f t="shared" si="9"/>
        <v>170518375.91549209</v>
      </c>
      <c r="L18" s="211">
        <f t="shared" si="9"/>
        <v>170518375.91549209</v>
      </c>
      <c r="M18" s="211">
        <f t="shared" si="9"/>
        <v>170518375.91549209</v>
      </c>
      <c r="N18" s="211">
        <f t="shared" si="9"/>
        <v>170518375.91549209</v>
      </c>
      <c r="O18" s="211">
        <f t="shared" ref="O18:O19" si="10">SUM(C18:N18)</f>
        <v>2046220510.9859049</v>
      </c>
    </row>
    <row r="19" spans="2:16">
      <c r="B19" s="149" t="str">
        <f t="shared" si="8"/>
        <v>Année 3</v>
      </c>
      <c r="C19" s="211">
        <f>+C12+C5</f>
        <v>170518375.91549209</v>
      </c>
      <c r="D19" s="211">
        <f t="shared" ref="D19:N19" si="11">+D12+D5</f>
        <v>170518375.91549209</v>
      </c>
      <c r="E19" s="211">
        <f t="shared" si="11"/>
        <v>170518375.91549209</v>
      </c>
      <c r="F19" s="211">
        <f t="shared" si="11"/>
        <v>170518375.91549209</v>
      </c>
      <c r="G19" s="211">
        <f t="shared" si="11"/>
        <v>170518375.91549209</v>
      </c>
      <c r="H19" s="211">
        <f t="shared" si="11"/>
        <v>170518375.91549209</v>
      </c>
      <c r="I19" s="211">
        <f t="shared" si="11"/>
        <v>170518375.91549209</v>
      </c>
      <c r="J19" s="211">
        <f t="shared" si="11"/>
        <v>170518375.91549212</v>
      </c>
      <c r="K19" s="211">
        <f t="shared" si="11"/>
        <v>170518375.91549209</v>
      </c>
      <c r="L19" s="211">
        <f t="shared" si="11"/>
        <v>170518375.91549209</v>
      </c>
      <c r="M19" s="211">
        <f t="shared" si="11"/>
        <v>170518375.91549209</v>
      </c>
      <c r="N19" s="211">
        <f t="shared" si="11"/>
        <v>170518375.91549209</v>
      </c>
      <c r="O19" s="211">
        <f t="shared" si="10"/>
        <v>2046220510.9859049</v>
      </c>
    </row>
    <row r="20" spans="2:16">
      <c r="B20" s="1154" t="str">
        <f t="shared" si="8"/>
        <v>Année 4</v>
      </c>
      <c r="C20" s="1155"/>
      <c r="D20" s="1155"/>
      <c r="E20" s="1155"/>
      <c r="F20" s="1155"/>
      <c r="G20" s="1155"/>
      <c r="H20" s="1155"/>
      <c r="I20" s="1155"/>
      <c r="J20" s="1155"/>
      <c r="K20" s="1155"/>
      <c r="L20" s="1155"/>
      <c r="M20" s="1155"/>
      <c r="N20" s="1155"/>
      <c r="O20" s="1155"/>
    </row>
    <row r="21" spans="2:16" ht="13.5" thickBot="1">
      <c r="B21" s="1152" t="s">
        <v>362</v>
      </c>
      <c r="C21" s="1153">
        <f>SUM(C17:C20)</f>
        <v>407703418.49765086</v>
      </c>
      <c r="D21" s="1153">
        <f t="shared" ref="D21:N21" si="12">SUM(D17:D20)</f>
        <v>407703418.49765086</v>
      </c>
      <c r="E21" s="1153">
        <f t="shared" si="12"/>
        <v>407703418.49765086</v>
      </c>
      <c r="F21" s="1153">
        <f t="shared" si="12"/>
        <v>407703418.49765086</v>
      </c>
      <c r="G21" s="1153">
        <f t="shared" si="12"/>
        <v>407703418.49765086</v>
      </c>
      <c r="H21" s="1153">
        <f t="shared" si="12"/>
        <v>407703418.49765086</v>
      </c>
      <c r="I21" s="1153">
        <f t="shared" si="12"/>
        <v>511555127.74647629</v>
      </c>
      <c r="J21" s="1153">
        <f t="shared" si="12"/>
        <v>511555127.74647629</v>
      </c>
      <c r="K21" s="1153">
        <f t="shared" si="12"/>
        <v>511555127.74647629</v>
      </c>
      <c r="L21" s="1153">
        <f t="shared" si="12"/>
        <v>511555127.74647629</v>
      </c>
      <c r="M21" s="1153">
        <f t="shared" si="12"/>
        <v>511555127.74647629</v>
      </c>
      <c r="N21" s="1153">
        <f t="shared" si="12"/>
        <v>511555127.74647629</v>
      </c>
      <c r="O21" s="1153">
        <f>SUM(O17:O20)</f>
        <v>5515551277.4647617</v>
      </c>
      <c r="P21" s="283">
        <f>+O21-'Emprunts FD'!F110</f>
        <v>0</v>
      </c>
    </row>
    <row r="22" spans="2:16">
      <c r="O22" s="211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40</vt:i4>
      </vt:variant>
    </vt:vector>
  </HeadingPairs>
  <TitlesOfParts>
    <vt:vector size="40" baseType="lpstr">
      <vt:lpstr>FORT DAUPHIN</vt:lpstr>
      <vt:lpstr>BL</vt:lpstr>
      <vt:lpstr>Données SOMIDA</vt:lpstr>
      <vt:lpstr>Stat</vt:lpstr>
      <vt:lpstr>Org</vt:lpstr>
      <vt:lpstr> OKB TRA ABR</vt:lpstr>
      <vt:lpstr>OKB FP1</vt:lpstr>
      <vt:lpstr>Goodeis</vt:lpstr>
      <vt:lpstr>Org (2)</vt:lpstr>
      <vt:lpstr>Organigramme</vt:lpstr>
      <vt:lpstr>Recap coupeuses FD</vt:lpstr>
      <vt:lpstr>AMPANDRANDAVA</vt:lpstr>
      <vt:lpstr>Recap coupeuses Ampandra</vt:lpstr>
      <vt:lpstr>Commande à honorer</vt:lpstr>
      <vt:lpstr>Détails</vt:lpstr>
      <vt:lpstr>Commandes</vt:lpstr>
      <vt:lpstr>Production</vt:lpstr>
      <vt:lpstr>Traitement</vt:lpstr>
      <vt:lpstr>Calcul</vt:lpstr>
      <vt:lpstr>Tableau de bord</vt:lpstr>
      <vt:lpstr>Besoins en micas</vt:lpstr>
      <vt:lpstr>Feuil3</vt:lpstr>
      <vt:lpstr>CA</vt:lpstr>
      <vt:lpstr>Sal</vt:lpstr>
      <vt:lpstr>Détails Achats direct</vt:lpstr>
      <vt:lpstr>Primes</vt:lpstr>
      <vt:lpstr>Achat</vt:lpstr>
      <vt:lpstr>Prestation</vt:lpstr>
      <vt:lpstr>Feuil1 (2)</vt:lpstr>
      <vt:lpstr>I&amp;T</vt:lpstr>
      <vt:lpstr>Autres</vt:lpstr>
      <vt:lpstr>Amort</vt:lpstr>
      <vt:lpstr>Frais financier</vt:lpstr>
      <vt:lpstr>CR Nature FD</vt:lpstr>
      <vt:lpstr>Etat_Trésorerie FD</vt:lpstr>
      <vt:lpstr>Invest FD</vt:lpstr>
      <vt:lpstr>Feuil1</vt:lpstr>
      <vt:lpstr>AN</vt:lpstr>
      <vt:lpstr>Emprunts FD</vt:lpstr>
      <vt:lpstr>Détails FF 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fidy RATSARA</cp:lastModifiedBy>
  <cp:lastPrinted>2018-02-16T06:19:27Z</cp:lastPrinted>
  <dcterms:created xsi:type="dcterms:W3CDTF">2017-12-11T08:05:08Z</dcterms:created>
  <dcterms:modified xsi:type="dcterms:W3CDTF">2026-05-26T05:15:09Z</dcterms:modified>
</cp:coreProperties>
</file>