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bbo\Downloads\"/>
    </mc:Choice>
  </mc:AlternateContent>
  <xr:revisionPtr revIDLastSave="0" documentId="13_ncr:1_{A492C059-7D0E-4A0C-A8E3-FA3C4E3ED1FA}" xr6:coauthVersionLast="47" xr6:coauthVersionMax="47" xr10:uidLastSave="{00000000-0000-0000-0000-000000000000}"/>
  <bookViews>
    <workbookView xWindow="-108" yWindow="-108" windowWidth="23256" windowHeight="12456" xr2:uid="{A1D4B1D3-8E6E-41B0-BBBD-FD687C57B9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" i="1" l="1"/>
  <c r="J89" i="1"/>
  <c r="I89" i="1"/>
  <c r="H89" i="1"/>
  <c r="G89" i="1"/>
  <c r="F89" i="1"/>
  <c r="E89" i="1"/>
  <c r="D89" i="1"/>
  <c r="H88" i="1"/>
  <c r="E103" i="1" s="1"/>
  <c r="G88" i="1"/>
  <c r="E102" i="1" s="1"/>
  <c r="F102" i="1" s="1"/>
  <c r="F88" i="1"/>
  <c r="E101" i="1" s="1"/>
  <c r="F101" i="1" s="1"/>
  <c r="E88" i="1"/>
  <c r="E100" i="1" s="1"/>
  <c r="F100" i="1" s="1"/>
  <c r="D88" i="1"/>
  <c r="E99" i="1" s="1"/>
  <c r="K86" i="1"/>
  <c r="K88" i="1" s="1"/>
  <c r="E106" i="1" s="1"/>
  <c r="F106" i="1" s="1"/>
  <c r="L120" i="1" s="1"/>
  <c r="J86" i="1"/>
  <c r="J88" i="1" s="1"/>
  <c r="E105" i="1" s="1"/>
  <c r="I86" i="1"/>
  <c r="I88" i="1" s="1"/>
  <c r="E104" i="1" s="1"/>
  <c r="F104" i="1" l="1"/>
  <c r="F105" i="1"/>
  <c r="G106" i="1" s="1"/>
  <c r="L119" i="1" s="1"/>
  <c r="L121" i="1" s="1"/>
  <c r="L131" i="1" s="1"/>
  <c r="G101" i="1"/>
  <c r="G119" i="1" s="1"/>
  <c r="G121" i="1" s="1"/>
  <c r="G131" i="1" s="1"/>
  <c r="G102" i="1"/>
  <c r="H119" i="1" s="1"/>
  <c r="H121" i="1" s="1"/>
  <c r="H131" i="1" s="1"/>
  <c r="F99" i="1"/>
  <c r="G100" i="1" s="1"/>
  <c r="F119" i="1" s="1"/>
  <c r="F121" i="1" s="1"/>
  <c r="F131" i="1" s="1"/>
  <c r="F103" i="1"/>
  <c r="G104" i="1" s="1"/>
  <c r="J119" i="1" s="1"/>
  <c r="J121" i="1" s="1"/>
  <c r="J131" i="1" s="1"/>
  <c r="F98" i="1"/>
  <c r="G105" i="1" l="1"/>
  <c r="K119" i="1" s="1"/>
  <c r="K121" i="1" s="1"/>
  <c r="K131" i="1" s="1"/>
  <c r="G98" i="1"/>
  <c r="D118" i="1" s="1"/>
  <c r="G99" i="1"/>
  <c r="E119" i="1" s="1"/>
  <c r="E121" i="1" s="1"/>
  <c r="E131" i="1" s="1"/>
  <c r="G103" i="1"/>
  <c r="I119" i="1" s="1"/>
  <c r="I121" i="1" s="1"/>
  <c r="I131" i="1" s="1"/>
  <c r="D121" i="1" l="1"/>
  <c r="D131" i="1"/>
  <c r="K15" i="1"/>
  <c r="J15" i="1"/>
  <c r="I15" i="1"/>
  <c r="M29" i="1"/>
  <c r="M25" i="1"/>
  <c r="E12" i="1"/>
  <c r="F6" i="1"/>
  <c r="D30" i="1" s="1"/>
  <c r="M15" i="1"/>
  <c r="N15" i="1" s="1"/>
  <c r="E18" i="1"/>
  <c r="F18" i="1"/>
  <c r="G18" i="1"/>
  <c r="H18" i="1"/>
  <c r="I18" i="1"/>
  <c r="J18" i="1"/>
  <c r="K18" i="1"/>
  <c r="D18" i="1"/>
  <c r="E17" i="1"/>
  <c r="F17" i="1"/>
  <c r="G17" i="1"/>
  <c r="H17" i="1"/>
  <c r="I17" i="1"/>
  <c r="J17" i="1"/>
  <c r="K17" i="1"/>
  <c r="D17" i="1"/>
  <c r="F5" i="1"/>
  <c r="D29" i="1" s="1"/>
  <c r="E29" i="1" s="1"/>
  <c r="F7" i="1"/>
  <c r="D31" i="1" s="1"/>
  <c r="F8" i="1"/>
  <c r="D32" i="1" s="1"/>
  <c r="F9" i="1"/>
  <c r="F10" i="1"/>
  <c r="D34" i="1" s="1"/>
  <c r="F11" i="1"/>
  <c r="D35" i="1" s="1"/>
  <c r="F4" i="1"/>
  <c r="D28" i="1" s="1"/>
  <c r="M16" i="1" l="1"/>
  <c r="N16" i="1" s="1"/>
  <c r="E30" i="1"/>
  <c r="F30" i="1"/>
  <c r="F46" i="1" s="1"/>
  <c r="F48" i="1" s="1"/>
  <c r="F58" i="1" s="1"/>
  <c r="E28" i="1"/>
  <c r="F29" i="1" s="1"/>
  <c r="E46" i="1" s="1"/>
  <c r="E48" i="1" s="1"/>
  <c r="E58" i="1" s="1"/>
  <c r="E32" i="1"/>
  <c r="E27" i="1"/>
  <c r="E31" i="1"/>
  <c r="F32" i="1" s="1"/>
  <c r="H46" i="1" s="1"/>
  <c r="H48" i="1" s="1"/>
  <c r="H58" i="1" s="1"/>
  <c r="E35" i="1"/>
  <c r="K47" i="1" s="1"/>
  <c r="E34" i="1"/>
  <c r="F12" i="1"/>
  <c r="N2" i="1" s="1"/>
  <c r="N27" i="1"/>
  <c r="N26" i="1"/>
  <c r="D33" i="1"/>
  <c r="E33" i="1" s="1"/>
  <c r="F33" i="1" s="1"/>
  <c r="I46" i="1" s="1"/>
  <c r="I48" i="1" s="1"/>
  <c r="I58" i="1" s="1"/>
  <c r="F35" i="1"/>
  <c r="K46" i="1" s="1"/>
  <c r="K48" i="1" l="1"/>
  <c r="K58" i="1" s="1"/>
  <c r="F31" i="1"/>
  <c r="G46" i="1" s="1"/>
  <c r="G48" i="1" s="1"/>
  <c r="G58" i="1" s="1"/>
  <c r="M17" i="1"/>
  <c r="N17" i="1"/>
  <c r="F28" i="1"/>
  <c r="D46" i="1" s="1"/>
  <c r="D48" i="1" s="1"/>
  <c r="D58" i="1" s="1"/>
  <c r="F27" i="1"/>
  <c r="C45" i="1" s="1"/>
  <c r="J8" i="1"/>
  <c r="H20" i="1" s="1"/>
  <c r="H41" i="1" s="1"/>
  <c r="J6" i="1"/>
  <c r="F20" i="1" s="1"/>
  <c r="F41" i="1" s="1"/>
  <c r="N25" i="1"/>
  <c r="C50" i="1" s="1"/>
  <c r="C52" i="1" s="1"/>
  <c r="C59" i="1" s="1"/>
  <c r="F34" i="1"/>
  <c r="J46" i="1" s="1"/>
  <c r="J48" i="1" s="1"/>
  <c r="J58" i="1" s="1"/>
  <c r="J9" i="1"/>
  <c r="J11" i="1"/>
  <c r="J4" i="1"/>
  <c r="J10" i="1"/>
  <c r="J7" i="1"/>
  <c r="J5" i="1"/>
  <c r="C58" i="1" l="1"/>
  <c r="C60" i="1" s="1"/>
  <c r="C48" i="1"/>
  <c r="N6" i="1"/>
  <c r="N8" i="1"/>
  <c r="M18" i="1"/>
  <c r="N18" i="1" s="1"/>
  <c r="D74" i="1"/>
  <c r="D4" i="2"/>
  <c r="M6" i="1"/>
  <c r="F19" i="1" s="1"/>
  <c r="M8" i="1"/>
  <c r="C67" i="1"/>
  <c r="N29" i="1"/>
  <c r="K51" i="1" s="1"/>
  <c r="N10" i="1"/>
  <c r="H19" i="1"/>
  <c r="K20" i="1"/>
  <c r="K41" i="1" s="1"/>
  <c r="M11" i="1"/>
  <c r="M4" i="1"/>
  <c r="D20" i="1"/>
  <c r="D41" i="1" s="1"/>
  <c r="N4" i="1"/>
  <c r="I20" i="1"/>
  <c r="I41" i="1" s="1"/>
  <c r="N9" i="1"/>
  <c r="N11" i="1" s="1"/>
  <c r="N5" i="1"/>
  <c r="E20" i="1"/>
  <c r="E41" i="1" s="1"/>
  <c r="M5" i="1"/>
  <c r="E19" i="1" s="1"/>
  <c r="G20" i="1"/>
  <c r="G41" i="1" s="1"/>
  <c r="M7" i="1"/>
  <c r="N7" i="1"/>
  <c r="M9" i="1" s="1"/>
  <c r="K4" i="1"/>
  <c r="K5" i="1" s="1"/>
  <c r="K6" i="1" s="1"/>
  <c r="K7" i="1" s="1"/>
  <c r="K8" i="1" s="1"/>
  <c r="K9" i="1" s="1"/>
  <c r="K10" i="1" s="1"/>
  <c r="K11" i="1" s="1"/>
  <c r="C68" i="1"/>
  <c r="C69" i="1" s="1"/>
  <c r="D69" i="1" s="1"/>
  <c r="J20" i="1"/>
  <c r="J41" i="1" s="1"/>
  <c r="M10" i="1"/>
  <c r="J19" i="1" s="1"/>
  <c r="M19" i="1" l="1"/>
  <c r="N19" i="1" s="1"/>
  <c r="J21" i="1"/>
  <c r="J90" i="1"/>
  <c r="H21" i="1"/>
  <c r="H90" i="1"/>
  <c r="F21" i="1"/>
  <c r="F22" i="1" s="1"/>
  <c r="F90" i="1"/>
  <c r="E21" i="1"/>
  <c r="E22" i="1" s="1"/>
  <c r="E42" i="1" s="1"/>
  <c r="E90" i="1"/>
  <c r="D123" i="1"/>
  <c r="D125" i="1" s="1"/>
  <c r="D132" i="1" s="1"/>
  <c r="D133" i="1" s="1"/>
  <c r="I19" i="1"/>
  <c r="K52" i="1"/>
  <c r="K59" i="1" s="1"/>
  <c r="L124" i="1"/>
  <c r="L125" i="1" s="1"/>
  <c r="L132" i="1" s="1"/>
  <c r="F13" i="2"/>
  <c r="D5" i="2"/>
  <c r="D6" i="2" s="1"/>
  <c r="D13" i="2" s="1"/>
  <c r="G19" i="1"/>
  <c r="D19" i="1"/>
  <c r="J22" i="1"/>
  <c r="J42" i="1" s="1"/>
  <c r="E69" i="1"/>
  <c r="E74" i="1" s="1"/>
  <c r="D91" i="1" s="1"/>
  <c r="E114" i="1" s="1"/>
  <c r="H69" i="1"/>
  <c r="E77" i="1" s="1"/>
  <c r="G91" i="1" s="1"/>
  <c r="H114" i="1" s="1"/>
  <c r="I69" i="1"/>
  <c r="E78" i="1" s="1"/>
  <c r="H91" i="1" s="1"/>
  <c r="I114" i="1" s="1"/>
  <c r="J69" i="1"/>
  <c r="E79" i="1" s="1"/>
  <c r="I91" i="1" s="1"/>
  <c r="J114" i="1" s="1"/>
  <c r="K69" i="1"/>
  <c r="E80" i="1" s="1"/>
  <c r="J91" i="1" s="1"/>
  <c r="K114" i="1" s="1"/>
  <c r="L69" i="1"/>
  <c r="E81" i="1" s="1"/>
  <c r="K91" i="1" s="1"/>
  <c r="L114" i="1" s="1"/>
  <c r="G69" i="1"/>
  <c r="E76" i="1" s="1"/>
  <c r="F91" i="1" s="1"/>
  <c r="G114" i="1" s="1"/>
  <c r="F69" i="1"/>
  <c r="E75" i="1" s="1"/>
  <c r="E91" i="1" s="1"/>
  <c r="F114" i="1" s="1"/>
  <c r="K19" i="1"/>
  <c r="F74" i="1" l="1"/>
  <c r="D75" i="1" s="1"/>
  <c r="H92" i="1"/>
  <c r="D14" i="2"/>
  <c r="D15" i="2" s="1"/>
  <c r="D16" i="2" s="1"/>
  <c r="M20" i="1"/>
  <c r="N20" i="1" s="1"/>
  <c r="I113" i="1"/>
  <c r="I116" i="1" s="1"/>
  <c r="I130" i="1" s="1"/>
  <c r="I133" i="1" s="1"/>
  <c r="H93" i="1"/>
  <c r="F92" i="1"/>
  <c r="D21" i="1"/>
  <c r="D90" i="1"/>
  <c r="D92" i="1" s="1"/>
  <c r="I21" i="1"/>
  <c r="I90" i="1"/>
  <c r="I92" i="1" s="1"/>
  <c r="H40" i="1"/>
  <c r="H22" i="1"/>
  <c r="H42" i="1" s="1"/>
  <c r="F75" i="1"/>
  <c r="D76" i="1" s="1"/>
  <c r="F76" i="1" s="1"/>
  <c r="D77" i="1" s="1"/>
  <c r="F77" i="1" s="1"/>
  <c r="D78" i="1" s="1"/>
  <c r="F78" i="1" s="1"/>
  <c r="D79" i="1" s="1"/>
  <c r="F79" i="1" s="1"/>
  <c r="D80" i="1" s="1"/>
  <c r="F80" i="1" s="1"/>
  <c r="D81" i="1" s="1"/>
  <c r="F81" i="1" s="1"/>
  <c r="J92" i="1"/>
  <c r="J40" i="1"/>
  <c r="J23" i="1"/>
  <c r="E92" i="1"/>
  <c r="F14" i="2"/>
  <c r="F15" i="2"/>
  <c r="F16" i="2" s="1"/>
  <c r="F40" i="1"/>
  <c r="F43" i="1" s="1"/>
  <c r="F57" i="1" s="1"/>
  <c r="F60" i="1" s="1"/>
  <c r="F23" i="1"/>
  <c r="G21" i="1"/>
  <c r="G22" i="1" s="1"/>
  <c r="G90" i="1"/>
  <c r="G92" i="1" s="1"/>
  <c r="K21" i="1"/>
  <c r="K90" i="1"/>
  <c r="K92" i="1" s="1"/>
  <c r="E40" i="1"/>
  <c r="E43" i="1" s="1"/>
  <c r="E57" i="1" s="1"/>
  <c r="E60" i="1" s="1"/>
  <c r="E23" i="1"/>
  <c r="D40" i="1"/>
  <c r="D22" i="1"/>
  <c r="D42" i="1" s="1"/>
  <c r="J43" i="1"/>
  <c r="J57" i="1" s="1"/>
  <c r="J60" i="1" s="1"/>
  <c r="F42" i="1"/>
  <c r="K40" i="1"/>
  <c r="K22" i="1"/>
  <c r="G40" i="1" l="1"/>
  <c r="M21" i="1"/>
  <c r="N21" i="1" s="1"/>
  <c r="F93" i="1"/>
  <c r="G113" i="1"/>
  <c r="G116" i="1" s="1"/>
  <c r="G130" i="1" s="1"/>
  <c r="G133" i="1" s="1"/>
  <c r="H43" i="1"/>
  <c r="H57" i="1" s="1"/>
  <c r="H60" i="1" s="1"/>
  <c r="I93" i="1"/>
  <c r="J113" i="1"/>
  <c r="J116" i="1" s="1"/>
  <c r="J130" i="1" s="1"/>
  <c r="J133" i="1" s="1"/>
  <c r="L113" i="1"/>
  <c r="L116" i="1" s="1"/>
  <c r="L130" i="1" s="1"/>
  <c r="L133" i="1" s="1"/>
  <c r="K93" i="1"/>
  <c r="H113" i="1"/>
  <c r="H116" i="1" s="1"/>
  <c r="H130" i="1" s="1"/>
  <c r="H133" i="1" s="1"/>
  <c r="G93" i="1"/>
  <c r="I40" i="1"/>
  <c r="I22" i="1"/>
  <c r="H94" i="1"/>
  <c r="I115" i="1"/>
  <c r="H23" i="1"/>
  <c r="F113" i="1"/>
  <c r="F116" i="1" s="1"/>
  <c r="F130" i="1" s="1"/>
  <c r="F133" i="1" s="1"/>
  <c r="E93" i="1"/>
  <c r="K23" i="1"/>
  <c r="G23" i="1"/>
  <c r="E113" i="1"/>
  <c r="E116" i="1" s="1"/>
  <c r="E130" i="1" s="1"/>
  <c r="E133" i="1" s="1"/>
  <c r="D93" i="1"/>
  <c r="K113" i="1"/>
  <c r="K116" i="1" s="1"/>
  <c r="K130" i="1" s="1"/>
  <c r="K133" i="1" s="1"/>
  <c r="J93" i="1"/>
  <c r="D23" i="1"/>
  <c r="K43" i="1"/>
  <c r="K57" i="1" s="1"/>
  <c r="K60" i="1" s="1"/>
  <c r="K42" i="1"/>
  <c r="G43" i="1"/>
  <c r="G57" i="1" s="1"/>
  <c r="G60" i="1" s="1"/>
  <c r="G42" i="1"/>
  <c r="D43" i="1"/>
  <c r="D57" i="1" s="1"/>
  <c r="D60" i="1" s="1"/>
  <c r="E135" i="1" l="1"/>
  <c r="I43" i="1"/>
  <c r="I57" i="1" s="1"/>
  <c r="I60" i="1" s="1"/>
  <c r="D62" i="1" s="1"/>
  <c r="D11" i="2" s="1"/>
  <c r="I42" i="1"/>
  <c r="I94" i="1"/>
  <c r="J115" i="1"/>
  <c r="D94" i="1"/>
  <c r="E115" i="1"/>
  <c r="I23" i="1"/>
  <c r="E94" i="1"/>
  <c r="F115" i="1"/>
  <c r="G94" i="1"/>
  <c r="H115" i="1"/>
  <c r="F94" i="1"/>
  <c r="G115" i="1"/>
  <c r="L23" i="1"/>
  <c r="D7" i="2" s="1"/>
  <c r="D8" i="2" s="1"/>
  <c r="J94" i="1"/>
  <c r="K115" i="1"/>
  <c r="K94" i="1"/>
  <c r="L115" i="1"/>
  <c r="F11" i="2" l="1"/>
  <c r="F12" i="2" s="1"/>
  <c r="D12" i="2"/>
</calcChain>
</file>

<file path=xl/sharedStrings.xml><?xml version="1.0" encoding="utf-8"?>
<sst xmlns="http://schemas.openxmlformats.org/spreadsheetml/2006/main" count="134" uniqueCount="77">
  <si>
    <t xml:space="preserve">Year </t>
  </si>
  <si>
    <t xml:space="preserve">Unit price </t>
  </si>
  <si>
    <t xml:space="preserve">Unit sales </t>
  </si>
  <si>
    <t>Revenues</t>
  </si>
  <si>
    <t xml:space="preserve">Macrs percentage </t>
  </si>
  <si>
    <t xml:space="preserve">Depreciation </t>
  </si>
  <si>
    <t xml:space="preserve">Ending book value </t>
  </si>
  <si>
    <t xml:space="preserve">Unit seals </t>
  </si>
  <si>
    <t>Variable costs</t>
  </si>
  <si>
    <t xml:space="preserve">Fixed cost </t>
  </si>
  <si>
    <t>EBIT</t>
  </si>
  <si>
    <t>Taxes</t>
  </si>
  <si>
    <t xml:space="preserve">Net income </t>
  </si>
  <si>
    <t>year</t>
  </si>
  <si>
    <t xml:space="preserve">Administrative expence </t>
  </si>
  <si>
    <t xml:space="preserve">utility expence </t>
  </si>
  <si>
    <t xml:space="preserve">per year unit price </t>
  </si>
  <si>
    <t xml:space="preserve">60% of seals </t>
  </si>
  <si>
    <t>Revune</t>
  </si>
  <si>
    <t xml:space="preserve">Net work capital </t>
  </si>
  <si>
    <t xml:space="preserve">cash flow </t>
  </si>
  <si>
    <t>Year</t>
  </si>
  <si>
    <t>OCF</t>
  </si>
  <si>
    <t>Initial NWC</t>
  </si>
  <si>
    <t>Change in NWC</t>
  </si>
  <si>
    <t xml:space="preserve">NWC recovery </t>
  </si>
  <si>
    <t>Total change in NWC</t>
  </si>
  <si>
    <t xml:space="preserve">Capital spending </t>
  </si>
  <si>
    <t>Initial outlay</t>
  </si>
  <si>
    <t xml:space="preserve">40%of seals </t>
  </si>
  <si>
    <t xml:space="preserve">20% of seals </t>
  </si>
  <si>
    <t xml:space="preserve"> (Book value )</t>
  </si>
  <si>
    <t>(Estimated)</t>
  </si>
  <si>
    <t xml:space="preserve">After tax salvage </t>
  </si>
  <si>
    <t>NPV</t>
  </si>
  <si>
    <t xml:space="preserve">Operating cash Flow </t>
  </si>
  <si>
    <t>Oparating cash flow</t>
  </si>
  <si>
    <t>Net working capital</t>
  </si>
  <si>
    <t xml:space="preserve">Cpital spending </t>
  </si>
  <si>
    <t xml:space="preserve">Total project cash </t>
  </si>
  <si>
    <t>(Investment)</t>
  </si>
  <si>
    <t xml:space="preserve">Investment Amount </t>
  </si>
  <si>
    <t>Salvage value</t>
  </si>
  <si>
    <t xml:space="preserve">Total depriciation </t>
  </si>
  <si>
    <t xml:space="preserve">Revenue </t>
  </si>
  <si>
    <t>Annual Depreciation</t>
  </si>
  <si>
    <t>Income satements</t>
  </si>
  <si>
    <t>Projected cash flow</t>
  </si>
  <si>
    <t xml:space="preserve">Change in Net working capital </t>
  </si>
  <si>
    <t xml:space="preserve">Projected Total cash flow </t>
  </si>
  <si>
    <t xml:space="preserve">straight-line depreciation </t>
  </si>
  <si>
    <t>B)</t>
  </si>
  <si>
    <t xml:space="preserve"> </t>
  </si>
  <si>
    <t xml:space="preserve">Assets </t>
  </si>
  <si>
    <t xml:space="preserve">Debt </t>
  </si>
  <si>
    <t>C)</t>
  </si>
  <si>
    <t xml:space="preserve">Annual Depreciation </t>
  </si>
  <si>
    <t xml:space="preserve"> Beginning Book value </t>
  </si>
  <si>
    <t xml:space="preserve">Projected income statement </t>
  </si>
  <si>
    <t xml:space="preserve">Projected cash flow </t>
  </si>
  <si>
    <t xml:space="preserve">Projected total cash flow </t>
  </si>
  <si>
    <t>A</t>
  </si>
  <si>
    <t xml:space="preserve">Equity </t>
  </si>
  <si>
    <t>NOI</t>
  </si>
  <si>
    <t>ROE</t>
  </si>
  <si>
    <t xml:space="preserve">Normal </t>
  </si>
  <si>
    <t>CF</t>
  </si>
  <si>
    <t>Company 11 times</t>
  </si>
  <si>
    <t>WACC</t>
  </si>
  <si>
    <t xml:space="preserve">Cash flow </t>
  </si>
  <si>
    <t>Equity</t>
  </si>
  <si>
    <t xml:space="preserve">Company Size </t>
  </si>
  <si>
    <t xml:space="preserve">Cost saving </t>
  </si>
  <si>
    <t xml:space="preserve">cost saving </t>
  </si>
  <si>
    <t xml:space="preserve">After salvage as equipment </t>
  </si>
  <si>
    <t>Ans to the Question no 2</t>
  </si>
  <si>
    <t>P.T,O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</si>
</sst>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4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21" xfId="0" applyFont="1" applyFill="1" applyBorder="1"/>
    <xf numFmtId="0" fontId="3" fillId="5" borderId="0" xfId="0" applyFont="1" applyFill="1"/>
    <xf numFmtId="0" fontId="3" fillId="5" borderId="22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5" fillId="4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617F-C584-49FB-9FF2-81780BFE4119}">
  <dimension ref="B1:O141"/>
  <sheetViews>
    <sheetView tabSelected="1" zoomScale="90" zoomScaleNormal="90" workbookViewId="0">
      <selection activeCell="B13" sqref="B13"/>
    </sheetView>
  </sheetViews>
  <sheetFormatPr defaultRowHeight="15.6" x14ac:dyDescent="0.3"/>
  <cols>
    <col min="1" max="1" width="8.88671875" style="4"/>
    <col min="2" max="2" width="18.5546875" style="4" customWidth="1"/>
    <col min="3" max="3" width="18.77734375" style="4" customWidth="1"/>
    <col min="4" max="4" width="20.21875" style="4" customWidth="1"/>
    <col min="5" max="5" width="14.21875" style="4" customWidth="1"/>
    <col min="6" max="6" width="18.109375" style="4" customWidth="1"/>
    <col min="7" max="7" width="14.109375" style="4" customWidth="1"/>
    <col min="8" max="8" width="15.109375" style="4" customWidth="1"/>
    <col min="9" max="9" width="19.6640625" style="4" customWidth="1"/>
    <col min="10" max="10" width="16.6640625" style="4" customWidth="1"/>
    <col min="11" max="11" width="18.77734375" style="4" customWidth="1"/>
    <col min="12" max="12" width="14.109375" style="4" customWidth="1"/>
    <col min="13" max="13" width="27.109375" style="4" customWidth="1"/>
    <col min="14" max="14" width="21.44140625" style="4" customWidth="1"/>
    <col min="15" max="15" width="19" style="4" customWidth="1"/>
    <col min="16" max="16384" width="8.88671875" style="4"/>
  </cols>
  <sheetData>
    <row r="1" spans="2:14" x14ac:dyDescent="0.3">
      <c r="B1" s="4" t="s">
        <v>61</v>
      </c>
    </row>
    <row r="2" spans="2:14" x14ac:dyDescent="0.3">
      <c r="D2" s="47" t="s">
        <v>44</v>
      </c>
      <c r="E2" s="48"/>
      <c r="I2" s="48" t="s">
        <v>45</v>
      </c>
      <c r="J2" s="48"/>
      <c r="M2" s="4" t="s">
        <v>17</v>
      </c>
      <c r="N2" s="4">
        <f>F12*60%</f>
        <v>1296656.4564</v>
      </c>
    </row>
    <row r="3" spans="2:14" x14ac:dyDescent="0.3">
      <c r="C3" s="1" t="s">
        <v>0</v>
      </c>
      <c r="D3" s="1" t="s">
        <v>1</v>
      </c>
      <c r="E3" s="1" t="s">
        <v>2</v>
      </c>
      <c r="F3" s="1" t="s">
        <v>3</v>
      </c>
      <c r="H3" s="1" t="s">
        <v>0</v>
      </c>
      <c r="I3" s="1" t="s">
        <v>4</v>
      </c>
      <c r="J3" s="1" t="s">
        <v>5</v>
      </c>
      <c r="K3" s="1" t="s">
        <v>6</v>
      </c>
      <c r="M3" s="1" t="s">
        <v>14</v>
      </c>
      <c r="N3" s="1" t="s">
        <v>15</v>
      </c>
    </row>
    <row r="4" spans="2:14" x14ac:dyDescent="0.3">
      <c r="C4" s="2">
        <v>1</v>
      </c>
      <c r="D4" s="2">
        <v>8.1</v>
      </c>
      <c r="E4" s="2">
        <v>35586</v>
      </c>
      <c r="F4" s="2">
        <f>E4*D4</f>
        <v>288246.59999999998</v>
      </c>
      <c r="H4" s="2">
        <v>1</v>
      </c>
      <c r="I4" s="2">
        <v>14.29</v>
      </c>
      <c r="J4" s="2">
        <f>N2*I4%</f>
        <v>185292.20761956001</v>
      </c>
      <c r="K4" s="2">
        <f>N2-J4</f>
        <v>1111364.2487804401</v>
      </c>
      <c r="M4" s="2">
        <f t="shared" ref="M4:M11" si="0">J4*0.11</f>
        <v>20382.142838151602</v>
      </c>
      <c r="N4" s="2">
        <f t="shared" ref="N4:N11" si="1">J4*0.06</f>
        <v>11117.5324571736</v>
      </c>
    </row>
    <row r="5" spans="2:14" x14ac:dyDescent="0.3">
      <c r="C5" s="2">
        <v>2</v>
      </c>
      <c r="D5" s="2">
        <v>8.1</v>
      </c>
      <c r="E5" s="2">
        <v>34650</v>
      </c>
      <c r="F5" s="2">
        <f t="shared" ref="F5:F11" si="2">E5*D5</f>
        <v>280665</v>
      </c>
      <c r="H5" s="2">
        <v>2</v>
      </c>
      <c r="I5" s="2">
        <v>24.49</v>
      </c>
      <c r="J5" s="2">
        <f>N2*I5%</f>
        <v>317551.16617235995</v>
      </c>
      <c r="K5" s="2">
        <f t="shared" ref="K5:K11" si="3">K4-J5</f>
        <v>793813.08260808012</v>
      </c>
      <c r="M5" s="2">
        <f t="shared" si="0"/>
        <v>34930.628278959593</v>
      </c>
      <c r="N5" s="2">
        <f t="shared" si="1"/>
        <v>19053.069970341596</v>
      </c>
    </row>
    <row r="6" spans="2:14" x14ac:dyDescent="0.3">
      <c r="C6" s="2">
        <v>3</v>
      </c>
      <c r="D6" s="2">
        <v>8.1</v>
      </c>
      <c r="E6" s="2">
        <v>34891</v>
      </c>
      <c r="F6" s="2">
        <f t="shared" si="2"/>
        <v>282617.09999999998</v>
      </c>
      <c r="H6" s="2">
        <v>3</v>
      </c>
      <c r="I6" s="2">
        <v>17.489999999999998</v>
      </c>
      <c r="J6" s="2">
        <f>N2*I6%</f>
        <v>226785.21422435998</v>
      </c>
      <c r="K6" s="2">
        <f t="shared" si="3"/>
        <v>567027.86838372017</v>
      </c>
      <c r="M6" s="2">
        <f t="shared" si="0"/>
        <v>24946.373564679598</v>
      </c>
      <c r="N6" s="2">
        <f t="shared" si="1"/>
        <v>13607.112853461598</v>
      </c>
    </row>
    <row r="7" spans="2:14" x14ac:dyDescent="0.3">
      <c r="C7" s="2">
        <v>4</v>
      </c>
      <c r="D7" s="2">
        <v>8.1</v>
      </c>
      <c r="E7" s="2">
        <v>35236</v>
      </c>
      <c r="F7" s="2">
        <f t="shared" si="2"/>
        <v>285411.59999999998</v>
      </c>
      <c r="H7" s="2">
        <v>4</v>
      </c>
      <c r="I7" s="2">
        <v>12.49</v>
      </c>
      <c r="J7" s="2">
        <f>N2*I7%</f>
        <v>161952.39140436001</v>
      </c>
      <c r="K7" s="2">
        <f t="shared" si="3"/>
        <v>405075.47697936016</v>
      </c>
      <c r="M7" s="2">
        <f t="shared" si="0"/>
        <v>17814.763054479601</v>
      </c>
      <c r="N7" s="2">
        <f t="shared" si="1"/>
        <v>9717.1434842616</v>
      </c>
    </row>
    <row r="8" spans="2:14" x14ac:dyDescent="0.3">
      <c r="C8" s="2">
        <v>5</v>
      </c>
      <c r="D8" s="2">
        <v>7.2089999999999996</v>
      </c>
      <c r="E8" s="2">
        <v>35149</v>
      </c>
      <c r="F8" s="2">
        <f t="shared" si="2"/>
        <v>253389.14099999997</v>
      </c>
      <c r="H8" s="2">
        <v>5</v>
      </c>
      <c r="I8" s="2">
        <v>8.93</v>
      </c>
      <c r="J8" s="2">
        <f>N2*I8%</f>
        <v>115791.42155651998</v>
      </c>
      <c r="K8" s="2">
        <f t="shared" si="3"/>
        <v>289284.05542284017</v>
      </c>
      <c r="M8" s="2">
        <f t="shared" si="0"/>
        <v>12737.056371217199</v>
      </c>
      <c r="N8" s="2">
        <f t="shared" si="1"/>
        <v>6947.4852933911989</v>
      </c>
    </row>
    <row r="9" spans="2:14" x14ac:dyDescent="0.3">
      <c r="C9" s="2">
        <v>6</v>
      </c>
      <c r="D9" s="2">
        <v>7.2089999999999996</v>
      </c>
      <c r="E9" s="2">
        <v>35528</v>
      </c>
      <c r="F9" s="2">
        <f t="shared" si="2"/>
        <v>256121.35199999998</v>
      </c>
      <c r="H9" s="2">
        <v>6</v>
      </c>
      <c r="I9" s="2">
        <v>8.92</v>
      </c>
      <c r="J9" s="2">
        <f>N2*I9%</f>
        <v>115661.75591088001</v>
      </c>
      <c r="K9" s="2">
        <f t="shared" si="3"/>
        <v>173622.29951196018</v>
      </c>
      <c r="M9" s="2">
        <f t="shared" si="0"/>
        <v>12722.793150196801</v>
      </c>
      <c r="N9" s="2">
        <f t="shared" si="1"/>
        <v>6939.7053546528005</v>
      </c>
    </row>
    <row r="10" spans="2:14" x14ac:dyDescent="0.3">
      <c r="C10" s="2">
        <v>7</v>
      </c>
      <c r="D10" s="2">
        <v>7.2089999999999996</v>
      </c>
      <c r="E10" s="2">
        <v>35957</v>
      </c>
      <c r="F10" s="2">
        <f t="shared" si="2"/>
        <v>259214.01299999998</v>
      </c>
      <c r="H10" s="2">
        <v>7</v>
      </c>
      <c r="I10" s="2">
        <v>8.93</v>
      </c>
      <c r="J10" s="2">
        <f>N2*I10%</f>
        <v>115791.42155651998</v>
      </c>
      <c r="K10" s="2">
        <f t="shared" si="3"/>
        <v>57830.877955440199</v>
      </c>
      <c r="M10" s="2">
        <f t="shared" si="0"/>
        <v>12737.056371217199</v>
      </c>
      <c r="N10" s="2">
        <f t="shared" si="1"/>
        <v>6947.4852933911989</v>
      </c>
    </row>
    <row r="11" spans="2:14" x14ac:dyDescent="0.3">
      <c r="C11" s="2">
        <v>8</v>
      </c>
      <c r="D11" s="2">
        <v>7.2089999999999996</v>
      </c>
      <c r="E11" s="2">
        <v>35432</v>
      </c>
      <c r="F11" s="2">
        <f t="shared" si="2"/>
        <v>255429.288</v>
      </c>
      <c r="H11" s="2">
        <v>8</v>
      </c>
      <c r="I11" s="2">
        <v>4.46</v>
      </c>
      <c r="J11" s="2">
        <f>N2*I11%</f>
        <v>57830.877955440003</v>
      </c>
      <c r="K11" s="2">
        <f t="shared" si="3"/>
        <v>1.964508555829525E-10</v>
      </c>
      <c r="M11" s="2">
        <f t="shared" si="0"/>
        <v>6361.3965750984007</v>
      </c>
      <c r="N11" s="2">
        <f t="shared" si="1"/>
        <v>3469.8526773264002</v>
      </c>
    </row>
    <row r="12" spans="2:14" x14ac:dyDescent="0.3">
      <c r="E12" s="4">
        <f>SUM(E4:E11)</f>
        <v>282429</v>
      </c>
      <c r="F12" s="3">
        <f>SUM(F4:F11)</f>
        <v>2161094.094</v>
      </c>
      <c r="G12" s="49" t="s">
        <v>46</v>
      </c>
      <c r="H12" s="39"/>
    </row>
    <row r="13" spans="2:14" x14ac:dyDescent="0.3">
      <c r="C13" s="43" t="s">
        <v>13</v>
      </c>
      <c r="D13" s="43"/>
      <c r="E13" s="43"/>
      <c r="F13" s="43"/>
      <c r="G13" s="43"/>
      <c r="H13" s="43"/>
      <c r="I13" s="43"/>
      <c r="J13" s="43"/>
      <c r="K13" s="43"/>
    </row>
    <row r="14" spans="2:14" x14ac:dyDescent="0.3">
      <c r="B14" s="4" t="s">
        <v>55</v>
      </c>
      <c r="C14" s="2"/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M14" s="1" t="s">
        <v>1</v>
      </c>
      <c r="N14" s="1" t="s">
        <v>16</v>
      </c>
    </row>
    <row r="15" spans="2:14" x14ac:dyDescent="0.3">
      <c r="C15" s="2" t="s">
        <v>1</v>
      </c>
      <c r="D15" s="2">
        <v>8.1</v>
      </c>
      <c r="E15" s="2">
        <v>8.1</v>
      </c>
      <c r="F15" s="2">
        <v>8.1</v>
      </c>
      <c r="G15" s="2">
        <v>8.1</v>
      </c>
      <c r="H15" s="2">
        <v>7.2089999999999996</v>
      </c>
      <c r="I15" s="2">
        <f>H15</f>
        <v>7.2089999999999996</v>
      </c>
      <c r="J15" s="2">
        <f>H15</f>
        <v>7.2089999999999996</v>
      </c>
      <c r="K15" s="2">
        <f>H15</f>
        <v>7.2089999999999996</v>
      </c>
      <c r="M15" s="2">
        <f>8.1*0.11</f>
        <v>0.89100000000000001</v>
      </c>
      <c r="N15" s="2">
        <f>8.1-M15</f>
        <v>7.2089999999999996</v>
      </c>
    </row>
    <row r="16" spans="2:14" x14ac:dyDescent="0.3">
      <c r="C16" s="2" t="s">
        <v>7</v>
      </c>
      <c r="D16" s="2">
        <v>35586</v>
      </c>
      <c r="E16" s="2">
        <v>34650</v>
      </c>
      <c r="F16" s="2">
        <v>34891</v>
      </c>
      <c r="G16" s="2">
        <v>35236</v>
      </c>
      <c r="H16" s="2">
        <v>35149</v>
      </c>
      <c r="I16" s="2">
        <v>35528</v>
      </c>
      <c r="J16" s="2">
        <v>35957</v>
      </c>
      <c r="K16" s="2">
        <v>35432</v>
      </c>
      <c r="M16" s="2">
        <f t="shared" ref="M16:M21" si="4">N15*0.11</f>
        <v>0.79298999999999997</v>
      </c>
      <c r="N16" s="2">
        <f t="shared" ref="N16:N21" si="5">N15-M16</f>
        <v>6.41601</v>
      </c>
    </row>
    <row r="17" spans="3:15" x14ac:dyDescent="0.3">
      <c r="C17" s="2" t="s">
        <v>3</v>
      </c>
      <c r="D17" s="2">
        <f>D16*D15</f>
        <v>288246.59999999998</v>
      </c>
      <c r="E17" s="2">
        <f t="shared" ref="E17:K17" si="6">E16*E15</f>
        <v>280665</v>
      </c>
      <c r="F17" s="2">
        <f t="shared" si="6"/>
        <v>282617.09999999998</v>
      </c>
      <c r="G17" s="2">
        <f t="shared" si="6"/>
        <v>285411.59999999998</v>
      </c>
      <c r="H17" s="2">
        <f t="shared" si="6"/>
        <v>253389.14099999997</v>
      </c>
      <c r="I17" s="2">
        <f t="shared" si="6"/>
        <v>256121.35199999998</v>
      </c>
      <c r="J17" s="2">
        <f t="shared" si="6"/>
        <v>259214.01299999998</v>
      </c>
      <c r="K17" s="2">
        <f t="shared" si="6"/>
        <v>255429.288</v>
      </c>
      <c r="M17" s="2">
        <f t="shared" si="4"/>
        <v>0.70576110000000003</v>
      </c>
      <c r="N17" s="2">
        <f t="shared" si="5"/>
        <v>5.7102488999999998</v>
      </c>
    </row>
    <row r="18" spans="3:15" x14ac:dyDescent="0.3">
      <c r="C18" s="2" t="s">
        <v>8</v>
      </c>
      <c r="D18" s="2">
        <f>D16*4.5</f>
        <v>160137</v>
      </c>
      <c r="E18" s="2">
        <f t="shared" ref="E18:K18" si="7">E16*4.5</f>
        <v>155925</v>
      </c>
      <c r="F18" s="2">
        <f t="shared" si="7"/>
        <v>157009.5</v>
      </c>
      <c r="G18" s="2">
        <f t="shared" si="7"/>
        <v>158562</v>
      </c>
      <c r="H18" s="2">
        <f t="shared" si="7"/>
        <v>158170.5</v>
      </c>
      <c r="I18" s="2">
        <f t="shared" si="7"/>
        <v>159876</v>
      </c>
      <c r="J18" s="2">
        <f t="shared" si="7"/>
        <v>161806.5</v>
      </c>
      <c r="K18" s="2">
        <f t="shared" si="7"/>
        <v>159444</v>
      </c>
      <c r="M18" s="2">
        <f t="shared" si="4"/>
        <v>0.62812737900000004</v>
      </c>
      <c r="N18" s="2">
        <f t="shared" si="5"/>
        <v>5.0821215209999995</v>
      </c>
    </row>
    <row r="19" spans="3:15" x14ac:dyDescent="0.3">
      <c r="C19" s="2" t="s">
        <v>9</v>
      </c>
      <c r="D19" s="2">
        <f>SUM(M4+N4)</f>
        <v>31499.6752953252</v>
      </c>
      <c r="E19" s="2">
        <f>SUM(M5+N5)</f>
        <v>53983.698249301189</v>
      </c>
      <c r="F19" s="2">
        <f>SUM(M6+N6)</f>
        <v>38553.486418141198</v>
      </c>
      <c r="G19" s="2">
        <f>SUM(M7+N7)</f>
        <v>27531.906538741201</v>
      </c>
      <c r="H19" s="2">
        <f>SUM(M8+N8)</f>
        <v>19684.541664608398</v>
      </c>
      <c r="I19" s="2">
        <f>SUM(M9+N9)</f>
        <v>19662.498504849602</v>
      </c>
      <c r="J19" s="2">
        <f>SUM(M10+N10)</f>
        <v>19684.541664608398</v>
      </c>
      <c r="K19" s="2">
        <f>SUM(M11+N11)</f>
        <v>9831.2492524248009</v>
      </c>
      <c r="M19" s="2">
        <f t="shared" si="4"/>
        <v>0.55903336730999997</v>
      </c>
      <c r="N19" s="2">
        <f t="shared" si="5"/>
        <v>4.5230881536899998</v>
      </c>
    </row>
    <row r="20" spans="3:15" x14ac:dyDescent="0.3">
      <c r="C20" s="2" t="s">
        <v>5</v>
      </c>
      <c r="D20" s="2">
        <f>J4</f>
        <v>185292.20761956001</v>
      </c>
      <c r="E20" s="2">
        <f>J5</f>
        <v>317551.16617235995</v>
      </c>
      <c r="F20" s="2">
        <f>J6</f>
        <v>226785.21422435998</v>
      </c>
      <c r="G20" s="2">
        <f>J7</f>
        <v>161952.39140436001</v>
      </c>
      <c r="H20" s="2">
        <f>J8</f>
        <v>115791.42155651998</v>
      </c>
      <c r="I20" s="2">
        <f>J9</f>
        <v>115661.75591088001</v>
      </c>
      <c r="J20" s="2">
        <f>J10</f>
        <v>115791.42155651998</v>
      </c>
      <c r="K20" s="2">
        <f>J11</f>
        <v>57830.877955440003</v>
      </c>
      <c r="M20" s="2">
        <f t="shared" si="4"/>
        <v>0.4975396969059</v>
      </c>
      <c r="N20" s="2">
        <f t="shared" si="5"/>
        <v>4.0255484567841</v>
      </c>
    </row>
    <row r="21" spans="3:15" x14ac:dyDescent="0.3">
      <c r="C21" s="2" t="s">
        <v>10</v>
      </c>
      <c r="D21" s="2">
        <f>D18-(D19+D20)</f>
        <v>-56654.882914885209</v>
      </c>
      <c r="E21" s="2">
        <f t="shared" ref="E21:K21" si="8">E18-(E19+E20)</f>
        <v>-215609.86442166113</v>
      </c>
      <c r="F21" s="2">
        <f t="shared" si="8"/>
        <v>-108329.20064250118</v>
      </c>
      <c r="G21" s="2">
        <f t="shared" si="8"/>
        <v>-30922.297943101206</v>
      </c>
      <c r="H21" s="2">
        <f t="shared" si="8"/>
        <v>22694.53677887161</v>
      </c>
      <c r="I21" s="2">
        <f t="shared" si="8"/>
        <v>24551.745584270393</v>
      </c>
      <c r="J21" s="2">
        <f t="shared" si="8"/>
        <v>26330.53677887161</v>
      </c>
      <c r="K21" s="2">
        <f t="shared" si="8"/>
        <v>91781.872792135197</v>
      </c>
      <c r="M21" s="2">
        <f t="shared" si="4"/>
        <v>0.44281033024625099</v>
      </c>
      <c r="N21" s="2">
        <f t="shared" si="5"/>
        <v>3.5827381265378491</v>
      </c>
    </row>
    <row r="22" spans="3:15" x14ac:dyDescent="0.3">
      <c r="C22" s="2" t="s">
        <v>11</v>
      </c>
      <c r="D22" s="2">
        <f>D21*33.5%</f>
        <v>-18979.385776486546</v>
      </c>
      <c r="E22" s="2">
        <f t="shared" ref="E22:K22" si="9">E21*33.5%</f>
        <v>-72229.304581256481</v>
      </c>
      <c r="F22" s="2">
        <f t="shared" si="9"/>
        <v>-36290.282215237894</v>
      </c>
      <c r="G22" s="2">
        <f t="shared" si="9"/>
        <v>-10358.969810938905</v>
      </c>
      <c r="H22" s="2">
        <f t="shared" si="9"/>
        <v>7602.6698209219903</v>
      </c>
      <c r="I22" s="2">
        <f t="shared" si="9"/>
        <v>8224.834770730582</v>
      </c>
      <c r="J22" s="2">
        <f t="shared" si="9"/>
        <v>8820.7298209219898</v>
      </c>
      <c r="K22" s="2">
        <f t="shared" si="9"/>
        <v>30746.927385365292</v>
      </c>
    </row>
    <row r="23" spans="3:15" x14ac:dyDescent="0.3">
      <c r="C23" s="2" t="s">
        <v>12</v>
      </c>
      <c r="D23" s="2">
        <f>D21-D22</f>
        <v>-37675.497138398663</v>
      </c>
      <c r="E23" s="2">
        <f t="shared" ref="E23:K23" si="10">E21-E22</f>
        <v>-143380.55984040466</v>
      </c>
      <c r="F23" s="2">
        <f t="shared" si="10"/>
        <v>-72038.918427263285</v>
      </c>
      <c r="G23" s="2">
        <f t="shared" si="10"/>
        <v>-20563.3281321623</v>
      </c>
      <c r="H23" s="2">
        <f t="shared" si="10"/>
        <v>15091.86695794962</v>
      </c>
      <c r="I23" s="2">
        <f t="shared" si="10"/>
        <v>16326.910813539811</v>
      </c>
      <c r="J23" s="2">
        <f t="shared" si="10"/>
        <v>17509.806957949622</v>
      </c>
      <c r="K23" s="2">
        <f t="shared" si="10"/>
        <v>61034.945406769904</v>
      </c>
      <c r="L23" s="3">
        <f>SUM(D23:K23)</f>
        <v>-163694.77340201996</v>
      </c>
    </row>
    <row r="25" spans="3:15" x14ac:dyDescent="0.3">
      <c r="D25" s="48" t="s">
        <v>48</v>
      </c>
      <c r="E25" s="48"/>
      <c r="M25" s="7" t="str">
        <f>M2</f>
        <v xml:space="preserve">60% of seals </v>
      </c>
      <c r="N25" s="7">
        <f>N2</f>
        <v>1296656.4564</v>
      </c>
      <c r="O25" s="4" t="s">
        <v>40</v>
      </c>
    </row>
    <row r="26" spans="3:15" x14ac:dyDescent="0.3">
      <c r="C26" s="1" t="s">
        <v>0</v>
      </c>
      <c r="D26" s="1" t="s">
        <v>44</v>
      </c>
      <c r="E26" s="1" t="s">
        <v>19</v>
      </c>
      <c r="F26" s="1" t="s">
        <v>20</v>
      </c>
      <c r="M26" s="7" t="s">
        <v>29</v>
      </c>
      <c r="N26" s="7">
        <f>F12*40%</f>
        <v>864437.63760000002</v>
      </c>
      <c r="O26" s="4" t="s">
        <v>31</v>
      </c>
    </row>
    <row r="27" spans="3:15" x14ac:dyDescent="0.3">
      <c r="C27" s="2">
        <v>0</v>
      </c>
      <c r="D27" s="2"/>
      <c r="E27" s="2">
        <f>D28*15%</f>
        <v>43236.99</v>
      </c>
      <c r="F27" s="2">
        <f>-E27</f>
        <v>-43236.99</v>
      </c>
      <c r="M27" s="7" t="s">
        <v>30</v>
      </c>
      <c r="N27" s="7">
        <f>F12*20%</f>
        <v>432218.81880000001</v>
      </c>
      <c r="O27" s="4" t="s">
        <v>32</v>
      </c>
    </row>
    <row r="28" spans="3:15" x14ac:dyDescent="0.3">
      <c r="C28" s="2">
        <v>1</v>
      </c>
      <c r="D28" s="2">
        <f t="shared" ref="D28:D35" si="11">F4</f>
        <v>288246.59999999998</v>
      </c>
      <c r="E28" s="2">
        <f>(D28*20%)+(D28*15%)</f>
        <v>100886.31</v>
      </c>
      <c r="F28" s="2">
        <f t="shared" ref="F28:F35" si="12">E27-E28</f>
        <v>-57649.32</v>
      </c>
    </row>
    <row r="29" spans="3:15" x14ac:dyDescent="0.3">
      <c r="C29" s="2">
        <v>2</v>
      </c>
      <c r="D29" s="2">
        <f t="shared" si="11"/>
        <v>280665</v>
      </c>
      <c r="E29" s="2">
        <f>(D29*20%)+(D28*15%)</f>
        <v>99369.989999999991</v>
      </c>
      <c r="F29" s="2">
        <f t="shared" si="12"/>
        <v>1516.320000000007</v>
      </c>
      <c r="M29" s="4" t="str">
        <f>B51</f>
        <v xml:space="preserve">After tax salvage </v>
      </c>
      <c r="N29" s="4">
        <f>N25-(0.335*(N27-N26))</f>
        <v>1441449.760698</v>
      </c>
    </row>
    <row r="30" spans="3:15" x14ac:dyDescent="0.3">
      <c r="C30" s="2">
        <v>3</v>
      </c>
      <c r="D30" s="2">
        <f t="shared" si="11"/>
        <v>282617.09999999998</v>
      </c>
      <c r="E30" s="2">
        <f>(D30*20%)+(D28*15%)</f>
        <v>99760.41</v>
      </c>
      <c r="F30" s="2">
        <f t="shared" si="12"/>
        <v>-390.42000000001281</v>
      </c>
    </row>
    <row r="31" spans="3:15" x14ac:dyDescent="0.3">
      <c r="C31" s="2">
        <v>4</v>
      </c>
      <c r="D31" s="2">
        <f t="shared" si="11"/>
        <v>285411.59999999998</v>
      </c>
      <c r="E31" s="2">
        <f>(D31*20%)+(D28*15%)</f>
        <v>100319.31</v>
      </c>
      <c r="F31" s="2">
        <f t="shared" si="12"/>
        <v>-558.89999999999418</v>
      </c>
    </row>
    <row r="32" spans="3:15" x14ac:dyDescent="0.3">
      <c r="C32" s="2">
        <v>5</v>
      </c>
      <c r="D32" s="2">
        <f t="shared" si="11"/>
        <v>253389.14099999997</v>
      </c>
      <c r="E32" s="2">
        <f>(D32*20%)+(D28*15%)</f>
        <v>93914.818199999994</v>
      </c>
      <c r="F32" s="2">
        <f t="shared" si="12"/>
        <v>6404.4918000000034</v>
      </c>
    </row>
    <row r="33" spans="2:11" x14ac:dyDescent="0.3">
      <c r="C33" s="2">
        <v>6</v>
      </c>
      <c r="D33" s="2">
        <f t="shared" si="11"/>
        <v>256121.35199999998</v>
      </c>
      <c r="E33" s="2">
        <f>(D33*20%)+(D28*15%)</f>
        <v>94461.260399999999</v>
      </c>
      <c r="F33" s="2">
        <f t="shared" si="12"/>
        <v>-546.44220000000496</v>
      </c>
    </row>
    <row r="34" spans="2:11" x14ac:dyDescent="0.3">
      <c r="C34" s="2">
        <v>7</v>
      </c>
      <c r="D34" s="2">
        <f t="shared" si="11"/>
        <v>259214.01299999998</v>
      </c>
      <c r="E34" s="2">
        <f>(D34*20%)+(D28*15%)</f>
        <v>95079.792599999986</v>
      </c>
      <c r="F34" s="2">
        <f t="shared" si="12"/>
        <v>-618.53219999998691</v>
      </c>
    </row>
    <row r="35" spans="2:11" x14ac:dyDescent="0.3">
      <c r="C35" s="2">
        <v>8</v>
      </c>
      <c r="D35" s="2">
        <f t="shared" si="11"/>
        <v>255429.288</v>
      </c>
      <c r="E35" s="2">
        <f>(D35*20%)+(D28*15%)</f>
        <v>94322.847600000008</v>
      </c>
      <c r="F35" s="2">
        <f t="shared" si="12"/>
        <v>756.94499999997788</v>
      </c>
    </row>
    <row r="36" spans="2:11" ht="16.2" thickBot="1" x14ac:dyDescent="0.35">
      <c r="C36" s="5"/>
      <c r="D36" s="5"/>
      <c r="E36" s="50" t="s">
        <v>47</v>
      </c>
      <c r="F36" s="50"/>
      <c r="G36" s="50"/>
    </row>
    <row r="37" spans="2:11" ht="16.2" thickBot="1" x14ac:dyDescent="0.35">
      <c r="B37" s="8"/>
      <c r="C37" s="44" t="s">
        <v>21</v>
      </c>
      <c r="D37" s="44"/>
      <c r="E37" s="44"/>
      <c r="F37" s="44"/>
      <c r="G37" s="44"/>
      <c r="H37" s="44"/>
      <c r="I37" s="44"/>
      <c r="J37" s="44"/>
      <c r="K37" s="45"/>
    </row>
    <row r="38" spans="2:11" ht="16.2" thickBot="1" x14ac:dyDescent="0.35">
      <c r="B38" s="9"/>
      <c r="C38" s="10">
        <v>0</v>
      </c>
      <c r="D38" s="10">
        <v>1</v>
      </c>
      <c r="E38" s="10">
        <v>2</v>
      </c>
      <c r="F38" s="10">
        <v>3</v>
      </c>
      <c r="G38" s="10">
        <v>4</v>
      </c>
      <c r="H38" s="10">
        <v>5</v>
      </c>
      <c r="I38" s="10">
        <v>6</v>
      </c>
      <c r="J38" s="10">
        <v>7</v>
      </c>
      <c r="K38" s="11">
        <v>8</v>
      </c>
    </row>
    <row r="39" spans="2:11" x14ac:dyDescent="0.3">
      <c r="B39" s="12" t="s">
        <v>36</v>
      </c>
      <c r="C39" s="13"/>
      <c r="D39" s="13"/>
      <c r="E39" s="13"/>
      <c r="F39" s="13"/>
      <c r="G39" s="13"/>
      <c r="H39" s="13"/>
      <c r="I39" s="13"/>
      <c r="J39" s="13"/>
      <c r="K39" s="14"/>
    </row>
    <row r="40" spans="2:11" x14ac:dyDescent="0.3">
      <c r="B40" s="12" t="s">
        <v>10</v>
      </c>
      <c r="C40" s="13"/>
      <c r="D40" s="13">
        <f t="shared" ref="D40:K40" si="13">D21</f>
        <v>-56654.882914885209</v>
      </c>
      <c r="E40" s="13">
        <f t="shared" si="13"/>
        <v>-215609.86442166113</v>
      </c>
      <c r="F40" s="13">
        <f t="shared" si="13"/>
        <v>-108329.20064250118</v>
      </c>
      <c r="G40" s="13">
        <f t="shared" si="13"/>
        <v>-30922.297943101206</v>
      </c>
      <c r="H40" s="13">
        <f t="shared" si="13"/>
        <v>22694.53677887161</v>
      </c>
      <c r="I40" s="13">
        <f t="shared" si="13"/>
        <v>24551.745584270393</v>
      </c>
      <c r="J40" s="13">
        <f t="shared" si="13"/>
        <v>26330.53677887161</v>
      </c>
      <c r="K40" s="14">
        <f t="shared" si="13"/>
        <v>91781.872792135197</v>
      </c>
    </row>
    <row r="41" spans="2:11" x14ac:dyDescent="0.3">
      <c r="B41" s="12" t="s">
        <v>5</v>
      </c>
      <c r="C41" s="13"/>
      <c r="D41" s="13">
        <f t="shared" ref="D41:K41" si="14">D20</f>
        <v>185292.20761956001</v>
      </c>
      <c r="E41" s="13">
        <f t="shared" si="14"/>
        <v>317551.16617235995</v>
      </c>
      <c r="F41" s="13">
        <f t="shared" si="14"/>
        <v>226785.21422435998</v>
      </c>
      <c r="G41" s="13">
        <f t="shared" si="14"/>
        <v>161952.39140436001</v>
      </c>
      <c r="H41" s="13">
        <f t="shared" si="14"/>
        <v>115791.42155651998</v>
      </c>
      <c r="I41" s="13">
        <f t="shared" si="14"/>
        <v>115661.75591088001</v>
      </c>
      <c r="J41" s="13">
        <f t="shared" si="14"/>
        <v>115791.42155651998</v>
      </c>
      <c r="K41" s="14">
        <f t="shared" si="14"/>
        <v>57830.877955440003</v>
      </c>
    </row>
    <row r="42" spans="2:11" x14ac:dyDescent="0.3">
      <c r="B42" s="12" t="s">
        <v>11</v>
      </c>
      <c r="C42" s="13"/>
      <c r="D42" s="13">
        <f t="shared" ref="D42:K42" si="15">D22</f>
        <v>-18979.385776486546</v>
      </c>
      <c r="E42" s="13">
        <f t="shared" si="15"/>
        <v>-72229.304581256481</v>
      </c>
      <c r="F42" s="13">
        <f t="shared" si="15"/>
        <v>-36290.282215237894</v>
      </c>
      <c r="G42" s="13">
        <f t="shared" si="15"/>
        <v>-10358.969810938905</v>
      </c>
      <c r="H42" s="13">
        <f t="shared" si="15"/>
        <v>7602.6698209219903</v>
      </c>
      <c r="I42" s="13">
        <f t="shared" si="15"/>
        <v>8224.834770730582</v>
      </c>
      <c r="J42" s="13">
        <f t="shared" si="15"/>
        <v>8820.7298209219898</v>
      </c>
      <c r="K42" s="14">
        <f t="shared" si="15"/>
        <v>30746.927385365292</v>
      </c>
    </row>
    <row r="43" spans="2:11" x14ac:dyDescent="0.3">
      <c r="B43" s="12" t="s">
        <v>22</v>
      </c>
      <c r="C43" s="13"/>
      <c r="D43" s="13">
        <f>(D40+D41)-D22</f>
        <v>147616.71048116134</v>
      </c>
      <c r="E43" s="13">
        <f>(E40+E41)-E22</f>
        <v>174170.60633195529</v>
      </c>
      <c r="F43" s="13">
        <f t="shared" ref="F43:K43" si="16">(F40+F41)-F22</f>
        <v>154746.29579709668</v>
      </c>
      <c r="G43" s="13">
        <f t="shared" si="16"/>
        <v>141389.0632721977</v>
      </c>
      <c r="H43" s="13">
        <f t="shared" si="16"/>
        <v>130883.2885144696</v>
      </c>
      <c r="I43" s="13">
        <f t="shared" si="16"/>
        <v>131988.6667244198</v>
      </c>
      <c r="J43" s="13">
        <f t="shared" si="16"/>
        <v>133301.22851446961</v>
      </c>
      <c r="K43" s="14">
        <f t="shared" si="16"/>
        <v>118865.82336220989</v>
      </c>
    </row>
    <row r="44" spans="2:11" x14ac:dyDescent="0.3">
      <c r="B44" s="12" t="s">
        <v>37</v>
      </c>
      <c r="C44" s="13"/>
      <c r="D44" s="13"/>
      <c r="E44" s="13"/>
      <c r="F44" s="13"/>
      <c r="G44" s="13"/>
      <c r="H44" s="13"/>
      <c r="I44" s="13"/>
      <c r="J44" s="13"/>
      <c r="K44" s="14"/>
    </row>
    <row r="45" spans="2:11" x14ac:dyDescent="0.3">
      <c r="B45" s="12" t="s">
        <v>23</v>
      </c>
      <c r="C45" s="13">
        <f>F27</f>
        <v>-43236.99</v>
      </c>
      <c r="D45" s="13"/>
      <c r="E45" s="13"/>
      <c r="F45" s="13"/>
      <c r="G45" s="13"/>
      <c r="H45" s="13"/>
      <c r="I45" s="13"/>
      <c r="J45" s="13"/>
      <c r="K45" s="14"/>
    </row>
    <row r="46" spans="2:11" x14ac:dyDescent="0.3">
      <c r="B46" s="12" t="s">
        <v>24</v>
      </c>
      <c r="C46" s="13"/>
      <c r="D46" s="13">
        <f>F28</f>
        <v>-57649.32</v>
      </c>
      <c r="E46" s="13">
        <f>F29</f>
        <v>1516.320000000007</v>
      </c>
      <c r="F46" s="13">
        <f>F30</f>
        <v>-390.42000000001281</v>
      </c>
      <c r="G46" s="13">
        <f>F31</f>
        <v>-558.89999999999418</v>
      </c>
      <c r="H46" s="13">
        <f>F32</f>
        <v>6404.4918000000034</v>
      </c>
      <c r="I46" s="13">
        <f>F33</f>
        <v>-546.44220000000496</v>
      </c>
      <c r="J46" s="13">
        <f>F34</f>
        <v>-618.53219999998691</v>
      </c>
      <c r="K46" s="14">
        <f>F35</f>
        <v>756.94499999997788</v>
      </c>
    </row>
    <row r="47" spans="2:11" x14ac:dyDescent="0.3">
      <c r="B47" s="12" t="s">
        <v>25</v>
      </c>
      <c r="C47" s="13"/>
      <c r="D47" s="13"/>
      <c r="E47" s="13"/>
      <c r="F47" s="13"/>
      <c r="G47" s="13"/>
      <c r="H47" s="13"/>
      <c r="I47" s="13"/>
      <c r="J47" s="13"/>
      <c r="K47" s="14">
        <f>E35</f>
        <v>94322.847600000008</v>
      </c>
    </row>
    <row r="48" spans="2:11" x14ac:dyDescent="0.3">
      <c r="B48" s="12" t="s">
        <v>26</v>
      </c>
      <c r="C48" s="13">
        <f>SUM(C45:C47)</f>
        <v>-43236.99</v>
      </c>
      <c r="D48" s="13">
        <f t="shared" ref="D48:K48" si="17">SUM(D45:D47)</f>
        <v>-57649.32</v>
      </c>
      <c r="E48" s="13">
        <f t="shared" si="17"/>
        <v>1516.320000000007</v>
      </c>
      <c r="F48" s="13">
        <f t="shared" si="17"/>
        <v>-390.42000000001281</v>
      </c>
      <c r="G48" s="13">
        <f t="shared" si="17"/>
        <v>-558.89999999999418</v>
      </c>
      <c r="H48" s="13">
        <f t="shared" si="17"/>
        <v>6404.4918000000034</v>
      </c>
      <c r="I48" s="13">
        <f t="shared" si="17"/>
        <v>-546.44220000000496</v>
      </c>
      <c r="J48" s="13">
        <f t="shared" si="17"/>
        <v>-618.53219999998691</v>
      </c>
      <c r="K48" s="14">
        <f t="shared" si="17"/>
        <v>95079.792599999986</v>
      </c>
    </row>
    <row r="49" spans="2:11" x14ac:dyDescent="0.3">
      <c r="B49" s="12" t="s">
        <v>27</v>
      </c>
      <c r="C49" s="13"/>
      <c r="D49" s="13"/>
      <c r="E49" s="13"/>
      <c r="F49" s="13"/>
      <c r="G49" s="13"/>
      <c r="H49" s="13"/>
      <c r="I49" s="13"/>
      <c r="J49" s="13"/>
      <c r="K49" s="14"/>
    </row>
    <row r="50" spans="2:11" x14ac:dyDescent="0.3">
      <c r="B50" s="12" t="s">
        <v>28</v>
      </c>
      <c r="C50" s="13">
        <f>-N25</f>
        <v>-1296656.4564</v>
      </c>
      <c r="D50" s="13"/>
      <c r="E50" s="13"/>
      <c r="F50" s="13"/>
      <c r="G50" s="13"/>
      <c r="H50" s="13"/>
      <c r="I50" s="13"/>
      <c r="J50" s="13"/>
      <c r="K50" s="14"/>
    </row>
    <row r="51" spans="2:11" x14ac:dyDescent="0.3">
      <c r="B51" s="12" t="s">
        <v>33</v>
      </c>
      <c r="C51" s="13"/>
      <c r="D51" s="13"/>
      <c r="E51" s="13"/>
      <c r="F51" s="13"/>
      <c r="G51" s="13"/>
      <c r="H51" s="13"/>
      <c r="I51" s="13"/>
      <c r="J51" s="13"/>
      <c r="K51" s="14">
        <f>N29</f>
        <v>1441449.760698</v>
      </c>
    </row>
    <row r="52" spans="2:11" ht="16.2" thickBot="1" x14ac:dyDescent="0.35">
      <c r="B52" s="15" t="s">
        <v>27</v>
      </c>
      <c r="C52" s="16">
        <f>C50</f>
        <v>-1296656.4564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7">
        <f>K51</f>
        <v>1441449.760698</v>
      </c>
    </row>
    <row r="53" spans="2:11" ht="16.2" thickTop="1" x14ac:dyDescent="0.3"/>
    <row r="54" spans="2:11" x14ac:dyDescent="0.3">
      <c r="D54" s="37" t="s">
        <v>49</v>
      </c>
      <c r="E54" s="37"/>
      <c r="F54" s="37"/>
    </row>
    <row r="55" spans="2:11" x14ac:dyDescent="0.3">
      <c r="B55" s="34" t="s">
        <v>21</v>
      </c>
      <c r="C55" s="35"/>
      <c r="D55" s="35"/>
      <c r="E55" s="35"/>
      <c r="F55" s="35"/>
      <c r="G55" s="35"/>
      <c r="H55" s="35"/>
      <c r="I55" s="35"/>
      <c r="J55" s="35"/>
      <c r="K55" s="36"/>
    </row>
    <row r="56" spans="2:11" x14ac:dyDescent="0.3">
      <c r="B56" s="12"/>
      <c r="C56" s="13">
        <v>0</v>
      </c>
      <c r="D56" s="13">
        <v>1</v>
      </c>
      <c r="E56" s="13">
        <v>2</v>
      </c>
      <c r="F56" s="13">
        <v>3</v>
      </c>
      <c r="G56" s="13">
        <v>4</v>
      </c>
      <c r="H56" s="13">
        <v>5</v>
      </c>
      <c r="I56" s="13">
        <v>6</v>
      </c>
      <c r="J56" s="13">
        <v>7</v>
      </c>
      <c r="K56" s="14">
        <v>8</v>
      </c>
    </row>
    <row r="57" spans="2:11" x14ac:dyDescent="0.3">
      <c r="B57" s="12" t="s">
        <v>35</v>
      </c>
      <c r="C57" s="13"/>
      <c r="D57" s="13">
        <f t="shared" ref="D57:K57" si="18">D43</f>
        <v>147616.71048116134</v>
      </c>
      <c r="E57" s="13">
        <f t="shared" si="18"/>
        <v>174170.60633195529</v>
      </c>
      <c r="F57" s="13">
        <f t="shared" si="18"/>
        <v>154746.29579709668</v>
      </c>
      <c r="G57" s="13">
        <f t="shared" si="18"/>
        <v>141389.0632721977</v>
      </c>
      <c r="H57" s="13">
        <f t="shared" si="18"/>
        <v>130883.2885144696</v>
      </c>
      <c r="I57" s="13">
        <f t="shared" si="18"/>
        <v>131988.6667244198</v>
      </c>
      <c r="J57" s="13">
        <f t="shared" si="18"/>
        <v>133301.22851446961</v>
      </c>
      <c r="K57" s="14">
        <f t="shared" si="18"/>
        <v>118865.82336220989</v>
      </c>
    </row>
    <row r="58" spans="2:11" x14ac:dyDescent="0.3">
      <c r="B58" s="12" t="s">
        <v>24</v>
      </c>
      <c r="C58" s="13">
        <f>C45</f>
        <v>-43236.99</v>
      </c>
      <c r="D58" s="13">
        <f t="shared" ref="D58:K58" si="19">D48</f>
        <v>-57649.32</v>
      </c>
      <c r="E58" s="13">
        <f t="shared" si="19"/>
        <v>1516.320000000007</v>
      </c>
      <c r="F58" s="13">
        <f t="shared" si="19"/>
        <v>-390.42000000001281</v>
      </c>
      <c r="G58" s="13">
        <f t="shared" si="19"/>
        <v>-558.89999999999418</v>
      </c>
      <c r="H58" s="13">
        <f t="shared" si="19"/>
        <v>6404.4918000000034</v>
      </c>
      <c r="I58" s="13">
        <f t="shared" si="19"/>
        <v>-546.44220000000496</v>
      </c>
      <c r="J58" s="13">
        <f t="shared" si="19"/>
        <v>-618.53219999998691</v>
      </c>
      <c r="K58" s="14">
        <f t="shared" si="19"/>
        <v>95079.792599999986</v>
      </c>
    </row>
    <row r="59" spans="2:11" x14ac:dyDescent="0.3">
      <c r="B59" s="12" t="s">
        <v>38</v>
      </c>
      <c r="C59" s="13">
        <f>C52</f>
        <v>-1296656.4564</v>
      </c>
      <c r="D59" s="13"/>
      <c r="E59" s="13"/>
      <c r="F59" s="13"/>
      <c r="G59" s="13"/>
      <c r="H59" s="13"/>
      <c r="I59" s="13"/>
      <c r="J59" s="13"/>
      <c r="K59" s="14">
        <f>K52</f>
        <v>1441449.760698</v>
      </c>
    </row>
    <row r="60" spans="2:11" x14ac:dyDescent="0.3">
      <c r="B60" s="12" t="s">
        <v>39</v>
      </c>
      <c r="C60" s="13">
        <f>SUM(C57:C59)</f>
        <v>-1339893.4464</v>
      </c>
      <c r="D60" s="13">
        <f t="shared" ref="D60:K60" si="20">SUM(D57:D59)</f>
        <v>89967.390481161332</v>
      </c>
      <c r="E60" s="13">
        <f t="shared" si="20"/>
        <v>175686.9263319553</v>
      </c>
      <c r="F60" s="13">
        <f t="shared" si="20"/>
        <v>154355.87579709667</v>
      </c>
      <c r="G60" s="13">
        <f t="shared" si="20"/>
        <v>140830.16327219771</v>
      </c>
      <c r="H60" s="13">
        <f t="shared" si="20"/>
        <v>137287.78031446959</v>
      </c>
      <c r="I60" s="13">
        <f t="shared" si="20"/>
        <v>131442.22452441981</v>
      </c>
      <c r="J60" s="13">
        <f t="shared" si="20"/>
        <v>132682.69631446962</v>
      </c>
      <c r="K60" s="14">
        <f t="shared" si="20"/>
        <v>1655395.3766602098</v>
      </c>
    </row>
    <row r="61" spans="2:11" x14ac:dyDescent="0.3">
      <c r="B61" s="12"/>
      <c r="C61" s="13"/>
      <c r="D61" s="13"/>
      <c r="E61" s="13"/>
      <c r="F61" s="13"/>
      <c r="G61" s="13"/>
      <c r="H61" s="13"/>
      <c r="I61" s="13"/>
      <c r="J61" s="13"/>
      <c r="K61" s="14"/>
    </row>
    <row r="62" spans="2:11" x14ac:dyDescent="0.3">
      <c r="B62" s="12"/>
      <c r="C62" s="13" t="s">
        <v>34</v>
      </c>
      <c r="D62" s="13">
        <f>C60+(D60/1.185)+(E60/1.185^2)+(F60/1.185^3)+(G60/1.185^4)+(H60/1.185^5)+(I60/1.185^6)+(J60/1.185^7)+(K60/1.185^8)</f>
        <v>-402263.64485471242</v>
      </c>
      <c r="E62" s="13"/>
      <c r="F62" s="13"/>
      <c r="G62" s="13"/>
      <c r="H62" s="13"/>
      <c r="I62" s="13"/>
      <c r="J62" s="13"/>
      <c r="K62" s="14"/>
    </row>
    <row r="63" spans="2:11" x14ac:dyDescent="0.3">
      <c r="B63" s="18"/>
      <c r="C63" s="19"/>
      <c r="D63" s="19"/>
      <c r="E63" s="19"/>
      <c r="F63" s="19"/>
      <c r="G63" s="19"/>
      <c r="H63" s="19"/>
      <c r="I63" s="19"/>
      <c r="J63" s="19"/>
      <c r="K63" s="20"/>
    </row>
    <row r="64" spans="2:11" ht="16.2" thickBot="1" x14ac:dyDescent="0.35">
      <c r="B64" s="4" t="s">
        <v>51</v>
      </c>
      <c r="E64" s="51" t="s">
        <v>50</v>
      </c>
      <c r="F64" s="51"/>
      <c r="G64" s="51"/>
    </row>
    <row r="65" spans="2:12" x14ac:dyDescent="0.3">
      <c r="B65" s="21"/>
      <c r="C65" s="22"/>
      <c r="D65" s="46" t="s">
        <v>0</v>
      </c>
      <c r="E65" s="46"/>
      <c r="F65" s="46"/>
      <c r="G65" s="46"/>
      <c r="H65" s="46"/>
      <c r="I65" s="46"/>
      <c r="J65" s="46"/>
      <c r="K65" s="46"/>
      <c r="L65" s="46"/>
    </row>
    <row r="66" spans="2:12" x14ac:dyDescent="0.3">
      <c r="B66" s="23"/>
      <c r="C66" s="24"/>
      <c r="D66" s="24">
        <v>0</v>
      </c>
      <c r="E66" s="24">
        <v>1</v>
      </c>
      <c r="F66" s="24">
        <v>2</v>
      </c>
      <c r="G66" s="24">
        <v>3</v>
      </c>
      <c r="H66" s="24">
        <v>4</v>
      </c>
      <c r="I66" s="24">
        <v>5</v>
      </c>
      <c r="J66" s="24">
        <v>6</v>
      </c>
      <c r="K66" s="24">
        <v>7</v>
      </c>
      <c r="L66" s="25">
        <v>8</v>
      </c>
    </row>
    <row r="67" spans="2:12" x14ac:dyDescent="0.3">
      <c r="B67" s="23" t="s">
        <v>41</v>
      </c>
      <c r="C67" s="24">
        <f>N25</f>
        <v>1296656.4564</v>
      </c>
      <c r="D67" s="24"/>
      <c r="E67" s="24"/>
      <c r="F67" s="24"/>
      <c r="G67" s="24"/>
      <c r="H67" s="24"/>
      <c r="I67" s="24"/>
      <c r="J67" s="24"/>
      <c r="K67" s="24"/>
      <c r="L67" s="25"/>
    </row>
    <row r="68" spans="2:12" x14ac:dyDescent="0.3">
      <c r="B68" s="23" t="s">
        <v>42</v>
      </c>
      <c r="C68" s="24">
        <f>C67*20%</f>
        <v>259331.29128</v>
      </c>
      <c r="D68" s="24"/>
      <c r="E68" s="24"/>
      <c r="F68" s="24"/>
      <c r="G68" s="24"/>
      <c r="H68" s="24"/>
      <c r="I68" s="24"/>
      <c r="J68" s="24"/>
      <c r="K68" s="24"/>
      <c r="L68" s="25"/>
    </row>
    <row r="69" spans="2:12" ht="16.2" thickBot="1" x14ac:dyDescent="0.35">
      <c r="B69" s="26" t="s">
        <v>43</v>
      </c>
      <c r="C69" s="27">
        <f>C67-C68</f>
        <v>1037325.16512</v>
      </c>
      <c r="D69" s="27">
        <f>C69</f>
        <v>1037325.16512</v>
      </c>
      <c r="E69" s="27">
        <f>D69/8</f>
        <v>129665.64564</v>
      </c>
      <c r="F69" s="27">
        <f>D69/8</f>
        <v>129665.64564</v>
      </c>
      <c r="G69" s="27">
        <f>D69/8</f>
        <v>129665.64564</v>
      </c>
      <c r="H69" s="27">
        <f>D69/8</f>
        <v>129665.64564</v>
      </c>
      <c r="I69" s="27">
        <f>D69/8</f>
        <v>129665.64564</v>
      </c>
      <c r="J69" s="27">
        <f>D69/8</f>
        <v>129665.64564</v>
      </c>
      <c r="K69" s="27">
        <f>D69/8</f>
        <v>129665.64564</v>
      </c>
      <c r="L69" s="28">
        <f>D69/8</f>
        <v>129665.64564</v>
      </c>
    </row>
    <row r="72" spans="2:12" x14ac:dyDescent="0.3">
      <c r="E72" s="38" t="s">
        <v>56</v>
      </c>
      <c r="F72" s="38"/>
      <c r="G72" s="38"/>
    </row>
    <row r="73" spans="2:12" x14ac:dyDescent="0.3">
      <c r="C73" s="2" t="s">
        <v>21</v>
      </c>
      <c r="D73" s="7" t="s">
        <v>57</v>
      </c>
      <c r="E73" s="7" t="s">
        <v>5</v>
      </c>
      <c r="F73" s="7" t="s">
        <v>6</v>
      </c>
    </row>
    <row r="74" spans="2:12" x14ac:dyDescent="0.3">
      <c r="C74" s="2">
        <v>1</v>
      </c>
      <c r="D74" s="7">
        <f>N25</f>
        <v>1296656.4564</v>
      </c>
      <c r="E74" s="7">
        <f>E69</f>
        <v>129665.64564</v>
      </c>
      <c r="F74" s="7">
        <f t="shared" ref="F74:F81" si="21">D74-E74</f>
        <v>1166990.81076</v>
      </c>
    </row>
    <row r="75" spans="2:12" x14ac:dyDescent="0.3">
      <c r="C75" s="2">
        <v>2</v>
      </c>
      <c r="D75" s="7">
        <f t="shared" ref="D75:D81" si="22">F74</f>
        <v>1166990.81076</v>
      </c>
      <c r="E75" s="7">
        <f>F69</f>
        <v>129665.64564</v>
      </c>
      <c r="F75" s="7">
        <f t="shared" si="21"/>
        <v>1037325.16512</v>
      </c>
    </row>
    <row r="76" spans="2:12" x14ac:dyDescent="0.3">
      <c r="C76" s="2">
        <v>3</v>
      </c>
      <c r="D76" s="7">
        <f t="shared" si="22"/>
        <v>1037325.16512</v>
      </c>
      <c r="E76" s="7">
        <f>G69</f>
        <v>129665.64564</v>
      </c>
      <c r="F76" s="7">
        <f t="shared" si="21"/>
        <v>907659.51948000002</v>
      </c>
    </row>
    <row r="77" spans="2:12" x14ac:dyDescent="0.3">
      <c r="C77" s="2">
        <v>4</v>
      </c>
      <c r="D77" s="7">
        <f t="shared" si="22"/>
        <v>907659.51948000002</v>
      </c>
      <c r="E77" s="7">
        <f>H69</f>
        <v>129665.64564</v>
      </c>
      <c r="F77" s="7">
        <f t="shared" si="21"/>
        <v>777993.87384000001</v>
      </c>
    </row>
    <row r="78" spans="2:12" x14ac:dyDescent="0.3">
      <c r="C78" s="2">
        <v>5</v>
      </c>
      <c r="D78" s="7">
        <f t="shared" si="22"/>
        <v>777993.87384000001</v>
      </c>
      <c r="E78" s="7">
        <f>I69</f>
        <v>129665.64564</v>
      </c>
      <c r="F78" s="7">
        <f t="shared" si="21"/>
        <v>648328.22820000001</v>
      </c>
    </row>
    <row r="79" spans="2:12" x14ac:dyDescent="0.3">
      <c r="C79" s="2">
        <v>6</v>
      </c>
      <c r="D79" s="7">
        <f t="shared" si="22"/>
        <v>648328.22820000001</v>
      </c>
      <c r="E79" s="7">
        <f>J69</f>
        <v>129665.64564</v>
      </c>
      <c r="F79" s="7">
        <f t="shared" si="21"/>
        <v>518662.58256000001</v>
      </c>
    </row>
    <row r="80" spans="2:12" x14ac:dyDescent="0.3">
      <c r="C80" s="2">
        <v>7</v>
      </c>
      <c r="D80" s="7">
        <f t="shared" si="22"/>
        <v>518662.58256000001</v>
      </c>
      <c r="E80" s="7">
        <f>K69</f>
        <v>129665.64564</v>
      </c>
      <c r="F80" s="7">
        <f t="shared" si="21"/>
        <v>388996.93692000001</v>
      </c>
    </row>
    <row r="81" spans="3:11" x14ac:dyDescent="0.3">
      <c r="C81" s="2">
        <v>8</v>
      </c>
      <c r="D81" s="7">
        <f t="shared" si="22"/>
        <v>388996.93692000001</v>
      </c>
      <c r="E81" s="7">
        <f>L69</f>
        <v>129665.64564</v>
      </c>
      <c r="F81" s="7">
        <f t="shared" si="21"/>
        <v>259331.29128</v>
      </c>
    </row>
    <row r="83" spans="3:11" x14ac:dyDescent="0.3">
      <c r="C83" s="39" t="s">
        <v>58</v>
      </c>
      <c r="D83" s="39"/>
      <c r="E83" s="39"/>
    </row>
    <row r="85" spans="3:11" x14ac:dyDescent="0.3">
      <c r="C85" s="2"/>
      <c r="D85" s="2">
        <v>1</v>
      </c>
      <c r="E85" s="2">
        <v>2</v>
      </c>
      <c r="F85" s="2">
        <v>3</v>
      </c>
      <c r="G85" s="2">
        <v>4</v>
      </c>
      <c r="H85" s="2">
        <v>5</v>
      </c>
      <c r="I85" s="2">
        <v>6</v>
      </c>
      <c r="J85" s="2">
        <v>7</v>
      </c>
      <c r="K85" s="2">
        <v>8</v>
      </c>
    </row>
    <row r="86" spans="3:11" x14ac:dyDescent="0.3">
      <c r="C86" s="2" t="s">
        <v>1</v>
      </c>
      <c r="D86" s="2">
        <v>8.1</v>
      </c>
      <c r="E86" s="2">
        <v>8.1</v>
      </c>
      <c r="F86" s="2">
        <v>8.1</v>
      </c>
      <c r="G86" s="2">
        <v>8.1</v>
      </c>
      <c r="H86" s="2">
        <v>7.2089999999999996</v>
      </c>
      <c r="I86" s="2">
        <f>H86</f>
        <v>7.2089999999999996</v>
      </c>
      <c r="J86" s="2">
        <f>H86</f>
        <v>7.2089999999999996</v>
      </c>
      <c r="K86" s="2">
        <f>H86</f>
        <v>7.2089999999999996</v>
      </c>
    </row>
    <row r="87" spans="3:11" x14ac:dyDescent="0.3">
      <c r="C87" s="2" t="s">
        <v>7</v>
      </c>
      <c r="D87" s="2">
        <v>35586</v>
      </c>
      <c r="E87" s="2">
        <v>34650</v>
      </c>
      <c r="F87" s="2">
        <v>34891</v>
      </c>
      <c r="G87" s="2">
        <v>35236</v>
      </c>
      <c r="H87" s="2">
        <v>35149</v>
      </c>
      <c r="I87" s="2">
        <v>35528</v>
      </c>
      <c r="J87" s="2">
        <v>35957</v>
      </c>
      <c r="K87" s="2">
        <v>35432</v>
      </c>
    </row>
    <row r="88" spans="3:11" x14ac:dyDescent="0.3">
      <c r="C88" s="2" t="s">
        <v>3</v>
      </c>
      <c r="D88" s="2">
        <f>D87*D86</f>
        <v>288246.59999999998</v>
      </c>
      <c r="E88" s="2">
        <f t="shared" ref="E88:K88" si="23">E87*E86</f>
        <v>280665</v>
      </c>
      <c r="F88" s="2">
        <f t="shared" si="23"/>
        <v>282617.09999999998</v>
      </c>
      <c r="G88" s="2">
        <f t="shared" si="23"/>
        <v>285411.59999999998</v>
      </c>
      <c r="H88" s="2">
        <f t="shared" si="23"/>
        <v>253389.14099999997</v>
      </c>
      <c r="I88" s="2">
        <f t="shared" si="23"/>
        <v>256121.35199999998</v>
      </c>
      <c r="J88" s="2">
        <f t="shared" si="23"/>
        <v>259214.01299999998</v>
      </c>
      <c r="K88" s="2">
        <f t="shared" si="23"/>
        <v>255429.288</v>
      </c>
    </row>
    <row r="89" spans="3:11" x14ac:dyDescent="0.3">
      <c r="C89" s="2" t="s">
        <v>8</v>
      </c>
      <c r="D89" s="2">
        <f>D87*4.5</f>
        <v>160137</v>
      </c>
      <c r="E89" s="2">
        <f t="shared" ref="E89:K89" si="24">E87*4.5</f>
        <v>155925</v>
      </c>
      <c r="F89" s="2">
        <f t="shared" si="24"/>
        <v>157009.5</v>
      </c>
      <c r="G89" s="2">
        <f t="shared" si="24"/>
        <v>158562</v>
      </c>
      <c r="H89" s="2">
        <f t="shared" si="24"/>
        <v>158170.5</v>
      </c>
      <c r="I89" s="2">
        <f t="shared" si="24"/>
        <v>159876</v>
      </c>
      <c r="J89" s="2">
        <f t="shared" si="24"/>
        <v>161806.5</v>
      </c>
      <c r="K89" s="2">
        <f t="shared" si="24"/>
        <v>159444</v>
      </c>
    </row>
    <row r="90" spans="3:11" x14ac:dyDescent="0.3">
      <c r="C90" s="2" t="s">
        <v>9</v>
      </c>
      <c r="D90" s="2">
        <f t="shared" ref="D90:K90" si="25">D19</f>
        <v>31499.6752953252</v>
      </c>
      <c r="E90" s="2">
        <f t="shared" si="25"/>
        <v>53983.698249301189</v>
      </c>
      <c r="F90" s="2">
        <f t="shared" si="25"/>
        <v>38553.486418141198</v>
      </c>
      <c r="G90" s="2">
        <f t="shared" si="25"/>
        <v>27531.906538741201</v>
      </c>
      <c r="H90" s="2">
        <f t="shared" si="25"/>
        <v>19684.541664608398</v>
      </c>
      <c r="I90" s="2">
        <f t="shared" si="25"/>
        <v>19662.498504849602</v>
      </c>
      <c r="J90" s="2">
        <f t="shared" si="25"/>
        <v>19684.541664608398</v>
      </c>
      <c r="K90" s="2">
        <f t="shared" si="25"/>
        <v>9831.2492524248009</v>
      </c>
    </row>
    <row r="91" spans="3:11" x14ac:dyDescent="0.3">
      <c r="C91" s="2" t="s">
        <v>5</v>
      </c>
      <c r="D91" s="2">
        <f>E74</f>
        <v>129665.64564</v>
      </c>
      <c r="E91" s="2">
        <f>E75</f>
        <v>129665.64564</v>
      </c>
      <c r="F91" s="2">
        <f>E76</f>
        <v>129665.64564</v>
      </c>
      <c r="G91" s="2">
        <f>E77</f>
        <v>129665.64564</v>
      </c>
      <c r="H91" s="2">
        <f>E78</f>
        <v>129665.64564</v>
      </c>
      <c r="I91" s="2">
        <f>E79</f>
        <v>129665.64564</v>
      </c>
      <c r="J91" s="2">
        <f>E80</f>
        <v>129665.64564</v>
      </c>
      <c r="K91" s="2">
        <f>E81</f>
        <v>129665.64564</v>
      </c>
    </row>
    <row r="92" spans="3:11" x14ac:dyDescent="0.3">
      <c r="C92" s="2" t="s">
        <v>10</v>
      </c>
      <c r="D92" s="2">
        <f>D89-(D90+D91)</f>
        <v>-1028.3209353252023</v>
      </c>
      <c r="E92" s="2">
        <f t="shared" ref="E92:K92" si="26">E89-(E90+E91)</f>
        <v>-27724.343889301177</v>
      </c>
      <c r="F92" s="2">
        <f t="shared" si="26"/>
        <v>-11209.6320581412</v>
      </c>
      <c r="G92" s="2">
        <f t="shared" si="26"/>
        <v>1364.4478212588001</v>
      </c>
      <c r="H92" s="2">
        <f t="shared" si="26"/>
        <v>8820.3126953915926</v>
      </c>
      <c r="I92" s="2">
        <f t="shared" si="26"/>
        <v>10547.855855150381</v>
      </c>
      <c r="J92" s="2">
        <f t="shared" si="26"/>
        <v>12456.312695391593</v>
      </c>
      <c r="K92" s="2">
        <f t="shared" si="26"/>
        <v>19947.105107575189</v>
      </c>
    </row>
    <row r="93" spans="3:11" x14ac:dyDescent="0.3">
      <c r="C93" s="2" t="s">
        <v>11</v>
      </c>
      <c r="D93" s="2">
        <f>D92*33.5%</f>
        <v>-344.48751333394279</v>
      </c>
      <c r="E93" s="2">
        <f t="shared" ref="E93:K93" si="27">E92*33.5%</f>
        <v>-9287.6552029158956</v>
      </c>
      <c r="F93" s="2">
        <f t="shared" si="27"/>
        <v>-3755.2267394773021</v>
      </c>
      <c r="G93" s="2">
        <f t="shared" si="27"/>
        <v>457.09002012169805</v>
      </c>
      <c r="H93" s="2">
        <f t="shared" si="27"/>
        <v>2954.8047529561836</v>
      </c>
      <c r="I93" s="2">
        <f t="shared" si="27"/>
        <v>3533.531711475378</v>
      </c>
      <c r="J93" s="2">
        <f t="shared" si="27"/>
        <v>4172.864752956184</v>
      </c>
      <c r="K93" s="2">
        <f t="shared" si="27"/>
        <v>6682.2802110376888</v>
      </c>
    </row>
    <row r="94" spans="3:11" x14ac:dyDescent="0.3">
      <c r="C94" s="2" t="s">
        <v>12</v>
      </c>
      <c r="D94" s="2">
        <f>D92-D93</f>
        <v>-683.83342199125946</v>
      </c>
      <c r="E94" s="2">
        <f t="shared" ref="E94:K94" si="28">E92-E93</f>
        <v>-18436.688686385281</v>
      </c>
      <c r="F94" s="2">
        <f t="shared" si="28"/>
        <v>-7454.4053186638976</v>
      </c>
      <c r="G94" s="2">
        <f t="shared" si="28"/>
        <v>907.35780113710211</v>
      </c>
      <c r="H94" s="2">
        <f t="shared" si="28"/>
        <v>5865.5079424354089</v>
      </c>
      <c r="I94" s="2">
        <f t="shared" si="28"/>
        <v>7014.3241436750031</v>
      </c>
      <c r="J94" s="2">
        <f t="shared" si="28"/>
        <v>8283.4479424354085</v>
      </c>
      <c r="K94" s="2">
        <f t="shared" si="28"/>
        <v>13264.824896537501</v>
      </c>
    </row>
    <row r="96" spans="3:11" x14ac:dyDescent="0.3">
      <c r="D96" s="5"/>
      <c r="E96" s="40" t="s">
        <v>59</v>
      </c>
      <c r="F96" s="40"/>
      <c r="G96" s="40"/>
    </row>
    <row r="97" spans="3:12" x14ac:dyDescent="0.3">
      <c r="D97" s="6" t="s">
        <v>0</v>
      </c>
      <c r="E97" s="6" t="s">
        <v>18</v>
      </c>
      <c r="F97" s="6" t="s">
        <v>19</v>
      </c>
      <c r="G97" s="6" t="s">
        <v>20</v>
      </c>
    </row>
    <row r="98" spans="3:12" x14ac:dyDescent="0.3">
      <c r="D98" s="2">
        <v>0</v>
      </c>
      <c r="E98" s="2"/>
      <c r="F98" s="2">
        <f>E99*15%</f>
        <v>43236.99</v>
      </c>
      <c r="G98" s="2">
        <f>-F98</f>
        <v>-43236.99</v>
      </c>
    </row>
    <row r="99" spans="3:12" x14ac:dyDescent="0.3">
      <c r="D99" s="2">
        <v>1</v>
      </c>
      <c r="E99" s="2">
        <f>D88</f>
        <v>288246.59999999998</v>
      </c>
      <c r="F99" s="2">
        <f>(E99*20%)+(E99*15%)</f>
        <v>100886.31</v>
      </c>
      <c r="G99" s="2">
        <f t="shared" ref="G99:G106" si="29">F98-F99</f>
        <v>-57649.32</v>
      </c>
    </row>
    <row r="100" spans="3:12" x14ac:dyDescent="0.3">
      <c r="D100" s="2">
        <v>2</v>
      </c>
      <c r="E100" s="2">
        <f>E88</f>
        <v>280665</v>
      </c>
      <c r="F100" s="2">
        <f>(E100*20%)+(E99*15%)</f>
        <v>99369.989999999991</v>
      </c>
      <c r="G100" s="2">
        <f t="shared" si="29"/>
        <v>1516.320000000007</v>
      </c>
    </row>
    <row r="101" spans="3:12" x14ac:dyDescent="0.3">
      <c r="D101" s="2">
        <v>3</v>
      </c>
      <c r="E101" s="2">
        <f>F88</f>
        <v>282617.09999999998</v>
      </c>
      <c r="F101" s="2">
        <f>(E101*20%)+(E99*15%)</f>
        <v>99760.41</v>
      </c>
      <c r="G101" s="2">
        <f t="shared" si="29"/>
        <v>-390.42000000001281</v>
      </c>
    </row>
    <row r="102" spans="3:12" x14ac:dyDescent="0.3">
      <c r="D102" s="2">
        <v>4</v>
      </c>
      <c r="E102" s="2">
        <f>G88</f>
        <v>285411.59999999998</v>
      </c>
      <c r="F102" s="2">
        <f>(E102*20%)+(E99*15%)</f>
        <v>100319.31</v>
      </c>
      <c r="G102" s="2">
        <f t="shared" si="29"/>
        <v>-558.89999999999418</v>
      </c>
    </row>
    <row r="103" spans="3:12" x14ac:dyDescent="0.3">
      <c r="D103" s="2">
        <v>5</v>
      </c>
      <c r="E103" s="2">
        <f>H88</f>
        <v>253389.14099999997</v>
      </c>
      <c r="F103" s="2">
        <f>(E103*20%)+(E99*15%)</f>
        <v>93914.818199999994</v>
      </c>
      <c r="G103" s="2">
        <f t="shared" si="29"/>
        <v>6404.4918000000034</v>
      </c>
    </row>
    <row r="104" spans="3:12" x14ac:dyDescent="0.3">
      <c r="D104" s="2">
        <v>6</v>
      </c>
      <c r="E104" s="2">
        <f>I88</f>
        <v>256121.35199999998</v>
      </c>
      <c r="F104" s="2">
        <f>(E104*20%)+(E99*15%)</f>
        <v>94461.260399999999</v>
      </c>
      <c r="G104" s="2">
        <f t="shared" si="29"/>
        <v>-546.44220000000496</v>
      </c>
    </row>
    <row r="105" spans="3:12" x14ac:dyDescent="0.3">
      <c r="D105" s="2">
        <v>7</v>
      </c>
      <c r="E105" s="2">
        <f>J88</f>
        <v>259214.01299999998</v>
      </c>
      <c r="F105" s="2">
        <f>(E105*20%)+(E99*15%)</f>
        <v>95079.792599999986</v>
      </c>
      <c r="G105" s="2">
        <f t="shared" si="29"/>
        <v>-618.53219999998691</v>
      </c>
    </row>
    <row r="106" spans="3:12" x14ac:dyDescent="0.3">
      <c r="D106" s="2">
        <v>8</v>
      </c>
      <c r="E106" s="2">
        <f>K88</f>
        <v>255429.288</v>
      </c>
      <c r="F106" s="2">
        <f>(E106*20%)+(E99*15%)</f>
        <v>94322.847600000008</v>
      </c>
      <c r="G106" s="2">
        <f t="shared" si="29"/>
        <v>756.94499999997788</v>
      </c>
    </row>
    <row r="108" spans="3:12" x14ac:dyDescent="0.3">
      <c r="F108" s="39" t="s">
        <v>59</v>
      </c>
      <c r="G108" s="39"/>
      <c r="H108" s="39"/>
    </row>
    <row r="109" spans="3:12" ht="16.2" thickBot="1" x14ac:dyDescent="0.35"/>
    <row r="110" spans="3:12" ht="16.2" thickBot="1" x14ac:dyDescent="0.35">
      <c r="C110" s="8"/>
      <c r="D110" s="41" t="s">
        <v>21</v>
      </c>
      <c r="E110" s="41"/>
      <c r="F110" s="41"/>
      <c r="G110" s="41"/>
      <c r="H110" s="41"/>
      <c r="I110" s="41"/>
      <c r="J110" s="41"/>
      <c r="K110" s="41"/>
      <c r="L110" s="42"/>
    </row>
    <row r="111" spans="3:12" ht="16.2" thickBot="1" x14ac:dyDescent="0.35">
      <c r="C111" s="9"/>
      <c r="D111" s="10">
        <v>0</v>
      </c>
      <c r="E111" s="10">
        <v>1</v>
      </c>
      <c r="F111" s="10">
        <v>2</v>
      </c>
      <c r="G111" s="10">
        <v>3</v>
      </c>
      <c r="H111" s="10">
        <v>4</v>
      </c>
      <c r="I111" s="10">
        <v>5</v>
      </c>
      <c r="J111" s="10">
        <v>6</v>
      </c>
      <c r="K111" s="10">
        <v>7</v>
      </c>
      <c r="L111" s="11">
        <v>8</v>
      </c>
    </row>
    <row r="112" spans="3:12" x14ac:dyDescent="0.3">
      <c r="C112" s="12" t="s">
        <v>36</v>
      </c>
      <c r="D112" s="13"/>
      <c r="E112" s="13"/>
      <c r="F112" s="13"/>
      <c r="G112" s="13"/>
      <c r="H112" s="13"/>
      <c r="I112" s="13"/>
      <c r="J112" s="13"/>
      <c r="K112" s="13"/>
      <c r="L112" s="14"/>
    </row>
    <row r="113" spans="3:12" x14ac:dyDescent="0.3">
      <c r="C113" s="12" t="s">
        <v>10</v>
      </c>
      <c r="D113" s="13"/>
      <c r="E113" s="13">
        <f t="shared" ref="E113:L113" si="30">D92</f>
        <v>-1028.3209353252023</v>
      </c>
      <c r="F113" s="13">
        <f t="shared" si="30"/>
        <v>-27724.343889301177</v>
      </c>
      <c r="G113" s="13">
        <f t="shared" si="30"/>
        <v>-11209.6320581412</v>
      </c>
      <c r="H113" s="13">
        <f t="shared" si="30"/>
        <v>1364.4478212588001</v>
      </c>
      <c r="I113" s="13">
        <f t="shared" si="30"/>
        <v>8820.3126953915926</v>
      </c>
      <c r="J113" s="13">
        <f t="shared" si="30"/>
        <v>10547.855855150381</v>
      </c>
      <c r="K113" s="13">
        <f t="shared" si="30"/>
        <v>12456.312695391593</v>
      </c>
      <c r="L113" s="14">
        <f t="shared" si="30"/>
        <v>19947.105107575189</v>
      </c>
    </row>
    <row r="114" spans="3:12" x14ac:dyDescent="0.3">
      <c r="C114" s="12" t="s">
        <v>5</v>
      </c>
      <c r="D114" s="13"/>
      <c r="E114" s="13">
        <f t="shared" ref="E114:L114" si="31">D91</f>
        <v>129665.64564</v>
      </c>
      <c r="F114" s="13">
        <f t="shared" si="31"/>
        <v>129665.64564</v>
      </c>
      <c r="G114" s="13">
        <f t="shared" si="31"/>
        <v>129665.64564</v>
      </c>
      <c r="H114" s="13">
        <f t="shared" si="31"/>
        <v>129665.64564</v>
      </c>
      <c r="I114" s="13">
        <f t="shared" si="31"/>
        <v>129665.64564</v>
      </c>
      <c r="J114" s="13">
        <f t="shared" si="31"/>
        <v>129665.64564</v>
      </c>
      <c r="K114" s="13">
        <f t="shared" si="31"/>
        <v>129665.64564</v>
      </c>
      <c r="L114" s="14">
        <f t="shared" si="31"/>
        <v>129665.64564</v>
      </c>
    </row>
    <row r="115" spans="3:12" x14ac:dyDescent="0.3">
      <c r="C115" s="12" t="s">
        <v>11</v>
      </c>
      <c r="D115" s="13"/>
      <c r="E115" s="13">
        <f t="shared" ref="E115:L115" si="32">D93</f>
        <v>-344.48751333394279</v>
      </c>
      <c r="F115" s="13">
        <f t="shared" si="32"/>
        <v>-9287.6552029158956</v>
      </c>
      <c r="G115" s="13">
        <f t="shared" si="32"/>
        <v>-3755.2267394773021</v>
      </c>
      <c r="H115" s="13">
        <f t="shared" si="32"/>
        <v>457.09002012169805</v>
      </c>
      <c r="I115" s="13">
        <f t="shared" si="32"/>
        <v>2954.8047529561836</v>
      </c>
      <c r="J115" s="13">
        <f t="shared" si="32"/>
        <v>3533.531711475378</v>
      </c>
      <c r="K115" s="13">
        <f t="shared" si="32"/>
        <v>4172.864752956184</v>
      </c>
      <c r="L115" s="14">
        <f t="shared" si="32"/>
        <v>6682.2802110376888</v>
      </c>
    </row>
    <row r="116" spans="3:12" x14ac:dyDescent="0.3">
      <c r="C116" s="12" t="s">
        <v>22</v>
      </c>
      <c r="D116" s="13"/>
      <c r="E116" s="13">
        <f>(E113+E114)-E95</f>
        <v>128637.3247046748</v>
      </c>
      <c r="F116" s="13">
        <f>(F113+F114)-F95</f>
        <v>101941.30175069883</v>
      </c>
      <c r="G116" s="13">
        <f t="shared" ref="G116:L116" si="33">(G113+G114)-G95</f>
        <v>118456.0135818588</v>
      </c>
      <c r="H116" s="13">
        <f t="shared" si="33"/>
        <v>131030.0934612588</v>
      </c>
      <c r="I116" s="13">
        <f t="shared" si="33"/>
        <v>138485.9583353916</v>
      </c>
      <c r="J116" s="13">
        <f t="shared" si="33"/>
        <v>140213.50149515038</v>
      </c>
      <c r="K116" s="13">
        <f t="shared" si="33"/>
        <v>142121.9583353916</v>
      </c>
      <c r="L116" s="14">
        <f t="shared" si="33"/>
        <v>149612.75074757519</v>
      </c>
    </row>
    <row r="117" spans="3:12" x14ac:dyDescent="0.3">
      <c r="C117" s="12" t="s">
        <v>37</v>
      </c>
      <c r="D117" s="13"/>
      <c r="E117" s="13"/>
      <c r="F117" s="13"/>
      <c r="G117" s="13"/>
      <c r="H117" s="13"/>
      <c r="I117" s="13"/>
      <c r="J117" s="13"/>
      <c r="K117" s="13"/>
      <c r="L117" s="14"/>
    </row>
    <row r="118" spans="3:12" x14ac:dyDescent="0.3">
      <c r="C118" s="12" t="s">
        <v>23</v>
      </c>
      <c r="D118" s="13">
        <f>G98</f>
        <v>-43236.99</v>
      </c>
      <c r="E118" s="13"/>
      <c r="F118" s="13"/>
      <c r="G118" s="13"/>
      <c r="H118" s="13"/>
      <c r="I118" s="13"/>
      <c r="J118" s="13"/>
      <c r="K118" s="13"/>
      <c r="L118" s="14"/>
    </row>
    <row r="119" spans="3:12" x14ac:dyDescent="0.3">
      <c r="C119" s="12" t="s">
        <v>24</v>
      </c>
      <c r="D119" s="13"/>
      <c r="E119" s="13">
        <f>G99</f>
        <v>-57649.32</v>
      </c>
      <c r="F119" s="13">
        <f>G100</f>
        <v>1516.320000000007</v>
      </c>
      <c r="G119" s="13">
        <f>G101</f>
        <v>-390.42000000001281</v>
      </c>
      <c r="H119" s="13">
        <f>G102</f>
        <v>-558.89999999999418</v>
      </c>
      <c r="I119" s="13">
        <f>G103</f>
        <v>6404.4918000000034</v>
      </c>
      <c r="J119" s="13">
        <f>G104</f>
        <v>-546.44220000000496</v>
      </c>
      <c r="K119" s="13">
        <f>G105</f>
        <v>-618.53219999998691</v>
      </c>
      <c r="L119" s="14">
        <f>G106</f>
        <v>756.94499999997788</v>
      </c>
    </row>
    <row r="120" spans="3:12" x14ac:dyDescent="0.3">
      <c r="C120" s="12" t="s">
        <v>25</v>
      </c>
      <c r="D120" s="13"/>
      <c r="E120" s="13"/>
      <c r="F120" s="13"/>
      <c r="G120" s="13"/>
      <c r="H120" s="13"/>
      <c r="I120" s="13"/>
      <c r="J120" s="13"/>
      <c r="K120" s="13"/>
      <c r="L120" s="14">
        <f>F106</f>
        <v>94322.847600000008</v>
      </c>
    </row>
    <row r="121" spans="3:12" x14ac:dyDescent="0.3">
      <c r="C121" s="12" t="s">
        <v>26</v>
      </c>
      <c r="D121" s="13">
        <f>SUM(D118:D120)</f>
        <v>-43236.99</v>
      </c>
      <c r="E121" s="13">
        <f t="shared" ref="E121:L121" si="34">SUM(E118:E120)</f>
        <v>-57649.32</v>
      </c>
      <c r="F121" s="13">
        <f t="shared" si="34"/>
        <v>1516.320000000007</v>
      </c>
      <c r="G121" s="13">
        <f t="shared" si="34"/>
        <v>-390.42000000001281</v>
      </c>
      <c r="H121" s="13">
        <f t="shared" si="34"/>
        <v>-558.89999999999418</v>
      </c>
      <c r="I121" s="13">
        <f t="shared" si="34"/>
        <v>6404.4918000000034</v>
      </c>
      <c r="J121" s="13">
        <f t="shared" si="34"/>
        <v>-546.44220000000496</v>
      </c>
      <c r="K121" s="13">
        <f t="shared" si="34"/>
        <v>-618.53219999998691</v>
      </c>
      <c r="L121" s="14">
        <f t="shared" si="34"/>
        <v>95079.792599999986</v>
      </c>
    </row>
    <row r="122" spans="3:12" x14ac:dyDescent="0.3">
      <c r="C122" s="12" t="s">
        <v>27</v>
      </c>
      <c r="D122" s="13"/>
      <c r="E122" s="13"/>
      <c r="F122" s="13"/>
      <c r="G122" s="13"/>
      <c r="H122" s="13"/>
      <c r="I122" s="13"/>
      <c r="J122" s="13"/>
      <c r="K122" s="13"/>
      <c r="L122" s="14"/>
    </row>
    <row r="123" spans="3:12" x14ac:dyDescent="0.3">
      <c r="C123" s="12" t="s">
        <v>28</v>
      </c>
      <c r="D123" s="13">
        <f>-D74</f>
        <v>-1296656.4564</v>
      </c>
      <c r="E123" s="13"/>
      <c r="F123" s="13"/>
      <c r="G123" s="13"/>
      <c r="H123" s="13"/>
      <c r="I123" s="13"/>
      <c r="J123" s="13"/>
      <c r="K123" s="13"/>
      <c r="L123" s="14"/>
    </row>
    <row r="124" spans="3:12" x14ac:dyDescent="0.3">
      <c r="C124" s="12" t="s">
        <v>33</v>
      </c>
      <c r="D124" s="13"/>
      <c r="E124" s="13"/>
      <c r="F124" s="13"/>
      <c r="G124" s="13"/>
      <c r="H124" s="13"/>
      <c r="I124" s="13"/>
      <c r="J124" s="13"/>
      <c r="K124" s="13"/>
      <c r="L124" s="14">
        <f>K51</f>
        <v>1441449.760698</v>
      </c>
    </row>
    <row r="125" spans="3:12" ht="16.2" thickBot="1" x14ac:dyDescent="0.35">
      <c r="C125" s="15" t="s">
        <v>27</v>
      </c>
      <c r="D125" s="16">
        <f>D123</f>
        <v>-1296656.4564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7">
        <f>L124</f>
        <v>1441449.760698</v>
      </c>
    </row>
    <row r="126" spans="3:12" ht="16.2" thickTop="1" x14ac:dyDescent="0.3"/>
    <row r="127" spans="3:12" x14ac:dyDescent="0.3">
      <c r="F127" s="37" t="s">
        <v>60</v>
      </c>
      <c r="G127" s="37"/>
      <c r="H127" s="37"/>
    </row>
    <row r="128" spans="3:12" x14ac:dyDescent="0.3">
      <c r="C128" s="34" t="s">
        <v>21</v>
      </c>
      <c r="D128" s="35"/>
      <c r="E128" s="35"/>
      <c r="F128" s="35"/>
      <c r="G128" s="35"/>
      <c r="H128" s="35"/>
      <c r="I128" s="35"/>
      <c r="J128" s="35"/>
      <c r="K128" s="35"/>
      <c r="L128" s="36"/>
    </row>
    <row r="129" spans="3:12" x14ac:dyDescent="0.3">
      <c r="C129" s="12"/>
      <c r="D129" s="13">
        <v>0</v>
      </c>
      <c r="E129" s="13">
        <v>1</v>
      </c>
      <c r="F129" s="13">
        <v>2</v>
      </c>
      <c r="G129" s="13">
        <v>3</v>
      </c>
      <c r="H129" s="13">
        <v>4</v>
      </c>
      <c r="I129" s="13">
        <v>5</v>
      </c>
      <c r="J129" s="13">
        <v>6</v>
      </c>
      <c r="K129" s="13">
        <v>7</v>
      </c>
      <c r="L129" s="14">
        <v>8</v>
      </c>
    </row>
    <row r="130" spans="3:12" x14ac:dyDescent="0.3">
      <c r="C130" s="12" t="s">
        <v>35</v>
      </c>
      <c r="D130" s="13"/>
      <c r="E130" s="13">
        <f t="shared" ref="E130:L130" si="35">E116</f>
        <v>128637.3247046748</v>
      </c>
      <c r="F130" s="13">
        <f t="shared" si="35"/>
        <v>101941.30175069883</v>
      </c>
      <c r="G130" s="13">
        <f t="shared" si="35"/>
        <v>118456.0135818588</v>
      </c>
      <c r="H130" s="13">
        <f t="shared" si="35"/>
        <v>131030.0934612588</v>
      </c>
      <c r="I130" s="13">
        <f t="shared" si="35"/>
        <v>138485.9583353916</v>
      </c>
      <c r="J130" s="13">
        <f t="shared" si="35"/>
        <v>140213.50149515038</v>
      </c>
      <c r="K130" s="13">
        <f t="shared" si="35"/>
        <v>142121.9583353916</v>
      </c>
      <c r="L130" s="14">
        <f t="shared" si="35"/>
        <v>149612.75074757519</v>
      </c>
    </row>
    <row r="131" spans="3:12" x14ac:dyDescent="0.3">
      <c r="C131" s="12" t="s">
        <v>24</v>
      </c>
      <c r="D131" s="13">
        <f>D118</f>
        <v>-43236.99</v>
      </c>
      <c r="E131" s="13">
        <f t="shared" ref="E131:L131" si="36">E121</f>
        <v>-57649.32</v>
      </c>
      <c r="F131" s="13">
        <f t="shared" si="36"/>
        <v>1516.320000000007</v>
      </c>
      <c r="G131" s="13">
        <f t="shared" si="36"/>
        <v>-390.42000000001281</v>
      </c>
      <c r="H131" s="13">
        <f t="shared" si="36"/>
        <v>-558.89999999999418</v>
      </c>
      <c r="I131" s="13">
        <f t="shared" si="36"/>
        <v>6404.4918000000034</v>
      </c>
      <c r="J131" s="13">
        <f t="shared" si="36"/>
        <v>-546.44220000000496</v>
      </c>
      <c r="K131" s="13">
        <f t="shared" si="36"/>
        <v>-618.53219999998691</v>
      </c>
      <c r="L131" s="14">
        <f t="shared" si="36"/>
        <v>95079.792599999986</v>
      </c>
    </row>
    <row r="132" spans="3:12" x14ac:dyDescent="0.3">
      <c r="C132" s="12" t="s">
        <v>38</v>
      </c>
      <c r="D132" s="13">
        <f>D125</f>
        <v>-1296656.4564</v>
      </c>
      <c r="E132" s="13"/>
      <c r="F132" s="13"/>
      <c r="G132" s="13"/>
      <c r="H132" s="13"/>
      <c r="I132" s="13"/>
      <c r="J132" s="13"/>
      <c r="K132" s="13"/>
      <c r="L132" s="14">
        <f>L125</f>
        <v>1441449.760698</v>
      </c>
    </row>
    <row r="133" spans="3:12" x14ac:dyDescent="0.3">
      <c r="C133" s="12" t="s">
        <v>39</v>
      </c>
      <c r="D133" s="13">
        <f>SUM(D130:D132)</f>
        <v>-1339893.4464</v>
      </c>
      <c r="E133" s="13">
        <f t="shared" ref="E133:L133" si="37">SUM(E130:E132)</f>
        <v>70988.004704674793</v>
      </c>
      <c r="F133" s="13">
        <f t="shared" si="37"/>
        <v>103457.62175069883</v>
      </c>
      <c r="G133" s="13">
        <f t="shared" si="37"/>
        <v>118065.59358185879</v>
      </c>
      <c r="H133" s="13">
        <f t="shared" si="37"/>
        <v>130471.19346125881</v>
      </c>
      <c r="I133" s="13">
        <f t="shared" si="37"/>
        <v>144890.45013539161</v>
      </c>
      <c r="J133" s="13">
        <f t="shared" si="37"/>
        <v>139667.05929515039</v>
      </c>
      <c r="K133" s="13">
        <f t="shared" si="37"/>
        <v>141503.42613539161</v>
      </c>
      <c r="L133" s="14">
        <f t="shared" si="37"/>
        <v>1686142.3040455752</v>
      </c>
    </row>
    <row r="134" spans="3:12" x14ac:dyDescent="0.3">
      <c r="C134" s="12"/>
      <c r="D134" s="13"/>
      <c r="E134" s="13"/>
      <c r="F134" s="13"/>
      <c r="G134" s="13"/>
      <c r="H134" s="13"/>
      <c r="I134" s="13"/>
      <c r="J134" s="13"/>
      <c r="K134" s="13"/>
      <c r="L134" s="14"/>
    </row>
    <row r="135" spans="3:12" x14ac:dyDescent="0.3">
      <c r="C135" s="12"/>
      <c r="D135" s="13" t="s">
        <v>34</v>
      </c>
      <c r="E135" s="13">
        <f>D133+(E133/1.185)+(F133/1.185^2)+(G133/1.185^3)+(H133/1.185^4)+(I133/1.185^5)+(J133/1.185^6)+(K133/1.185^7)+(L133/1.185^8)</f>
        <v>-479959.37715676142</v>
      </c>
      <c r="F135" s="13"/>
      <c r="G135" s="13"/>
      <c r="H135" s="13"/>
      <c r="I135" s="13"/>
      <c r="J135" s="13"/>
      <c r="K135" s="13"/>
      <c r="L135" s="14"/>
    </row>
    <row r="136" spans="3:12" x14ac:dyDescent="0.3">
      <c r="C136" s="18"/>
      <c r="D136" s="19"/>
      <c r="E136" s="19"/>
      <c r="F136" s="19"/>
      <c r="G136" s="19"/>
      <c r="H136" s="19"/>
      <c r="I136" s="19"/>
      <c r="J136" s="19"/>
      <c r="K136" s="19"/>
      <c r="L136" s="20"/>
    </row>
    <row r="141" spans="3:12" x14ac:dyDescent="0.3">
      <c r="K141" s="4" t="s">
        <v>76</v>
      </c>
    </row>
  </sheetData>
  <mergeCells count="18">
    <mergeCell ref="C13:K13"/>
    <mergeCell ref="C37:K37"/>
    <mergeCell ref="B55:K55"/>
    <mergeCell ref="D65:L65"/>
    <mergeCell ref="D2:E2"/>
    <mergeCell ref="I2:J2"/>
    <mergeCell ref="G12:H12"/>
    <mergeCell ref="D25:E25"/>
    <mergeCell ref="E36:G36"/>
    <mergeCell ref="D54:F54"/>
    <mergeCell ref="E64:G64"/>
    <mergeCell ref="C128:L128"/>
    <mergeCell ref="F127:H127"/>
    <mergeCell ref="E72:G72"/>
    <mergeCell ref="C83:E83"/>
    <mergeCell ref="E96:G96"/>
    <mergeCell ref="D110:L110"/>
    <mergeCell ref="F108:H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D0FE-EB47-46D9-BB99-41A6A6ACED33}">
  <dimension ref="C2:H17"/>
  <sheetViews>
    <sheetView zoomScale="110" zoomScaleNormal="110" workbookViewId="0">
      <selection activeCell="E8" sqref="E8"/>
    </sheetView>
  </sheetViews>
  <sheetFormatPr defaultRowHeight="15.6" x14ac:dyDescent="0.3"/>
  <cols>
    <col min="1" max="2" width="8.88671875" style="4"/>
    <col min="3" max="3" width="18.109375" style="4" customWidth="1"/>
    <col min="4" max="4" width="13.44140625" style="4" customWidth="1"/>
    <col min="5" max="5" width="26.6640625" style="4" customWidth="1"/>
    <col min="6" max="6" width="12.88671875" style="4" customWidth="1"/>
    <col min="7" max="7" width="15.21875" style="4" customWidth="1"/>
    <col min="8" max="16384" width="8.88671875" style="4"/>
  </cols>
  <sheetData>
    <row r="2" spans="3:8" x14ac:dyDescent="0.3">
      <c r="E2" s="29" t="s">
        <v>75</v>
      </c>
    </row>
    <row r="3" spans="3:8" x14ac:dyDescent="0.3">
      <c r="H3" s="4" t="s">
        <v>52</v>
      </c>
    </row>
    <row r="4" spans="3:8" x14ac:dyDescent="0.3">
      <c r="C4" s="30" t="s">
        <v>53</v>
      </c>
      <c r="D4" s="31">
        <f>Sheet1!N25</f>
        <v>1296656.4564</v>
      </c>
    </row>
    <row r="5" spans="3:8" x14ac:dyDescent="0.3">
      <c r="C5" s="30" t="s">
        <v>54</v>
      </c>
      <c r="D5" s="31">
        <f>D4*0.45</f>
        <v>583495.40538000001</v>
      </c>
    </row>
    <row r="6" spans="3:8" x14ac:dyDescent="0.3">
      <c r="C6" s="30" t="s">
        <v>62</v>
      </c>
      <c r="D6" s="31">
        <f>D4-D5</f>
        <v>713161.05102000001</v>
      </c>
    </row>
    <row r="7" spans="3:8" x14ac:dyDescent="0.3">
      <c r="C7" s="30" t="s">
        <v>63</v>
      </c>
      <c r="D7" s="31">
        <f>Sheet1!L23</f>
        <v>-163694.77340201996</v>
      </c>
    </row>
    <row r="8" spans="3:8" x14ac:dyDescent="0.3">
      <c r="C8" s="30" t="s">
        <v>64</v>
      </c>
      <c r="D8" s="31">
        <f>D7/D6</f>
        <v>-0.22953409074695705</v>
      </c>
    </row>
    <row r="10" spans="3:8" x14ac:dyDescent="0.3">
      <c r="C10" s="30" t="s">
        <v>65</v>
      </c>
      <c r="D10" s="31"/>
      <c r="E10" s="32" t="s">
        <v>74</v>
      </c>
      <c r="F10" s="33"/>
      <c r="G10" s="5"/>
      <c r="H10" s="5"/>
    </row>
    <row r="11" spans="3:8" x14ac:dyDescent="0.3">
      <c r="C11" s="30" t="s">
        <v>34</v>
      </c>
      <c r="D11" s="31">
        <f>Sheet1!D62</f>
        <v>-402263.64485471242</v>
      </c>
      <c r="E11" s="30" t="s">
        <v>34</v>
      </c>
      <c r="F11" s="31">
        <f>D11</f>
        <v>-402263.64485471242</v>
      </c>
    </row>
    <row r="12" spans="3:8" x14ac:dyDescent="0.3">
      <c r="C12" s="30" t="s">
        <v>69</v>
      </c>
      <c r="D12" s="31">
        <f>D11*10%</f>
        <v>-40226.364485471247</v>
      </c>
      <c r="E12" s="30" t="s">
        <v>66</v>
      </c>
      <c r="F12" s="31">
        <f>F11*10%</f>
        <v>-40226.364485471247</v>
      </c>
    </row>
    <row r="13" spans="3:8" x14ac:dyDescent="0.3">
      <c r="C13" s="30" t="s">
        <v>70</v>
      </c>
      <c r="D13" s="31">
        <f>D6</f>
        <v>713161.05102000001</v>
      </c>
      <c r="E13" s="30" t="s">
        <v>62</v>
      </c>
      <c r="F13" s="31">
        <f>Sheet1!K51</f>
        <v>1441449.760698</v>
      </c>
    </row>
    <row r="14" spans="3:8" x14ac:dyDescent="0.3">
      <c r="C14" s="30" t="s">
        <v>67</v>
      </c>
      <c r="D14" s="31">
        <f>D13/11.23</f>
        <v>63504.991186108637</v>
      </c>
      <c r="E14" s="30" t="s">
        <v>67</v>
      </c>
      <c r="F14" s="31">
        <f>F13/11</f>
        <v>131040.88733618181</v>
      </c>
    </row>
    <row r="15" spans="3:8" x14ac:dyDescent="0.3">
      <c r="C15" s="30" t="s">
        <v>71</v>
      </c>
      <c r="D15" s="31">
        <f>D13-D14</f>
        <v>649656.05983389134</v>
      </c>
      <c r="E15" s="30" t="s">
        <v>71</v>
      </c>
      <c r="F15" s="31">
        <f>F13-F14</f>
        <v>1310408.8733618183</v>
      </c>
    </row>
    <row r="16" spans="3:8" x14ac:dyDescent="0.3">
      <c r="C16" s="30" t="s">
        <v>72</v>
      </c>
      <c r="D16" s="31">
        <f>D15*33.5%</f>
        <v>217634.78004435363</v>
      </c>
      <c r="E16" s="30" t="s">
        <v>73</v>
      </c>
      <c r="F16" s="31">
        <f>F15*33.5%</f>
        <v>438986.97257620917</v>
      </c>
    </row>
    <row r="17" spans="3:6" x14ac:dyDescent="0.3">
      <c r="C17" s="30" t="s">
        <v>68</v>
      </c>
      <c r="D17" s="31"/>
      <c r="E17" s="30" t="s">
        <v>68</v>
      </c>
      <c r="F17" s="3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Dibbo kundu</cp:lastModifiedBy>
  <dcterms:created xsi:type="dcterms:W3CDTF">2022-09-07T07:30:18Z</dcterms:created>
  <dcterms:modified xsi:type="dcterms:W3CDTF">2024-09-16T19:05:56Z</dcterms:modified>
</cp:coreProperties>
</file>