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eit\Jaar 3\Inventory and Production Management\assignment2\"/>
    </mc:Choice>
  </mc:AlternateContent>
  <xr:revisionPtr revIDLastSave="0" documentId="13_ncr:1_{1BA991D5-9071-4429-81A3-994DDAAAAF3F}" xr6:coauthVersionLast="47" xr6:coauthVersionMax="47" xr10:uidLastSave="{00000000-0000-0000-0000-000000000000}"/>
  <bookViews>
    <workbookView xWindow="-120" yWindow="-120" windowWidth="29040" windowHeight="15840" activeTab="6" xr2:uid="{44FBDEAF-2584-4E0D-9CBD-20E8F0B4EC74}"/>
  </bookViews>
  <sheets>
    <sheet name="Data" sheetId="1" r:id="rId1"/>
    <sheet name="--&gt;" sheetId="2" r:id="rId2"/>
    <sheet name="Original linear" sheetId="4" r:id="rId3"/>
    <sheet name="Emma" sheetId="5" r:id="rId4"/>
    <sheet name="Jack" sheetId="6" r:id="rId5"/>
    <sheet name="Jack relaxed" sheetId="10" r:id="rId6"/>
    <sheet name="Gevoeligheidsrapport 1" sheetId="12" r:id="rId7"/>
  </sheets>
  <definedNames>
    <definedName name="solver_adj" localSheetId="1" hidden="1">'--&gt;'!$B$5:$I$10</definedName>
    <definedName name="solver_adj" localSheetId="3" hidden="1">Emma!$B$5:$K$10</definedName>
    <definedName name="solver_adj" localSheetId="4" hidden="1">Jack!$B$5:$K$10</definedName>
    <definedName name="solver_adj" localSheetId="5" hidden="1">'Jack relaxed'!$B$5:$K$10</definedName>
    <definedName name="solver_adj" localSheetId="2" hidden="1">'Original linear'!$B$5:$K$10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2" hidden="1">1</definedName>
    <definedName name="solver_eng" localSheetId="1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2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2" hidden="1">100</definedName>
    <definedName name="solver_lhs1" localSheetId="1" hidden="1">'--&gt;'!$B$5:$I$10</definedName>
    <definedName name="solver_lhs1" localSheetId="3" hidden="1">Emma!$B$5:$K$10</definedName>
    <definedName name="solver_lhs1" localSheetId="4" hidden="1">Jack!$B$5:$K$10</definedName>
    <definedName name="solver_lhs1" localSheetId="5" hidden="1">'Jack relaxed'!$B$5:$K$10</definedName>
    <definedName name="solver_lhs1" localSheetId="2" hidden="1">'Original linear'!$B$5:$K$10</definedName>
    <definedName name="solver_lhs10" localSheetId="3" hidden="1">Emma!$X$5:$X$10</definedName>
    <definedName name="solver_lhs10" localSheetId="4" hidden="1">Jack!$X$5:$X$10</definedName>
    <definedName name="solver_lhs10" localSheetId="5" hidden="1">'Jack relaxed'!$X$5:$X$10</definedName>
    <definedName name="solver_lhs10" localSheetId="2" hidden="1">'Original linear'!$X$5:$X$10</definedName>
    <definedName name="solver_lhs11" localSheetId="3" hidden="1">Emma!$X$5:$X$10</definedName>
    <definedName name="solver_lhs11" localSheetId="4" hidden="1">Jack!$X$5:$X$10</definedName>
    <definedName name="solver_lhs11" localSheetId="5" hidden="1">'Jack relaxed'!$X$5:$X$10</definedName>
    <definedName name="solver_lhs11" localSheetId="2" hidden="1">'Original linear'!$X$5:$X$10</definedName>
    <definedName name="solver_lhs2" localSheetId="1" hidden="1">'--&gt;'!$B$5:$I$10</definedName>
    <definedName name="solver_lhs2" localSheetId="3" hidden="1">Emma!$B$5:$K$10</definedName>
    <definedName name="solver_lhs2" localSheetId="4" hidden="1">Jack!$B$5:$K$10</definedName>
    <definedName name="solver_lhs2" localSheetId="5" hidden="1">'Jack relaxed'!$F$10</definedName>
    <definedName name="solver_lhs2" localSheetId="2" hidden="1">'Original linear'!$B$5:$K$10</definedName>
    <definedName name="solver_lhs3" localSheetId="1" hidden="1">'--&gt;'!$D$4</definedName>
    <definedName name="solver_lhs3" localSheetId="3" hidden="1">Emma!$F$10</definedName>
    <definedName name="solver_lhs3" localSheetId="4" hidden="1">Jack!$F$10</definedName>
    <definedName name="solver_lhs3" localSheetId="5" hidden="1">'Jack relaxed'!$G$10</definedName>
    <definedName name="solver_lhs3" localSheetId="2" hidden="1">'Original linear'!$F$10</definedName>
    <definedName name="solver_lhs4" localSheetId="1" hidden="1">'--&gt;'!$F$10</definedName>
    <definedName name="solver_lhs4" localSheetId="3" hidden="1">Emma!$G$10</definedName>
    <definedName name="solver_lhs4" localSheetId="4" hidden="1">Jack!$G$10</definedName>
    <definedName name="solver_lhs4" localSheetId="5" hidden="1">'Jack relaxed'!$S$5:$S$10</definedName>
    <definedName name="solver_lhs4" localSheetId="2" hidden="1">'Original linear'!$G$10</definedName>
    <definedName name="solver_lhs5" localSheetId="1" hidden="1">'--&gt;'!$G$10</definedName>
    <definedName name="solver_lhs5" localSheetId="3" hidden="1">Emma!$S$5:$S$10</definedName>
    <definedName name="solver_lhs5" localSheetId="4" hidden="1">Jack!$S$5:$S$10</definedName>
    <definedName name="solver_lhs5" localSheetId="5" hidden="1">'Jack relaxed'!$T$5:$T$10</definedName>
    <definedName name="solver_lhs5" localSheetId="2" hidden="1">'Original linear'!$S$5:$S$10</definedName>
    <definedName name="solver_lhs6" localSheetId="1" hidden="1">'--&gt;'!$L$5:$L$10</definedName>
    <definedName name="solver_lhs6" localSheetId="3" hidden="1">Emma!$T$5:$T$10</definedName>
    <definedName name="solver_lhs6" localSheetId="4" hidden="1">Jack!$T$5:$T$10</definedName>
    <definedName name="solver_lhs6" localSheetId="5" hidden="1">'Jack relaxed'!$U$5:$U$10</definedName>
    <definedName name="solver_lhs6" localSheetId="2" hidden="1">'Original linear'!$T$5:$T$10</definedName>
    <definedName name="solver_lhs7" localSheetId="1" hidden="1">'--&gt;'!$M$5:$M$10</definedName>
    <definedName name="solver_lhs7" localSheetId="3" hidden="1">Emma!$U$5:$U$10</definedName>
    <definedName name="solver_lhs7" localSheetId="4" hidden="1">Jack!$U$5:$U$10</definedName>
    <definedName name="solver_lhs7" localSheetId="5" hidden="1">'Jack relaxed'!$V$5:$V$10</definedName>
    <definedName name="solver_lhs7" localSheetId="2" hidden="1">'Original linear'!$U$5:$U$10</definedName>
    <definedName name="solver_lhs8" localSheetId="1" hidden="1">'--&gt;'!$N$5:$N$10</definedName>
    <definedName name="solver_lhs8" localSheetId="3" hidden="1">Emma!$V$5:$V$10</definedName>
    <definedName name="solver_lhs8" localSheetId="4" hidden="1">Jack!$V$5:$V$10</definedName>
    <definedName name="solver_lhs8" localSheetId="5" hidden="1">'Jack relaxed'!$W$5:$W$10</definedName>
    <definedName name="solver_lhs8" localSheetId="2" hidden="1">'Original linear'!$V$5:$V$10</definedName>
    <definedName name="solver_lhs9" localSheetId="1" hidden="1">'--&gt;'!$O$5:$O$10</definedName>
    <definedName name="solver_lhs9" localSheetId="3" hidden="1">Emma!$W$5:$W$10</definedName>
    <definedName name="solver_lhs9" localSheetId="4" hidden="1">Jack!$W$5:$W$10</definedName>
    <definedName name="solver_lhs9" localSheetId="5" hidden="1">'Jack relaxed'!$X$5:$X$10</definedName>
    <definedName name="solver_lhs9" localSheetId="2" hidden="1">'Original linear'!$W$5:$W$10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2" hidden="1">1000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2" hidden="1">1000</definedName>
    <definedName name="solver_num" localSheetId="1" hidden="1">9</definedName>
    <definedName name="solver_num" localSheetId="3" hidden="1">10</definedName>
    <definedName name="solver_num" localSheetId="4" hidden="1">10</definedName>
    <definedName name="solver_num" localSheetId="5" hidden="1">9</definedName>
    <definedName name="solver_num" localSheetId="2" hidden="1">10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opt" localSheetId="1" hidden="1">'--&gt;'!$B$22</definedName>
    <definedName name="solver_opt" localSheetId="3" hidden="1">Emma!$B$24</definedName>
    <definedName name="solver_opt" localSheetId="4" hidden="1">Jack!$B$24</definedName>
    <definedName name="solver_opt" localSheetId="5" hidden="1">'Jack relaxed'!$B$24</definedName>
    <definedName name="solver_opt" localSheetId="2" hidden="1">'Original linear'!$B$24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2" hidden="1">0.000001</definedName>
    <definedName name="solver_rbv" localSheetId="1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2" hidden="1">2</definedName>
    <definedName name="solver_rel1" localSheetId="1" hidden="1">4</definedName>
    <definedName name="solver_rel1" localSheetId="3" hidden="1">4</definedName>
    <definedName name="solver_rel1" localSheetId="4" hidden="1">4</definedName>
    <definedName name="solver_rel1" localSheetId="5" hidden="1">3</definedName>
    <definedName name="solver_rel1" localSheetId="2" hidden="1">4</definedName>
    <definedName name="solver_rel10" localSheetId="3" hidden="1">2</definedName>
    <definedName name="solver_rel10" localSheetId="4" hidden="1">2</definedName>
    <definedName name="solver_rel10" localSheetId="5" hidden="1">2</definedName>
    <definedName name="solver_rel10" localSheetId="2" hidden="1">2</definedName>
    <definedName name="solver_rel11" localSheetId="3" hidden="1">2</definedName>
    <definedName name="solver_rel11" localSheetId="4" hidden="1">2</definedName>
    <definedName name="solver_rel11" localSheetId="5" hidden="1">2</definedName>
    <definedName name="solver_rel11" localSheetId="2" hidden="1">2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2</definedName>
    <definedName name="solver_rel2" localSheetId="2" hidden="1">3</definedName>
    <definedName name="solver_rel3" localSheetId="1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2" hidden="1">2</definedName>
    <definedName name="solver_rel4" localSheetId="1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2" hidden="1">2</definedName>
    <definedName name="solver_rel5" localSheetId="1" hidden="1">2</definedName>
    <definedName name="solver_rel5" localSheetId="3" hidden="1">2</definedName>
    <definedName name="solver_rel5" localSheetId="4" hidden="1">2</definedName>
    <definedName name="solver_rel5" localSheetId="5" hidden="1">1</definedName>
    <definedName name="solver_rel5" localSheetId="2" hidden="1">2</definedName>
    <definedName name="solver_rel6" localSheetId="1" hidden="1">2</definedName>
    <definedName name="solver_rel6" localSheetId="3" hidden="1">1</definedName>
    <definedName name="solver_rel6" localSheetId="4" hidden="1">1</definedName>
    <definedName name="solver_rel6" localSheetId="5" hidden="1">2</definedName>
    <definedName name="solver_rel6" localSheetId="2" hidden="1">1</definedName>
    <definedName name="solver_rel7" localSheetId="1" hidden="1">3</definedName>
    <definedName name="solver_rel7" localSheetId="3" hidden="1">2</definedName>
    <definedName name="solver_rel7" localSheetId="4" hidden="1">2</definedName>
    <definedName name="solver_rel7" localSheetId="5" hidden="1">3</definedName>
    <definedName name="solver_rel7" localSheetId="2" hidden="1">2</definedName>
    <definedName name="solver_rel8" localSheetId="1" hidden="1">3</definedName>
    <definedName name="solver_rel8" localSheetId="3" hidden="1">3</definedName>
    <definedName name="solver_rel8" localSheetId="4" hidden="1">3</definedName>
    <definedName name="solver_rel8" localSheetId="5" hidden="1">3</definedName>
    <definedName name="solver_rel8" localSheetId="2" hidden="1">3</definedName>
    <definedName name="solver_rel9" localSheetId="1" hidden="1">2</definedName>
    <definedName name="solver_rel9" localSheetId="3" hidden="1">3</definedName>
    <definedName name="solver_rel9" localSheetId="4" hidden="1">3</definedName>
    <definedName name="solver_rel9" localSheetId="5" hidden="1">2</definedName>
    <definedName name="solver_rel9" localSheetId="2" hidden="1">3</definedName>
    <definedName name="solver_rhs1" localSheetId="1" hidden="1">"integer"</definedName>
    <definedName name="solver_rhs1" localSheetId="3" hidden="1">"integer"</definedName>
    <definedName name="solver_rhs1" localSheetId="4" hidden="1">"geheeltallig"</definedName>
    <definedName name="solver_rhs1" localSheetId="5" hidden="1">0</definedName>
    <definedName name="solver_rhs1" localSheetId="2" hidden="1">"geheeltallig"</definedName>
    <definedName name="solver_rhs10" localSheetId="3" hidden="1">0</definedName>
    <definedName name="solver_rhs10" localSheetId="4" hidden="1">0</definedName>
    <definedName name="solver_rhs10" localSheetId="5" hidden="1">0</definedName>
    <definedName name="solver_rhs10" localSheetId="2" hidden="1">0</definedName>
    <definedName name="solver_rhs11" localSheetId="3" hidden="1">0</definedName>
    <definedName name="solver_rhs11" localSheetId="4" hidden="1">0</definedName>
    <definedName name="solver_rhs11" localSheetId="5" hidden="1">0</definedName>
    <definedName name="solver_rhs11" localSheetId="2" hidden="1">0</definedName>
    <definedName name="solver_rhs2" localSheetId="1" hidden="1">0</definedName>
    <definedName name="solver_rhs2" localSheetId="3" hidden="1">0</definedName>
    <definedName name="solver_rhs2" localSheetId="4" hidden="1">0</definedName>
    <definedName name="solver_rhs2" localSheetId="5" hidden="1">'Jack relaxed'!$F$4</definedName>
    <definedName name="solver_rhs2" localSheetId="2" hidden="1">0</definedName>
    <definedName name="solver_rhs3" localSheetId="1" hidden="1">'--&gt;'!$D$10</definedName>
    <definedName name="solver_rhs3" localSheetId="3" hidden="1">Emma!$F$4</definedName>
    <definedName name="solver_rhs3" localSheetId="4" hidden="1">Jack!$F$4</definedName>
    <definedName name="solver_rhs3" localSheetId="5" hidden="1">0</definedName>
    <definedName name="solver_rhs3" localSheetId="2" hidden="1">'Original linear'!$F$4</definedName>
    <definedName name="solver_rhs4" localSheetId="1" hidden="1">'--&gt;'!$F$4</definedName>
    <definedName name="solver_rhs4" localSheetId="3" hidden="1">0</definedName>
    <definedName name="solver_rhs4" localSheetId="4" hidden="1">0</definedName>
    <definedName name="solver_rhs4" localSheetId="5" hidden="1">0</definedName>
    <definedName name="solver_rhs4" localSheetId="2" hidden="1">0</definedName>
    <definedName name="solver_rhs5" localSheetId="1" hidden="1">0</definedName>
    <definedName name="solver_rhs5" localSheetId="3" hidden="1">0</definedName>
    <definedName name="solver_rhs5" localSheetId="4" hidden="1">0</definedName>
    <definedName name="solver_rhs5" localSheetId="5" hidden="1">0</definedName>
    <definedName name="solver_rhs5" localSheetId="2" hidden="1">0</definedName>
    <definedName name="solver_rhs6" localSheetId="1" hidden="1">0</definedName>
    <definedName name="solver_rhs6" localSheetId="3" hidden="1">0</definedName>
    <definedName name="solver_rhs6" localSheetId="4" hidden="1">0</definedName>
    <definedName name="solver_rhs6" localSheetId="5" hidden="1">0</definedName>
    <definedName name="solver_rhs6" localSheetId="2" hidden="1">0</definedName>
    <definedName name="solver_rhs7" localSheetId="1" hidden="1">0</definedName>
    <definedName name="solver_rhs7" localSheetId="3" hidden="1">0</definedName>
    <definedName name="solver_rhs7" localSheetId="4" hidden="1">0</definedName>
    <definedName name="solver_rhs7" localSheetId="5" hidden="1">0</definedName>
    <definedName name="solver_rhs7" localSheetId="2" hidden="1">0</definedName>
    <definedName name="solver_rhs8" localSheetId="1" hidden="1">0</definedName>
    <definedName name="solver_rhs8" localSheetId="3" hidden="1">0</definedName>
    <definedName name="solver_rhs8" localSheetId="4" hidden="1">0</definedName>
    <definedName name="solver_rhs8" localSheetId="5" hidden="1">0</definedName>
    <definedName name="solver_rhs8" localSheetId="2" hidden="1">0</definedName>
    <definedName name="solver_rhs9" localSheetId="1" hidden="1">0</definedName>
    <definedName name="solver_rhs9" localSheetId="3" hidden="1">0</definedName>
    <definedName name="solver_rhs9" localSheetId="4" hidden="1">0</definedName>
    <definedName name="solver_rhs9" localSheetId="5" hidden="1">0</definedName>
    <definedName name="solver_rhs9" localSheetId="2" hidden="1">0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sz" localSheetId="1" hidden="1">0</definedName>
    <definedName name="solver_ssz" localSheetId="3" hidden="1">0</definedName>
    <definedName name="solver_ssz" localSheetId="4" hidden="1">0</definedName>
    <definedName name="solver_ssz" localSheetId="5" hidden="1">0</definedName>
    <definedName name="solver_ssz" localSheetId="2" hidden="1">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2" hidden="1">100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2" hidden="1">0.001</definedName>
    <definedName name="solver_typ" localSheetId="1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2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0" l="1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X10" i="10"/>
  <c r="W10" i="10"/>
  <c r="V10" i="10"/>
  <c r="U10" i="10"/>
  <c r="T10" i="10"/>
  <c r="S10" i="10"/>
  <c r="L10" i="10"/>
  <c r="X9" i="10"/>
  <c r="W9" i="10"/>
  <c r="V9" i="10"/>
  <c r="T9" i="10"/>
  <c r="S9" i="10"/>
  <c r="L9" i="10"/>
  <c r="B23" i="10" s="1"/>
  <c r="X8" i="10"/>
  <c r="W8" i="10"/>
  <c r="V8" i="10"/>
  <c r="U8" i="10"/>
  <c r="T8" i="10"/>
  <c r="S8" i="10"/>
  <c r="X7" i="10"/>
  <c r="W7" i="10"/>
  <c r="V7" i="10"/>
  <c r="U7" i="10"/>
  <c r="T7" i="10"/>
  <c r="S7" i="10"/>
  <c r="X6" i="10"/>
  <c r="W6" i="10"/>
  <c r="V6" i="10"/>
  <c r="U6" i="10"/>
  <c r="T6" i="10"/>
  <c r="S6" i="10"/>
  <c r="X5" i="10"/>
  <c r="W5" i="10"/>
  <c r="V5" i="10"/>
  <c r="U5" i="10"/>
  <c r="T5" i="10"/>
  <c r="S5" i="10"/>
  <c r="H4" i="10"/>
  <c r="B25" i="6"/>
  <c r="B25" i="5"/>
  <c r="L9" i="6"/>
  <c r="V5" i="4"/>
  <c r="U6" i="4"/>
  <c r="U7" i="4"/>
  <c r="U8" i="4"/>
  <c r="U9" i="4"/>
  <c r="U10" i="4"/>
  <c r="U5" i="4"/>
  <c r="W5" i="4"/>
  <c r="X5" i="4"/>
  <c r="L10" i="6"/>
  <c r="U10" i="6" s="1"/>
  <c r="B23" i="6"/>
  <c r="L9" i="5"/>
  <c r="U9" i="5" s="1"/>
  <c r="L8" i="5"/>
  <c r="U8" i="5" s="1"/>
  <c r="L7" i="5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X10" i="6"/>
  <c r="W10" i="6"/>
  <c r="V10" i="6"/>
  <c r="T10" i="6"/>
  <c r="S10" i="6"/>
  <c r="X9" i="6"/>
  <c r="W9" i="6"/>
  <c r="V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H4" i="6"/>
  <c r="T5" i="4"/>
  <c r="S5" i="4"/>
  <c r="J15" i="4"/>
  <c r="D15" i="4"/>
  <c r="B15" i="4"/>
  <c r="I16" i="4"/>
  <c r="I17" i="4"/>
  <c r="I18" i="4"/>
  <c r="I19" i="4"/>
  <c r="I20" i="4"/>
  <c r="I15" i="4"/>
  <c r="U6" i="5"/>
  <c r="U10" i="5"/>
  <c r="U5" i="5"/>
  <c r="J15" i="5"/>
  <c r="X5" i="5"/>
  <c r="W5" i="5"/>
  <c r="V5" i="5"/>
  <c r="T5" i="5"/>
  <c r="S5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X10" i="5"/>
  <c r="W10" i="5"/>
  <c r="V10" i="5"/>
  <c r="T10" i="5"/>
  <c r="S10" i="5"/>
  <c r="X9" i="5"/>
  <c r="W9" i="5"/>
  <c r="V9" i="5"/>
  <c r="T9" i="5"/>
  <c r="S9" i="5"/>
  <c r="X8" i="5"/>
  <c r="W8" i="5"/>
  <c r="V8" i="5"/>
  <c r="T8" i="5"/>
  <c r="S8" i="5"/>
  <c r="X7" i="5"/>
  <c r="W7" i="5"/>
  <c r="V7" i="5"/>
  <c r="T7" i="5"/>
  <c r="S7" i="5"/>
  <c r="X6" i="5"/>
  <c r="W6" i="5"/>
  <c r="V6" i="5"/>
  <c r="T6" i="5"/>
  <c r="S6" i="5"/>
  <c r="H4" i="5"/>
  <c r="B23" i="4"/>
  <c r="B22" i="10" l="1"/>
  <c r="B24" i="10" s="1"/>
  <c r="B25" i="10" s="1"/>
  <c r="U9" i="10"/>
  <c r="U9" i="6"/>
  <c r="B23" i="5"/>
  <c r="U7" i="5"/>
  <c r="B22" i="6"/>
  <c r="B24" i="6" s="1"/>
  <c r="B22" i="5"/>
  <c r="B24" i="5" l="1"/>
  <c r="T6" i="4" l="1"/>
  <c r="T7" i="4"/>
  <c r="T8" i="4"/>
  <c r="T9" i="4"/>
  <c r="T10" i="4"/>
  <c r="S6" i="4"/>
  <c r="S7" i="4"/>
  <c r="S8" i="4"/>
  <c r="S9" i="4"/>
  <c r="S10" i="4"/>
  <c r="J16" i="4"/>
  <c r="J17" i="4"/>
  <c r="J18" i="4"/>
  <c r="J19" i="4"/>
  <c r="J20" i="4"/>
  <c r="H15" i="4"/>
  <c r="H16" i="4"/>
  <c r="H19" i="4"/>
  <c r="H4" i="4"/>
  <c r="H20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C15" i="4"/>
  <c r="X10" i="4"/>
  <c r="W10" i="4"/>
  <c r="V10" i="4"/>
  <c r="X9" i="4"/>
  <c r="W9" i="4"/>
  <c r="V9" i="4"/>
  <c r="X8" i="4"/>
  <c r="W8" i="4"/>
  <c r="V8" i="4"/>
  <c r="X7" i="4"/>
  <c r="W7" i="4"/>
  <c r="V7" i="4"/>
  <c r="X6" i="4"/>
  <c r="W6" i="4"/>
  <c r="V6" i="4"/>
  <c r="H15" i="2"/>
  <c r="N10" i="2"/>
  <c r="N9" i="2"/>
  <c r="N8" i="2"/>
  <c r="N7" i="2"/>
  <c r="N6" i="2"/>
  <c r="N5" i="2"/>
  <c r="O10" i="2"/>
  <c r="O9" i="2"/>
  <c r="O8" i="2"/>
  <c r="O7" i="2"/>
  <c r="O6" i="2"/>
  <c r="O5" i="2"/>
  <c r="M6" i="2"/>
  <c r="M7" i="2"/>
  <c r="M8" i="2"/>
  <c r="M9" i="2"/>
  <c r="M10" i="2"/>
  <c r="M5" i="2"/>
  <c r="L10" i="2"/>
  <c r="L9" i="2"/>
  <c r="L8" i="2"/>
  <c r="L7" i="2"/>
  <c r="L6" i="2"/>
  <c r="L5" i="2"/>
  <c r="H16" i="2"/>
  <c r="H17" i="2"/>
  <c r="H18" i="2"/>
  <c r="H19" i="2"/>
  <c r="H20" i="2"/>
  <c r="I16" i="2"/>
  <c r="I17" i="2"/>
  <c r="I18" i="2"/>
  <c r="I19" i="2"/>
  <c r="I20" i="2"/>
  <c r="I15" i="2"/>
  <c r="G20" i="2"/>
  <c r="G16" i="2"/>
  <c r="G17" i="2"/>
  <c r="G18" i="2"/>
  <c r="G19" i="2"/>
  <c r="G15" i="2"/>
  <c r="F16" i="2"/>
  <c r="F17" i="2"/>
  <c r="F18" i="2"/>
  <c r="F19" i="2"/>
  <c r="F20" i="2"/>
  <c r="F15" i="2"/>
  <c r="E16" i="2"/>
  <c r="E17" i="2"/>
  <c r="E18" i="2"/>
  <c r="E19" i="2"/>
  <c r="E20" i="2"/>
  <c r="E15" i="2"/>
  <c r="D16" i="2"/>
  <c r="D17" i="2"/>
  <c r="D18" i="2"/>
  <c r="D19" i="2"/>
  <c r="D20" i="2"/>
  <c r="D15" i="2"/>
  <c r="C16" i="2"/>
  <c r="C17" i="2"/>
  <c r="C18" i="2"/>
  <c r="C19" i="2"/>
  <c r="C20" i="2"/>
  <c r="C15" i="2"/>
  <c r="B16" i="2"/>
  <c r="B17" i="2"/>
  <c r="B18" i="2"/>
  <c r="B19" i="2"/>
  <c r="B20" i="2"/>
  <c r="B15" i="2"/>
  <c r="H18" i="4" l="1"/>
  <c r="H17" i="4"/>
  <c r="B22" i="2"/>
  <c r="B22" i="4" l="1"/>
  <c r="B24" i="4" s="1"/>
</calcChain>
</file>

<file path=xl/sharedStrings.xml><?xml version="1.0" encoding="utf-8"?>
<sst xmlns="http://schemas.openxmlformats.org/spreadsheetml/2006/main" count="452" uniqueCount="229">
  <si>
    <t>Item</t>
  </si>
  <si>
    <t>Cost</t>
  </si>
  <si>
    <t>Material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</si>
  <si>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</si>
  <si>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</si>
  <si>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</si>
  <si>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</si>
  <si>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</si>
  <si>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</si>
  <si>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</si>
  <si>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Maximum overtime per worker per month</t>
  </si>
  <si>
    <t>period</t>
  </si>
  <si>
    <t>hired</t>
  </si>
  <si>
    <t>laid off</t>
  </si>
  <si>
    <t>workforce</t>
  </si>
  <si>
    <t>overtime</t>
  </si>
  <si>
    <t>inventory</t>
  </si>
  <si>
    <t>stockout</t>
  </si>
  <si>
    <t>subcontracting</t>
  </si>
  <si>
    <t>production</t>
  </si>
  <si>
    <t>demand</t>
  </si>
  <si>
    <t>Production</t>
  </si>
  <si>
    <t>Costs</t>
  </si>
  <si>
    <t>hiring</t>
  </si>
  <si>
    <t>lay off</t>
  </si>
  <si>
    <t>regular time</t>
  </si>
  <si>
    <t>material</t>
  </si>
  <si>
    <t>total</t>
  </si>
  <si>
    <t xml:space="preserve"> </t>
  </si>
  <si>
    <t>sub1</t>
  </si>
  <si>
    <t>sub2</t>
  </si>
  <si>
    <t>sub</t>
  </si>
  <si>
    <t>Subcontracting cost/unit</t>
  </si>
  <si>
    <t>selling price/unit</t>
  </si>
  <si>
    <t>total cost</t>
  </si>
  <si>
    <t>revenue</t>
  </si>
  <si>
    <t>profit</t>
  </si>
  <si>
    <t>price</t>
  </si>
  <si>
    <t>July</t>
  </si>
  <si>
    <t>August</t>
  </si>
  <si>
    <t>September</t>
  </si>
  <si>
    <t>October</t>
  </si>
  <si>
    <t>November</t>
  </si>
  <si>
    <t>December</t>
  </si>
  <si>
    <t>new demand</t>
  </si>
  <si>
    <t>$B$5</t>
  </si>
  <si>
    <t>July hired</t>
  </si>
  <si>
    <t>$C$5</t>
  </si>
  <si>
    <t>July laid off</t>
  </si>
  <si>
    <t>$D$5</t>
  </si>
  <si>
    <t>July workforce</t>
  </si>
  <si>
    <t>$E$5</t>
  </si>
  <si>
    <t>July overtime</t>
  </si>
  <si>
    <t>$F$5</t>
  </si>
  <si>
    <t>July inventory</t>
  </si>
  <si>
    <t>$G$5</t>
  </si>
  <si>
    <t>July stockout</t>
  </si>
  <si>
    <t>$H$5</t>
  </si>
  <si>
    <t>July subcontracting</t>
  </si>
  <si>
    <t>$I$5</t>
  </si>
  <si>
    <t>July sub1</t>
  </si>
  <si>
    <t>$J$5</t>
  </si>
  <si>
    <t>July sub2</t>
  </si>
  <si>
    <t>$K$5</t>
  </si>
  <si>
    <t>July production</t>
  </si>
  <si>
    <t>$B$6</t>
  </si>
  <si>
    <t>August hired</t>
  </si>
  <si>
    <t>$C$6</t>
  </si>
  <si>
    <t>August laid off</t>
  </si>
  <si>
    <t>$D$6</t>
  </si>
  <si>
    <t>August workforce</t>
  </si>
  <si>
    <t>$E$6</t>
  </si>
  <si>
    <t>August overtime</t>
  </si>
  <si>
    <t>$F$6</t>
  </si>
  <si>
    <t>August inventory</t>
  </si>
  <si>
    <t>$G$6</t>
  </si>
  <si>
    <t>August stockout</t>
  </si>
  <si>
    <t>$H$6</t>
  </si>
  <si>
    <t>August subcontracting</t>
  </si>
  <si>
    <t>$I$6</t>
  </si>
  <si>
    <t>August sub1</t>
  </si>
  <si>
    <t>$J$6</t>
  </si>
  <si>
    <t>August sub2</t>
  </si>
  <si>
    <t>$K$6</t>
  </si>
  <si>
    <t>August production</t>
  </si>
  <si>
    <t>$B$7</t>
  </si>
  <si>
    <t>September hired</t>
  </si>
  <si>
    <t>$C$7</t>
  </si>
  <si>
    <t>September laid off</t>
  </si>
  <si>
    <t>$D$7</t>
  </si>
  <si>
    <t>September workforce</t>
  </si>
  <si>
    <t>$E$7</t>
  </si>
  <si>
    <t>September overtime</t>
  </si>
  <si>
    <t>$F$7</t>
  </si>
  <si>
    <t>September inventory</t>
  </si>
  <si>
    <t>$G$7</t>
  </si>
  <si>
    <t>September stockout</t>
  </si>
  <si>
    <t>$H$7</t>
  </si>
  <si>
    <t>September subcontracting</t>
  </si>
  <si>
    <t>$I$7</t>
  </si>
  <si>
    <t>September sub1</t>
  </si>
  <si>
    <t>$J$7</t>
  </si>
  <si>
    <t>September sub2</t>
  </si>
  <si>
    <t>$K$7</t>
  </si>
  <si>
    <t>September production</t>
  </si>
  <si>
    <t>$B$8</t>
  </si>
  <si>
    <t>October hired</t>
  </si>
  <si>
    <t>$C$8</t>
  </si>
  <si>
    <t>October laid off</t>
  </si>
  <si>
    <t>$D$8</t>
  </si>
  <si>
    <t>October workforce</t>
  </si>
  <si>
    <t>$E$8</t>
  </si>
  <si>
    <t>October overtime</t>
  </si>
  <si>
    <t>$F$8</t>
  </si>
  <si>
    <t>October inventory</t>
  </si>
  <si>
    <t>$G$8</t>
  </si>
  <si>
    <t>October stockout</t>
  </si>
  <si>
    <t>$H$8</t>
  </si>
  <si>
    <t>October subcontracting</t>
  </si>
  <si>
    <t>$I$8</t>
  </si>
  <si>
    <t>October sub1</t>
  </si>
  <si>
    <t>$J$8</t>
  </si>
  <si>
    <t>October sub2</t>
  </si>
  <si>
    <t>$K$8</t>
  </si>
  <si>
    <t>October production</t>
  </si>
  <si>
    <t>$B$9</t>
  </si>
  <si>
    <t>November hired</t>
  </si>
  <si>
    <t>$C$9</t>
  </si>
  <si>
    <t>November laid off</t>
  </si>
  <si>
    <t>$D$9</t>
  </si>
  <si>
    <t>November workforce</t>
  </si>
  <si>
    <t>$E$9</t>
  </si>
  <si>
    <t>November overtime</t>
  </si>
  <si>
    <t>$F$9</t>
  </si>
  <si>
    <t>November inventory</t>
  </si>
  <si>
    <t>$G$9</t>
  </si>
  <si>
    <t>November stockout</t>
  </si>
  <si>
    <t>$H$9</t>
  </si>
  <si>
    <t>November subcontracting</t>
  </si>
  <si>
    <t>$I$9</t>
  </si>
  <si>
    <t>November sub1</t>
  </si>
  <si>
    <t>$J$9</t>
  </si>
  <si>
    <t>November sub2</t>
  </si>
  <si>
    <t>$K$9</t>
  </si>
  <si>
    <t>November production</t>
  </si>
  <si>
    <t>$B$10</t>
  </si>
  <si>
    <t>December hired</t>
  </si>
  <si>
    <t>$C$10</t>
  </si>
  <si>
    <t>December laid off</t>
  </si>
  <si>
    <t>$D$10</t>
  </si>
  <si>
    <t>December workforce</t>
  </si>
  <si>
    <t>$E$10</t>
  </si>
  <si>
    <t>December overtime</t>
  </si>
  <si>
    <t>$F$10</t>
  </si>
  <si>
    <t>December inventory</t>
  </si>
  <si>
    <t>$G$10</t>
  </si>
  <si>
    <t>December stockout</t>
  </si>
  <si>
    <t>$H$10</t>
  </si>
  <si>
    <t>December subcontracting</t>
  </si>
  <si>
    <t>$I$10</t>
  </si>
  <si>
    <t>December sub1</t>
  </si>
  <si>
    <t>$J$10</t>
  </si>
  <si>
    <t>December sub2</t>
  </si>
  <si>
    <t>$K$10</t>
  </si>
  <si>
    <t>December production</t>
  </si>
  <si>
    <t>$S$5</t>
  </si>
  <si>
    <t>$S$6</t>
  </si>
  <si>
    <t>$S$7</t>
  </si>
  <si>
    <t>$S$8</t>
  </si>
  <si>
    <t>$S$9</t>
  </si>
  <si>
    <t>$S$10</t>
  </si>
  <si>
    <t>$T$5</t>
  </si>
  <si>
    <t>$T$6</t>
  </si>
  <si>
    <t>$T$7</t>
  </si>
  <si>
    <t>$T$8</t>
  </si>
  <si>
    <t>$T$9</t>
  </si>
  <si>
    <t>$T$10</t>
  </si>
  <si>
    <t>$U$5</t>
  </si>
  <si>
    <t>$U$6</t>
  </si>
  <si>
    <t>$U$7</t>
  </si>
  <si>
    <t>$U$8</t>
  </si>
  <si>
    <t>$U$9</t>
  </si>
  <si>
    <t>$U$10</t>
  </si>
  <si>
    <t>$V$5</t>
  </si>
  <si>
    <t>$V$6</t>
  </si>
  <si>
    <t>$V$7</t>
  </si>
  <si>
    <t>$V$8</t>
  </si>
  <si>
    <t>$V$9</t>
  </si>
  <si>
    <t>$V$10</t>
  </si>
  <si>
    <t>$W$5</t>
  </si>
  <si>
    <t>$W$6</t>
  </si>
  <si>
    <t>$W$7</t>
  </si>
  <si>
    <t>$W$8</t>
  </si>
  <si>
    <t>$W$9</t>
  </si>
  <si>
    <t>$W$10</t>
  </si>
  <si>
    <t xml:space="preserve">change </t>
  </si>
  <si>
    <t>change</t>
  </si>
  <si>
    <t>Werkblad: [Production assignment vraag 2.xlsx]Jack (2)</t>
  </si>
  <si>
    <t>Cel</t>
  </si>
  <si>
    <t>Naam</t>
  </si>
  <si>
    <t>Variabelecellen</t>
  </si>
  <si>
    <t>Randvoorwaarden</t>
  </si>
  <si>
    <t xml:space="preserve">  sub</t>
  </si>
  <si>
    <t xml:space="preserve">  sub1</t>
  </si>
  <si>
    <t xml:space="preserve">  inventory</t>
  </si>
  <si>
    <t xml:space="preserve">  overtime</t>
  </si>
  <si>
    <t xml:space="preserve">  Production</t>
  </si>
  <si>
    <t>$X$5</t>
  </si>
  <si>
    <t xml:space="preserve">  workforce</t>
  </si>
  <si>
    <t>$X$6</t>
  </si>
  <si>
    <t>$X$7</t>
  </si>
  <si>
    <t>$X$8</t>
  </si>
  <si>
    <t>$X$9</t>
  </si>
  <si>
    <t>$X$10</t>
  </si>
  <si>
    <t>Microsoft Excel 16.0 Gevoeligheidsrapport</t>
  </si>
  <si>
    <t>Rapport gemaakt: 21-5-2023 17:29:45</t>
  </si>
  <si>
    <t>Eind</t>
  </si>
  <si>
    <t>Waarde</t>
  </si>
  <si>
    <t>Gereduceerde</t>
  </si>
  <si>
    <t>Kosten</t>
  </si>
  <si>
    <t>Doelfunctie</t>
  </si>
  <si>
    <t>Coëfficiënt</t>
  </si>
  <si>
    <t>Toegestane</t>
  </si>
  <si>
    <t>Toename</t>
  </si>
  <si>
    <t>Afname</t>
  </si>
  <si>
    <t>Schaduw</t>
  </si>
  <si>
    <t>Prijs</t>
  </si>
  <si>
    <t>Randvoorwaarde</t>
  </si>
  <si>
    <t>Rechterzijde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</si>
</sst>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" fontId="0" fillId="0" borderId="4" xfId="0" applyNumberFormat="1" applyBorder="1"/>
    <xf numFmtId="0" fontId="2" fillId="0" borderId="5" xfId="0" applyFont="1" applyBorder="1"/>
    <xf numFmtId="1" fontId="0" fillId="0" borderId="6" xfId="0" applyNumberFormat="1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7" xfId="0" applyBorder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8" xfId="0" applyNumberFormat="1" applyBorder="1"/>
    <xf numFmtId="165" fontId="0" fillId="0" borderId="0" xfId="0" applyNumberFormat="1"/>
    <xf numFmtId="4" fontId="0" fillId="0" borderId="0" xfId="0" applyNumberFormat="1"/>
    <xf numFmtId="0" fontId="0" fillId="0" borderId="12" xfId="0" applyFill="1" applyBorder="1" applyAlignment="1"/>
    <xf numFmtId="0" fontId="0" fillId="0" borderId="11" xfId="0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2433-64AF-45B0-8475-8AC5EBC76F3E}">
  <dimension ref="A1:B12"/>
  <sheetViews>
    <sheetView workbookViewId="0">
      <selection activeCell="B12" sqref="B12"/>
    </sheetView>
  </sheetViews>
  <sheetFormatPr defaultRowHeight="15" x14ac:dyDescent="0.25"/>
  <cols>
    <col min="1" max="1" width="37.5703125" bestFit="1" customWidth="1"/>
  </cols>
  <sheetData>
    <row r="1" spans="1:2" ht="15.75" thickBot="1" x14ac:dyDescent="0.3">
      <c r="A1" s="1" t="s">
        <v>0</v>
      </c>
      <c r="B1" s="2" t="s">
        <v>1</v>
      </c>
    </row>
    <row r="2" spans="1:2" x14ac:dyDescent="0.25">
      <c r="A2" s="3" t="s">
        <v>2</v>
      </c>
      <c r="B2" s="4">
        <v>13</v>
      </c>
    </row>
    <row r="3" spans="1:2" x14ac:dyDescent="0.25">
      <c r="A3" s="5" t="s">
        <v>3</v>
      </c>
      <c r="B3" s="6">
        <v>3</v>
      </c>
    </row>
    <row r="4" spans="1:2" x14ac:dyDescent="0.25">
      <c r="A4" s="5" t="s">
        <v>4</v>
      </c>
      <c r="B4" s="6">
        <v>10</v>
      </c>
    </row>
    <row r="5" spans="1:2" x14ac:dyDescent="0.25">
      <c r="A5" s="5" t="s">
        <v>5</v>
      </c>
      <c r="B5" s="6">
        <v>2918</v>
      </c>
    </row>
    <row r="6" spans="1:2" x14ac:dyDescent="0.25">
      <c r="A6" s="5" t="s">
        <v>6</v>
      </c>
      <c r="B6" s="6">
        <v>5081</v>
      </c>
    </row>
    <row r="7" spans="1:2" x14ac:dyDescent="0.25">
      <c r="A7" s="5" t="s">
        <v>7</v>
      </c>
      <c r="B7" s="7">
        <v>0.25</v>
      </c>
    </row>
    <row r="8" spans="1:2" x14ac:dyDescent="0.25">
      <c r="A8" s="5" t="s">
        <v>8</v>
      </c>
      <c r="B8" s="6">
        <v>16</v>
      </c>
    </row>
    <row r="9" spans="1:2" x14ac:dyDescent="0.25">
      <c r="A9" s="5" t="s">
        <v>9</v>
      </c>
      <c r="B9" s="8">
        <v>22</v>
      </c>
    </row>
    <row r="10" spans="1:2" x14ac:dyDescent="0.25">
      <c r="A10" s="5" t="s">
        <v>10</v>
      </c>
      <c r="B10" s="9">
        <v>40</v>
      </c>
    </row>
    <row r="11" spans="1:2" x14ac:dyDescent="0.25">
      <c r="A11" s="5" t="s">
        <v>32</v>
      </c>
      <c r="B11" s="6">
        <v>19</v>
      </c>
    </row>
    <row r="12" spans="1:2" x14ac:dyDescent="0.25">
      <c r="A12" s="11" t="s">
        <v>33</v>
      </c>
      <c r="B12" s="13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FC2D-8323-46F2-A370-066B3DB593D9}">
  <dimension ref="A3:O22"/>
  <sheetViews>
    <sheetView workbookViewId="0">
      <selection activeCell="G35" sqref="G34:G35"/>
    </sheetView>
  </sheetViews>
  <sheetFormatPr defaultRowHeight="15" x14ac:dyDescent="0.25"/>
  <cols>
    <col min="2" max="2" width="14.140625" bestFit="1" customWidth="1"/>
    <col min="4" max="4" width="10.7109375" bestFit="1" customWidth="1"/>
    <col min="5" max="5" width="8.28515625" bestFit="1" customWidth="1"/>
    <col min="8" max="8" width="13.140625" bestFit="1" customWidth="1"/>
    <col min="9" max="9" width="9.85546875" bestFit="1" customWidth="1"/>
    <col min="14" max="14" width="9.85546875" bestFit="1" customWidth="1"/>
  </cols>
  <sheetData>
    <row r="3" spans="1:15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</row>
    <row r="4" spans="1:15" x14ac:dyDescent="0.25">
      <c r="A4">
        <v>0</v>
      </c>
      <c r="B4">
        <v>0</v>
      </c>
      <c r="C4">
        <v>0</v>
      </c>
      <c r="D4">
        <v>300</v>
      </c>
      <c r="E4">
        <v>0</v>
      </c>
      <c r="F4">
        <v>20000</v>
      </c>
      <c r="G4">
        <v>0</v>
      </c>
      <c r="H4">
        <v>0</v>
      </c>
      <c r="I4">
        <v>0</v>
      </c>
      <c r="L4" t="s">
        <v>16</v>
      </c>
      <c r="M4" t="s">
        <v>15</v>
      </c>
      <c r="N4" t="s">
        <v>21</v>
      </c>
      <c r="O4" t="s">
        <v>14</v>
      </c>
    </row>
    <row r="5" spans="1:15" x14ac:dyDescent="0.25">
      <c r="A5">
        <v>1</v>
      </c>
      <c r="B5">
        <v>0</v>
      </c>
      <c r="C5">
        <v>0</v>
      </c>
      <c r="D5">
        <v>300</v>
      </c>
      <c r="E5">
        <v>0</v>
      </c>
      <c r="F5">
        <v>0</v>
      </c>
      <c r="G5">
        <v>0</v>
      </c>
      <c r="H5">
        <v>0</v>
      </c>
      <c r="I5">
        <v>83743</v>
      </c>
      <c r="J5" s="10">
        <v>103743</v>
      </c>
      <c r="L5" s="10">
        <f t="shared" ref="L5:L10" si="0">F4-G4+I5+H5-J5-F5+G5</f>
        <v>0</v>
      </c>
      <c r="M5">
        <f>(D4-B5)*Data!$B$10-'--&gt;'!E5</f>
        <v>12000</v>
      </c>
      <c r="N5">
        <f>(D4-B5)*(20*8/Data!$B$7)+B5*(20*8/(Data!$B$7*1.2))+E5/Data!$B$7-I5</f>
        <v>108257</v>
      </c>
      <c r="O5">
        <f t="shared" ref="O5:O10" si="1">D4+B5-C5-D5</f>
        <v>0</v>
      </c>
    </row>
    <row r="6" spans="1:15" x14ac:dyDescent="0.25">
      <c r="A6">
        <v>2</v>
      </c>
      <c r="B6">
        <v>0</v>
      </c>
      <c r="C6">
        <v>0</v>
      </c>
      <c r="D6">
        <v>300</v>
      </c>
      <c r="E6">
        <v>0</v>
      </c>
      <c r="F6">
        <v>0</v>
      </c>
      <c r="G6">
        <v>0</v>
      </c>
      <c r="H6">
        <v>0</v>
      </c>
      <c r="I6">
        <v>111940</v>
      </c>
      <c r="J6" s="10">
        <v>111940</v>
      </c>
      <c r="L6" s="10">
        <f t="shared" si="0"/>
        <v>0</v>
      </c>
      <c r="M6">
        <f>(D5-B6)*Data!$B$10-'--&gt;'!E6</f>
        <v>12000</v>
      </c>
      <c r="N6">
        <f>(D5-B6)*(20*8/Data!$B$7)+B6*(20*8/(Data!$B$7*1.2))+E6/Data!$B$7-I6</f>
        <v>80060</v>
      </c>
      <c r="O6">
        <f t="shared" si="1"/>
        <v>0</v>
      </c>
    </row>
    <row r="7" spans="1:15" x14ac:dyDescent="0.25">
      <c r="A7">
        <v>3</v>
      </c>
      <c r="B7">
        <v>0</v>
      </c>
      <c r="C7">
        <v>0</v>
      </c>
      <c r="D7">
        <v>300</v>
      </c>
      <c r="E7">
        <v>0</v>
      </c>
      <c r="F7">
        <v>0</v>
      </c>
      <c r="G7">
        <v>0</v>
      </c>
      <c r="H7">
        <v>0</v>
      </c>
      <c r="I7">
        <v>125921</v>
      </c>
      <c r="J7" s="10">
        <v>125921</v>
      </c>
      <c r="L7" s="10">
        <f t="shared" si="0"/>
        <v>0</v>
      </c>
      <c r="M7">
        <f>(D6-B7)*Data!$B$10-'--&gt;'!E7</f>
        <v>12000</v>
      </c>
      <c r="N7">
        <f>(D6-B7)*(20*8/Data!$B$7)+B7*(20*8/(Data!$B$7*1.2))+E7/Data!$B$7-I7</f>
        <v>66079</v>
      </c>
      <c r="O7">
        <f t="shared" si="1"/>
        <v>0</v>
      </c>
    </row>
    <row r="8" spans="1:15" x14ac:dyDescent="0.25">
      <c r="A8">
        <v>4</v>
      </c>
      <c r="B8">
        <v>0</v>
      </c>
      <c r="C8">
        <v>0</v>
      </c>
      <c r="D8">
        <v>300</v>
      </c>
      <c r="E8">
        <v>0</v>
      </c>
      <c r="F8">
        <v>10582</v>
      </c>
      <c r="G8">
        <v>0</v>
      </c>
      <c r="H8">
        <v>0</v>
      </c>
      <c r="I8">
        <v>192000</v>
      </c>
      <c r="J8" s="10">
        <v>181418</v>
      </c>
      <c r="L8" s="10">
        <f t="shared" si="0"/>
        <v>0</v>
      </c>
      <c r="M8">
        <f>(D7-B8)*Data!$B$10-'--&gt;'!E8</f>
        <v>12000</v>
      </c>
      <c r="N8">
        <f>(D7-B8)*(20*8/Data!$B$7)+B8*(20*8/(Data!$B$7*1.2))+E8/Data!$B$7-I8</f>
        <v>0</v>
      </c>
      <c r="O8">
        <f t="shared" si="1"/>
        <v>0</v>
      </c>
    </row>
    <row r="9" spans="1:15" x14ac:dyDescent="0.25">
      <c r="A9">
        <v>5</v>
      </c>
      <c r="B9">
        <v>0</v>
      </c>
      <c r="C9">
        <v>0</v>
      </c>
      <c r="D9">
        <v>300</v>
      </c>
      <c r="E9">
        <v>11932</v>
      </c>
      <c r="F9">
        <v>0</v>
      </c>
      <c r="G9">
        <v>0</v>
      </c>
      <c r="H9">
        <v>0</v>
      </c>
      <c r="I9">
        <v>239725</v>
      </c>
      <c r="J9" s="10">
        <v>250307</v>
      </c>
      <c r="L9" s="10">
        <f t="shared" si="0"/>
        <v>0</v>
      </c>
      <c r="M9">
        <f>(D8-B9)*Data!$B$10-'--&gt;'!E9</f>
        <v>68</v>
      </c>
      <c r="N9">
        <f>(D8-B9)*(20*8/Data!$B$7)+B9*(20*8/(Data!$B$7*1.2))+E9/Data!$B$7-I9</f>
        <v>3</v>
      </c>
      <c r="O9">
        <f t="shared" si="1"/>
        <v>0</v>
      </c>
    </row>
    <row r="10" spans="1:15" x14ac:dyDescent="0.25">
      <c r="A10">
        <v>6</v>
      </c>
      <c r="B10">
        <v>0</v>
      </c>
      <c r="C10">
        <v>0</v>
      </c>
      <c r="D10">
        <v>300</v>
      </c>
      <c r="E10">
        <v>0</v>
      </c>
      <c r="F10">
        <v>20000</v>
      </c>
      <c r="G10">
        <v>0</v>
      </c>
      <c r="H10">
        <v>127050</v>
      </c>
      <c r="I10">
        <v>192000</v>
      </c>
      <c r="J10" s="10">
        <v>299050</v>
      </c>
      <c r="L10" s="10">
        <f t="shared" si="0"/>
        <v>0</v>
      </c>
      <c r="M10">
        <f>(D9-B10)*Data!$B$10-'--&gt;'!E10</f>
        <v>12000</v>
      </c>
      <c r="N10">
        <f>(D9-B10)*(20*8/Data!$B$7)+B10*(20*8/(Data!$B$7*1.2))+E10/Data!$B$7-I10</f>
        <v>0</v>
      </c>
      <c r="O10">
        <f t="shared" si="1"/>
        <v>0</v>
      </c>
    </row>
    <row r="13" spans="1:15" x14ac:dyDescent="0.25">
      <c r="A13" s="11" t="s">
        <v>22</v>
      </c>
    </row>
    <row r="14" spans="1:15" x14ac:dyDescent="0.25">
      <c r="A14" t="s">
        <v>11</v>
      </c>
      <c r="B14" t="s">
        <v>23</v>
      </c>
      <c r="C14" t="s">
        <v>24</v>
      </c>
      <c r="D14" t="s">
        <v>25</v>
      </c>
      <c r="E14" t="s">
        <v>15</v>
      </c>
      <c r="F14" t="s">
        <v>16</v>
      </c>
      <c r="G14" t="s">
        <v>17</v>
      </c>
      <c r="H14" t="s">
        <v>18</v>
      </c>
      <c r="I14" t="s">
        <v>26</v>
      </c>
    </row>
    <row r="15" spans="1:15" x14ac:dyDescent="0.25">
      <c r="A15">
        <v>1</v>
      </c>
      <c r="B15">
        <f>B5*Data!$B$5</f>
        <v>0</v>
      </c>
      <c r="C15">
        <f>C5*Data!$B$6</f>
        <v>0</v>
      </c>
      <c r="D15">
        <f>D5*Data!$B$8*8*20</f>
        <v>768000</v>
      </c>
      <c r="E15">
        <f>E5*Data!$B$9</f>
        <v>0</v>
      </c>
      <c r="F15">
        <f>F5*Data!$B$3</f>
        <v>0</v>
      </c>
      <c r="G15">
        <f>G5*Data!$B$4</f>
        <v>0</v>
      </c>
      <c r="H15">
        <f>MIN(50000,H5)*Data!$B$11+MAX(0,H5-50000)*Data!$B$11*0.9</f>
        <v>0</v>
      </c>
      <c r="I15">
        <f>I5*Data!$B$2</f>
        <v>1088659</v>
      </c>
    </row>
    <row r="16" spans="1:15" x14ac:dyDescent="0.25">
      <c r="A16">
        <v>2</v>
      </c>
      <c r="B16">
        <f>B6*Data!$B$5</f>
        <v>0</v>
      </c>
      <c r="C16">
        <f>C6*Data!$B$6</f>
        <v>0</v>
      </c>
      <c r="D16">
        <f>D6*Data!$B$8*8*20</f>
        <v>768000</v>
      </c>
      <c r="E16">
        <f>E6*Data!$B$9</f>
        <v>0</v>
      </c>
      <c r="F16">
        <f>F6*Data!$B$3</f>
        <v>0</v>
      </c>
      <c r="G16">
        <f>G6*Data!$B$4</f>
        <v>0</v>
      </c>
      <c r="H16">
        <f>MIN(50000,H6)*Data!$B$11+MAX(0,H6-50000)*Data!$B$11*0.9</f>
        <v>0</v>
      </c>
      <c r="I16">
        <f>I6*Data!$B$2</f>
        <v>1455220</v>
      </c>
    </row>
    <row r="17" spans="1:9" x14ac:dyDescent="0.25">
      <c r="A17">
        <v>3</v>
      </c>
      <c r="B17">
        <f>B7*Data!$B$5</f>
        <v>0</v>
      </c>
      <c r="C17">
        <f>C7*Data!$B$6</f>
        <v>0</v>
      </c>
      <c r="D17">
        <f>D7*Data!$B$8*8*20</f>
        <v>768000</v>
      </c>
      <c r="E17">
        <f>E7*Data!$B$9</f>
        <v>0</v>
      </c>
      <c r="F17">
        <f>F7*Data!$B$3</f>
        <v>0</v>
      </c>
      <c r="G17">
        <f>G7*Data!$B$4</f>
        <v>0</v>
      </c>
      <c r="H17">
        <f>MIN(50000,H7)*Data!$B$11+MAX(0,H7-50000)*Data!$B$11*0.9</f>
        <v>0</v>
      </c>
      <c r="I17">
        <f>I7*Data!$B$2</f>
        <v>1636973</v>
      </c>
    </row>
    <row r="18" spans="1:9" x14ac:dyDescent="0.25">
      <c r="A18">
        <v>4</v>
      </c>
      <c r="B18">
        <f>B8*Data!$B$5</f>
        <v>0</v>
      </c>
      <c r="C18">
        <f>C8*Data!$B$6</f>
        <v>0</v>
      </c>
      <c r="D18">
        <f>D8*Data!$B$8*8*20</f>
        <v>768000</v>
      </c>
      <c r="E18">
        <f>E8*Data!$B$9</f>
        <v>0</v>
      </c>
      <c r="F18">
        <f>F8*Data!$B$3</f>
        <v>31746</v>
      </c>
      <c r="G18">
        <f>G8*Data!$B$4</f>
        <v>0</v>
      </c>
      <c r="H18">
        <f>MIN(50000,H8)*Data!$B$11+MAX(0,H8-50000)*Data!$B$11*0.9</f>
        <v>0</v>
      </c>
      <c r="I18">
        <f>I8*Data!$B$2</f>
        <v>2496000</v>
      </c>
    </row>
    <row r="19" spans="1:9" x14ac:dyDescent="0.25">
      <c r="A19">
        <v>5</v>
      </c>
      <c r="B19">
        <f>B9*Data!$B$5</f>
        <v>0</v>
      </c>
      <c r="C19">
        <f>C9*Data!$B$6</f>
        <v>0</v>
      </c>
      <c r="D19">
        <f>D9*Data!$B$8*8*20</f>
        <v>768000</v>
      </c>
      <c r="E19">
        <f>E9*Data!$B$9</f>
        <v>262504</v>
      </c>
      <c r="F19">
        <f>F9*Data!$B$3</f>
        <v>0</v>
      </c>
      <c r="G19">
        <f>G9*Data!$B$4</f>
        <v>0</v>
      </c>
      <c r="H19">
        <f>MIN(50000,H9)*Data!$B$11+MAX(0,H9-50000)*Data!$B$11*0.9</f>
        <v>0</v>
      </c>
      <c r="I19">
        <f>I9*Data!$B$2</f>
        <v>3116425</v>
      </c>
    </row>
    <row r="20" spans="1:9" x14ac:dyDescent="0.25">
      <c r="A20">
        <v>6</v>
      </c>
      <c r="B20">
        <f>B10*Data!$B$5</f>
        <v>0</v>
      </c>
      <c r="C20">
        <f>C10*Data!$B$6</f>
        <v>0</v>
      </c>
      <c r="D20">
        <f>D10*Data!$B$8*8*20</f>
        <v>768000</v>
      </c>
      <c r="E20">
        <f>E10*Data!$B$9</f>
        <v>0</v>
      </c>
      <c r="F20">
        <f>F10*Data!$B$3</f>
        <v>60000</v>
      </c>
      <c r="G20">
        <f>G10*Data!$B$4</f>
        <v>0</v>
      </c>
      <c r="H20">
        <f>MIN(50000,H10)*Data!$B$11+MAX(0,H10-50000)*Data!$B$11*0.9</f>
        <v>2267555</v>
      </c>
      <c r="I20">
        <f>I10*Data!$B$2</f>
        <v>2496000</v>
      </c>
    </row>
    <row r="22" spans="1:9" x14ac:dyDescent="0.25">
      <c r="A22" t="s">
        <v>27</v>
      </c>
      <c r="B22" s="12">
        <f>SUM(B15:I20)</f>
        <v>19519082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786F-4F05-433D-AAF4-B7AE1DD7CB99}">
  <dimension ref="A3:AD24"/>
  <sheetViews>
    <sheetView workbookViewId="0">
      <selection activeCell="L8" sqref="L8"/>
    </sheetView>
  </sheetViews>
  <sheetFormatPr defaultRowHeight="15" x14ac:dyDescent="0.25"/>
  <cols>
    <col min="1" max="1" width="13.85546875" bestFit="1" customWidth="1"/>
    <col min="2" max="2" width="14.140625" bestFit="1" customWidth="1"/>
    <col min="4" max="4" width="10.7109375" bestFit="1" customWidth="1"/>
    <col min="5" max="5" width="8.28515625" bestFit="1" customWidth="1"/>
    <col min="8" max="8" width="13.140625" bestFit="1" customWidth="1"/>
    <col min="9" max="9" width="14" customWidth="1"/>
  </cols>
  <sheetData>
    <row r="3" spans="1:30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29</v>
      </c>
      <c r="J3" t="s">
        <v>30</v>
      </c>
      <c r="K3" t="s">
        <v>19</v>
      </c>
      <c r="L3" t="s">
        <v>20</v>
      </c>
      <c r="N3" t="s">
        <v>28</v>
      </c>
    </row>
    <row r="4" spans="1:30" x14ac:dyDescent="0.25">
      <c r="A4">
        <v>0</v>
      </c>
      <c r="B4">
        <v>0</v>
      </c>
      <c r="C4">
        <v>0</v>
      </c>
      <c r="D4">
        <v>300</v>
      </c>
      <c r="E4">
        <v>0</v>
      </c>
      <c r="F4">
        <v>20000</v>
      </c>
      <c r="G4">
        <v>0</v>
      </c>
      <c r="H4">
        <f>I4+J4</f>
        <v>0</v>
      </c>
      <c r="I4">
        <v>0</v>
      </c>
      <c r="J4">
        <v>0</v>
      </c>
      <c r="K4">
        <v>0</v>
      </c>
      <c r="L4">
        <v>0</v>
      </c>
      <c r="R4" t="s">
        <v>28</v>
      </c>
      <c r="S4" t="s">
        <v>31</v>
      </c>
      <c r="T4" t="s">
        <v>29</v>
      </c>
      <c r="U4" t="s">
        <v>16</v>
      </c>
      <c r="V4" t="s">
        <v>15</v>
      </c>
      <c r="W4" t="s">
        <v>21</v>
      </c>
      <c r="X4" t="s">
        <v>14</v>
      </c>
    </row>
    <row r="5" spans="1:30" x14ac:dyDescent="0.25">
      <c r="A5" t="s">
        <v>38</v>
      </c>
      <c r="B5">
        <v>0</v>
      </c>
      <c r="C5">
        <v>0</v>
      </c>
      <c r="D5">
        <v>300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83743</v>
      </c>
      <c r="L5" s="10">
        <v>103743</v>
      </c>
      <c r="R5" t="s">
        <v>28</v>
      </c>
      <c r="S5">
        <f>H5-I5-J5</f>
        <v>0</v>
      </c>
      <c r="T5">
        <f>I5-50000</f>
        <v>-50000</v>
      </c>
      <c r="U5" s="10">
        <f>F4-G4+K5+I5+J5-L5-F5+G5</f>
        <v>0</v>
      </c>
      <c r="V5">
        <f>(D4-B5)*Data!$B$10-'Original linear'!E5</f>
        <v>12000</v>
      </c>
      <c r="W5">
        <f>(D4-B5)*(20*8/Data!$B$7)+B5*(20*8/(Data!$B$7*1.2))+E5/Data!$B$7-K5</f>
        <v>108257</v>
      </c>
      <c r="X5">
        <f>D4+B5-C5-D5</f>
        <v>0</v>
      </c>
    </row>
    <row r="6" spans="1:30" x14ac:dyDescent="0.25">
      <c r="A6" t="s">
        <v>39</v>
      </c>
      <c r="B6">
        <v>0</v>
      </c>
      <c r="C6">
        <v>0</v>
      </c>
      <c r="D6">
        <v>300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111940</v>
      </c>
      <c r="L6" s="10">
        <v>111940</v>
      </c>
      <c r="R6" t="s">
        <v>28</v>
      </c>
      <c r="S6">
        <f t="shared" ref="S6:S10" si="0">H6-I6-J6</f>
        <v>0</v>
      </c>
      <c r="T6">
        <f t="shared" ref="T6:T10" si="1">I6-50000</f>
        <v>-50000</v>
      </c>
      <c r="U6" s="10">
        <f t="shared" ref="U6:U10" si="2">F5-G5+K6+I6+J6-L6-F6+G6</f>
        <v>0</v>
      </c>
      <c r="V6">
        <f>(D5-B6)*Data!$B$10-'Original linear'!E6</f>
        <v>12000</v>
      </c>
      <c r="W6">
        <f>(D5-B6)*(20*8/Data!$B$7)+B6*(20*8/(Data!$B$7*1.2))+E6/Data!$B$7-K6</f>
        <v>80060</v>
      </c>
      <c r="X6">
        <f t="shared" ref="X6:X10" si="3">D5+B6-C6-D6</f>
        <v>0</v>
      </c>
    </row>
    <row r="7" spans="1:30" x14ac:dyDescent="0.25">
      <c r="A7" t="s">
        <v>40</v>
      </c>
      <c r="B7">
        <v>0</v>
      </c>
      <c r="C7">
        <v>0</v>
      </c>
      <c r="D7">
        <v>300</v>
      </c>
      <c r="E7">
        <v>0</v>
      </c>
      <c r="F7">
        <v>28775</v>
      </c>
      <c r="G7">
        <v>0</v>
      </c>
      <c r="H7">
        <v>0</v>
      </c>
      <c r="I7">
        <v>0</v>
      </c>
      <c r="J7">
        <v>0</v>
      </c>
      <c r="K7">
        <v>154696</v>
      </c>
      <c r="L7" s="10">
        <v>125921</v>
      </c>
      <c r="R7" t="s">
        <v>28</v>
      </c>
      <c r="S7">
        <f t="shared" si="0"/>
        <v>0</v>
      </c>
      <c r="T7">
        <f t="shared" si="1"/>
        <v>-50000</v>
      </c>
      <c r="U7" s="10">
        <f t="shared" si="2"/>
        <v>0</v>
      </c>
      <c r="V7">
        <f>(D6-B7)*Data!$B$10-'Original linear'!E7</f>
        <v>12000</v>
      </c>
      <c r="W7">
        <f>(D6-B7)*(20*8/Data!$B$7)+B7*(20*8/(Data!$B$7*1.2))+E7/Data!$B$7-K7</f>
        <v>37304</v>
      </c>
      <c r="X7">
        <f t="shared" si="3"/>
        <v>0</v>
      </c>
    </row>
    <row r="8" spans="1:30" x14ac:dyDescent="0.25">
      <c r="A8" t="s">
        <v>41</v>
      </c>
      <c r="B8">
        <v>0</v>
      </c>
      <c r="C8">
        <v>0</v>
      </c>
      <c r="D8">
        <v>300</v>
      </c>
      <c r="E8">
        <v>0</v>
      </c>
      <c r="F8">
        <v>39357</v>
      </c>
      <c r="G8">
        <v>0</v>
      </c>
      <c r="H8">
        <v>0</v>
      </c>
      <c r="I8">
        <v>0</v>
      </c>
      <c r="J8">
        <v>0</v>
      </c>
      <c r="K8">
        <v>192000</v>
      </c>
      <c r="L8" s="10">
        <v>181418</v>
      </c>
      <c r="R8" t="s">
        <v>28</v>
      </c>
      <c r="S8">
        <f t="shared" si="0"/>
        <v>0</v>
      </c>
      <c r="T8">
        <f t="shared" si="1"/>
        <v>-50000</v>
      </c>
      <c r="U8" s="10">
        <f t="shared" si="2"/>
        <v>0</v>
      </c>
      <c r="V8">
        <f>(D7-B8)*Data!$B$10-'Original linear'!E8</f>
        <v>12000</v>
      </c>
      <c r="W8">
        <f>(D7-B8)*(20*8/Data!$B$7)+B8*(20*8/(Data!$B$7*1.2))+E8/Data!$B$7-K8</f>
        <v>0</v>
      </c>
      <c r="X8">
        <f t="shared" si="3"/>
        <v>0</v>
      </c>
      <c r="AD8" t="s">
        <v>28</v>
      </c>
    </row>
    <row r="9" spans="1:30" x14ac:dyDescent="0.25">
      <c r="A9" t="s">
        <v>42</v>
      </c>
      <c r="B9">
        <v>0</v>
      </c>
      <c r="C9">
        <v>0</v>
      </c>
      <c r="D9">
        <v>300</v>
      </c>
      <c r="E9">
        <v>12000</v>
      </c>
      <c r="F9">
        <v>29050</v>
      </c>
      <c r="G9">
        <v>0</v>
      </c>
      <c r="H9">
        <v>0</v>
      </c>
      <c r="I9">
        <v>0</v>
      </c>
      <c r="J9">
        <v>0</v>
      </c>
      <c r="K9">
        <v>240000</v>
      </c>
      <c r="L9" s="10">
        <v>250307</v>
      </c>
      <c r="R9" t="s">
        <v>28</v>
      </c>
      <c r="S9">
        <f t="shared" si="0"/>
        <v>0</v>
      </c>
      <c r="T9">
        <f t="shared" si="1"/>
        <v>-50000</v>
      </c>
      <c r="U9" s="10">
        <f t="shared" si="2"/>
        <v>0</v>
      </c>
      <c r="V9">
        <f>(D8-B9)*Data!$B$10-'Original linear'!E9</f>
        <v>0</v>
      </c>
      <c r="W9">
        <f>(D8-B9)*(20*8/Data!$B$7)+B9*(20*8/(Data!$B$7*1.2))+E9/Data!$B$7-K9</f>
        <v>0</v>
      </c>
      <c r="X9">
        <f t="shared" si="3"/>
        <v>0</v>
      </c>
    </row>
    <row r="10" spans="1:30" x14ac:dyDescent="0.25">
      <c r="A10" t="s">
        <v>43</v>
      </c>
      <c r="B10">
        <v>0</v>
      </c>
      <c r="C10">
        <v>0</v>
      </c>
      <c r="D10">
        <v>300</v>
      </c>
      <c r="E10">
        <v>12000</v>
      </c>
      <c r="F10">
        <v>20000</v>
      </c>
      <c r="G10">
        <v>0</v>
      </c>
      <c r="H10">
        <v>50000</v>
      </c>
      <c r="I10">
        <v>50000</v>
      </c>
      <c r="J10">
        <v>0</v>
      </c>
      <c r="K10">
        <v>240000</v>
      </c>
      <c r="L10" s="10">
        <v>299050</v>
      </c>
      <c r="R10" t="s">
        <v>28</v>
      </c>
      <c r="S10">
        <f t="shared" si="0"/>
        <v>0</v>
      </c>
      <c r="T10">
        <f t="shared" si="1"/>
        <v>0</v>
      </c>
      <c r="U10" s="10">
        <f t="shared" si="2"/>
        <v>0</v>
      </c>
      <c r="V10">
        <f>(D9-B10)*Data!$B$10-'Original linear'!E10</f>
        <v>0</v>
      </c>
      <c r="W10">
        <f>(D9-B10)*(20*8/Data!$B$7)+B10*(20*8/(Data!$B$7*1.2))+E10/Data!$B$7-K10</f>
        <v>0</v>
      </c>
      <c r="X10">
        <f t="shared" si="3"/>
        <v>0</v>
      </c>
    </row>
    <row r="11" spans="1:30" x14ac:dyDescent="0.25">
      <c r="R11" t="s">
        <v>28</v>
      </c>
    </row>
    <row r="13" spans="1:30" x14ac:dyDescent="0.25">
      <c r="A13" s="11" t="s">
        <v>22</v>
      </c>
    </row>
    <row r="14" spans="1:30" x14ac:dyDescent="0.25">
      <c r="A14" t="s">
        <v>11</v>
      </c>
      <c r="B14" t="s">
        <v>23</v>
      </c>
      <c r="C14" t="s">
        <v>24</v>
      </c>
      <c r="D14" t="s">
        <v>25</v>
      </c>
      <c r="E14" t="s">
        <v>15</v>
      </c>
      <c r="F14" t="s">
        <v>16</v>
      </c>
      <c r="G14" t="s">
        <v>17</v>
      </c>
      <c r="H14" t="s">
        <v>29</v>
      </c>
      <c r="I14" t="s">
        <v>30</v>
      </c>
      <c r="J14" t="s">
        <v>26</v>
      </c>
      <c r="N14" s="10" t="s">
        <v>28</v>
      </c>
    </row>
    <row r="15" spans="1:30" x14ac:dyDescent="0.25">
      <c r="A15">
        <v>1</v>
      </c>
      <c r="B15">
        <f>B5*Data!$B$5</f>
        <v>0</v>
      </c>
      <c r="C15">
        <f>C5*Data!$B$6</f>
        <v>0</v>
      </c>
      <c r="D15">
        <f>D5*Data!$B$8*8*20</f>
        <v>768000</v>
      </c>
      <c r="E15">
        <f>E5*Data!$B$9</f>
        <v>0</v>
      </c>
      <c r="F15">
        <f>F5*Data!$B$3</f>
        <v>0</v>
      </c>
      <c r="G15">
        <f>G5*Data!$B$4</f>
        <v>0</v>
      </c>
      <c r="H15">
        <f xml:space="preserve"> I5*Data!$B$11</f>
        <v>0</v>
      </c>
      <c r="I15">
        <f>J5*Data!$B$11*1.1</f>
        <v>0</v>
      </c>
      <c r="J15">
        <f xml:space="preserve"> K5*Data!$B$2</f>
        <v>1088659</v>
      </c>
    </row>
    <row r="16" spans="1:30" x14ac:dyDescent="0.25">
      <c r="A16">
        <v>2</v>
      </c>
      <c r="B16">
        <f>B6*Data!$B$5</f>
        <v>0</v>
      </c>
      <c r="C16">
        <f>C6*Data!$B$6</f>
        <v>0</v>
      </c>
      <c r="D16">
        <f>D6*Data!$B$8*8*20</f>
        <v>768000</v>
      </c>
      <c r="E16">
        <f>E6*Data!$B$9</f>
        <v>0</v>
      </c>
      <c r="F16">
        <f>F6*Data!$B$3</f>
        <v>0</v>
      </c>
      <c r="G16">
        <f>G6*Data!$B$4</f>
        <v>0</v>
      </c>
      <c r="H16">
        <f xml:space="preserve"> H6*Data!$B$11</f>
        <v>0</v>
      </c>
      <c r="I16">
        <f>J6*Data!$B$11*1.1</f>
        <v>0</v>
      </c>
      <c r="J16">
        <f xml:space="preserve"> K6*Data!$B$2</f>
        <v>1455220</v>
      </c>
    </row>
    <row r="17" spans="1:10" x14ac:dyDescent="0.25">
      <c r="A17">
        <v>3</v>
      </c>
      <c r="B17">
        <f>B7*Data!$B$5</f>
        <v>0</v>
      </c>
      <c r="C17">
        <f>C7*Data!$B$6</f>
        <v>0</v>
      </c>
      <c r="D17">
        <f>D7*Data!$B$8*8*20</f>
        <v>768000</v>
      </c>
      <c r="E17">
        <f>E7*Data!$B$9</f>
        <v>0</v>
      </c>
      <c r="F17">
        <f>F7*Data!$B$3</f>
        <v>86325</v>
      </c>
      <c r="G17">
        <f>G7*Data!$B$4</f>
        <v>0</v>
      </c>
      <c r="H17">
        <f xml:space="preserve"> H7*Data!$B$11</f>
        <v>0</v>
      </c>
      <c r="I17">
        <f>J7*Data!$B$11*1.1</f>
        <v>0</v>
      </c>
      <c r="J17">
        <f xml:space="preserve"> K7*Data!$B$2</f>
        <v>2011048</v>
      </c>
    </row>
    <row r="18" spans="1:10" x14ac:dyDescent="0.25">
      <c r="A18">
        <v>4</v>
      </c>
      <c r="B18">
        <f>B8*Data!$B$5</f>
        <v>0</v>
      </c>
      <c r="C18">
        <f>C8*Data!$B$6</f>
        <v>0</v>
      </c>
      <c r="D18">
        <f>D8*Data!$B$8*8*20</f>
        <v>768000</v>
      </c>
      <c r="E18">
        <f>E8*Data!$B$9</f>
        <v>0</v>
      </c>
      <c r="F18">
        <f>F8*Data!$B$3</f>
        <v>118071</v>
      </c>
      <c r="G18">
        <f>G8*Data!$B$4</f>
        <v>0</v>
      </c>
      <c r="H18">
        <f xml:space="preserve"> H8*Data!$B$11</f>
        <v>0</v>
      </c>
      <c r="I18">
        <f>J8*Data!$B$11*1.1</f>
        <v>0</v>
      </c>
      <c r="J18">
        <f xml:space="preserve"> K8*Data!$B$2</f>
        <v>2496000</v>
      </c>
    </row>
    <row r="19" spans="1:10" x14ac:dyDescent="0.25">
      <c r="A19">
        <v>5</v>
      </c>
      <c r="B19">
        <f>B9*Data!$B$5</f>
        <v>0</v>
      </c>
      <c r="C19">
        <f>C9*Data!$B$6</f>
        <v>0</v>
      </c>
      <c r="D19">
        <f>D9*Data!$B$8*8*20</f>
        <v>768000</v>
      </c>
      <c r="E19">
        <f>E9*Data!$B$9</f>
        <v>264000</v>
      </c>
      <c r="F19">
        <f>F9*Data!$B$3</f>
        <v>87150</v>
      </c>
      <c r="G19">
        <f>G9*Data!$B$4</f>
        <v>0</v>
      </c>
      <c r="H19">
        <f xml:space="preserve"> H9*Data!$B$11</f>
        <v>0</v>
      </c>
      <c r="I19">
        <f>J9*Data!$B$11*1.1</f>
        <v>0</v>
      </c>
      <c r="J19">
        <f xml:space="preserve"> K9*Data!$B$2</f>
        <v>3120000</v>
      </c>
    </row>
    <row r="20" spans="1:10" x14ac:dyDescent="0.25">
      <c r="A20">
        <v>6</v>
      </c>
      <c r="B20">
        <f>B10*Data!$B$5</f>
        <v>0</v>
      </c>
      <c r="C20">
        <f>C10*Data!$B$6</f>
        <v>0</v>
      </c>
      <c r="D20">
        <f>D10*Data!$B$8*8*20</f>
        <v>768000</v>
      </c>
      <c r="E20">
        <f>E10*Data!$B$9</f>
        <v>264000</v>
      </c>
      <c r="F20">
        <f>F10*Data!$B$3</f>
        <v>60000</v>
      </c>
      <c r="G20">
        <f>G10*Data!$B$4</f>
        <v>0</v>
      </c>
      <c r="H20">
        <f xml:space="preserve"> H10*Data!$B$11</f>
        <v>950000</v>
      </c>
      <c r="I20">
        <f>J10*Data!$B$11*1.1</f>
        <v>0</v>
      </c>
      <c r="J20">
        <f xml:space="preserve"> K10*Data!$B$2</f>
        <v>3120000</v>
      </c>
    </row>
    <row r="22" spans="1:10" x14ac:dyDescent="0.25">
      <c r="A22" t="s">
        <v>34</v>
      </c>
      <c r="B22" s="14">
        <f>SUM(B15:J20)</f>
        <v>19728473</v>
      </c>
    </row>
    <row r="23" spans="1:10" x14ac:dyDescent="0.25">
      <c r="A23" t="s">
        <v>35</v>
      </c>
      <c r="B23" s="14">
        <f>SUM(L5:L10)*Data!B12</f>
        <v>53618950</v>
      </c>
    </row>
    <row r="24" spans="1:10" x14ac:dyDescent="0.25">
      <c r="A24" t="s">
        <v>36</v>
      </c>
      <c r="B24" s="14">
        <f>B23-B22</f>
        <v>33890477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7946-5A67-4F89-9721-2ADCE2B8DA61}">
  <dimension ref="A3:AC25"/>
  <sheetViews>
    <sheetView workbookViewId="0">
      <selection activeCell="L7" sqref="L7"/>
    </sheetView>
  </sheetViews>
  <sheetFormatPr defaultRowHeight="15" x14ac:dyDescent="0.25"/>
  <cols>
    <col min="1" max="1" width="13.85546875" bestFit="1" customWidth="1"/>
    <col min="2" max="2" width="14.140625" bestFit="1" customWidth="1"/>
    <col min="4" max="4" width="10.7109375" bestFit="1" customWidth="1"/>
    <col min="5" max="5" width="8.28515625" bestFit="1" customWidth="1"/>
    <col min="8" max="8" width="13.140625" bestFit="1" customWidth="1"/>
    <col min="9" max="9" width="14" customWidth="1"/>
  </cols>
  <sheetData>
    <row r="3" spans="1:29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29</v>
      </c>
      <c r="J3" t="s">
        <v>30</v>
      </c>
      <c r="K3" t="s">
        <v>19</v>
      </c>
      <c r="L3" t="s">
        <v>44</v>
      </c>
      <c r="M3" t="s">
        <v>37</v>
      </c>
    </row>
    <row r="4" spans="1:29" x14ac:dyDescent="0.25">
      <c r="A4">
        <v>0</v>
      </c>
      <c r="B4">
        <v>0</v>
      </c>
      <c r="C4">
        <v>0</v>
      </c>
      <c r="D4">
        <v>300</v>
      </c>
      <c r="E4">
        <v>0</v>
      </c>
      <c r="F4">
        <v>20000</v>
      </c>
      <c r="G4">
        <v>0</v>
      </c>
      <c r="H4">
        <f>I4+J4</f>
        <v>0</v>
      </c>
      <c r="I4">
        <v>0</v>
      </c>
      <c r="J4">
        <v>0</v>
      </c>
      <c r="K4">
        <v>0</v>
      </c>
      <c r="M4">
        <v>50</v>
      </c>
      <c r="S4" t="s">
        <v>31</v>
      </c>
      <c r="T4" t="s">
        <v>29</v>
      </c>
      <c r="U4" t="s">
        <v>16</v>
      </c>
      <c r="V4" t="s">
        <v>15</v>
      </c>
      <c r="W4" t="s">
        <v>21</v>
      </c>
      <c r="X4" t="s">
        <v>14</v>
      </c>
    </row>
    <row r="5" spans="1:29" x14ac:dyDescent="0.25">
      <c r="A5" t="s">
        <v>38</v>
      </c>
      <c r="B5">
        <v>0</v>
      </c>
      <c r="C5">
        <v>0</v>
      </c>
      <c r="D5">
        <v>300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83743</v>
      </c>
      <c r="L5">
        <v>103743</v>
      </c>
      <c r="M5">
        <v>50</v>
      </c>
      <c r="S5">
        <f>H5-I5-J5</f>
        <v>0</v>
      </c>
      <c r="T5">
        <f>I5-50000</f>
        <v>-50000</v>
      </c>
      <c r="U5" s="10">
        <f>F4-G4+K5+H5-L5-F5+G5</f>
        <v>0</v>
      </c>
      <c r="V5">
        <f>(D4-B5)*Data!$B$10-Emma!E5</f>
        <v>12000</v>
      </c>
      <c r="W5">
        <f>(D4-B5)*(20*8/Data!$B$7)+B5*(20*8/(Data!$B$7*1.2))+E5/Data!$B$7-K5</f>
        <v>108257</v>
      </c>
      <c r="X5">
        <f>D4+B5-C5-D5</f>
        <v>0</v>
      </c>
    </row>
    <row r="6" spans="1:29" x14ac:dyDescent="0.25">
      <c r="A6" t="s">
        <v>39</v>
      </c>
      <c r="B6">
        <v>0</v>
      </c>
      <c r="C6">
        <v>0</v>
      </c>
      <c r="D6">
        <v>300</v>
      </c>
      <c r="E6">
        <v>0</v>
      </c>
      <c r="F6">
        <v>52646</v>
      </c>
      <c r="G6">
        <v>0</v>
      </c>
      <c r="H6">
        <v>0</v>
      </c>
      <c r="I6">
        <v>0</v>
      </c>
      <c r="J6">
        <v>0</v>
      </c>
      <c r="K6">
        <v>164586</v>
      </c>
      <c r="L6">
        <v>111940</v>
      </c>
      <c r="M6">
        <v>50</v>
      </c>
      <c r="S6">
        <f>H6-I6-J6</f>
        <v>0</v>
      </c>
      <c r="T6">
        <f>I6-50000</f>
        <v>-50000</v>
      </c>
      <c r="U6" s="10">
        <f>F5-G5+K6+H6-L6-F6+G6</f>
        <v>0</v>
      </c>
      <c r="V6">
        <f>(D5-B6)*Data!$B$10-Emma!E6</f>
        <v>12000</v>
      </c>
      <c r="W6">
        <f>(D5-B6)*(20*8/Data!$B$7)+B6*(20*8/(Data!$B$7*1.2))+E6/Data!$B$7-K6</f>
        <v>27414</v>
      </c>
      <c r="X6">
        <f>D5+B6-C6-D6</f>
        <v>0</v>
      </c>
    </row>
    <row r="7" spans="1:29" x14ac:dyDescent="0.25">
      <c r="A7" t="s">
        <v>40</v>
      </c>
      <c r="B7">
        <v>0</v>
      </c>
      <c r="C7">
        <v>0</v>
      </c>
      <c r="D7">
        <v>300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192000</v>
      </c>
      <c r="L7">
        <f>_xlfn.FLOOR.MATH(1.6*'Original linear'!L7 +0.1*'Original linear'!L8+0.1*'Original linear'!L9)</f>
        <v>244646</v>
      </c>
      <c r="M7">
        <v>45</v>
      </c>
      <c r="S7">
        <f>H7-I7-J7</f>
        <v>0</v>
      </c>
      <c r="T7">
        <f>I7-50000</f>
        <v>-50000</v>
      </c>
      <c r="U7" s="10">
        <f>F6-G6+K7+H7-L7-F7+G7</f>
        <v>0</v>
      </c>
      <c r="V7">
        <f>(D6-B7)*Data!$B$10-Emma!E7</f>
        <v>12000</v>
      </c>
      <c r="W7">
        <f>(D6-B7)*(20*8/Data!$B$7)+B7*(20*8/(Data!$B$7*1.2))+E7/Data!$B$7-K7</f>
        <v>0</v>
      </c>
      <c r="X7">
        <f>D6+B7-C7-D7</f>
        <v>0</v>
      </c>
    </row>
    <row r="8" spans="1:29" x14ac:dyDescent="0.25">
      <c r="A8" t="s">
        <v>41</v>
      </c>
      <c r="B8">
        <v>0</v>
      </c>
      <c r="C8">
        <v>0</v>
      </c>
      <c r="D8">
        <v>300</v>
      </c>
      <c r="E8">
        <v>0</v>
      </c>
      <c r="F8">
        <v>28724</v>
      </c>
      <c r="G8">
        <v>0</v>
      </c>
      <c r="H8">
        <v>0</v>
      </c>
      <c r="I8">
        <v>0</v>
      </c>
      <c r="J8">
        <v>0</v>
      </c>
      <c r="K8">
        <v>192000</v>
      </c>
      <c r="L8">
        <f>_xlfn.FLOOR.MATH(0.9*'Original linear'!L8)</f>
        <v>163276</v>
      </c>
      <c r="M8">
        <v>50</v>
      </c>
      <c r="S8">
        <f>H8-I8-J8</f>
        <v>0</v>
      </c>
      <c r="T8">
        <f>I8-50000</f>
        <v>-50000</v>
      </c>
      <c r="U8" s="10">
        <f>F7-G7+K8+H8-L8-F8+G8</f>
        <v>0</v>
      </c>
      <c r="V8">
        <f>(D7-B8)*Data!$B$10-Emma!E8</f>
        <v>12000</v>
      </c>
      <c r="W8">
        <f>(D7-B8)*(20*8/Data!$B$7)+B8*(20*8/(Data!$B$7*1.2))+E8/Data!$B$7-K8</f>
        <v>0</v>
      </c>
      <c r="X8">
        <f>D7+B8-C8-D8</f>
        <v>0</v>
      </c>
      <c r="AC8" t="s">
        <v>28</v>
      </c>
    </row>
    <row r="9" spans="1:29" x14ac:dyDescent="0.25">
      <c r="A9" t="s">
        <v>42</v>
      </c>
      <c r="B9">
        <v>0</v>
      </c>
      <c r="C9">
        <v>0</v>
      </c>
      <c r="D9">
        <v>300</v>
      </c>
      <c r="E9">
        <v>8400</v>
      </c>
      <c r="F9">
        <v>29050</v>
      </c>
      <c r="G9">
        <v>0</v>
      </c>
      <c r="H9">
        <v>2</v>
      </c>
      <c r="I9">
        <v>2</v>
      </c>
      <c r="J9">
        <v>0</v>
      </c>
      <c r="K9">
        <v>225600</v>
      </c>
      <c r="L9">
        <f>_xlfn.FLOOR.MATH(0.9*'Original linear'!L9)</f>
        <v>225276</v>
      </c>
      <c r="M9">
        <v>50</v>
      </c>
      <c r="S9">
        <f>H9-I9-J9</f>
        <v>0</v>
      </c>
      <c r="T9">
        <f>I9-50000</f>
        <v>-49998</v>
      </c>
      <c r="U9" s="10">
        <f>F8-G8+K9+H9-L9-F9+G9</f>
        <v>0</v>
      </c>
      <c r="V9">
        <f>(D8-B9)*Data!$B$10-Emma!E9</f>
        <v>3600</v>
      </c>
      <c r="W9">
        <f>(D8-B9)*(20*8/Data!$B$7)+B9*(20*8/(Data!$B$7*1.2))+E9/Data!$B$7-K9</f>
        <v>0</v>
      </c>
      <c r="X9">
        <f>D8+B9-C9-D9</f>
        <v>0</v>
      </c>
    </row>
    <row r="10" spans="1:29" x14ac:dyDescent="0.25">
      <c r="A10" t="s">
        <v>43</v>
      </c>
      <c r="B10">
        <v>0</v>
      </c>
      <c r="C10">
        <v>0</v>
      </c>
      <c r="D10">
        <v>300</v>
      </c>
      <c r="E10">
        <v>12000</v>
      </c>
      <c r="F10">
        <v>20000</v>
      </c>
      <c r="G10">
        <v>0</v>
      </c>
      <c r="H10">
        <v>50000</v>
      </c>
      <c r="I10">
        <v>50000</v>
      </c>
      <c r="J10">
        <v>0</v>
      </c>
      <c r="K10">
        <v>240000</v>
      </c>
      <c r="L10">
        <v>299050</v>
      </c>
      <c r="M10">
        <v>50</v>
      </c>
      <c r="S10">
        <f>H10-I10-J10</f>
        <v>0</v>
      </c>
      <c r="T10">
        <f>I10-50000</f>
        <v>0</v>
      </c>
      <c r="U10" s="10">
        <f>F9-G9+K10+H10-L10-F10+G10</f>
        <v>0</v>
      </c>
      <c r="V10">
        <f>(D9-B10)*Data!$B$10-Emma!E10</f>
        <v>0</v>
      </c>
      <c r="W10">
        <f>(D9-B10)*(20*8/Data!$B$7)+B10*(20*8/(Data!$B$7*1.2))+E10/Data!$B$7-K10</f>
        <v>0</v>
      </c>
      <c r="X10">
        <f>D9+B10-C10-D10</f>
        <v>0</v>
      </c>
    </row>
    <row r="13" spans="1:29" x14ac:dyDescent="0.25">
      <c r="A13" s="11" t="s">
        <v>22</v>
      </c>
    </row>
    <row r="14" spans="1:29" x14ac:dyDescent="0.25">
      <c r="A14" t="s">
        <v>11</v>
      </c>
      <c r="B14" t="s">
        <v>23</v>
      </c>
      <c r="C14" t="s">
        <v>24</v>
      </c>
      <c r="D14" t="s">
        <v>25</v>
      </c>
      <c r="E14" t="s">
        <v>15</v>
      </c>
      <c r="F14" t="s">
        <v>16</v>
      </c>
      <c r="G14" t="s">
        <v>17</v>
      </c>
      <c r="H14" t="s">
        <v>29</v>
      </c>
      <c r="I14" t="s">
        <v>30</v>
      </c>
      <c r="J14" t="s">
        <v>26</v>
      </c>
      <c r="M14" s="10" t="s">
        <v>28</v>
      </c>
    </row>
    <row r="15" spans="1:29" x14ac:dyDescent="0.25">
      <c r="A15">
        <v>1</v>
      </c>
      <c r="B15">
        <f>B5*Data!$B$5</f>
        <v>0</v>
      </c>
      <c r="C15">
        <f>C5*Data!$B$6</f>
        <v>0</v>
      </c>
      <c r="D15">
        <f>D5*Data!$B$8*8*20</f>
        <v>768000</v>
      </c>
      <c r="E15">
        <f>E5*Data!$B$9</f>
        <v>0</v>
      </c>
      <c r="F15">
        <f>F5*Data!$B$3</f>
        <v>0</v>
      </c>
      <c r="G15">
        <f>G5*Data!$B$4</f>
        <v>0</v>
      </c>
      <c r="H15">
        <f xml:space="preserve"> I5*Data!$B$11</f>
        <v>0</v>
      </c>
      <c r="I15">
        <f>J5*Data!$B$11*1.1</f>
        <v>0</v>
      </c>
      <c r="J15">
        <f xml:space="preserve"> K5*Data!$B$2</f>
        <v>1088659</v>
      </c>
    </row>
    <row r="16" spans="1:29" x14ac:dyDescent="0.25">
      <c r="A16">
        <v>2</v>
      </c>
      <c r="B16">
        <f>B6*Data!$B$5</f>
        <v>0</v>
      </c>
      <c r="C16">
        <f>C6*Data!$B$6</f>
        <v>0</v>
      </c>
      <c r="D16">
        <f>D6*Data!$B$8*8*20</f>
        <v>768000</v>
      </c>
      <c r="E16">
        <f>E6*Data!$B$9</f>
        <v>0</v>
      </c>
      <c r="F16">
        <f>F6*Data!$B$3</f>
        <v>157938</v>
      </c>
      <c r="G16">
        <f>G6*Data!$B$4</f>
        <v>0</v>
      </c>
      <c r="H16">
        <f xml:space="preserve"> H6*Data!$B$11</f>
        <v>0</v>
      </c>
      <c r="I16">
        <f>J6*Data!$B$11*1.1</f>
        <v>0</v>
      </c>
      <c r="J16">
        <f xml:space="preserve"> K6*Data!$B$2</f>
        <v>2139618</v>
      </c>
    </row>
    <row r="17" spans="1:10" x14ac:dyDescent="0.25">
      <c r="A17">
        <v>3</v>
      </c>
      <c r="B17">
        <f>B7*Data!$B$5</f>
        <v>0</v>
      </c>
      <c r="C17">
        <f>C7*Data!$B$6</f>
        <v>0</v>
      </c>
      <c r="D17">
        <f>D7*Data!$B$8*8*20</f>
        <v>768000</v>
      </c>
      <c r="E17">
        <f>E7*Data!$B$9</f>
        <v>0</v>
      </c>
      <c r="F17">
        <f>F7*Data!$B$3</f>
        <v>0</v>
      </c>
      <c r="G17">
        <f>G7*Data!$B$4</f>
        <v>0</v>
      </c>
      <c r="H17">
        <f xml:space="preserve"> H7*Data!$B$11</f>
        <v>0</v>
      </c>
      <c r="I17">
        <f>J7*Data!$B$11*1.1</f>
        <v>0</v>
      </c>
      <c r="J17">
        <f xml:space="preserve"> K7*Data!$B$2</f>
        <v>2496000</v>
      </c>
    </row>
    <row r="18" spans="1:10" x14ac:dyDescent="0.25">
      <c r="A18">
        <v>4</v>
      </c>
      <c r="B18">
        <f>B8*Data!$B$5</f>
        <v>0</v>
      </c>
      <c r="C18">
        <f>C8*Data!$B$6</f>
        <v>0</v>
      </c>
      <c r="D18">
        <f>D8*Data!$B$8*8*20</f>
        <v>768000</v>
      </c>
      <c r="E18">
        <f>E8*Data!$B$9</f>
        <v>0</v>
      </c>
      <c r="F18">
        <f>F8*Data!$B$3</f>
        <v>86172</v>
      </c>
      <c r="G18">
        <f>G8*Data!$B$4</f>
        <v>0</v>
      </c>
      <c r="H18">
        <f xml:space="preserve"> H8*Data!$B$11</f>
        <v>0</v>
      </c>
      <c r="I18">
        <f>J8*Data!$B$11*1.1</f>
        <v>0</v>
      </c>
      <c r="J18">
        <f xml:space="preserve"> K8*Data!$B$2</f>
        <v>2496000</v>
      </c>
    </row>
    <row r="19" spans="1:10" x14ac:dyDescent="0.25">
      <c r="A19">
        <v>5</v>
      </c>
      <c r="B19">
        <f>B9*Data!$B$5</f>
        <v>0</v>
      </c>
      <c r="C19">
        <f>C9*Data!$B$6</f>
        <v>0</v>
      </c>
      <c r="D19">
        <f>D9*Data!$B$8*8*20</f>
        <v>768000</v>
      </c>
      <c r="E19">
        <f>E9*Data!$B$9</f>
        <v>184800</v>
      </c>
      <c r="F19">
        <f>F9*Data!$B$3</f>
        <v>87150</v>
      </c>
      <c r="G19">
        <f>G9*Data!$B$4</f>
        <v>0</v>
      </c>
      <c r="H19">
        <f xml:space="preserve"> H9*Data!$B$11</f>
        <v>38</v>
      </c>
      <c r="I19">
        <f>J9*Data!$B$11*1.1</f>
        <v>0</v>
      </c>
      <c r="J19">
        <f xml:space="preserve"> K9*Data!$B$2</f>
        <v>2932800</v>
      </c>
    </row>
    <row r="20" spans="1:10" x14ac:dyDescent="0.25">
      <c r="A20">
        <v>6</v>
      </c>
      <c r="B20">
        <f>B10*Data!$B$5</f>
        <v>0</v>
      </c>
      <c r="C20">
        <f>C10*Data!$B$6</f>
        <v>0</v>
      </c>
      <c r="D20">
        <f>D10*Data!$B$8*8*20</f>
        <v>768000</v>
      </c>
      <c r="E20">
        <f>E10*Data!$B$9</f>
        <v>264000</v>
      </c>
      <c r="F20">
        <f>F10*Data!$B$3</f>
        <v>60000</v>
      </c>
      <c r="G20">
        <f>G10*Data!$B$4</f>
        <v>0</v>
      </c>
      <c r="H20">
        <f xml:space="preserve"> H10*Data!$B$11</f>
        <v>950000</v>
      </c>
      <c r="I20">
        <f>J10*Data!$B$11*1.1</f>
        <v>0</v>
      </c>
      <c r="J20">
        <f xml:space="preserve"> K10*Data!$B$2</f>
        <v>3120000</v>
      </c>
    </row>
    <row r="22" spans="1:10" x14ac:dyDescent="0.25">
      <c r="A22" t="s">
        <v>34</v>
      </c>
      <c r="B22" s="14">
        <f>SUM(B15:J20)</f>
        <v>20671175</v>
      </c>
    </row>
    <row r="23" spans="1:10" x14ac:dyDescent="0.25">
      <c r="A23" t="s">
        <v>35</v>
      </c>
      <c r="B23" s="14">
        <f>SUMPRODUCT(L5:L10,M5:M10)</f>
        <v>56173320</v>
      </c>
    </row>
    <row r="24" spans="1:10" x14ac:dyDescent="0.25">
      <c r="A24" t="s">
        <v>36</v>
      </c>
      <c r="B24" s="14">
        <f>B23-B22</f>
        <v>35502145</v>
      </c>
    </row>
    <row r="25" spans="1:10" x14ac:dyDescent="0.25">
      <c r="A25" t="s">
        <v>195</v>
      </c>
      <c r="B25" s="15">
        <f>B24-'Original linear'!B24</f>
        <v>1611668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72C1-EB59-422E-B80D-8DC54CDA411B}">
  <dimension ref="A3:AD25"/>
  <sheetViews>
    <sheetView workbookViewId="0">
      <selection activeCell="B25" sqref="B25"/>
    </sheetView>
  </sheetViews>
  <sheetFormatPr defaultRowHeight="15" x14ac:dyDescent="0.25"/>
  <cols>
    <col min="1" max="1" width="13.85546875" bestFit="1" customWidth="1"/>
    <col min="2" max="2" width="14.140625" bestFit="1" customWidth="1"/>
    <col min="4" max="4" width="10.7109375" bestFit="1" customWidth="1"/>
    <col min="5" max="5" width="8.28515625" bestFit="1" customWidth="1"/>
    <col min="8" max="8" width="13.140625" bestFit="1" customWidth="1"/>
    <col min="9" max="9" width="14" customWidth="1"/>
  </cols>
  <sheetData>
    <row r="3" spans="1:30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29</v>
      </c>
      <c r="J3" t="s">
        <v>30</v>
      </c>
      <c r="K3" t="s">
        <v>19</v>
      </c>
      <c r="L3" t="s">
        <v>44</v>
      </c>
      <c r="M3" t="s">
        <v>37</v>
      </c>
      <c r="N3" t="s">
        <v>28</v>
      </c>
    </row>
    <row r="4" spans="1:30" x14ac:dyDescent="0.25">
      <c r="A4">
        <v>0</v>
      </c>
      <c r="B4">
        <v>0</v>
      </c>
      <c r="C4">
        <v>0</v>
      </c>
      <c r="D4">
        <v>300</v>
      </c>
      <c r="E4">
        <v>0</v>
      </c>
      <c r="F4">
        <v>20000</v>
      </c>
      <c r="G4">
        <v>0</v>
      </c>
      <c r="H4">
        <f>I4+J4</f>
        <v>0</v>
      </c>
      <c r="I4">
        <v>0</v>
      </c>
      <c r="J4">
        <v>0</v>
      </c>
      <c r="K4">
        <v>0</v>
      </c>
      <c r="L4">
        <v>0</v>
      </c>
      <c r="M4">
        <v>50</v>
      </c>
      <c r="R4" t="s">
        <v>28</v>
      </c>
      <c r="S4" t="s">
        <v>31</v>
      </c>
      <c r="T4" t="s">
        <v>29</v>
      </c>
      <c r="U4" t="s">
        <v>16</v>
      </c>
      <c r="V4" t="s">
        <v>15</v>
      </c>
      <c r="W4" t="s">
        <v>21</v>
      </c>
      <c r="X4" t="s">
        <v>14</v>
      </c>
    </row>
    <row r="5" spans="1:30" x14ac:dyDescent="0.25">
      <c r="A5" t="s">
        <v>38</v>
      </c>
      <c r="B5">
        <v>0</v>
      </c>
      <c r="C5">
        <v>0</v>
      </c>
      <c r="D5">
        <v>300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83743</v>
      </c>
      <c r="L5" s="10">
        <v>103743</v>
      </c>
      <c r="M5">
        <v>50</v>
      </c>
      <c r="R5" t="s">
        <v>28</v>
      </c>
      <c r="S5">
        <f>H5-I5-J5</f>
        <v>0</v>
      </c>
      <c r="T5">
        <f>I5-50000</f>
        <v>-50000</v>
      </c>
      <c r="U5" s="10">
        <f>F4-G4+K5+H5-L5-F5+G5</f>
        <v>0</v>
      </c>
      <c r="V5">
        <f>(D4-B5)*Data!$B$10-Jack!E5</f>
        <v>12000</v>
      </c>
      <c r="W5">
        <f>(D4-B5)*(20*8/Data!$B$7)+B5*(20*8/(Data!$B$7*1.2))+E5/Data!$B$7-K5</f>
        <v>108257</v>
      </c>
      <c r="X5">
        <f>D4+B5-C5-D5</f>
        <v>0</v>
      </c>
    </row>
    <row r="6" spans="1:30" x14ac:dyDescent="0.25">
      <c r="A6" t="s">
        <v>39</v>
      </c>
      <c r="B6">
        <v>0</v>
      </c>
      <c r="C6">
        <v>0</v>
      </c>
      <c r="D6">
        <v>300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111940</v>
      </c>
      <c r="L6" s="10">
        <v>111940</v>
      </c>
      <c r="M6">
        <v>50</v>
      </c>
      <c r="R6" t="s">
        <v>28</v>
      </c>
      <c r="S6">
        <f t="shared" ref="S6:S10" si="0">H6-I6-J6</f>
        <v>0</v>
      </c>
      <c r="T6">
        <f t="shared" ref="T6:T10" si="1">I6-50000</f>
        <v>-50000</v>
      </c>
      <c r="U6" s="10">
        <f t="shared" ref="U6:U10" si="2">F5-G5+K6+H6-L6-F6+G6</f>
        <v>0</v>
      </c>
      <c r="V6">
        <f>(D5-B6)*Data!$B$10-Jack!E6</f>
        <v>12000</v>
      </c>
      <c r="W6">
        <f>(D5-B6)*(20*8/Data!$B$7)+B6*(20*8/(Data!$B$7*1.2))+E6/Data!$B$7-K6</f>
        <v>80060</v>
      </c>
      <c r="X6">
        <f t="shared" ref="X6:X10" si="3">D5+B6-C6-D6</f>
        <v>0</v>
      </c>
    </row>
    <row r="7" spans="1:30" x14ac:dyDescent="0.25">
      <c r="A7" t="s">
        <v>40</v>
      </c>
      <c r="B7">
        <v>14</v>
      </c>
      <c r="C7">
        <v>0</v>
      </c>
      <c r="D7">
        <v>314</v>
      </c>
      <c r="E7">
        <v>0</v>
      </c>
      <c r="F7">
        <v>64586</v>
      </c>
      <c r="G7">
        <v>1</v>
      </c>
      <c r="H7">
        <v>0</v>
      </c>
      <c r="I7">
        <v>0</v>
      </c>
      <c r="J7">
        <v>0</v>
      </c>
      <c r="K7">
        <v>190506</v>
      </c>
      <c r="L7" s="10">
        <v>125921</v>
      </c>
      <c r="M7">
        <v>50</v>
      </c>
      <c r="R7" t="s">
        <v>28</v>
      </c>
      <c r="S7">
        <f t="shared" si="0"/>
        <v>0</v>
      </c>
      <c r="T7">
        <f t="shared" si="1"/>
        <v>-50000</v>
      </c>
      <c r="U7" s="10">
        <f t="shared" si="2"/>
        <v>0</v>
      </c>
      <c r="V7">
        <f>(D6-B7)*Data!$B$10-Jack!E7</f>
        <v>11440</v>
      </c>
      <c r="W7">
        <f>(D6-B7)*(20*8/Data!$B$7)+B7*(20*8/(Data!$B$7*1.2))+E7/Data!$B$7-K7</f>
        <v>0.66666666665696539</v>
      </c>
      <c r="X7">
        <f t="shared" si="3"/>
        <v>0</v>
      </c>
    </row>
    <row r="8" spans="1:30" x14ac:dyDescent="0.25">
      <c r="A8" t="s">
        <v>41</v>
      </c>
      <c r="B8">
        <v>0</v>
      </c>
      <c r="C8">
        <v>0</v>
      </c>
      <c r="D8">
        <v>314</v>
      </c>
      <c r="E8">
        <v>12485</v>
      </c>
      <c r="F8">
        <v>134070</v>
      </c>
      <c r="G8">
        <v>0</v>
      </c>
      <c r="H8">
        <v>3</v>
      </c>
      <c r="I8">
        <v>3</v>
      </c>
      <c r="J8">
        <v>0</v>
      </c>
      <c r="K8">
        <v>250900</v>
      </c>
      <c r="L8" s="10">
        <v>181418</v>
      </c>
      <c r="M8">
        <v>50</v>
      </c>
      <c r="R8" t="s">
        <v>28</v>
      </c>
      <c r="S8">
        <f t="shared" si="0"/>
        <v>0</v>
      </c>
      <c r="T8">
        <f t="shared" si="1"/>
        <v>-49997</v>
      </c>
      <c r="U8" s="10">
        <f t="shared" si="2"/>
        <v>0</v>
      </c>
      <c r="V8">
        <f>(D7-B8)*Data!$B$10-Jack!E8</f>
        <v>75</v>
      </c>
      <c r="W8">
        <f>(D7-B8)*(20*8/Data!$B$7)+B8*(20*8/(Data!$B$7*1.2))+E8/Data!$B$7-K8</f>
        <v>0</v>
      </c>
      <c r="X8">
        <f t="shared" si="3"/>
        <v>0</v>
      </c>
      <c r="AD8" t="s">
        <v>28</v>
      </c>
    </row>
    <row r="9" spans="1:30" x14ac:dyDescent="0.25">
      <c r="A9" t="s">
        <v>42</v>
      </c>
      <c r="B9">
        <v>0</v>
      </c>
      <c r="C9">
        <v>0</v>
      </c>
      <c r="D9">
        <v>314</v>
      </c>
      <c r="E9">
        <v>12560</v>
      </c>
      <c r="F9">
        <v>0</v>
      </c>
      <c r="G9">
        <v>0</v>
      </c>
      <c r="H9">
        <v>50000</v>
      </c>
      <c r="I9">
        <v>50000</v>
      </c>
      <c r="J9">
        <v>0</v>
      </c>
      <c r="K9">
        <v>251200</v>
      </c>
      <c r="L9" s="10">
        <f>_xlfn.FLOOR.MATH(250307*1.5 + 0.2*299050)</f>
        <v>435270</v>
      </c>
      <c r="M9">
        <v>45</v>
      </c>
      <c r="R9" t="s">
        <v>28</v>
      </c>
      <c r="S9">
        <f t="shared" si="0"/>
        <v>0</v>
      </c>
      <c r="T9">
        <f t="shared" si="1"/>
        <v>0</v>
      </c>
      <c r="U9" s="10">
        <f t="shared" si="2"/>
        <v>0</v>
      </c>
      <c r="V9">
        <f>(D8-B9)*Data!$B$10-Jack!E9</f>
        <v>0</v>
      </c>
      <c r="W9">
        <f>(D8-B9)*(20*8/Data!$B$7)+B9*(20*8/(Data!$B$7*1.2))+E9/Data!$B$7-K9</f>
        <v>0</v>
      </c>
      <c r="X9">
        <f t="shared" si="3"/>
        <v>0</v>
      </c>
    </row>
    <row r="10" spans="1:30" x14ac:dyDescent="0.25">
      <c r="A10" t="s">
        <v>43</v>
      </c>
      <c r="B10">
        <v>0</v>
      </c>
      <c r="C10">
        <v>0</v>
      </c>
      <c r="D10">
        <v>314</v>
      </c>
      <c r="E10">
        <v>12560</v>
      </c>
      <c r="F10">
        <v>20000</v>
      </c>
      <c r="G10">
        <v>0</v>
      </c>
      <c r="H10">
        <v>8040</v>
      </c>
      <c r="I10">
        <v>8040</v>
      </c>
      <c r="J10">
        <v>0</v>
      </c>
      <c r="K10">
        <v>251200</v>
      </c>
      <c r="L10" s="10">
        <f>_xlfn.FLOOR.MATH(299050*0.8)</f>
        <v>239240</v>
      </c>
      <c r="M10">
        <v>50</v>
      </c>
      <c r="R10" t="s">
        <v>28</v>
      </c>
      <c r="S10">
        <f t="shared" si="0"/>
        <v>0</v>
      </c>
      <c r="T10">
        <f t="shared" si="1"/>
        <v>-41960</v>
      </c>
      <c r="U10" s="10">
        <f t="shared" si="2"/>
        <v>0</v>
      </c>
      <c r="V10">
        <f>(D9-B10)*Data!$B$10-Jack!E10</f>
        <v>0</v>
      </c>
      <c r="W10">
        <f>(D9-B10)*(20*8/Data!$B$7)+B10*(20*8/(Data!$B$7*1.2))+E10/Data!$B$7-K10</f>
        <v>0</v>
      </c>
      <c r="X10">
        <f t="shared" si="3"/>
        <v>0</v>
      </c>
    </row>
    <row r="11" spans="1:30" x14ac:dyDescent="0.25">
      <c r="R11" t="s">
        <v>28</v>
      </c>
    </row>
    <row r="13" spans="1:30" x14ac:dyDescent="0.25">
      <c r="A13" s="11" t="s">
        <v>22</v>
      </c>
    </row>
    <row r="14" spans="1:30" x14ac:dyDescent="0.25">
      <c r="A14" t="s">
        <v>11</v>
      </c>
      <c r="B14" t="s">
        <v>23</v>
      </c>
      <c r="C14" t="s">
        <v>24</v>
      </c>
      <c r="D14" t="s">
        <v>25</v>
      </c>
      <c r="E14" t="s">
        <v>15</v>
      </c>
      <c r="F14" t="s">
        <v>16</v>
      </c>
      <c r="G14" t="s">
        <v>17</v>
      </c>
      <c r="H14" t="s">
        <v>29</v>
      </c>
      <c r="I14" t="s">
        <v>30</v>
      </c>
      <c r="J14" t="s">
        <v>26</v>
      </c>
      <c r="N14" s="10" t="s">
        <v>28</v>
      </c>
    </row>
    <row r="15" spans="1:30" x14ac:dyDescent="0.25">
      <c r="A15">
        <v>1</v>
      </c>
      <c r="B15">
        <f>B5*Data!$B$5</f>
        <v>0</v>
      </c>
      <c r="C15">
        <f>C5*Data!$B$6</f>
        <v>0</v>
      </c>
      <c r="D15">
        <f>D5*Data!$B$8*8*20</f>
        <v>768000</v>
      </c>
      <c r="E15">
        <f>E5*Data!$B$9</f>
        <v>0</v>
      </c>
      <c r="F15">
        <f>F5*Data!$B$3</f>
        <v>0</v>
      </c>
      <c r="G15">
        <f>G5*Data!$B$4</f>
        <v>0</v>
      </c>
      <c r="H15">
        <f xml:space="preserve"> I5*Data!$B$11</f>
        <v>0</v>
      </c>
      <c r="I15">
        <f>J5*Data!$B$11*1.1</f>
        <v>0</v>
      </c>
      <c r="J15">
        <f xml:space="preserve"> K5*Data!$B$2</f>
        <v>1088659</v>
      </c>
    </row>
    <row r="16" spans="1:30" x14ac:dyDescent="0.25">
      <c r="A16">
        <v>2</v>
      </c>
      <c r="B16">
        <f>B6*Data!$B$5</f>
        <v>0</v>
      </c>
      <c r="C16">
        <f>C6*Data!$B$6</f>
        <v>0</v>
      </c>
      <c r="D16">
        <f>D6*Data!$B$8*8*20</f>
        <v>768000</v>
      </c>
      <c r="E16">
        <f>E6*Data!$B$9</f>
        <v>0</v>
      </c>
      <c r="F16">
        <f>F6*Data!$B$3</f>
        <v>0</v>
      </c>
      <c r="G16">
        <f>G6*Data!$B$4</f>
        <v>0</v>
      </c>
      <c r="H16">
        <f xml:space="preserve"> H6*Data!$B$11</f>
        <v>0</v>
      </c>
      <c r="I16">
        <f>J6*Data!$B$11*1.1</f>
        <v>0</v>
      </c>
      <c r="J16">
        <f xml:space="preserve"> K6*Data!$B$2</f>
        <v>1455220</v>
      </c>
    </row>
    <row r="17" spans="1:10" x14ac:dyDescent="0.25">
      <c r="A17">
        <v>3</v>
      </c>
      <c r="B17">
        <f>B7*Data!$B$5</f>
        <v>40852</v>
      </c>
      <c r="C17">
        <f>C7*Data!$B$6</f>
        <v>0</v>
      </c>
      <c r="D17">
        <f>D7*Data!$B$8*8*20</f>
        <v>803840</v>
      </c>
      <c r="E17">
        <f>E7*Data!$B$9</f>
        <v>0</v>
      </c>
      <c r="F17">
        <f>F7*Data!$B$3</f>
        <v>193758</v>
      </c>
      <c r="G17">
        <f>G7*Data!$B$4</f>
        <v>10</v>
      </c>
      <c r="H17">
        <f xml:space="preserve"> H7*Data!$B$11</f>
        <v>0</v>
      </c>
      <c r="I17">
        <f>J7*Data!$B$11*1.1</f>
        <v>0</v>
      </c>
      <c r="J17">
        <f xml:space="preserve"> K7*Data!$B$2</f>
        <v>2476578</v>
      </c>
    </row>
    <row r="18" spans="1:10" x14ac:dyDescent="0.25">
      <c r="A18">
        <v>4</v>
      </c>
      <c r="B18">
        <f>B8*Data!$B$5</f>
        <v>0</v>
      </c>
      <c r="C18">
        <f>C8*Data!$B$6</f>
        <v>0</v>
      </c>
      <c r="D18">
        <f>D8*Data!$B$8*8*20</f>
        <v>803840</v>
      </c>
      <c r="E18">
        <f>E8*Data!$B$9</f>
        <v>274670</v>
      </c>
      <c r="F18">
        <f>F8*Data!$B$3</f>
        <v>402210</v>
      </c>
      <c r="G18">
        <f>G8*Data!$B$4</f>
        <v>0</v>
      </c>
      <c r="H18">
        <f xml:space="preserve"> H8*Data!$B$11</f>
        <v>57</v>
      </c>
      <c r="I18">
        <f>J8*Data!$B$11*1.1</f>
        <v>0</v>
      </c>
      <c r="J18">
        <f xml:space="preserve"> K8*Data!$B$2</f>
        <v>3261700</v>
      </c>
    </row>
    <row r="19" spans="1:10" x14ac:dyDescent="0.25">
      <c r="A19">
        <v>5</v>
      </c>
      <c r="B19">
        <f>B9*Data!$B$5</f>
        <v>0</v>
      </c>
      <c r="C19">
        <f>C9*Data!$B$6</f>
        <v>0</v>
      </c>
      <c r="D19">
        <f>D9*Data!$B$8*8*20</f>
        <v>803840</v>
      </c>
      <c r="E19">
        <f>E9*Data!$B$9</f>
        <v>276320</v>
      </c>
      <c r="F19">
        <f>F9*Data!$B$3</f>
        <v>0</v>
      </c>
      <c r="G19">
        <f>G9*Data!$B$4</f>
        <v>0</v>
      </c>
      <c r="H19">
        <f xml:space="preserve"> H9*Data!$B$11</f>
        <v>950000</v>
      </c>
      <c r="I19">
        <f>J9*Data!$B$11*1.1</f>
        <v>0</v>
      </c>
      <c r="J19">
        <f xml:space="preserve"> K9*Data!$B$2</f>
        <v>3265600</v>
      </c>
    </row>
    <row r="20" spans="1:10" x14ac:dyDescent="0.25">
      <c r="A20">
        <v>6</v>
      </c>
      <c r="B20">
        <f>B10*Data!$B$5</f>
        <v>0</v>
      </c>
      <c r="C20">
        <f>C10*Data!$B$6</f>
        <v>0</v>
      </c>
      <c r="D20">
        <f>D10*Data!$B$8*8*20</f>
        <v>803840</v>
      </c>
      <c r="E20">
        <f>E10*Data!$B$9</f>
        <v>276320</v>
      </c>
      <c r="F20">
        <f>F10*Data!$B$3</f>
        <v>60000</v>
      </c>
      <c r="G20">
        <f>G10*Data!$B$4</f>
        <v>0</v>
      </c>
      <c r="H20">
        <f xml:space="preserve"> H10*Data!$B$11</f>
        <v>152760</v>
      </c>
      <c r="I20">
        <f>J10*Data!$B$11*1.1</f>
        <v>0</v>
      </c>
      <c r="J20">
        <f xml:space="preserve"> K10*Data!$B$2</f>
        <v>3265600</v>
      </c>
    </row>
    <row r="22" spans="1:10" x14ac:dyDescent="0.25">
      <c r="A22" t="s">
        <v>34</v>
      </c>
      <c r="B22" s="14">
        <f>SUM(B15:J20)</f>
        <v>22191674</v>
      </c>
    </row>
    <row r="23" spans="1:10" x14ac:dyDescent="0.25">
      <c r="A23" t="s">
        <v>35</v>
      </c>
      <c r="B23" s="14">
        <f>SUMPRODUCT(L5:L10,M5:M10)</f>
        <v>57700250</v>
      </c>
    </row>
    <row r="24" spans="1:10" x14ac:dyDescent="0.25">
      <c r="A24" t="s">
        <v>36</v>
      </c>
      <c r="B24" s="14">
        <f>B23-B22</f>
        <v>35508576</v>
      </c>
    </row>
    <row r="25" spans="1:10" x14ac:dyDescent="0.25">
      <c r="A25" t="s">
        <v>196</v>
      </c>
      <c r="B25" s="15">
        <f>B24-'Original linear'!B24</f>
        <v>1618099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87F0-BCFA-4212-A6EF-253797560CE3}">
  <dimension ref="A3:AD25"/>
  <sheetViews>
    <sheetView workbookViewId="0">
      <selection activeCell="B25" sqref="B25"/>
    </sheetView>
  </sheetViews>
  <sheetFormatPr defaultRowHeight="15" x14ac:dyDescent="0.25"/>
  <cols>
    <col min="1" max="1" width="13.85546875" bestFit="1" customWidth="1"/>
    <col min="2" max="2" width="14.140625" bestFit="1" customWidth="1"/>
    <col min="4" max="4" width="10.7109375" bestFit="1" customWidth="1"/>
    <col min="5" max="5" width="8.28515625" bestFit="1" customWidth="1"/>
    <col min="8" max="8" width="13.140625" bestFit="1" customWidth="1"/>
    <col min="9" max="9" width="14" customWidth="1"/>
  </cols>
  <sheetData>
    <row r="3" spans="1:30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29</v>
      </c>
      <c r="J3" t="s">
        <v>30</v>
      </c>
      <c r="K3" t="s">
        <v>19</v>
      </c>
      <c r="L3" t="s">
        <v>44</v>
      </c>
      <c r="M3" t="s">
        <v>37</v>
      </c>
      <c r="N3" t="s">
        <v>28</v>
      </c>
    </row>
    <row r="4" spans="1:30" x14ac:dyDescent="0.25">
      <c r="A4">
        <v>0</v>
      </c>
      <c r="B4">
        <v>0</v>
      </c>
      <c r="C4">
        <v>0</v>
      </c>
      <c r="D4">
        <v>300</v>
      </c>
      <c r="E4">
        <v>0</v>
      </c>
      <c r="F4">
        <v>20000</v>
      </c>
      <c r="G4">
        <v>0</v>
      </c>
      <c r="H4">
        <f>I4+J4</f>
        <v>0</v>
      </c>
      <c r="I4">
        <v>0</v>
      </c>
      <c r="J4">
        <v>0</v>
      </c>
      <c r="K4">
        <v>0</v>
      </c>
      <c r="L4">
        <v>0</v>
      </c>
      <c r="M4">
        <v>50</v>
      </c>
      <c r="R4" t="s">
        <v>28</v>
      </c>
      <c r="S4" t="s">
        <v>31</v>
      </c>
      <c r="T4" t="s">
        <v>29</v>
      </c>
      <c r="U4" t="s">
        <v>16</v>
      </c>
      <c r="V4" t="s">
        <v>15</v>
      </c>
      <c r="W4" t="s">
        <v>21</v>
      </c>
      <c r="X4" t="s">
        <v>14</v>
      </c>
    </row>
    <row r="5" spans="1:30" x14ac:dyDescent="0.25">
      <c r="A5" t="s">
        <v>38</v>
      </c>
      <c r="B5">
        <v>0</v>
      </c>
      <c r="C5">
        <v>0</v>
      </c>
      <c r="D5">
        <v>300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83743</v>
      </c>
      <c r="L5" s="10">
        <v>103743</v>
      </c>
      <c r="M5">
        <v>50</v>
      </c>
      <c r="R5" t="s">
        <v>28</v>
      </c>
      <c r="S5">
        <f>H5-I5-J5</f>
        <v>0</v>
      </c>
      <c r="T5">
        <f>I5-50000</f>
        <v>-50000</v>
      </c>
      <c r="U5" s="10">
        <f>F4-G4+K5+H5-L5-F5+G5</f>
        <v>0</v>
      </c>
      <c r="V5">
        <f>(D4-B5)*Data!$B$10-'Jack relaxed'!E5</f>
        <v>12000</v>
      </c>
      <c r="W5">
        <f>(D4-B5)*(20*8/Data!$B$7)+B5*(20*8/(Data!$B$7*1.2))+E5/Data!$B$7-K5</f>
        <v>108257</v>
      </c>
      <c r="X5">
        <f>D4+B5-C5-D5</f>
        <v>0</v>
      </c>
    </row>
    <row r="6" spans="1:30" x14ac:dyDescent="0.25">
      <c r="A6" t="s">
        <v>39</v>
      </c>
      <c r="B6">
        <v>0</v>
      </c>
      <c r="C6">
        <v>0</v>
      </c>
      <c r="D6">
        <v>299.99999999998619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111940</v>
      </c>
      <c r="L6" s="10">
        <v>111940</v>
      </c>
      <c r="M6">
        <v>50</v>
      </c>
      <c r="R6" t="s">
        <v>28</v>
      </c>
      <c r="S6">
        <f t="shared" ref="S6:S10" si="0">H6-I6-J6</f>
        <v>0</v>
      </c>
      <c r="T6">
        <f t="shared" ref="T6:T10" si="1">I6-50000</f>
        <v>-50000</v>
      </c>
      <c r="U6" s="10">
        <f t="shared" ref="U6:U10" si="2">F5-G5+K6+H6-L6-F6+G6</f>
        <v>0</v>
      </c>
      <c r="V6">
        <f>(D5-B6)*Data!$B$10-'Jack relaxed'!E6</f>
        <v>12000</v>
      </c>
      <c r="W6">
        <f>(D5-B6)*(20*8/Data!$B$7)+B6*(20*8/(Data!$B$7*1.2))+E6/Data!$B$7-K6</f>
        <v>80060</v>
      </c>
      <c r="X6">
        <f t="shared" ref="X6:X10" si="3">D5+B6-C6-D6</f>
        <v>1.3812950783176348E-11</v>
      </c>
    </row>
    <row r="7" spans="1:30" x14ac:dyDescent="0.25">
      <c r="A7" t="s">
        <v>40</v>
      </c>
      <c r="B7">
        <v>13.80066964288387</v>
      </c>
      <c r="C7">
        <v>0</v>
      </c>
      <c r="D7">
        <v>313.8006696428663</v>
      </c>
      <c r="E7">
        <v>0</v>
      </c>
      <c r="F7">
        <v>64606.928571414392</v>
      </c>
      <c r="G7">
        <v>0</v>
      </c>
      <c r="H7">
        <v>0</v>
      </c>
      <c r="I7">
        <v>0</v>
      </c>
      <c r="J7">
        <v>0</v>
      </c>
      <c r="K7">
        <v>190527.92857141438</v>
      </c>
      <c r="L7" s="10">
        <v>125921</v>
      </c>
      <c r="M7">
        <v>50</v>
      </c>
      <c r="R7" t="s">
        <v>28</v>
      </c>
      <c r="S7">
        <f t="shared" si="0"/>
        <v>0</v>
      </c>
      <c r="T7">
        <f t="shared" si="1"/>
        <v>-50000</v>
      </c>
      <c r="U7" s="10">
        <f t="shared" si="2"/>
        <v>-1.4551915228366852E-11</v>
      </c>
      <c r="V7">
        <f>(D6-B7)*Data!$B$10-'Jack relaxed'!E7</f>
        <v>11447.973214284093</v>
      </c>
      <c r="W7">
        <f>(D6-B7)*(20*8/Data!$B$7)+B7*(20*8/(Data!$B$7*1.2))+E7/Data!$B$7-K7</f>
        <v>2.5029294192790985E-9</v>
      </c>
      <c r="X7">
        <f t="shared" si="3"/>
        <v>3.751665644813329E-12</v>
      </c>
    </row>
    <row r="8" spans="1:30" x14ac:dyDescent="0.25">
      <c r="A8" t="s">
        <v>41</v>
      </c>
      <c r="B8">
        <v>0</v>
      </c>
      <c r="C8">
        <v>0</v>
      </c>
      <c r="D8">
        <v>313.80066964286613</v>
      </c>
      <c r="E8">
        <v>12552.026785714645</v>
      </c>
      <c r="F8">
        <v>134229.46428570725</v>
      </c>
      <c r="G8">
        <v>0</v>
      </c>
      <c r="H8">
        <v>0</v>
      </c>
      <c r="I8">
        <v>0</v>
      </c>
      <c r="J8">
        <v>0</v>
      </c>
      <c r="K8">
        <v>251040.53571429281</v>
      </c>
      <c r="L8" s="10">
        <v>181418</v>
      </c>
      <c r="M8">
        <v>50</v>
      </c>
      <c r="R8" t="s">
        <v>28</v>
      </c>
      <c r="S8">
        <f t="shared" si="0"/>
        <v>0</v>
      </c>
      <c r="T8">
        <f t="shared" si="1"/>
        <v>-50000</v>
      </c>
      <c r="U8" s="10">
        <f t="shared" si="2"/>
        <v>-2.9103830456733704E-11</v>
      </c>
      <c r="V8">
        <f>(D7-B8)*Data!$B$10-'Jack relaxed'!E8</f>
        <v>0</v>
      </c>
      <c r="W8">
        <f>(D7-B8)*(20*8/Data!$B$7)+B8*(20*8/(Data!$B$7*1.2))+E8/Data!$B$7-K8</f>
        <v>0</v>
      </c>
      <c r="X8">
        <f t="shared" si="3"/>
        <v>0</v>
      </c>
      <c r="AD8" t="s">
        <v>28</v>
      </c>
    </row>
    <row r="9" spans="1:30" x14ac:dyDescent="0.25">
      <c r="A9" t="s">
        <v>42</v>
      </c>
      <c r="B9">
        <v>0</v>
      </c>
      <c r="C9">
        <v>0</v>
      </c>
      <c r="D9">
        <v>313.80066964286544</v>
      </c>
      <c r="E9">
        <v>12552.026785714639</v>
      </c>
      <c r="F9">
        <v>0</v>
      </c>
      <c r="G9">
        <v>0</v>
      </c>
      <c r="H9">
        <v>50000</v>
      </c>
      <c r="I9">
        <v>50000</v>
      </c>
      <c r="J9">
        <v>0</v>
      </c>
      <c r="K9">
        <v>251040.53571429278</v>
      </c>
      <c r="L9" s="10">
        <f>_xlfn.FLOOR.MATH(250307*1.5 + 0.2*299050)</f>
        <v>435270</v>
      </c>
      <c r="M9">
        <v>45</v>
      </c>
      <c r="R9" t="s">
        <v>28</v>
      </c>
      <c r="S9">
        <f t="shared" si="0"/>
        <v>0</v>
      </c>
      <c r="T9">
        <f t="shared" si="1"/>
        <v>0</v>
      </c>
      <c r="U9" s="10">
        <f t="shared" si="2"/>
        <v>0</v>
      </c>
      <c r="V9">
        <f>(D8-B9)*Data!$B$10-'Jack relaxed'!E9</f>
        <v>0</v>
      </c>
      <c r="W9">
        <f>(D8-B9)*(20*8/Data!$B$7)+B9*(20*8/(Data!$B$7*1.2))+E9/Data!$B$7-K9</f>
        <v>0</v>
      </c>
      <c r="X9">
        <f t="shared" si="3"/>
        <v>6.8212102632969618E-13</v>
      </c>
    </row>
    <row r="10" spans="1:30" x14ac:dyDescent="0.25">
      <c r="A10" t="s">
        <v>43</v>
      </c>
      <c r="B10">
        <v>0</v>
      </c>
      <c r="C10">
        <v>0</v>
      </c>
      <c r="D10">
        <v>313.80066964286556</v>
      </c>
      <c r="E10">
        <v>12552.026785714619</v>
      </c>
      <c r="F10">
        <v>20000</v>
      </c>
      <c r="G10">
        <v>0</v>
      </c>
      <c r="H10">
        <v>8199.4642857076269</v>
      </c>
      <c r="I10">
        <v>8199.4642857076269</v>
      </c>
      <c r="J10">
        <v>0</v>
      </c>
      <c r="K10">
        <v>251040.53571429237</v>
      </c>
      <c r="L10" s="10">
        <f>_xlfn.FLOOR.MATH(299050*0.8)</f>
        <v>239240</v>
      </c>
      <c r="M10">
        <v>50</v>
      </c>
      <c r="R10" t="s">
        <v>28</v>
      </c>
      <c r="S10">
        <f t="shared" si="0"/>
        <v>0</v>
      </c>
      <c r="T10">
        <f t="shared" si="1"/>
        <v>-41800.535714292375</v>
      </c>
      <c r="U10" s="10">
        <f t="shared" si="2"/>
        <v>0</v>
      </c>
      <c r="V10">
        <f>(D9-B10)*Data!$B$10-'Jack relaxed'!E10</f>
        <v>0</v>
      </c>
      <c r="W10">
        <f>(D9-B10)*(20*8/Data!$B$7)+B10*(20*8/(Data!$B$7*1.2))+E10/Data!$B$7-K10</f>
        <v>0</v>
      </c>
      <c r="X10">
        <f t="shared" si="3"/>
        <v>0</v>
      </c>
    </row>
    <row r="11" spans="1:30" x14ac:dyDescent="0.25">
      <c r="R11" t="s">
        <v>28</v>
      </c>
    </row>
    <row r="13" spans="1:30" x14ac:dyDescent="0.25">
      <c r="A13" s="11" t="s">
        <v>22</v>
      </c>
    </row>
    <row r="14" spans="1:30" x14ac:dyDescent="0.25">
      <c r="A14" t="s">
        <v>11</v>
      </c>
      <c r="B14" t="s">
        <v>23</v>
      </c>
      <c r="C14" t="s">
        <v>24</v>
      </c>
      <c r="D14" t="s">
        <v>25</v>
      </c>
      <c r="E14" t="s">
        <v>15</v>
      </c>
      <c r="F14" t="s">
        <v>16</v>
      </c>
      <c r="G14" t="s">
        <v>17</v>
      </c>
      <c r="H14" t="s">
        <v>29</v>
      </c>
      <c r="I14" t="s">
        <v>30</v>
      </c>
      <c r="J14" t="s">
        <v>26</v>
      </c>
      <c r="N14" s="10" t="s">
        <v>28</v>
      </c>
    </row>
    <row r="15" spans="1:30" x14ac:dyDescent="0.25">
      <c r="A15">
        <v>1</v>
      </c>
      <c r="B15">
        <f>B5*Data!$B$5</f>
        <v>0</v>
      </c>
      <c r="C15">
        <f>C5*Data!$B$6</f>
        <v>0</v>
      </c>
      <c r="D15">
        <f>D5*Data!$B$8*8*20</f>
        <v>768000</v>
      </c>
      <c r="E15">
        <f>E5*Data!$B$9</f>
        <v>0</v>
      </c>
      <c r="F15">
        <f>F5*Data!$B$3</f>
        <v>0</v>
      </c>
      <c r="G15">
        <f>G5*Data!$B$4</f>
        <v>0</v>
      </c>
      <c r="H15">
        <f xml:space="preserve"> I5*Data!$B$11</f>
        <v>0</v>
      </c>
      <c r="I15">
        <f>J5*Data!$B$11*1.1</f>
        <v>0</v>
      </c>
      <c r="J15">
        <f xml:space="preserve"> K5*Data!$B$2</f>
        <v>1088659</v>
      </c>
    </row>
    <row r="16" spans="1:30" x14ac:dyDescent="0.25">
      <c r="A16">
        <v>2</v>
      </c>
      <c r="B16">
        <f>B6*Data!$B$5</f>
        <v>0</v>
      </c>
      <c r="C16">
        <f>C6*Data!$B$6</f>
        <v>0</v>
      </c>
      <c r="D16">
        <f>D6*Data!$B$8*8*20</f>
        <v>767999.99999996461</v>
      </c>
      <c r="E16">
        <f>E6*Data!$B$9</f>
        <v>0</v>
      </c>
      <c r="F16">
        <f>F6*Data!$B$3</f>
        <v>0</v>
      </c>
      <c r="G16">
        <f>G6*Data!$B$4</f>
        <v>0</v>
      </c>
      <c r="H16">
        <f xml:space="preserve"> H6*Data!$B$11</f>
        <v>0</v>
      </c>
      <c r="I16">
        <f>J6*Data!$B$11*1.1</f>
        <v>0</v>
      </c>
      <c r="J16">
        <f xml:space="preserve"> K6*Data!$B$2</f>
        <v>1455220</v>
      </c>
    </row>
    <row r="17" spans="1:10" x14ac:dyDescent="0.25">
      <c r="A17">
        <v>3</v>
      </c>
      <c r="B17">
        <f>B7*Data!$B$5</f>
        <v>40270.354017935133</v>
      </c>
      <c r="C17">
        <f>C7*Data!$B$6</f>
        <v>0</v>
      </c>
      <c r="D17">
        <f>D7*Data!$B$8*8*20</f>
        <v>803329.71428573772</v>
      </c>
      <c r="E17">
        <f>E7*Data!$B$9</f>
        <v>0</v>
      </c>
      <c r="F17">
        <f>F7*Data!$B$3</f>
        <v>193820.78571424319</v>
      </c>
      <c r="G17">
        <f>G7*Data!$B$4</f>
        <v>0</v>
      </c>
      <c r="H17">
        <f xml:space="preserve"> H7*Data!$B$11</f>
        <v>0</v>
      </c>
      <c r="I17">
        <f>J7*Data!$B$11*1.1</f>
        <v>0</v>
      </c>
      <c r="J17">
        <f xml:space="preserve"> K7*Data!$B$2</f>
        <v>2476863.071428387</v>
      </c>
    </row>
    <row r="18" spans="1:10" x14ac:dyDescent="0.25">
      <c r="A18">
        <v>4</v>
      </c>
      <c r="B18">
        <f>B8*Data!$B$5</f>
        <v>0</v>
      </c>
      <c r="C18">
        <f>C8*Data!$B$6</f>
        <v>0</v>
      </c>
      <c r="D18">
        <f>D8*Data!$B$8*8*20</f>
        <v>803329.71428573725</v>
      </c>
      <c r="E18">
        <f>E8*Data!$B$9</f>
        <v>276144.58928572218</v>
      </c>
      <c r="F18">
        <f>F8*Data!$B$3</f>
        <v>402688.39285712177</v>
      </c>
      <c r="G18">
        <f>G8*Data!$B$4</f>
        <v>0</v>
      </c>
      <c r="H18">
        <f xml:space="preserve"> H8*Data!$B$11</f>
        <v>0</v>
      </c>
      <c r="I18">
        <f>J8*Data!$B$11*1.1</f>
        <v>0</v>
      </c>
      <c r="J18">
        <f xml:space="preserve"> K8*Data!$B$2</f>
        <v>3263526.9642858068</v>
      </c>
    </row>
    <row r="19" spans="1:10" x14ac:dyDescent="0.25">
      <c r="A19">
        <v>5</v>
      </c>
      <c r="B19">
        <f>B9*Data!$B$5</f>
        <v>0</v>
      </c>
      <c r="C19">
        <f>C9*Data!$B$6</f>
        <v>0</v>
      </c>
      <c r="D19">
        <f>D9*Data!$B$8*8*20</f>
        <v>803329.71428573551</v>
      </c>
      <c r="E19">
        <f>E9*Data!$B$9</f>
        <v>276144.58928572206</v>
      </c>
      <c r="F19">
        <f>F9*Data!$B$3</f>
        <v>0</v>
      </c>
      <c r="G19">
        <f>G9*Data!$B$4</f>
        <v>0</v>
      </c>
      <c r="H19">
        <f xml:space="preserve"> H9*Data!$B$11</f>
        <v>950000</v>
      </c>
      <c r="I19">
        <f>J9*Data!$B$11*1.1</f>
        <v>0</v>
      </c>
      <c r="J19">
        <f xml:space="preserve"> K9*Data!$B$2</f>
        <v>3263526.9642858063</v>
      </c>
    </row>
    <row r="20" spans="1:10" x14ac:dyDescent="0.25">
      <c r="A20">
        <v>6</v>
      </c>
      <c r="B20">
        <f>B10*Data!$B$5</f>
        <v>0</v>
      </c>
      <c r="C20">
        <f>C10*Data!$B$6</f>
        <v>0</v>
      </c>
      <c r="D20">
        <f>D10*Data!$B$8*8*20</f>
        <v>803329.71428573586</v>
      </c>
      <c r="E20">
        <f>E10*Data!$B$9</f>
        <v>276144.58928572159</v>
      </c>
      <c r="F20">
        <f>F10*Data!$B$3</f>
        <v>60000</v>
      </c>
      <c r="G20">
        <f>G10*Data!$B$4</f>
        <v>0</v>
      </c>
      <c r="H20">
        <f xml:space="preserve"> H10*Data!$B$11</f>
        <v>155789.82142844491</v>
      </c>
      <c r="I20">
        <f>J10*Data!$B$11*1.1</f>
        <v>0</v>
      </c>
      <c r="J20">
        <f xml:space="preserve"> K10*Data!$B$2</f>
        <v>3263526.9642858007</v>
      </c>
    </row>
    <row r="22" spans="1:10" x14ac:dyDescent="0.25">
      <c r="A22" t="s">
        <v>34</v>
      </c>
      <c r="B22" s="14">
        <f>SUM(B15:J20)</f>
        <v>22191644.943303622</v>
      </c>
    </row>
    <row r="23" spans="1:10" x14ac:dyDescent="0.25">
      <c r="A23" t="s">
        <v>35</v>
      </c>
      <c r="B23" s="14">
        <f>SUMPRODUCT(L5:L10,M5:M10)</f>
        <v>57700250</v>
      </c>
    </row>
    <row r="24" spans="1:10" x14ac:dyDescent="0.25">
      <c r="A24" t="s">
        <v>36</v>
      </c>
      <c r="B24" s="14">
        <f>B23-B22</f>
        <v>35508605.056696378</v>
      </c>
    </row>
    <row r="25" spans="1:10" x14ac:dyDescent="0.25">
      <c r="A25" t="s">
        <v>196</v>
      </c>
      <c r="B25" s="15">
        <f>B24-'Original linear'!B24</f>
        <v>1618128.0566963777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F308-C307-4C1A-AD41-2E472EA6CC4C}">
  <dimension ref="A1:H108"/>
  <sheetViews>
    <sheetView showGridLines="0" tabSelected="1" topLeftCell="A54" workbookViewId="0"/>
  </sheetViews>
  <sheetFormatPr defaultRowHeight="15" x14ac:dyDescent="0.25"/>
  <cols>
    <col min="1" max="1" width="2.28515625" customWidth="1"/>
    <col min="2" max="2" width="6.85546875" bestFit="1" customWidth="1"/>
    <col min="3" max="3" width="24.7109375" bestFit="1" customWidth="1"/>
    <col min="4" max="4" width="12.7109375" bestFit="1" customWidth="1"/>
    <col min="5" max="5" width="14" bestFit="1" customWidth="1"/>
    <col min="6" max="6" width="16.140625" bestFit="1" customWidth="1"/>
    <col min="7" max="8" width="12" bestFit="1" customWidth="1"/>
  </cols>
  <sheetData>
    <row r="1" spans="1:8" x14ac:dyDescent="0.25">
      <c r="A1" s="11" t="s">
        <v>214</v>
      </c>
    </row>
    <row r="2" spans="1:8" x14ac:dyDescent="0.25">
      <c r="A2" s="11" t="s">
        <v>197</v>
      </c>
    </row>
    <row r="3" spans="1:8" x14ac:dyDescent="0.25">
      <c r="A3" s="11" t="s">
        <v>215</v>
      </c>
    </row>
    <row r="6" spans="1:8" ht="15.75" thickBot="1" x14ac:dyDescent="0.3">
      <c r="A6" t="s">
        <v>200</v>
      </c>
    </row>
    <row r="7" spans="1:8" x14ac:dyDescent="0.25">
      <c r="B7" s="18"/>
      <c r="C7" s="18"/>
      <c r="D7" s="18" t="s">
        <v>216</v>
      </c>
      <c r="E7" s="18" t="s">
        <v>218</v>
      </c>
      <c r="F7" s="18" t="s">
        <v>220</v>
      </c>
      <c r="G7" s="18" t="s">
        <v>222</v>
      </c>
      <c r="H7" s="18" t="s">
        <v>222</v>
      </c>
    </row>
    <row r="8" spans="1:8" ht="15.75" thickBot="1" x14ac:dyDescent="0.3">
      <c r="B8" s="19" t="s">
        <v>198</v>
      </c>
      <c r="C8" s="19" t="s">
        <v>199</v>
      </c>
      <c r="D8" s="19" t="s">
        <v>217</v>
      </c>
      <c r="E8" s="19" t="s">
        <v>219</v>
      </c>
      <c r="F8" s="19" t="s">
        <v>221</v>
      </c>
      <c r="G8" s="19" t="s">
        <v>223</v>
      </c>
      <c r="H8" s="19" t="s">
        <v>224</v>
      </c>
    </row>
    <row r="9" spans="1:8" x14ac:dyDescent="0.25">
      <c r="B9" s="17" t="s">
        <v>45</v>
      </c>
      <c r="C9" s="17" t="s">
        <v>46</v>
      </c>
      <c r="D9" s="17">
        <v>0</v>
      </c>
      <c r="E9" s="17">
        <v>-3221.0000000003147</v>
      </c>
      <c r="F9" s="17">
        <v>-2918</v>
      </c>
      <c r="G9" s="17">
        <v>3221.0000000003147</v>
      </c>
      <c r="H9" s="17">
        <v>1E+30</v>
      </c>
    </row>
    <row r="10" spans="1:8" x14ac:dyDescent="0.25">
      <c r="B10" s="17" t="s">
        <v>47</v>
      </c>
      <c r="C10" s="17" t="s">
        <v>48</v>
      </c>
      <c r="D10" s="17">
        <v>0</v>
      </c>
      <c r="E10" s="17">
        <v>-4777.9999999996844</v>
      </c>
      <c r="F10" s="17">
        <v>-5081</v>
      </c>
      <c r="G10" s="17">
        <v>4777.9999999996844</v>
      </c>
      <c r="H10" s="17">
        <v>1E+30</v>
      </c>
    </row>
    <row r="11" spans="1:8" x14ac:dyDescent="0.25">
      <c r="B11" s="17" t="s">
        <v>49</v>
      </c>
      <c r="C11" s="17" t="s">
        <v>50</v>
      </c>
      <c r="D11" s="17">
        <v>300</v>
      </c>
      <c r="E11" s="17">
        <v>0</v>
      </c>
      <c r="F11" s="17">
        <v>-2560</v>
      </c>
      <c r="G11" s="17">
        <v>3221.0000000003147</v>
      </c>
      <c r="H11" s="17">
        <v>4777.9999999996844</v>
      </c>
    </row>
    <row r="12" spans="1:8" x14ac:dyDescent="0.25">
      <c r="B12" s="17" t="s">
        <v>51</v>
      </c>
      <c r="C12" s="17" t="s">
        <v>52</v>
      </c>
      <c r="D12" s="17">
        <v>0</v>
      </c>
      <c r="E12" s="17">
        <v>-22</v>
      </c>
      <c r="F12" s="17">
        <v>-22</v>
      </c>
      <c r="G12" s="17">
        <v>22</v>
      </c>
      <c r="H12" s="17">
        <v>1E+30</v>
      </c>
    </row>
    <row r="13" spans="1:8" x14ac:dyDescent="0.25">
      <c r="B13" s="17" t="s">
        <v>53</v>
      </c>
      <c r="C13" s="17" t="s">
        <v>54</v>
      </c>
      <c r="D13" s="17">
        <v>0</v>
      </c>
      <c r="E13" s="17">
        <v>-2.9999999999999929</v>
      </c>
      <c r="F13" s="17">
        <v>-3</v>
      </c>
      <c r="G13" s="17">
        <v>2.9999999999999929</v>
      </c>
      <c r="H13" s="17">
        <v>1E+30</v>
      </c>
    </row>
    <row r="14" spans="1:8" x14ac:dyDescent="0.25">
      <c r="B14" s="17" t="s">
        <v>55</v>
      </c>
      <c r="C14" s="17" t="s">
        <v>56</v>
      </c>
      <c r="D14" s="17">
        <v>0</v>
      </c>
      <c r="E14" s="17">
        <v>-10.000000000000007</v>
      </c>
      <c r="F14" s="17">
        <v>-10</v>
      </c>
      <c r="G14" s="17">
        <v>10.000000000000007</v>
      </c>
      <c r="H14" s="17">
        <v>1E+30</v>
      </c>
    </row>
    <row r="15" spans="1:8" x14ac:dyDescent="0.25">
      <c r="B15" s="17" t="s">
        <v>57</v>
      </c>
      <c r="C15" s="17" t="s">
        <v>58</v>
      </c>
      <c r="D15" s="17">
        <v>0</v>
      </c>
      <c r="E15" s="17">
        <v>0</v>
      </c>
      <c r="F15" s="17">
        <v>0</v>
      </c>
      <c r="G15" s="17">
        <v>6</v>
      </c>
      <c r="H15" s="17">
        <v>1E+30</v>
      </c>
    </row>
    <row r="16" spans="1:8" x14ac:dyDescent="0.25">
      <c r="B16" s="17" t="s">
        <v>59</v>
      </c>
      <c r="C16" s="17" t="s">
        <v>60</v>
      </c>
      <c r="D16" s="17">
        <v>0</v>
      </c>
      <c r="E16" s="17">
        <v>-6</v>
      </c>
      <c r="F16" s="17">
        <v>-19</v>
      </c>
      <c r="G16" s="17">
        <v>6</v>
      </c>
      <c r="H16" s="17">
        <v>1E+30</v>
      </c>
    </row>
    <row r="17" spans="2:8" x14ac:dyDescent="0.25">
      <c r="B17" s="17" t="s">
        <v>61</v>
      </c>
      <c r="C17" s="17" t="s">
        <v>62</v>
      </c>
      <c r="D17" s="17">
        <v>0</v>
      </c>
      <c r="E17" s="17">
        <v>-7.8999999985098839</v>
      </c>
      <c r="F17" s="17">
        <v>-20.899999998509884</v>
      </c>
      <c r="G17" s="17">
        <v>7.8999999985098839</v>
      </c>
      <c r="H17" s="17">
        <v>1E+30</v>
      </c>
    </row>
    <row r="18" spans="2:8" x14ac:dyDescent="0.25">
      <c r="B18" s="17" t="s">
        <v>63</v>
      </c>
      <c r="C18" s="17" t="s">
        <v>64</v>
      </c>
      <c r="D18" s="17">
        <v>83743</v>
      </c>
      <c r="E18" s="17">
        <v>0</v>
      </c>
      <c r="F18" s="17">
        <v>-13</v>
      </c>
      <c r="G18" s="17">
        <v>2.9999999999999929</v>
      </c>
      <c r="H18" s="17">
        <v>6</v>
      </c>
    </row>
    <row r="19" spans="2:8" x14ac:dyDescent="0.25">
      <c r="B19" s="17" t="s">
        <v>65</v>
      </c>
      <c r="C19" s="17" t="s">
        <v>66</v>
      </c>
      <c r="D19" s="17">
        <v>0</v>
      </c>
      <c r="E19" s="17">
        <v>-661.00000000031082</v>
      </c>
      <c r="F19" s="17">
        <v>-2918</v>
      </c>
      <c r="G19" s="17">
        <v>661.00000000031082</v>
      </c>
      <c r="H19" s="17">
        <v>1E+30</v>
      </c>
    </row>
    <row r="20" spans="2:8" x14ac:dyDescent="0.25">
      <c r="B20" s="17" t="s">
        <v>67</v>
      </c>
      <c r="C20" s="17" t="s">
        <v>68</v>
      </c>
      <c r="D20" s="17">
        <v>0</v>
      </c>
      <c r="E20" s="17">
        <v>-7337.9999999996899</v>
      </c>
      <c r="F20" s="17">
        <v>-5081</v>
      </c>
      <c r="G20" s="17">
        <v>7337.9999999996899</v>
      </c>
      <c r="H20" s="17">
        <v>1E+30</v>
      </c>
    </row>
    <row r="21" spans="2:8" x14ac:dyDescent="0.25">
      <c r="B21" s="17" t="s">
        <v>69</v>
      </c>
      <c r="C21" s="17" t="s">
        <v>70</v>
      </c>
      <c r="D21" s="17">
        <v>299.99999999998619</v>
      </c>
      <c r="E21" s="17">
        <v>0</v>
      </c>
      <c r="F21" s="17">
        <v>-2560</v>
      </c>
      <c r="G21" s="17">
        <v>661.00000000030411</v>
      </c>
      <c r="H21" s="17">
        <v>4777.999999999638</v>
      </c>
    </row>
    <row r="22" spans="2:8" x14ac:dyDescent="0.25">
      <c r="B22" s="17" t="s">
        <v>71</v>
      </c>
      <c r="C22" s="17" t="s">
        <v>72</v>
      </c>
      <c r="D22" s="17">
        <v>0</v>
      </c>
      <c r="E22" s="17">
        <v>-22.000000000000071</v>
      </c>
      <c r="F22" s="17">
        <v>-22</v>
      </c>
      <c r="G22" s="17">
        <v>22.000000000000071</v>
      </c>
      <c r="H22" s="17">
        <v>1E+30</v>
      </c>
    </row>
    <row r="23" spans="2:8" x14ac:dyDescent="0.25">
      <c r="B23" s="17" t="s">
        <v>73</v>
      </c>
      <c r="C23" s="17" t="s">
        <v>74</v>
      </c>
      <c r="D23" s="17">
        <v>0</v>
      </c>
      <c r="E23" s="17">
        <v>-0.45669642857184184</v>
      </c>
      <c r="F23" s="17">
        <v>-3</v>
      </c>
      <c r="G23" s="17">
        <v>0.45669642857184184</v>
      </c>
      <c r="H23" s="17">
        <v>1E+30</v>
      </c>
    </row>
    <row r="24" spans="2:8" x14ac:dyDescent="0.25">
      <c r="B24" s="17" t="s">
        <v>75</v>
      </c>
      <c r="C24" s="17" t="s">
        <v>76</v>
      </c>
      <c r="D24" s="17">
        <v>0</v>
      </c>
      <c r="E24" s="17">
        <v>-12.543303571428158</v>
      </c>
      <c r="F24" s="17">
        <v>-10</v>
      </c>
      <c r="G24" s="17">
        <v>12.543303571428158</v>
      </c>
      <c r="H24" s="17">
        <v>1E+30</v>
      </c>
    </row>
    <row r="25" spans="2:8" x14ac:dyDescent="0.25">
      <c r="B25" s="17" t="s">
        <v>77</v>
      </c>
      <c r="C25" s="17" t="s">
        <v>78</v>
      </c>
      <c r="D25" s="17">
        <v>0</v>
      </c>
      <c r="E25" s="17">
        <v>0</v>
      </c>
      <c r="F25" s="17">
        <v>-19</v>
      </c>
      <c r="G25" s="17">
        <v>5.9999999999999947</v>
      </c>
      <c r="H25" s="17">
        <v>1E+30</v>
      </c>
    </row>
    <row r="26" spans="2:8" x14ac:dyDescent="0.25">
      <c r="B26" s="17" t="s">
        <v>79</v>
      </c>
      <c r="C26" s="17" t="s">
        <v>80</v>
      </c>
      <c r="D26" s="17">
        <v>0</v>
      </c>
      <c r="E26" s="17">
        <v>-5.9999999999999947</v>
      </c>
      <c r="F26" s="17">
        <v>0</v>
      </c>
      <c r="G26" s="17">
        <v>5.9999999999999947</v>
      </c>
      <c r="H26" s="17">
        <v>1E+30</v>
      </c>
    </row>
    <row r="27" spans="2:8" x14ac:dyDescent="0.25">
      <c r="B27" s="17" t="s">
        <v>81</v>
      </c>
      <c r="C27" s="17" t="s">
        <v>82</v>
      </c>
      <c r="D27" s="17">
        <v>0</v>
      </c>
      <c r="E27" s="17">
        <v>-26.899999998509877</v>
      </c>
      <c r="F27" s="17">
        <v>-20.899999998509884</v>
      </c>
      <c r="G27" s="17">
        <v>26.899999998509877</v>
      </c>
      <c r="H27" s="17">
        <v>1E+30</v>
      </c>
    </row>
    <row r="28" spans="2:8" x14ac:dyDescent="0.25">
      <c r="B28" s="17" t="s">
        <v>83</v>
      </c>
      <c r="C28" s="17" t="s">
        <v>84</v>
      </c>
      <c r="D28" s="17">
        <v>111940</v>
      </c>
      <c r="E28" s="17">
        <v>0</v>
      </c>
      <c r="F28" s="17">
        <v>-13</v>
      </c>
      <c r="G28" s="17">
        <v>0.45669642857184184</v>
      </c>
      <c r="H28" s="17">
        <v>2.9999999999999929</v>
      </c>
    </row>
    <row r="29" spans="2:8" x14ac:dyDescent="0.25">
      <c r="B29" s="17" t="s">
        <v>85</v>
      </c>
      <c r="C29" s="17" t="s">
        <v>86</v>
      </c>
      <c r="D29" s="17">
        <v>13.80066964288387</v>
      </c>
      <c r="E29" s="17">
        <v>0</v>
      </c>
      <c r="F29" s="17">
        <v>-2918</v>
      </c>
      <c r="G29" s="17">
        <v>64.666666665918669</v>
      </c>
      <c r="H29" s="17">
        <v>440.6666666668919</v>
      </c>
    </row>
    <row r="30" spans="2:8" x14ac:dyDescent="0.25">
      <c r="B30" s="17" t="s">
        <v>87</v>
      </c>
      <c r="C30" s="17" t="s">
        <v>88</v>
      </c>
      <c r="D30" s="17">
        <v>0</v>
      </c>
      <c r="E30" s="17">
        <v>-8270.2857142856737</v>
      </c>
      <c r="F30" s="17">
        <v>-5081</v>
      </c>
      <c r="G30" s="17">
        <v>8270.2857142856737</v>
      </c>
      <c r="H30" s="17">
        <v>1E+30</v>
      </c>
    </row>
    <row r="31" spans="2:8" x14ac:dyDescent="0.25">
      <c r="B31" s="17" t="s">
        <v>89</v>
      </c>
      <c r="C31" s="17" t="s">
        <v>90</v>
      </c>
      <c r="D31" s="17">
        <v>313.8006696428663</v>
      </c>
      <c r="E31" s="17">
        <v>0</v>
      </c>
      <c r="F31" s="17">
        <v>-2560</v>
      </c>
      <c r="G31" s="17">
        <v>64.666666665910796</v>
      </c>
      <c r="H31" s="17">
        <v>682.0000000006487</v>
      </c>
    </row>
    <row r="32" spans="2:8" x14ac:dyDescent="0.25">
      <c r="B32" s="17" t="s">
        <v>91</v>
      </c>
      <c r="C32" s="17" t="s">
        <v>92</v>
      </c>
      <c r="D32" s="17">
        <v>0</v>
      </c>
      <c r="E32" s="17">
        <v>-11.826785714287245</v>
      </c>
      <c r="F32" s="17">
        <v>-22</v>
      </c>
      <c r="G32" s="17">
        <v>11.826785714287245</v>
      </c>
      <c r="H32" s="17">
        <v>1E+30</v>
      </c>
    </row>
    <row r="33" spans="2:8" x14ac:dyDescent="0.25">
      <c r="B33" s="17" t="s">
        <v>93</v>
      </c>
      <c r="C33" s="17" t="s">
        <v>94</v>
      </c>
      <c r="D33" s="17">
        <v>64606.928571414392</v>
      </c>
      <c r="E33" s="17">
        <v>0</v>
      </c>
      <c r="F33" s="17">
        <v>-3</v>
      </c>
      <c r="G33" s="17">
        <v>0.4262500000004027</v>
      </c>
      <c r="H33" s="17">
        <v>0.60624999999342799</v>
      </c>
    </row>
    <row r="34" spans="2:8" x14ac:dyDescent="0.25">
      <c r="B34" s="17" t="s">
        <v>95</v>
      </c>
      <c r="C34" s="17" t="s">
        <v>96</v>
      </c>
      <c r="D34" s="17">
        <v>0</v>
      </c>
      <c r="E34" s="17">
        <v>-13.000000000000002</v>
      </c>
      <c r="F34" s="17">
        <v>-10</v>
      </c>
      <c r="G34" s="17">
        <v>13.000000000000002</v>
      </c>
      <c r="H34" s="17">
        <v>1E+30</v>
      </c>
    </row>
    <row r="35" spans="2:8" x14ac:dyDescent="0.25">
      <c r="B35" s="17" t="s">
        <v>97</v>
      </c>
      <c r="C35" s="17" t="s">
        <v>98</v>
      </c>
      <c r="D35" s="17">
        <v>0</v>
      </c>
      <c r="E35" s="17">
        <v>0</v>
      </c>
      <c r="F35" s="17">
        <v>-19</v>
      </c>
      <c r="G35" s="17">
        <v>3.4566964285718362</v>
      </c>
      <c r="H35" s="17">
        <v>1E+30</v>
      </c>
    </row>
    <row r="36" spans="2:8" x14ac:dyDescent="0.25">
      <c r="B36" s="17" t="s">
        <v>99</v>
      </c>
      <c r="C36" s="17" t="s">
        <v>100</v>
      </c>
      <c r="D36" s="17">
        <v>0</v>
      </c>
      <c r="E36" s="17">
        <v>-3.4566964285718362</v>
      </c>
      <c r="F36" s="17">
        <v>0</v>
      </c>
      <c r="G36" s="17">
        <v>3.4566964285718362</v>
      </c>
      <c r="H36" s="17">
        <v>1E+30</v>
      </c>
    </row>
    <row r="37" spans="2:8" x14ac:dyDescent="0.25">
      <c r="B37" s="17" t="s">
        <v>101</v>
      </c>
      <c r="C37" s="17" t="s">
        <v>102</v>
      </c>
      <c r="D37" s="17">
        <v>0</v>
      </c>
      <c r="E37" s="17">
        <v>-24.356696434532303</v>
      </c>
      <c r="F37" s="17">
        <v>-20.900000005960464</v>
      </c>
      <c r="G37" s="17">
        <v>24.356696434532303</v>
      </c>
      <c r="H37" s="17">
        <v>1E+30</v>
      </c>
    </row>
    <row r="38" spans="2:8" x14ac:dyDescent="0.25">
      <c r="B38" s="17" t="s">
        <v>103</v>
      </c>
      <c r="C38" s="17" t="s">
        <v>104</v>
      </c>
      <c r="D38" s="17">
        <v>190527.92857141438</v>
      </c>
      <c r="E38" s="17">
        <v>0</v>
      </c>
      <c r="F38" s="17">
        <v>-13</v>
      </c>
      <c r="G38" s="17">
        <v>0.82625000000042226</v>
      </c>
      <c r="H38" s="17">
        <v>0.60624999999342799</v>
      </c>
    </row>
    <row r="39" spans="2:8" x14ac:dyDescent="0.25">
      <c r="B39" s="17" t="s">
        <v>105</v>
      </c>
      <c r="C39" s="17" t="s">
        <v>106</v>
      </c>
      <c r="D39" s="17">
        <v>0</v>
      </c>
      <c r="E39" s="17">
        <v>-1321.5714285709223</v>
      </c>
      <c r="F39" s="17">
        <v>-2918</v>
      </c>
      <c r="G39" s="17">
        <v>1321.5714285709223</v>
      </c>
      <c r="H39" s="17">
        <v>1E+30</v>
      </c>
    </row>
    <row r="40" spans="2:8" x14ac:dyDescent="0.25">
      <c r="B40" s="17" t="s">
        <v>107</v>
      </c>
      <c r="C40" s="17" t="s">
        <v>108</v>
      </c>
      <c r="D40" s="17">
        <v>0</v>
      </c>
      <c r="E40" s="17">
        <v>-7275.6428571431952</v>
      </c>
      <c r="F40" s="17">
        <v>-5081</v>
      </c>
      <c r="G40" s="17">
        <v>7275.6428571431952</v>
      </c>
      <c r="H40" s="17">
        <v>1E+30</v>
      </c>
    </row>
    <row r="41" spans="2:8" x14ac:dyDescent="0.25">
      <c r="B41" s="17" t="s">
        <v>109</v>
      </c>
      <c r="C41" s="17" t="s">
        <v>110</v>
      </c>
      <c r="D41" s="17">
        <v>313.80066964286613</v>
      </c>
      <c r="E41" s="17">
        <v>0</v>
      </c>
      <c r="F41" s="17">
        <v>-2560</v>
      </c>
      <c r="G41" s="17">
        <v>64.666666665910725</v>
      </c>
      <c r="H41" s="17">
        <v>682.00000000064767</v>
      </c>
    </row>
    <row r="42" spans="2:8" x14ac:dyDescent="0.25">
      <c r="B42" s="17" t="s">
        <v>111</v>
      </c>
      <c r="C42" s="17" t="s">
        <v>112</v>
      </c>
      <c r="D42" s="17">
        <v>12552.026785714645</v>
      </c>
      <c r="E42" s="17">
        <v>0</v>
      </c>
      <c r="F42" s="17">
        <v>-22</v>
      </c>
      <c r="G42" s="17">
        <v>94.949999999988663</v>
      </c>
      <c r="H42" s="17">
        <v>0.1939999999977193</v>
      </c>
    </row>
    <row r="43" spans="2:8" x14ac:dyDescent="0.25">
      <c r="B43" s="17" t="s">
        <v>113</v>
      </c>
      <c r="C43" s="17" t="s">
        <v>114</v>
      </c>
      <c r="D43" s="17">
        <v>134229.46428570725</v>
      </c>
      <c r="E43" s="17">
        <v>0</v>
      </c>
      <c r="F43" s="17">
        <v>-3</v>
      </c>
      <c r="G43" s="17">
        <v>0.85250000000080484</v>
      </c>
      <c r="H43" s="17">
        <v>8.0833333332388485E-2</v>
      </c>
    </row>
    <row r="44" spans="2:8" x14ac:dyDescent="0.25">
      <c r="B44" s="17" t="s">
        <v>115</v>
      </c>
      <c r="C44" s="17" t="s">
        <v>116</v>
      </c>
      <c r="D44" s="17">
        <v>0</v>
      </c>
      <c r="E44" s="17">
        <v>-13.000000000000286</v>
      </c>
      <c r="F44" s="17">
        <v>-10</v>
      </c>
      <c r="G44" s="17">
        <v>13.000000000000286</v>
      </c>
      <c r="H44" s="17">
        <v>1E+30</v>
      </c>
    </row>
    <row r="45" spans="2:8" x14ac:dyDescent="0.25">
      <c r="B45" s="17" t="s">
        <v>117</v>
      </c>
      <c r="C45" s="17" t="s">
        <v>118</v>
      </c>
      <c r="D45" s="17">
        <v>0</v>
      </c>
      <c r="E45" s="17">
        <v>0</v>
      </c>
      <c r="F45" s="17">
        <v>-19</v>
      </c>
      <c r="G45" s="17">
        <v>0.456696428571844</v>
      </c>
      <c r="H45" s="17">
        <v>1E+30</v>
      </c>
    </row>
    <row r="46" spans="2:8" x14ac:dyDescent="0.25">
      <c r="B46" s="17" t="s">
        <v>119</v>
      </c>
      <c r="C46" s="17" t="s">
        <v>120</v>
      </c>
      <c r="D46" s="17">
        <v>0</v>
      </c>
      <c r="E46" s="17">
        <v>-0.456696428571844</v>
      </c>
      <c r="F46" s="17">
        <v>0</v>
      </c>
      <c r="G46" s="17">
        <v>0.456696428571844</v>
      </c>
      <c r="H46" s="17">
        <v>1E+30</v>
      </c>
    </row>
    <row r="47" spans="2:8" x14ac:dyDescent="0.25">
      <c r="B47" s="17" t="s">
        <v>121</v>
      </c>
      <c r="C47" s="17" t="s">
        <v>122</v>
      </c>
      <c r="D47" s="17">
        <v>0</v>
      </c>
      <c r="E47" s="17">
        <v>-21.356696427081726</v>
      </c>
      <c r="F47" s="17">
        <v>-20.899999998509884</v>
      </c>
      <c r="G47" s="17">
        <v>21.356696427081726</v>
      </c>
      <c r="H47" s="17">
        <v>1E+30</v>
      </c>
    </row>
    <row r="48" spans="2:8" x14ac:dyDescent="0.25">
      <c r="B48" s="17" t="s">
        <v>123</v>
      </c>
      <c r="C48" s="17" t="s">
        <v>124</v>
      </c>
      <c r="D48" s="17">
        <v>251040.53571429281</v>
      </c>
      <c r="E48" s="17">
        <v>0</v>
      </c>
      <c r="F48" s="17">
        <v>-13</v>
      </c>
      <c r="G48" s="17">
        <v>4.7474999999994338</v>
      </c>
      <c r="H48" s="17">
        <v>9.3269230768128389E-2</v>
      </c>
    </row>
    <row r="49" spans="2:8" x14ac:dyDescent="0.25">
      <c r="B49" s="17" t="s">
        <v>125</v>
      </c>
      <c r="C49" s="17" t="s">
        <v>126</v>
      </c>
      <c r="D49" s="17">
        <v>0</v>
      </c>
      <c r="E49" s="17">
        <v>-5516.2142857143936</v>
      </c>
      <c r="F49" s="17">
        <v>-2918</v>
      </c>
      <c r="G49" s="17">
        <v>5516.2142857143936</v>
      </c>
      <c r="H49" s="17">
        <v>1E+30</v>
      </c>
    </row>
    <row r="50" spans="2:8" x14ac:dyDescent="0.25">
      <c r="B50" s="17" t="s">
        <v>127</v>
      </c>
      <c r="C50" s="17" t="s">
        <v>128</v>
      </c>
      <c r="D50" s="17">
        <v>0</v>
      </c>
      <c r="E50" s="17">
        <v>-3881.0000000000023</v>
      </c>
      <c r="F50" s="17">
        <v>-5081</v>
      </c>
      <c r="G50" s="17">
        <v>3881.0000000000023</v>
      </c>
      <c r="H50" s="17">
        <v>1E+30</v>
      </c>
    </row>
    <row r="51" spans="2:8" x14ac:dyDescent="0.25">
      <c r="B51" s="17" t="s">
        <v>129</v>
      </c>
      <c r="C51" s="17" t="s">
        <v>130</v>
      </c>
      <c r="D51" s="17">
        <v>313.80066964286544</v>
      </c>
      <c r="E51" s="17">
        <v>0</v>
      </c>
      <c r="F51" s="17">
        <v>-2560</v>
      </c>
      <c r="G51" s="17">
        <v>64.66666666591054</v>
      </c>
      <c r="H51" s="17">
        <v>682.00000000064506</v>
      </c>
    </row>
    <row r="52" spans="2:8" x14ac:dyDescent="0.25">
      <c r="B52" s="17" t="s">
        <v>131</v>
      </c>
      <c r="C52" s="17" t="s">
        <v>132</v>
      </c>
      <c r="D52" s="17">
        <v>12552.026785714639</v>
      </c>
      <c r="E52" s="17">
        <v>0</v>
      </c>
      <c r="F52" s="17">
        <v>-22</v>
      </c>
      <c r="G52" s="17">
        <v>1.6166666666477656</v>
      </c>
      <c r="H52" s="17">
        <v>13.634000000002448</v>
      </c>
    </row>
    <row r="53" spans="2:8" x14ac:dyDescent="0.25">
      <c r="B53" s="17" t="s">
        <v>133</v>
      </c>
      <c r="C53" s="17" t="s">
        <v>134</v>
      </c>
      <c r="D53" s="17">
        <v>0</v>
      </c>
      <c r="E53" s="17">
        <v>-5.5433035714289902</v>
      </c>
      <c r="F53" s="17">
        <v>-3</v>
      </c>
      <c r="G53" s="17">
        <v>5.5433035714289902</v>
      </c>
      <c r="H53" s="17">
        <v>1E+30</v>
      </c>
    </row>
    <row r="54" spans="2:8" x14ac:dyDescent="0.25">
      <c r="B54" s="17" t="s">
        <v>135</v>
      </c>
      <c r="C54" s="17" t="s">
        <v>136</v>
      </c>
      <c r="D54" s="17">
        <v>0</v>
      </c>
      <c r="E54" s="17">
        <v>-7.456696428571008</v>
      </c>
      <c r="F54" s="17">
        <v>-10</v>
      </c>
      <c r="G54" s="17">
        <v>7.456696428571008</v>
      </c>
      <c r="H54" s="17">
        <v>1E+30</v>
      </c>
    </row>
    <row r="55" spans="2:8" x14ac:dyDescent="0.25">
      <c r="B55" s="17" t="s">
        <v>137</v>
      </c>
      <c r="C55" s="17" t="s">
        <v>138</v>
      </c>
      <c r="D55" s="17">
        <v>50000</v>
      </c>
      <c r="E55" s="17">
        <v>0</v>
      </c>
      <c r="F55" s="17">
        <v>-19</v>
      </c>
      <c r="G55" s="17">
        <v>18.356696427080895</v>
      </c>
      <c r="H55" s="17">
        <v>2.5433035714289876</v>
      </c>
    </row>
    <row r="56" spans="2:8" x14ac:dyDescent="0.25">
      <c r="B56" s="17" t="s">
        <v>139</v>
      </c>
      <c r="C56" s="17" t="s">
        <v>140</v>
      </c>
      <c r="D56" s="17">
        <v>50000</v>
      </c>
      <c r="E56" s="17">
        <v>0</v>
      </c>
      <c r="F56" s="17">
        <v>0</v>
      </c>
      <c r="G56" s="17">
        <v>1E+30</v>
      </c>
      <c r="H56" s="17">
        <v>2.5433035714289876</v>
      </c>
    </row>
    <row r="57" spans="2:8" x14ac:dyDescent="0.25">
      <c r="B57" s="17" t="s">
        <v>141</v>
      </c>
      <c r="C57" s="17" t="s">
        <v>142</v>
      </c>
      <c r="D57" s="17">
        <v>0</v>
      </c>
      <c r="E57" s="17">
        <v>-18.356696427080895</v>
      </c>
      <c r="F57" s="17">
        <v>-20.899999998509884</v>
      </c>
      <c r="G57" s="17">
        <v>18.356696427080895</v>
      </c>
      <c r="H57" s="17">
        <v>1E+30</v>
      </c>
    </row>
    <row r="58" spans="2:8" x14ac:dyDescent="0.25">
      <c r="B58" s="17" t="s">
        <v>143</v>
      </c>
      <c r="C58" s="17" t="s">
        <v>144</v>
      </c>
      <c r="D58" s="17">
        <v>251040.53571429278</v>
      </c>
      <c r="E58" s="17">
        <v>0</v>
      </c>
      <c r="F58" s="17">
        <v>-13</v>
      </c>
      <c r="G58" s="17">
        <v>8.0833333332388457E-2</v>
      </c>
      <c r="H58" s="17">
        <v>0.85250000000080417</v>
      </c>
    </row>
    <row r="59" spans="2:8" x14ac:dyDescent="0.25">
      <c r="B59" s="17" t="s">
        <v>145</v>
      </c>
      <c r="C59" s="17" t="s">
        <v>146</v>
      </c>
      <c r="D59" s="17">
        <v>0</v>
      </c>
      <c r="E59" s="17">
        <v>-6198.0000000000027</v>
      </c>
      <c r="F59" s="17">
        <v>-2918</v>
      </c>
      <c r="G59" s="17">
        <v>6198.0000000000027</v>
      </c>
      <c r="H59" s="17">
        <v>1E+30</v>
      </c>
    </row>
    <row r="60" spans="2:8" x14ac:dyDescent="0.25">
      <c r="B60" s="17" t="s">
        <v>147</v>
      </c>
      <c r="C60" s="17" t="s">
        <v>148</v>
      </c>
      <c r="D60" s="17">
        <v>0</v>
      </c>
      <c r="E60" s="17">
        <v>-2521</v>
      </c>
      <c r="F60" s="17">
        <v>-5081</v>
      </c>
      <c r="G60" s="17">
        <v>2521</v>
      </c>
      <c r="H60" s="17">
        <v>1E+30</v>
      </c>
    </row>
    <row r="61" spans="2:8" x14ac:dyDescent="0.25">
      <c r="B61" s="17" t="s">
        <v>149</v>
      </c>
      <c r="C61" s="17" t="s">
        <v>150</v>
      </c>
      <c r="D61" s="17">
        <v>313.80066964286556</v>
      </c>
      <c r="E61" s="17">
        <v>0</v>
      </c>
      <c r="F61" s="17">
        <v>-2560</v>
      </c>
      <c r="G61" s="17">
        <v>64.666666665910554</v>
      </c>
      <c r="H61" s="17">
        <v>682.00000000064517</v>
      </c>
    </row>
    <row r="62" spans="2:8" x14ac:dyDescent="0.25">
      <c r="B62" s="17" t="s">
        <v>151</v>
      </c>
      <c r="C62" s="17" t="s">
        <v>152</v>
      </c>
      <c r="D62" s="17">
        <v>12552.026785714619</v>
      </c>
      <c r="E62" s="17">
        <v>0</v>
      </c>
      <c r="F62" s="17">
        <v>-22</v>
      </c>
      <c r="G62" s="17">
        <v>1.6166666666477649</v>
      </c>
      <c r="H62" s="17">
        <v>2.0000000000000546</v>
      </c>
    </row>
    <row r="63" spans="2:8" x14ac:dyDescent="0.25">
      <c r="B63" s="17" t="s">
        <v>153</v>
      </c>
      <c r="C63" s="17" t="s">
        <v>154</v>
      </c>
      <c r="D63" s="17">
        <v>20000</v>
      </c>
      <c r="E63" s="17">
        <v>-22</v>
      </c>
      <c r="F63" s="17">
        <v>-3</v>
      </c>
      <c r="G63" s="17">
        <v>22</v>
      </c>
      <c r="H63" s="17">
        <v>1E+30</v>
      </c>
    </row>
    <row r="64" spans="2:8" x14ac:dyDescent="0.25">
      <c r="B64" s="17" t="s">
        <v>155</v>
      </c>
      <c r="C64" s="17" t="s">
        <v>156</v>
      </c>
      <c r="D64" s="17">
        <v>0</v>
      </c>
      <c r="E64" s="17">
        <v>9</v>
      </c>
      <c r="F64" s="17">
        <v>-10</v>
      </c>
      <c r="G64" s="17">
        <v>9</v>
      </c>
      <c r="H64" s="17">
        <v>1E+30</v>
      </c>
    </row>
    <row r="65" spans="1:8" x14ac:dyDescent="0.25">
      <c r="B65" s="17" t="s">
        <v>157</v>
      </c>
      <c r="C65" s="17" t="s">
        <v>158</v>
      </c>
      <c r="D65" s="17">
        <v>8199.4642857076269</v>
      </c>
      <c r="E65" s="17">
        <v>0</v>
      </c>
      <c r="F65" s="17">
        <v>-19</v>
      </c>
      <c r="G65" s="17">
        <v>0.5000000000000131</v>
      </c>
      <c r="H65" s="17">
        <v>8.083333333238818E-2</v>
      </c>
    </row>
    <row r="66" spans="1:8" x14ac:dyDescent="0.25">
      <c r="B66" s="17" t="s">
        <v>159</v>
      </c>
      <c r="C66" s="17" t="s">
        <v>160</v>
      </c>
      <c r="D66" s="17">
        <v>8199.4642857076269</v>
      </c>
      <c r="E66" s="17">
        <v>0</v>
      </c>
      <c r="F66" s="17">
        <v>0</v>
      </c>
      <c r="G66" s="17">
        <v>0.5000000000000131</v>
      </c>
      <c r="H66" s="17">
        <v>8.083333333238818E-2</v>
      </c>
    </row>
    <row r="67" spans="1:8" x14ac:dyDescent="0.25">
      <c r="B67" s="17" t="s">
        <v>161</v>
      </c>
      <c r="C67" s="17" t="s">
        <v>162</v>
      </c>
      <c r="D67" s="17">
        <v>0</v>
      </c>
      <c r="E67" s="17">
        <v>-20.899999998509884</v>
      </c>
      <c r="F67" s="17">
        <v>-20.899999998509884</v>
      </c>
      <c r="G67" s="17">
        <v>20.899999998509884</v>
      </c>
      <c r="H67" s="17">
        <v>1E+30</v>
      </c>
    </row>
    <row r="68" spans="1:8" ht="15.75" thickBot="1" x14ac:dyDescent="0.3">
      <c r="B68" s="16" t="s">
        <v>163</v>
      </c>
      <c r="C68" s="16" t="s">
        <v>164</v>
      </c>
      <c r="D68" s="16">
        <v>251040.53571429237</v>
      </c>
      <c r="E68" s="16">
        <v>0</v>
      </c>
      <c r="F68" s="16">
        <v>-13</v>
      </c>
      <c r="G68" s="16">
        <v>8.083333333238818E-2</v>
      </c>
      <c r="H68" s="16">
        <v>0.5000000000000131</v>
      </c>
    </row>
    <row r="70" spans="1:8" ht="15.75" thickBot="1" x14ac:dyDescent="0.3">
      <c r="A70" t="s">
        <v>201</v>
      </c>
    </row>
    <row r="71" spans="1:8" x14ac:dyDescent="0.25">
      <c r="B71" s="18"/>
      <c r="C71" s="18"/>
      <c r="D71" s="18" t="s">
        <v>216</v>
      </c>
      <c r="E71" s="18" t="s">
        <v>225</v>
      </c>
      <c r="F71" s="18" t="s">
        <v>227</v>
      </c>
      <c r="G71" s="18" t="s">
        <v>222</v>
      </c>
      <c r="H71" s="18" t="s">
        <v>222</v>
      </c>
    </row>
    <row r="72" spans="1:8" ht="15.75" thickBot="1" x14ac:dyDescent="0.3">
      <c r="B72" s="19" t="s">
        <v>198</v>
      </c>
      <c r="C72" s="19" t="s">
        <v>199</v>
      </c>
      <c r="D72" s="19" t="s">
        <v>217</v>
      </c>
      <c r="E72" s="19" t="s">
        <v>226</v>
      </c>
      <c r="F72" s="19" t="s">
        <v>228</v>
      </c>
      <c r="G72" s="19" t="s">
        <v>223</v>
      </c>
      <c r="H72" s="19" t="s">
        <v>224</v>
      </c>
    </row>
    <row r="73" spans="1:8" x14ac:dyDescent="0.25">
      <c r="B73" s="17" t="s">
        <v>165</v>
      </c>
      <c r="C73" s="17" t="s">
        <v>202</v>
      </c>
      <c r="D73" s="17">
        <v>0</v>
      </c>
      <c r="E73" s="17">
        <v>13</v>
      </c>
      <c r="F73" s="17">
        <v>0</v>
      </c>
      <c r="G73" s="17">
        <v>83743</v>
      </c>
      <c r="H73" s="17">
        <v>0</v>
      </c>
    </row>
    <row r="74" spans="1:8" x14ac:dyDescent="0.25">
      <c r="B74" s="17" t="s">
        <v>166</v>
      </c>
      <c r="C74" s="17" t="s">
        <v>202</v>
      </c>
      <c r="D74" s="17">
        <v>0</v>
      </c>
      <c r="E74" s="17">
        <v>-5.9999999999999947</v>
      </c>
      <c r="F74" s="17">
        <v>0</v>
      </c>
      <c r="G74" s="17">
        <v>111940</v>
      </c>
      <c r="H74" s="17">
        <v>0</v>
      </c>
    </row>
    <row r="75" spans="1:8" x14ac:dyDescent="0.25">
      <c r="B75" s="17" t="s">
        <v>167</v>
      </c>
      <c r="C75" s="17" t="s">
        <v>202</v>
      </c>
      <c r="D75" s="17">
        <v>0</v>
      </c>
      <c r="E75" s="17">
        <v>-3.4566964285718362</v>
      </c>
      <c r="F75" s="17">
        <v>0</v>
      </c>
      <c r="G75" s="17">
        <v>20609.000000042426</v>
      </c>
      <c r="H75" s="17">
        <v>0</v>
      </c>
    </row>
    <row r="76" spans="1:8" x14ac:dyDescent="0.25">
      <c r="B76" s="17" t="s">
        <v>168</v>
      </c>
      <c r="C76" s="17" t="s">
        <v>202</v>
      </c>
      <c r="D76" s="17">
        <v>0</v>
      </c>
      <c r="E76" s="17">
        <v>-0.456696428571844</v>
      </c>
      <c r="F76" s="17">
        <v>0</v>
      </c>
      <c r="G76" s="17">
        <v>20609.000000042397</v>
      </c>
      <c r="H76" s="17">
        <v>0</v>
      </c>
    </row>
    <row r="77" spans="1:8" x14ac:dyDescent="0.25">
      <c r="B77" s="17" t="s">
        <v>169</v>
      </c>
      <c r="C77" s="17" t="s">
        <v>202</v>
      </c>
      <c r="D77" s="17">
        <v>0</v>
      </c>
      <c r="E77" s="17">
        <v>2.5433035714289876</v>
      </c>
      <c r="F77" s="17">
        <v>0</v>
      </c>
      <c r="G77" s="17">
        <v>20609.000000037242</v>
      </c>
      <c r="H77" s="17">
        <v>15305.666666653588</v>
      </c>
    </row>
    <row r="78" spans="1:8" x14ac:dyDescent="0.25">
      <c r="B78" s="17" t="s">
        <v>170</v>
      </c>
      <c r="C78" s="17" t="s">
        <v>202</v>
      </c>
      <c r="D78" s="17">
        <v>0</v>
      </c>
      <c r="E78" s="17">
        <v>0</v>
      </c>
      <c r="F78" s="17">
        <v>0</v>
      </c>
      <c r="G78" s="17">
        <v>8199.4642857076269</v>
      </c>
      <c r="H78" s="17">
        <v>41800.535714292375</v>
      </c>
    </row>
    <row r="79" spans="1:8" x14ac:dyDescent="0.25">
      <c r="B79" s="17" t="s">
        <v>171</v>
      </c>
      <c r="C79" s="17" t="s">
        <v>203</v>
      </c>
      <c r="D79" s="17">
        <v>-50000</v>
      </c>
      <c r="E79" s="17">
        <v>0</v>
      </c>
      <c r="F79" s="17">
        <v>0</v>
      </c>
      <c r="G79" s="17">
        <v>1E+30</v>
      </c>
      <c r="H79" s="17">
        <v>50000</v>
      </c>
    </row>
    <row r="80" spans="1:8" x14ac:dyDescent="0.25">
      <c r="B80" s="17" t="s">
        <v>172</v>
      </c>
      <c r="C80" s="17" t="s">
        <v>203</v>
      </c>
      <c r="D80" s="17">
        <v>-50000</v>
      </c>
      <c r="E80" s="17">
        <v>0</v>
      </c>
      <c r="F80" s="17">
        <v>0</v>
      </c>
      <c r="G80" s="17">
        <v>1E+30</v>
      </c>
      <c r="H80" s="17">
        <v>50000</v>
      </c>
    </row>
    <row r="81" spans="2:8" x14ac:dyDescent="0.25">
      <c r="B81" s="17" t="s">
        <v>173</v>
      </c>
      <c r="C81" s="17" t="s">
        <v>203</v>
      </c>
      <c r="D81" s="17">
        <v>-50000</v>
      </c>
      <c r="E81" s="17">
        <v>0</v>
      </c>
      <c r="F81" s="17">
        <v>0</v>
      </c>
      <c r="G81" s="17">
        <v>1E+30</v>
      </c>
      <c r="H81" s="17">
        <v>50000</v>
      </c>
    </row>
    <row r="82" spans="2:8" x14ac:dyDescent="0.25">
      <c r="B82" s="17" t="s">
        <v>174</v>
      </c>
      <c r="C82" s="17" t="s">
        <v>203</v>
      </c>
      <c r="D82" s="17">
        <v>-50000</v>
      </c>
      <c r="E82" s="17">
        <v>0</v>
      </c>
      <c r="F82" s="17">
        <v>0</v>
      </c>
      <c r="G82" s="17">
        <v>1E+30</v>
      </c>
      <c r="H82" s="17">
        <v>50000</v>
      </c>
    </row>
    <row r="83" spans="2:8" x14ac:dyDescent="0.25">
      <c r="B83" s="17" t="s">
        <v>175</v>
      </c>
      <c r="C83" s="17" t="s">
        <v>203</v>
      </c>
      <c r="D83" s="17">
        <v>0</v>
      </c>
      <c r="E83" s="17">
        <v>2.5433035714289876</v>
      </c>
      <c r="F83" s="17">
        <v>0</v>
      </c>
      <c r="G83" s="17">
        <v>20609.000000037242</v>
      </c>
      <c r="H83" s="17">
        <v>15305.666666653588</v>
      </c>
    </row>
    <row r="84" spans="2:8" x14ac:dyDescent="0.25">
      <c r="B84" s="17" t="s">
        <v>176</v>
      </c>
      <c r="C84" s="17" t="s">
        <v>203</v>
      </c>
      <c r="D84" s="17">
        <v>-41800.535714292375</v>
      </c>
      <c r="E84" s="17">
        <v>0</v>
      </c>
      <c r="F84" s="17">
        <v>0</v>
      </c>
      <c r="G84" s="17">
        <v>1E+30</v>
      </c>
      <c r="H84" s="17">
        <v>41800.535714292375</v>
      </c>
    </row>
    <row r="85" spans="2:8" x14ac:dyDescent="0.25">
      <c r="B85" s="17" t="s">
        <v>177</v>
      </c>
      <c r="C85" s="17" t="s">
        <v>204</v>
      </c>
      <c r="D85" s="17">
        <v>0</v>
      </c>
      <c r="E85" s="17">
        <v>-13</v>
      </c>
      <c r="F85" s="17">
        <v>0</v>
      </c>
      <c r="G85" s="17">
        <v>108257</v>
      </c>
      <c r="H85" s="17">
        <v>83743</v>
      </c>
    </row>
    <row r="86" spans="2:8" x14ac:dyDescent="0.25">
      <c r="B86" s="17" t="s">
        <v>178</v>
      </c>
      <c r="C86" s="17" t="s">
        <v>204</v>
      </c>
      <c r="D86" s="17">
        <v>0</v>
      </c>
      <c r="E86" s="17">
        <v>-13.000000000000005</v>
      </c>
      <c r="F86" s="17">
        <v>0</v>
      </c>
      <c r="G86" s="17">
        <v>80060</v>
      </c>
      <c r="H86" s="17">
        <v>111940</v>
      </c>
    </row>
    <row r="87" spans="2:8" x14ac:dyDescent="0.25">
      <c r="B87" s="17" t="s">
        <v>179</v>
      </c>
      <c r="C87" s="17" t="s">
        <v>204</v>
      </c>
      <c r="D87" s="17">
        <v>-1.4551915228366852E-11</v>
      </c>
      <c r="E87" s="17">
        <v>-15.543303571428167</v>
      </c>
      <c r="F87" s="17">
        <v>0</v>
      </c>
      <c r="G87" s="17">
        <v>15305.666666654868</v>
      </c>
      <c r="H87" s="17">
        <v>20609.000000042426</v>
      </c>
    </row>
    <row r="88" spans="2:8" x14ac:dyDescent="0.25">
      <c r="B88" s="17" t="s">
        <v>180</v>
      </c>
      <c r="C88" s="17" t="s">
        <v>204</v>
      </c>
      <c r="D88" s="17">
        <v>-2.9103830456733704E-11</v>
      </c>
      <c r="E88" s="17">
        <v>-18.543303571428158</v>
      </c>
      <c r="F88" s="17">
        <v>0</v>
      </c>
      <c r="G88" s="17">
        <v>15305.666666654863</v>
      </c>
      <c r="H88" s="17">
        <v>20609.000000042397</v>
      </c>
    </row>
    <row r="89" spans="2:8" x14ac:dyDescent="0.25">
      <c r="B89" s="17" t="s">
        <v>181</v>
      </c>
      <c r="C89" s="17" t="s">
        <v>204</v>
      </c>
      <c r="D89" s="17">
        <v>0</v>
      </c>
      <c r="E89" s="17">
        <v>-21.543303571428986</v>
      </c>
      <c r="F89" s="17">
        <v>0</v>
      </c>
      <c r="G89" s="17">
        <v>15305.666666653588</v>
      </c>
      <c r="H89" s="17">
        <v>20609.000000037242</v>
      </c>
    </row>
    <row r="90" spans="2:8" x14ac:dyDescent="0.25">
      <c r="B90" s="17" t="s">
        <v>182</v>
      </c>
      <c r="C90" s="17" t="s">
        <v>204</v>
      </c>
      <c r="D90" s="17">
        <v>0</v>
      </c>
      <c r="E90" s="17">
        <v>-19</v>
      </c>
      <c r="F90" s="17">
        <v>0</v>
      </c>
      <c r="G90" s="17">
        <v>41800.535714292375</v>
      </c>
      <c r="H90" s="17">
        <v>8199.4642857076269</v>
      </c>
    </row>
    <row r="91" spans="2:8" x14ac:dyDescent="0.25">
      <c r="B91" s="17" t="s">
        <v>183</v>
      </c>
      <c r="C91" s="17" t="s">
        <v>205</v>
      </c>
      <c r="D91" s="17">
        <v>12000</v>
      </c>
      <c r="E91" s="17">
        <v>0</v>
      </c>
      <c r="F91" s="17">
        <v>0</v>
      </c>
      <c r="G91" s="17">
        <v>12000</v>
      </c>
      <c r="H91" s="17">
        <v>1E+30</v>
      </c>
    </row>
    <row r="92" spans="2:8" x14ac:dyDescent="0.25">
      <c r="B92" s="17" t="s">
        <v>184</v>
      </c>
      <c r="C92" s="17" t="s">
        <v>205</v>
      </c>
      <c r="D92" s="17">
        <v>12000</v>
      </c>
      <c r="E92" s="17">
        <v>0</v>
      </c>
      <c r="F92" s="17">
        <v>0</v>
      </c>
      <c r="G92" s="17">
        <v>12000</v>
      </c>
      <c r="H92" s="17">
        <v>1E+30</v>
      </c>
    </row>
    <row r="93" spans="2:8" x14ac:dyDescent="0.25">
      <c r="B93" s="17" t="s">
        <v>185</v>
      </c>
      <c r="C93" s="17" t="s">
        <v>205</v>
      </c>
      <c r="D93" s="17">
        <v>11447.973214284093</v>
      </c>
      <c r="E93" s="17">
        <v>0</v>
      </c>
      <c r="F93" s="17">
        <v>0</v>
      </c>
      <c r="G93" s="17">
        <v>11447.973214283942</v>
      </c>
      <c r="H93" s="17">
        <v>1E+30</v>
      </c>
    </row>
    <row r="94" spans="2:8" x14ac:dyDescent="0.25">
      <c r="B94" s="17" t="s">
        <v>186</v>
      </c>
      <c r="C94" s="17" t="s">
        <v>205</v>
      </c>
      <c r="D94" s="17">
        <v>0</v>
      </c>
      <c r="E94" s="17">
        <v>-0.1732142857122507</v>
      </c>
      <c r="F94" s="17">
        <v>0</v>
      </c>
      <c r="G94" s="17">
        <v>3826.4166666637734</v>
      </c>
      <c r="H94" s="17">
        <v>5152.2500000109139</v>
      </c>
    </row>
    <row r="95" spans="2:8" x14ac:dyDescent="0.25">
      <c r="B95" s="17" t="s">
        <v>187</v>
      </c>
      <c r="C95" s="17" t="s">
        <v>205</v>
      </c>
      <c r="D95" s="17">
        <v>0</v>
      </c>
      <c r="E95" s="17">
        <v>-12.173214285716394</v>
      </c>
      <c r="F95" s="17">
        <v>0</v>
      </c>
      <c r="G95" s="17">
        <v>3826.4166666633673</v>
      </c>
      <c r="H95" s="17">
        <v>5152.250000009155</v>
      </c>
    </row>
    <row r="96" spans="2:8" x14ac:dyDescent="0.25">
      <c r="B96" s="17" t="s">
        <v>188</v>
      </c>
      <c r="C96" s="17" t="s">
        <v>205</v>
      </c>
      <c r="D96" s="17">
        <v>0</v>
      </c>
      <c r="E96" s="17">
        <v>-2.0000000000000551</v>
      </c>
      <c r="F96" s="17">
        <v>0</v>
      </c>
      <c r="G96" s="17">
        <v>10450.133928573079</v>
      </c>
      <c r="H96" s="17">
        <v>2049.866071426904</v>
      </c>
    </row>
    <row r="97" spans="2:8" x14ac:dyDescent="0.25">
      <c r="B97" s="17" t="s">
        <v>189</v>
      </c>
      <c r="C97" s="17" t="s">
        <v>206</v>
      </c>
      <c r="D97" s="17">
        <v>108257</v>
      </c>
      <c r="E97" s="17">
        <v>0</v>
      </c>
      <c r="F97" s="17">
        <v>0</v>
      </c>
      <c r="G97" s="17">
        <v>108257</v>
      </c>
      <c r="H97" s="17">
        <v>1E+30</v>
      </c>
    </row>
    <row r="98" spans="2:8" x14ac:dyDescent="0.25">
      <c r="B98" s="17" t="s">
        <v>190</v>
      </c>
      <c r="C98" s="17" t="s">
        <v>206</v>
      </c>
      <c r="D98" s="17">
        <v>80060</v>
      </c>
      <c r="E98" s="17">
        <v>0</v>
      </c>
      <c r="F98" s="17">
        <v>0</v>
      </c>
      <c r="G98" s="17">
        <v>80060</v>
      </c>
      <c r="H98" s="17">
        <v>1E+30</v>
      </c>
    </row>
    <row r="99" spans="2:8" x14ac:dyDescent="0.25">
      <c r="B99" s="17" t="s">
        <v>191</v>
      </c>
      <c r="C99" s="17" t="s">
        <v>206</v>
      </c>
      <c r="D99" s="17">
        <v>2.5029294192790985E-9</v>
      </c>
      <c r="E99" s="17">
        <v>-2.5433035714281638</v>
      </c>
      <c r="F99" s="17">
        <v>0</v>
      </c>
      <c r="G99" s="17">
        <v>15305.666666654868</v>
      </c>
      <c r="H99" s="17">
        <v>20609.000000042426</v>
      </c>
    </row>
    <row r="100" spans="2:8" x14ac:dyDescent="0.25">
      <c r="B100" s="17" t="s">
        <v>192</v>
      </c>
      <c r="C100" s="17" t="s">
        <v>206</v>
      </c>
      <c r="D100" s="17">
        <v>0</v>
      </c>
      <c r="E100" s="17">
        <v>-5.5433035714281553</v>
      </c>
      <c r="F100" s="17">
        <v>0</v>
      </c>
      <c r="G100" s="17">
        <v>15305.666666654863</v>
      </c>
      <c r="H100" s="17">
        <v>20609.000000042397</v>
      </c>
    </row>
    <row r="101" spans="2:8" x14ac:dyDescent="0.25">
      <c r="B101" s="17" t="s">
        <v>193</v>
      </c>
      <c r="C101" s="17" t="s">
        <v>206</v>
      </c>
      <c r="D101" s="17">
        <v>0</v>
      </c>
      <c r="E101" s="17">
        <v>-8.5433035714289893</v>
      </c>
      <c r="F101" s="17">
        <v>0</v>
      </c>
      <c r="G101" s="17">
        <v>15305.666666653588</v>
      </c>
      <c r="H101" s="17">
        <v>20609.000000037242</v>
      </c>
    </row>
    <row r="102" spans="2:8" x14ac:dyDescent="0.25">
      <c r="B102" s="17" t="s">
        <v>194</v>
      </c>
      <c r="C102" s="17" t="s">
        <v>206</v>
      </c>
      <c r="D102" s="17">
        <v>0</v>
      </c>
      <c r="E102" s="17">
        <v>-6</v>
      </c>
      <c r="F102" s="17">
        <v>0</v>
      </c>
      <c r="G102" s="17">
        <v>41800.535714292375</v>
      </c>
      <c r="H102" s="17">
        <v>8199.4642857076269</v>
      </c>
    </row>
    <row r="103" spans="2:8" x14ac:dyDescent="0.25">
      <c r="B103" s="17" t="s">
        <v>207</v>
      </c>
      <c r="C103" s="17" t="s">
        <v>208</v>
      </c>
      <c r="D103" s="17">
        <v>0</v>
      </c>
      <c r="E103" s="17">
        <v>303.00000000031542</v>
      </c>
      <c r="F103" s="17">
        <v>0</v>
      </c>
      <c r="G103" s="17">
        <v>20.498660714269931</v>
      </c>
      <c r="H103" s="17">
        <v>9.2004464285896272</v>
      </c>
    </row>
    <row r="104" spans="2:8" x14ac:dyDescent="0.25">
      <c r="B104" s="17" t="s">
        <v>209</v>
      </c>
      <c r="C104" s="17" t="s">
        <v>208</v>
      </c>
      <c r="D104" s="17">
        <v>1.3812950783176348E-11</v>
      </c>
      <c r="E104" s="17">
        <v>-2256.9999999996903</v>
      </c>
      <c r="F104" s="17">
        <v>0</v>
      </c>
      <c r="G104" s="17">
        <v>20.498660714269914</v>
      </c>
      <c r="H104" s="17">
        <v>9.2004464285896219</v>
      </c>
    </row>
    <row r="105" spans="2:8" x14ac:dyDescent="0.25">
      <c r="B105" s="17" t="s">
        <v>210</v>
      </c>
      <c r="C105" s="17" t="s">
        <v>208</v>
      </c>
      <c r="D105" s="17">
        <v>3.751665644813329E-12</v>
      </c>
      <c r="E105" s="17">
        <v>-3189.2857142856742</v>
      </c>
      <c r="F105" s="17">
        <v>0</v>
      </c>
      <c r="G105" s="17">
        <v>143.49062499988952</v>
      </c>
      <c r="H105" s="17">
        <v>12.88062500002505</v>
      </c>
    </row>
    <row r="106" spans="2:8" x14ac:dyDescent="0.25">
      <c r="B106" s="17" t="s">
        <v>211</v>
      </c>
      <c r="C106" s="17" t="s">
        <v>208</v>
      </c>
      <c r="D106" s="17">
        <v>0</v>
      </c>
      <c r="E106" s="17">
        <v>-2194.642857143197</v>
      </c>
      <c r="F106" s="17">
        <v>0</v>
      </c>
      <c r="G106" s="17">
        <v>112.53990384617687</v>
      </c>
      <c r="H106" s="17">
        <v>22.07548076921384</v>
      </c>
    </row>
    <row r="107" spans="2:8" x14ac:dyDescent="0.25">
      <c r="B107" s="17" t="s">
        <v>212</v>
      </c>
      <c r="C107" s="17" t="s">
        <v>208</v>
      </c>
      <c r="D107" s="17">
        <v>6.8212102632969618E-13</v>
      </c>
      <c r="E107" s="17">
        <v>1199.9999999999975</v>
      </c>
      <c r="F107" s="17">
        <v>0</v>
      </c>
      <c r="G107" s="17">
        <v>52.250669642865468</v>
      </c>
      <c r="H107" s="17">
        <v>10.249330357134534</v>
      </c>
    </row>
    <row r="108" spans="2:8" ht="15.75" thickBot="1" x14ac:dyDescent="0.3">
      <c r="B108" s="16" t="s">
        <v>213</v>
      </c>
      <c r="C108" s="16" t="s">
        <v>208</v>
      </c>
      <c r="D108" s="16">
        <v>0</v>
      </c>
      <c r="E108" s="16">
        <v>2560</v>
      </c>
      <c r="F108" s="16">
        <v>0</v>
      </c>
      <c r="G108" s="16">
        <v>313.80066964286556</v>
      </c>
      <c r="H108" s="16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Data</vt:lpstr>
      <vt:lpstr>--&gt;</vt:lpstr>
      <vt:lpstr>Original linear</vt:lpstr>
      <vt:lpstr>Emma</vt:lpstr>
      <vt:lpstr>Jack</vt:lpstr>
      <vt:lpstr>Jack relaxed</vt:lpstr>
      <vt:lpstr>Gevoeligheidsrapport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dicod</dc:creator>
  <cp:keywords/>
  <dc:description/>
  <cp:lastModifiedBy>dvant</cp:lastModifiedBy>
  <cp:revision/>
  <dcterms:created xsi:type="dcterms:W3CDTF">2023-05-06T14:15:02Z</dcterms:created>
  <dcterms:modified xsi:type="dcterms:W3CDTF">2023-05-21T15:31:46Z</dcterms:modified>
  <cp:category/>
  <cp:contentStatus/>
</cp:coreProperties>
</file>