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web/simulator/input/"/>
    </mc:Choice>
  </mc:AlternateContent>
  <xr:revisionPtr revIDLastSave="0" documentId="13_ncr:1_{96B3B0AD-190B-014C-883C-D970D5289DEE}" xr6:coauthVersionLast="47" xr6:coauthVersionMax="47" xr10:uidLastSave="{00000000-0000-0000-0000-000000000000}"/>
  <bookViews>
    <workbookView xWindow="480" yWindow="500" windowWidth="26860" windowHeight="13220" firstSheet="3" activeTab="9" xr2:uid="{00000000-000D-0000-FFFF-FFFF00000000}"/>
  </bookViews>
  <sheets>
    <sheet name="BatterySystem-LiFePO4-280Ah" sheetId="14" r:id="rId1"/>
    <sheet name="BatteryPack-LiFePO4-280Ah" sheetId="13" r:id="rId2"/>
    <sheet name="PackCasing-LiFePO4-280Ah" sheetId="12" r:id="rId3"/>
    <sheet name="Cell-LiFePO4-280Ah" sheetId="3" r:id="rId4"/>
    <sheet name="_Cell-SLA-200Ah" sheetId="2" r:id="rId5"/>
    <sheet name="_Mix--SLA" sheetId="5" r:id="rId6"/>
    <sheet name="_SolarPanels" sheetId="6" r:id="rId7"/>
    <sheet name="_Pack overhead" sheetId="7" r:id="rId8"/>
    <sheet name="AirConsumptionPerCell" sheetId="8" r:id="rId9"/>
    <sheet name="_AirConsumption" sheetId="11" r:id="rId10"/>
    <sheet name="_(ANX) Solar resources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4" l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21" i="13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21" i="12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C29" i="11"/>
  <c r="C28" i="11"/>
  <c r="C25" i="11"/>
  <c r="C15" i="11"/>
  <c r="C16" i="11" s="1"/>
  <c r="C18" i="11" s="1"/>
  <c r="C19" i="11" s="1"/>
  <c r="C20" i="11" s="1"/>
  <c r="C10" i="11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Q34" i="10"/>
  <c r="S34" i="10" s="1"/>
  <c r="E34" i="10"/>
  <c r="E33" i="10"/>
  <c r="E32" i="10"/>
  <c r="E31" i="10"/>
  <c r="K28" i="10"/>
  <c r="C21" i="8"/>
  <c r="C26" i="8" s="1"/>
  <c r="C20" i="8"/>
  <c r="C19" i="8"/>
  <c r="C12" i="8"/>
  <c r="C16" i="8" s="1"/>
  <c r="C11" i="8"/>
  <c r="C23" i="7"/>
  <c r="C24" i="7" s="1"/>
  <c r="D22" i="7"/>
  <c r="C22" i="7"/>
  <c r="C21" i="7"/>
  <c r="D21" i="7" s="1"/>
  <c r="B21" i="7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D20" i="7"/>
  <c r="B24" i="6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Y26" i="5"/>
  <c r="Y27" i="5" s="1"/>
  <c r="Y28" i="5" s="1"/>
  <c r="Y29" i="5" s="1"/>
  <c r="Y30" i="5" s="1"/>
  <c r="Y31" i="5" s="1"/>
  <c r="Y32" i="5" s="1"/>
  <c r="Y25" i="5"/>
  <c r="T25" i="5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Y24" i="5"/>
  <c r="U24" i="5"/>
  <c r="S24" i="5"/>
  <c r="S25" i="5" s="1"/>
  <c r="S26" i="5" s="1"/>
  <c r="S27" i="5" s="1"/>
  <c r="Q24" i="5"/>
  <c r="Q25" i="5" s="1"/>
  <c r="Q26" i="5" s="1"/>
  <c r="Q27" i="5" s="1"/>
  <c r="AB23" i="5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A23" i="5"/>
  <c r="AA24" i="5" s="1"/>
  <c r="Z23" i="5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Y23" i="5"/>
  <c r="X23" i="5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W23" i="5"/>
  <c r="V23" i="5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U23" i="5"/>
  <c r="T23" i="5"/>
  <c r="T24" i="5" s="1"/>
  <c r="S23" i="5"/>
  <c r="R23" i="5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Q23" i="5"/>
  <c r="P23" i="5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O23" i="5"/>
  <c r="B23" i="5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N22" i="5"/>
  <c r="L22" i="5"/>
  <c r="W29" i="3"/>
  <c r="M29" i="3"/>
  <c r="H29" i="3"/>
  <c r="P29" i="3" s="1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U20" i="3"/>
  <c r="V20" i="3" s="1"/>
  <c r="H20" i="3"/>
  <c r="P20" i="3" s="1"/>
  <c r="B24" i="2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23" i="2"/>
  <c r="AB22" i="2"/>
  <c r="AA22" i="2"/>
  <c r="Y22" i="2"/>
  <c r="U22" i="2"/>
  <c r="T22" i="2"/>
  <c r="Q22" i="2"/>
  <c r="S22" i="2" s="1"/>
  <c r="L22" i="2"/>
  <c r="F22" i="2"/>
  <c r="J20" i="2"/>
  <c r="I20" i="2"/>
  <c r="Y33" i="5" l="1"/>
  <c r="Y34" i="5" s="1"/>
  <c r="Y35" i="5" s="1"/>
  <c r="Y36" i="5" s="1"/>
  <c r="Y37" i="5" s="1"/>
  <c r="S28" i="5"/>
  <c r="S29" i="5" s="1"/>
  <c r="S30" i="5" s="1"/>
  <c r="S31" i="5" s="1"/>
  <c r="S32" i="5" s="1"/>
  <c r="Q28" i="5"/>
  <c r="Q29" i="5" s="1"/>
  <c r="Q30" i="5" s="1"/>
  <c r="Q31" i="5" s="1"/>
  <c r="Q32" i="5" s="1"/>
  <c r="C28" i="8"/>
  <c r="C27" i="8"/>
  <c r="U25" i="5"/>
  <c r="U26" i="5" s="1"/>
  <c r="U27" i="5" s="1"/>
  <c r="W20" i="3"/>
  <c r="D24" i="7"/>
  <c r="C25" i="7"/>
  <c r="C22" i="8"/>
  <c r="C23" i="8" s="1"/>
  <c r="C24" i="8" s="1"/>
  <c r="O29" i="3"/>
  <c r="V29" i="3"/>
  <c r="AA25" i="5"/>
  <c r="AA26" i="5" s="1"/>
  <c r="AA27" i="5" s="1"/>
  <c r="D23" i="7"/>
  <c r="C30" i="11"/>
  <c r="C21" i="11"/>
  <c r="O24" i="5"/>
  <c r="W24" i="5"/>
  <c r="W25" i="5" s="1"/>
  <c r="W26" i="5" s="1"/>
  <c r="W27" i="5" s="1"/>
  <c r="N23" i="5"/>
  <c r="Q33" i="5" l="1"/>
  <c r="Q34" i="5" s="1"/>
  <c r="Q35" i="5" s="1"/>
  <c r="Q36" i="5" s="1"/>
  <c r="Q37" i="5" s="1"/>
  <c r="D25" i="7"/>
  <c r="C26" i="7"/>
  <c r="C42" i="11"/>
  <c r="C43" i="11" s="1"/>
  <c r="C44" i="11" s="1"/>
  <c r="C31" i="11"/>
  <c r="C32" i="11" s="1"/>
  <c r="C48" i="11"/>
  <c r="C49" i="11" s="1"/>
  <c r="C50" i="11" s="1"/>
  <c r="C36" i="11"/>
  <c r="C37" i="11" s="1"/>
  <c r="C38" i="11" s="1"/>
  <c r="S33" i="5"/>
  <c r="S34" i="5" s="1"/>
  <c r="S35" i="5" s="1"/>
  <c r="S36" i="5" s="1"/>
  <c r="S37" i="5" s="1"/>
  <c r="W28" i="5"/>
  <c r="W29" i="5" s="1"/>
  <c r="W30" i="5" s="1"/>
  <c r="W31" i="5" s="1"/>
  <c r="W32" i="5" s="1"/>
  <c r="O25" i="5"/>
  <c r="N24" i="5"/>
  <c r="AA28" i="5"/>
  <c r="AA29" i="5" s="1"/>
  <c r="AA30" i="5" s="1"/>
  <c r="AA31" i="5" s="1"/>
  <c r="AA32" i="5" s="1"/>
  <c r="U28" i="5"/>
  <c r="U29" i="5" s="1"/>
  <c r="U30" i="5" s="1"/>
  <c r="U31" i="5" s="1"/>
  <c r="U32" i="5" s="1"/>
  <c r="Y38" i="5"/>
  <c r="Y39" i="5" s="1"/>
  <c r="Y40" i="5" s="1"/>
  <c r="Y41" i="5" s="1"/>
  <c r="Y42" i="5" s="1"/>
  <c r="Y43" i="5" l="1"/>
  <c r="Y44" i="5" s="1"/>
  <c r="Y45" i="5" s="1"/>
  <c r="Y46" i="5" s="1"/>
  <c r="Y47" i="5" s="1"/>
  <c r="C39" i="11"/>
  <c r="B39" i="11"/>
  <c r="B33" i="11"/>
  <c r="C33" i="11"/>
  <c r="AA33" i="5"/>
  <c r="AA34" i="5" s="1"/>
  <c r="AA35" i="5" s="1"/>
  <c r="AA36" i="5" s="1"/>
  <c r="AA37" i="5" s="1"/>
  <c r="O26" i="5"/>
  <c r="N25" i="5"/>
  <c r="C45" i="11"/>
  <c r="B45" i="11"/>
  <c r="Q38" i="5"/>
  <c r="Q39" i="5" s="1"/>
  <c r="Q40" i="5" s="1"/>
  <c r="Q41" i="5" s="1"/>
  <c r="Q42" i="5" s="1"/>
  <c r="C51" i="11"/>
  <c r="B51" i="11"/>
  <c r="W33" i="5"/>
  <c r="W34" i="5" s="1"/>
  <c r="W35" i="5" s="1"/>
  <c r="W36" i="5" s="1"/>
  <c r="W37" i="5" s="1"/>
  <c r="C27" i="7"/>
  <c r="D26" i="7"/>
  <c r="U33" i="5"/>
  <c r="U34" i="5" s="1"/>
  <c r="U35" i="5" s="1"/>
  <c r="U36" i="5" s="1"/>
  <c r="U37" i="5" s="1"/>
  <c r="S38" i="5"/>
  <c r="S39" i="5" s="1"/>
  <c r="S40" i="5" s="1"/>
  <c r="S41" i="5" s="1"/>
  <c r="S42" i="5" s="1"/>
  <c r="S43" i="5" l="1"/>
  <c r="S44" i="5" s="1"/>
  <c r="S45" i="5" s="1"/>
  <c r="S46" i="5" s="1"/>
  <c r="S47" i="5" s="1"/>
  <c r="U38" i="5"/>
  <c r="U39" i="5" s="1"/>
  <c r="U40" i="5" s="1"/>
  <c r="U41" i="5" s="1"/>
  <c r="U42" i="5" s="1"/>
  <c r="C28" i="7"/>
  <c r="D27" i="7"/>
  <c r="O27" i="5"/>
  <c r="N26" i="5"/>
  <c r="AA38" i="5"/>
  <c r="AA39" i="5" s="1"/>
  <c r="AA40" i="5" s="1"/>
  <c r="AA41" i="5" s="1"/>
  <c r="AA42" i="5" s="1"/>
  <c r="Q43" i="5"/>
  <c r="Q44" i="5" s="1"/>
  <c r="Q45" i="5" s="1"/>
  <c r="Q46" i="5" s="1"/>
  <c r="Q47" i="5" s="1"/>
  <c r="W38" i="5"/>
  <c r="W39" i="5" s="1"/>
  <c r="W40" i="5" s="1"/>
  <c r="W41" i="5" s="1"/>
  <c r="W42" i="5" s="1"/>
  <c r="Y48" i="5"/>
  <c r="Y49" i="5" s="1"/>
  <c r="Y50" i="5" s="1"/>
  <c r="Y51" i="5" s="1"/>
  <c r="Y52" i="5" s="1"/>
  <c r="W43" i="5" l="1"/>
  <c r="W44" i="5" s="1"/>
  <c r="W45" i="5" s="1"/>
  <c r="W46" i="5" s="1"/>
  <c r="W47" i="5" s="1"/>
  <c r="C29" i="7"/>
  <c r="D28" i="7"/>
  <c r="O28" i="5"/>
  <c r="N27" i="5"/>
  <c r="E27" i="5" s="1"/>
  <c r="Q48" i="5"/>
  <c r="Q49" i="5" s="1"/>
  <c r="Q50" i="5" s="1"/>
  <c r="Q51" i="5" s="1"/>
  <c r="Q52" i="5" s="1"/>
  <c r="S48" i="5"/>
  <c r="S49" i="5" s="1"/>
  <c r="S50" i="5" s="1"/>
  <c r="S51" i="5" s="1"/>
  <c r="S52" i="5" s="1"/>
  <c r="U43" i="5"/>
  <c r="U44" i="5" s="1"/>
  <c r="U45" i="5" s="1"/>
  <c r="U46" i="5" s="1"/>
  <c r="U47" i="5" s="1"/>
  <c r="AA43" i="5"/>
  <c r="AA44" i="5" s="1"/>
  <c r="AA45" i="5" s="1"/>
  <c r="AA46" i="5" s="1"/>
  <c r="AA47" i="5" s="1"/>
  <c r="W48" i="5" l="1"/>
  <c r="W49" i="5" s="1"/>
  <c r="W50" i="5" s="1"/>
  <c r="W51" i="5" s="1"/>
  <c r="W52" i="5" s="1"/>
  <c r="AA48" i="5"/>
  <c r="AA49" i="5" s="1"/>
  <c r="AA50" i="5" s="1"/>
  <c r="AA51" i="5" s="1"/>
  <c r="AA52" i="5" s="1"/>
  <c r="U48" i="5"/>
  <c r="U49" i="5" s="1"/>
  <c r="U50" i="5" s="1"/>
  <c r="U51" i="5" s="1"/>
  <c r="U52" i="5" s="1"/>
  <c r="D29" i="7"/>
  <c r="C30" i="7"/>
  <c r="AC27" i="2"/>
  <c r="G27" i="5"/>
  <c r="J27" i="5"/>
  <c r="F27" i="5"/>
  <c r="L27" i="5" s="1"/>
  <c r="I27" i="5"/>
  <c r="K27" i="5"/>
  <c r="H27" i="5"/>
  <c r="O29" i="5"/>
  <c r="N28" i="5"/>
  <c r="C31" i="7" l="1"/>
  <c r="D30" i="7"/>
  <c r="O30" i="5"/>
  <c r="N29" i="5"/>
  <c r="C32" i="7" l="1"/>
  <c r="D31" i="7"/>
  <c r="O31" i="5"/>
  <c r="N30" i="5"/>
  <c r="O32" i="5" l="1"/>
  <c r="N31" i="5"/>
  <c r="D32" i="7"/>
  <c r="C33" i="7"/>
  <c r="D33" i="7" l="1"/>
  <c r="C34" i="7"/>
  <c r="O33" i="5"/>
  <c r="N32" i="5"/>
  <c r="E32" i="5"/>
  <c r="O34" i="5" l="1"/>
  <c r="N33" i="5"/>
  <c r="L32" i="5"/>
  <c r="AC32" i="2"/>
  <c r="J32" i="5"/>
  <c r="F32" i="5"/>
  <c r="G32" i="5"/>
  <c r="H32" i="5"/>
  <c r="K32" i="5"/>
  <c r="I32" i="5"/>
  <c r="C35" i="7"/>
  <c r="D34" i="7"/>
  <c r="C36" i="7" l="1"/>
  <c r="D35" i="7"/>
  <c r="O35" i="5"/>
  <c r="N34" i="5"/>
  <c r="O36" i="5" l="1"/>
  <c r="N35" i="5"/>
  <c r="C37" i="7"/>
  <c r="D36" i="7"/>
  <c r="D37" i="7" l="1"/>
  <c r="C38" i="7"/>
  <c r="O37" i="5"/>
  <c r="N36" i="5"/>
  <c r="O38" i="5" l="1"/>
  <c r="N37" i="5"/>
  <c r="E37" i="5" s="1"/>
  <c r="C39" i="7"/>
  <c r="D38" i="7"/>
  <c r="C40" i="7" l="1"/>
  <c r="D39" i="7"/>
  <c r="AC37" i="2"/>
  <c r="J37" i="5"/>
  <c r="F37" i="5"/>
  <c r="L37" i="5" s="1"/>
  <c r="G37" i="5"/>
  <c r="K37" i="5"/>
  <c r="H37" i="5"/>
  <c r="I37" i="5"/>
  <c r="O39" i="5"/>
  <c r="N38" i="5"/>
  <c r="O40" i="5" l="1"/>
  <c r="N39" i="5"/>
  <c r="D40" i="7"/>
  <c r="C41" i="7"/>
  <c r="D41" i="7" s="1"/>
  <c r="O41" i="5" l="1"/>
  <c r="N40" i="5"/>
  <c r="O42" i="5" l="1"/>
  <c r="N41" i="5"/>
  <c r="O43" i="5" l="1"/>
  <c r="N42" i="5"/>
  <c r="O44" i="5" l="1"/>
  <c r="N43" i="5"/>
  <c r="AC42" i="2"/>
  <c r="J42" i="5"/>
  <c r="G42" i="5"/>
  <c r="F42" i="5"/>
  <c r="I42" i="5"/>
  <c r="H42" i="5"/>
  <c r="K42" i="5"/>
  <c r="E42" i="5"/>
  <c r="L42" i="5" l="1"/>
  <c r="O45" i="5"/>
  <c r="N44" i="5"/>
  <c r="O46" i="5" l="1"/>
  <c r="N45" i="5"/>
  <c r="O47" i="5" l="1"/>
  <c r="N46" i="5"/>
  <c r="O48" i="5" l="1"/>
  <c r="N47" i="5"/>
  <c r="AC47" i="2" l="1"/>
  <c r="J47" i="5"/>
  <c r="G47" i="5"/>
  <c r="F47" i="5"/>
  <c r="I47" i="5"/>
  <c r="K47" i="5"/>
  <c r="H47" i="5"/>
  <c r="E47" i="5"/>
  <c r="L47" i="5" s="1"/>
  <c r="O49" i="5"/>
  <c r="N48" i="5"/>
  <c r="O50" i="5" l="1"/>
  <c r="N49" i="5"/>
  <c r="O51" i="5" l="1"/>
  <c r="N50" i="5"/>
  <c r="O52" i="5" l="1"/>
  <c r="N51" i="5"/>
  <c r="N52" i="5" l="1"/>
  <c r="E52" i="5"/>
  <c r="AC52" i="2" l="1"/>
  <c r="J52" i="5"/>
  <c r="F52" i="5"/>
  <c r="L52" i="5" s="1"/>
  <c r="G52" i="5"/>
  <c r="K52" i="5"/>
  <c r="I52" i="5"/>
  <c r="H52" i="5"/>
</calcChain>
</file>

<file path=xl/sharedStrings.xml><?xml version="1.0" encoding="utf-8"?>
<sst xmlns="http://schemas.openxmlformats.org/spreadsheetml/2006/main" count="529" uniqueCount="238">
  <si>
    <t>Symbol</t>
  </si>
  <si>
    <t>Unit</t>
  </si>
  <si>
    <t>A</t>
  </si>
  <si>
    <t>Avogadro</t>
  </si>
  <si>
    <t>e-</t>
  </si>
  <si>
    <t>Coulomb</t>
  </si>
  <si>
    <t>electron charge</t>
  </si>
  <si>
    <t>C</t>
  </si>
  <si>
    <t>Coulomb sec-1</t>
  </si>
  <si>
    <t>Ampere</t>
  </si>
  <si>
    <t>m3 atm K−1 mol−1</t>
  </si>
  <si>
    <t>R</t>
  </si>
  <si>
    <t>O2 share in Air</t>
  </si>
  <si>
    <t>liter</t>
  </si>
  <si>
    <t>Control: Volume of 1 mole of O2 @300K</t>
  </si>
  <si>
    <t>Zinc-Air Battery System</t>
  </si>
  <si>
    <t>V</t>
  </si>
  <si>
    <t>average voltage</t>
  </si>
  <si>
    <t>Ah</t>
  </si>
  <si>
    <t>Ah needed for 1 kWh</t>
  </si>
  <si>
    <t>electrons needed for 1kWh</t>
  </si>
  <si>
    <t>electrons given per O2 molecule absorbed by air-electrode</t>
  </si>
  <si>
    <t>O2 molecules needed for 1kWh</t>
  </si>
  <si>
    <t>O2 moles needed for 1kWh</t>
  </si>
  <si>
    <t>m3</t>
  </si>
  <si>
    <t xml:space="preserve">O2 volume needed at 1bar 300K (pV=nRT)  for 1kWh </t>
  </si>
  <si>
    <t>Air needed for 1kWh</t>
  </si>
  <si>
    <t>Sealed Battery System with pure O2 container/balloon</t>
  </si>
  <si>
    <t>Wh</t>
  </si>
  <si>
    <t>cell or battery capacity</t>
  </si>
  <si>
    <t>Wh/kg</t>
  </si>
  <si>
    <t>energy density</t>
  </si>
  <si>
    <t>g/cc</t>
  </si>
  <si>
    <t>cells density</t>
  </si>
  <si>
    <t>Wh/liter</t>
  </si>
  <si>
    <t>Initial volumetric energy</t>
  </si>
  <si>
    <t>volume of Battery System w/o O2 container</t>
  </si>
  <si>
    <t>volume of O2 at 1 bar 300K</t>
  </si>
  <si>
    <t>times</t>
  </si>
  <si>
    <t>ratio O2 volume / cell volume at 1 bar</t>
  </si>
  <si>
    <t>ratio Volume with O2 balloon / volume w/o O2 balloon</t>
  </si>
  <si>
    <t>volumetric energy</t>
  </si>
  <si>
    <t>bars</t>
  </si>
  <si>
    <t>other max balloon pressure</t>
  </si>
  <si>
    <t>Portal</t>
  </si>
  <si>
    <t>See. #PV03, #PV03</t>
  </si>
  <si>
    <t>Solar PV</t>
  </si>
  <si>
    <t>[#PV04] How long do solar panels last?</t>
  </si>
  <si>
    <t xml:space="preserve"> solar panel degradation rate: 0.8% (0.3% - 1.2%)</t>
  </si>
  <si>
    <t>[#PV05] The Real Lifespan of Solar Panels - Energy Informative</t>
  </si>
  <si>
    <t>[#PV06] What Is the Lifespan of a Solar Panel? &gt; ENGINEERING.com</t>
  </si>
  <si>
    <t>[#PV07] How Long Do Solar Panels Last in 2019? | EnergySage</t>
  </si>
  <si>
    <t>Solar Radiation</t>
  </si>
  <si>
    <t>[#PV08] When 1361 W/m2 is arriving above the atmosphere (when the sun is at the zenith in a cloudless sky), direct sun is about 1050 W/m2, and global radiation on a horizontal surface at ground level is about 1120 W/m2.</t>
  </si>
  <si>
    <t>Ignoring clouds, the daily average insolation for the Earth is approximately 6 kWh/m2 (i.e. 2190 kWh/m2/year).</t>
  </si>
  <si>
    <t>[#PV09]  Photovoltaic Geographical Information System – PVGIS</t>
  </si>
  <si>
    <t>Geographical Assessment of Solar Resource and Performance of Photovoltaic Technology. Calculations for European teritory, Mediteranian region and Africa are available.</t>
  </si>
  <si>
    <t>ALL DATA IS AVAILABLE OPEN SOURCE [#PV09b]</t>
  </si>
  <si>
    <t>Yearly values</t>
  </si>
  <si>
    <t>kWh/year / m²</t>
  </si>
  <si>
    <t>kWh/year / kWp</t>
  </si>
  <si>
    <t>hours / year</t>
  </si>
  <si>
    <t>GTI opta</t>
  </si>
  <si>
    <t>PVOUT</t>
  </si>
  <si>
    <t>%/Best</t>
  </si>
  <si>
    <t xml:space="preserve"> &lt;=&lt;=&lt;=</t>
  </si>
  <si>
    <t>Wp / m2</t>
  </si>
  <si>
    <t>Best-Place</t>
  </si>
  <si>
    <t>Yerevan</t>
  </si>
  <si>
    <t>Spain (Barcelona…)</t>
  </si>
  <si>
    <t>kWh elec.  / sun irrad.</t>
  </si>
  <si>
    <t>Colombia – Barranquilla</t>
  </si>
  <si>
    <t xml:space="preserve">Given from YellowGreen : </t>
  </si>
  <si>
    <t>MWh/year</t>
  </si>
  <si>
    <t>m2</t>
  </si>
  <si>
    <t>kWh/(m2.year)</t>
  </si>
  <si>
    <t xml:space="preserve">Paris </t>
  </si>
  <si>
    <t>Brussels</t>
  </si>
  <si>
    <t>Bordeaux</t>
  </si>
  <si>
    <t>[#PV01] conversion efficiency is incresing 0.4%/year giving 17.2% in 2018 to 30% by 2050</t>
  </si>
  <si>
    <t>Tanger</t>
  </si>
  <si>
    <t>[#PV01] Perfomance Ratio 2019: 85%</t>
  </si>
  <si>
    <t>Rabat, Casablanca</t>
  </si>
  <si>
    <t>Marseille, Toulon</t>
  </si>
  <si>
    <t>Faro (PT)</t>
  </si>
  <si>
    <t>Malaga, Seville</t>
  </si>
  <si>
    <t>Andorre</t>
  </si>
  <si>
    <t>Valencia</t>
  </si>
  <si>
    <t>London</t>
  </si>
  <si>
    <t>Dublin</t>
  </si>
  <si>
    <t>Germany</t>
  </si>
  <si>
    <t>Praha</t>
  </si>
  <si>
    <t>Denmark</t>
  </si>
  <si>
    <t>Chili Atakama desert</t>
  </si>
  <si>
    <t>kWh/kWp</t>
  </si>
  <si>
    <t>United States</t>
  </si>
  <si>
    <t>https://www.nrel.gov/gis/solar.html</t>
  </si>
  <si>
    <t>https://www.nrel.gov/gis/data-tools.html</t>
  </si>
  <si>
    <t>https://emp.lbl.gov/tracking-the-sun/</t>
  </si>
  <si>
    <t>National Solar Radiation Database (NSRDB) weather station</t>
  </si>
  <si>
    <t>World</t>
  </si>
  <si>
    <t>https://globalsolaratlas.info/map?c=19.55979,67.5,3</t>
  </si>
  <si>
    <t>https://globalsolaratlas.info/map?c=41.253032,-0.241699,6&amp;s=43.628123,5.625&amp;m=site</t>
  </si>
  <si>
    <t>Simulation Service</t>
  </si>
  <si>
    <t>https://solargis.com/pricing/products-and-plans</t>
  </si>
  <si>
    <t>Global constants</t>
  </si>
  <si>
    <t>Faraday number</t>
  </si>
  <si>
    <t>Ah/mol</t>
  </si>
  <si>
    <t>Gas constant (gas volume per M)</t>
  </si>
  <si>
    <r>
      <rPr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>3</t>
    </r>
  </si>
  <si>
    <t>Oxygen share in air</t>
  </si>
  <si>
    <t>Number of Farades per mole of oxygen</t>
  </si>
  <si>
    <t>Farad</t>
  </si>
  <si>
    <t>Dimensions</t>
  </si>
  <si>
    <t>Length</t>
  </si>
  <si>
    <t>cm</t>
  </si>
  <si>
    <t>Height</t>
  </si>
  <si>
    <t>Gap</t>
  </si>
  <si>
    <t>Gap volume</t>
  </si>
  <si>
    <t>Electrode surface area (double)</t>
  </si>
  <si>
    <r>
      <rPr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>2</t>
    </r>
  </si>
  <si>
    <t>Power data</t>
  </si>
  <si>
    <t>Current density</t>
  </si>
  <si>
    <r>
      <rPr>
        <sz val="11"/>
        <color theme="1"/>
        <rFont val="Calibri"/>
        <family val="2"/>
        <scheme val="minor"/>
      </rPr>
      <t>mA/cm</t>
    </r>
    <r>
      <rPr>
        <sz val="11"/>
        <color theme="1"/>
        <rFont val="Calibri"/>
        <family val="2"/>
        <scheme val="minor"/>
      </rPr>
      <t>2</t>
    </r>
  </si>
  <si>
    <t>Capacity demand per hour</t>
  </si>
  <si>
    <t>Ah/h</t>
  </si>
  <si>
    <t>Calculus</t>
  </si>
  <si>
    <t>Oxygen demand per Ah</t>
  </si>
  <si>
    <r>
      <rPr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/Ah</t>
    </r>
  </si>
  <si>
    <t>Air demand per Ah</t>
  </si>
  <si>
    <t>Air demand per hour</t>
  </si>
  <si>
    <r>
      <rPr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</si>
  <si>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t>Number of cells per (horizontal serial)</t>
  </si>
  <si>
    <t>item/h</t>
  </si>
  <si>
    <t>Length of the cells per h</t>
  </si>
  <si>
    <t>cm/h</t>
  </si>
  <si>
    <t>Required air flow velocity to feed the batteries</t>
  </si>
  <si>
    <t>km/h</t>
  </si>
  <si>
    <t>Speed of air to flush the volume</t>
  </si>
  <si>
    <t>equiv</t>
  </si>
  <si>
    <t>cm/s</t>
  </si>
  <si>
    <t>DataCurves</t>
  </si>
  <si>
    <t>Author</t>
  </si>
  <si>
    <t>AZA.DG</t>
  </si>
  <si>
    <t>Version</t>
  </si>
  <si>
    <t>2022-06-23a</t>
  </si>
  <si>
    <t>Product-Type</t>
  </si>
  <si>
    <t>BatteryCell</t>
  </si>
  <si>
    <t>SubType</t>
  </si>
  <si>
    <t>LiFePO4</t>
  </si>
  <si>
    <t>Brand</t>
  </si>
  <si>
    <t>LiitoKala</t>
  </si>
  <si>
    <t>Model</t>
  </si>
  <si>
    <t>280AH</t>
  </si>
  <si>
    <t>Ref</t>
  </si>
  <si>
    <t>Ref_url</t>
  </si>
  <si>
    <t>Comment</t>
  </si>
  <si>
    <t>PointNo</t>
  </si>
  <si>
    <t>Year</t>
  </si>
  <si>
    <t>Date</t>
  </si>
  <si>
    <t>Cost overhead System level vs. Cells level</t>
  </si>
  <si>
    <t>Curve-Interpolation</t>
  </si>
  <si>
    <t>2022-07-01a</t>
  </si>
  <si>
    <t>SolarPanels</t>
  </si>
  <si>
    <t>Source</t>
  </si>
  <si>
    <t>MixCurves</t>
  </si>
  <si>
    <t>in green</t>
  </si>
  <si>
    <t>Certified or official</t>
  </si>
  <si>
    <t>Lead-acid SLA</t>
  </si>
  <si>
    <t>in blue</t>
  </si>
  <si>
    <t>estimated values</t>
  </si>
  <si>
    <t>SeyliLanka</t>
  </si>
  <si>
    <t>https://fr.aliexpress.com/item/32886386511.html</t>
  </si>
  <si>
    <t>Lead</t>
  </si>
  <si>
    <t>casing (polymer)</t>
  </si>
  <si>
    <t>Electrolyte sulfuric acid)</t>
  </si>
  <si>
    <t>energy.electricity</t>
  </si>
  <si>
    <t>plant amortization</t>
  </si>
  <si>
    <t>labor cost</t>
  </si>
  <si>
    <t>others</t>
  </si>
  <si>
    <t>Control (100%)</t>
  </si>
  <si>
    <t>Global variation</t>
  </si>
  <si>
    <t>Eletrolyte sulfuric acid)</t>
  </si>
  <si>
    <t>index</t>
  </si>
  <si>
    <t>y.var</t>
  </si>
  <si>
    <t>Yearly.price.evol</t>
  </si>
  <si>
    <t>Param: DOD</t>
  </si>
  <si>
    <t>EUR</t>
  </si>
  <si>
    <t>https://fr.aliexpress.com/item/1005003609362301.html</t>
  </si>
  <si>
    <t>Nominal Voltage</t>
  </si>
  <si>
    <t>RTE (Round Trip Efficiency)</t>
  </si>
  <si>
    <t>Nominal Capacity</t>
  </si>
  <si>
    <t>Internal Resistance</t>
  </si>
  <si>
    <t>Size.H</t>
  </si>
  <si>
    <t>Size.L</t>
  </si>
  <si>
    <t>Size.W</t>
  </si>
  <si>
    <t>Nominal Volume</t>
  </si>
  <si>
    <t>Weight</t>
  </si>
  <si>
    <t>Density</t>
  </si>
  <si>
    <t>Energy Density volumetric</t>
  </si>
  <si>
    <t>Energy Density massic</t>
  </si>
  <si>
    <t>Nominal Discharge Rate</t>
  </si>
  <si>
    <t>Continuous Max Discharge Rate</t>
  </si>
  <si>
    <t>Peak Discharge Rate Allowance  (15s)</t>
  </si>
  <si>
    <t>Cycles nbr (@80% DOD ; 80% init. Cap?)</t>
  </si>
  <si>
    <t>Retail price (PU)</t>
  </si>
  <si>
    <t>Retail price (/kWh)</t>
  </si>
  <si>
    <t>Factory Production Cost</t>
  </si>
  <si>
    <r>
      <rPr>
        <b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nd</t>
    </r>
    <r>
      <rPr>
        <b/>
        <sz val="10"/>
        <color theme="1"/>
        <rFont val="Arial"/>
        <family val="2"/>
      </rPr>
      <t xml:space="preserve"> life or Recycling value (% of FactProdCost)</t>
    </r>
  </si>
  <si>
    <t>%</t>
  </si>
  <si>
    <t>Ohm</t>
  </si>
  <si>
    <t>mm</t>
  </si>
  <si>
    <t>dm3</t>
  </si>
  <si>
    <t>kg</t>
  </si>
  <si>
    <t>Wh/dm3</t>
  </si>
  <si>
    <t>EUR/unit</t>
  </si>
  <si>
    <t>EUR/kWh</t>
  </si>
  <si>
    <t>CONST</t>
  </si>
  <si>
    <t>LINEAR</t>
  </si>
  <si>
    <t>LOG</t>
  </si>
  <si>
    <t>Capacity @C/3</t>
  </si>
  <si>
    <t>Self Discharge @3 mo</t>
  </si>
  <si>
    <t>Self Discharge @1 week</t>
  </si>
  <si>
    <t>Factory Production Cost / kWh</t>
  </si>
  <si>
    <t>Param: Disch-Rate</t>
  </si>
  <si>
    <t>https://globalsolaratlas.info/map?c=10.874779,-74.792175,11&amp;s=11.023428,-74.823074</t>
  </si>
  <si>
    <t>Cell interspace</t>
  </si>
  <si>
    <t>BatteryPack</t>
  </si>
  <si>
    <t>Cell</t>
  </si>
  <si>
    <t>Casing</t>
  </si>
  <si>
    <t>Overhead Weight</t>
  </si>
  <si>
    <t>unit</t>
  </si>
  <si>
    <t>Item.Cell</t>
  </si>
  <si>
    <t>Manufacturing</t>
  </si>
  <si>
    <t>cost</t>
  </si>
  <si>
    <t>BatterySystem</t>
  </si>
  <si>
    <t>Item.BatteryPack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</si>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</sst>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%"/>
    <numFmt numFmtId="165" formatCode="#,##0.0000000"/>
    <numFmt numFmtId="166" formatCode="#,##0.000000"/>
    <numFmt numFmtId="167" formatCode="#,##0.0%"/>
    <numFmt numFmtId="168" formatCode="#,##0.0"/>
    <numFmt numFmtId="169" formatCode="#,##0.00%"/>
    <numFmt numFmtId="170" formatCode="#,##0.000"/>
    <numFmt numFmtId="171" formatCode="mmm\-yyyy"/>
    <numFmt numFmtId="172" formatCode="\$#,##0_);\(\$#,##0\)"/>
  </numFmts>
  <fonts count="2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Sylfaen"/>
      <family val="2"/>
    </font>
    <font>
      <sz val="9"/>
      <color rgb="FF0033CC"/>
      <name val="Calibri"/>
      <family val="2"/>
    </font>
    <font>
      <sz val="9"/>
      <color rgb="FF00B050"/>
      <name val="Calibri"/>
      <family val="2"/>
    </font>
    <font>
      <sz val="9"/>
      <color rgb="FF333399"/>
      <name val="Calibri"/>
      <family val="2"/>
    </font>
    <font>
      <b/>
      <sz val="9"/>
      <color rgb="FF333399"/>
      <name val="Calibri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CC33"/>
      <name val="Arial"/>
      <family val="2"/>
    </font>
    <font>
      <sz val="10"/>
      <color rgb="FF0000FF"/>
      <name val="Arial"/>
      <family val="2"/>
    </font>
    <font>
      <sz val="11"/>
      <color theme="1"/>
      <name val="Calibri"/>
      <family val="2"/>
    </font>
    <font>
      <sz val="10"/>
      <color rgb="FF00B050"/>
      <name val="Arial"/>
      <family val="2"/>
    </font>
    <font>
      <sz val="11"/>
      <color theme="1"/>
      <name val="Calibri"/>
      <family val="2"/>
    </font>
    <font>
      <sz val="11"/>
      <color theme="1"/>
      <name val="Sylfaen"/>
      <family val="2"/>
    </font>
    <font>
      <b/>
      <sz val="11"/>
      <color theme="1"/>
      <name val="Calibri"/>
      <family val="2"/>
    </font>
    <font>
      <sz val="10"/>
      <color rgb="FF18A303"/>
      <name val="Arial"/>
      <family val="2"/>
    </font>
    <font>
      <sz val="10"/>
      <color rgb="FFA33E03"/>
      <name val="Arial"/>
      <family val="2"/>
    </font>
    <font>
      <sz val="10"/>
      <color rgb="FFC99C00"/>
      <name val="Arial"/>
      <family val="2"/>
    </font>
    <font>
      <sz val="10"/>
      <color rgb="FFC9211E"/>
      <name val="Arial"/>
      <family val="2"/>
    </font>
    <font>
      <sz val="10"/>
      <color rgb="FF0369A3"/>
      <name val="Arial"/>
      <family val="2"/>
    </font>
    <font>
      <b/>
      <sz val="10"/>
      <color rgb="FF0369A3"/>
      <name val="Arial"/>
      <family val="2"/>
    </font>
    <font>
      <b/>
      <sz val="10"/>
      <color rgb="FF18A303"/>
      <name val="Arial"/>
      <family val="2"/>
    </font>
    <font>
      <sz val="10"/>
      <color rgb="FFF09E6F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B9CDE5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tted">
        <color rgb="FFFFFFFF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dotted">
        <color rgb="FFFFFFFF"/>
      </right>
      <top style="dotted">
        <color rgb="FFFFFFFF"/>
      </top>
      <bottom style="thin">
        <color rgb="FFC6C6C6"/>
      </bottom>
      <diagonal/>
    </border>
    <border>
      <left style="dotted">
        <color rgb="FFFFFFFF"/>
      </left>
      <right/>
      <top/>
      <bottom/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 style="dotted">
        <color rgb="FFFFFFFF"/>
      </bottom>
      <diagonal/>
    </border>
    <border>
      <left/>
      <right/>
      <top/>
      <bottom style="dotted">
        <color rgb="FFFFFFFF"/>
      </bottom>
      <diagonal/>
    </border>
    <border>
      <left/>
      <right style="dotted">
        <color rgb="FFFFFFFF"/>
      </right>
      <top/>
      <bottom style="dotted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72"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1" fontId="0" fillId="0" borderId="0" xfId="0" applyNumberFormat="1" applyAlignment="1"/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7" fontId="2" fillId="0" borderId="1" xfId="0" applyNumberFormat="1" applyFont="1" applyBorder="1" applyAlignment="1">
      <alignment horizontal="right"/>
    </xf>
    <xf numFmtId="168" fontId="2" fillId="0" borderId="1" xfId="0" applyNumberFormat="1" applyFont="1" applyBorder="1" applyAlignment="1">
      <alignment horizontal="right"/>
    </xf>
    <xf numFmtId="164" fontId="1" fillId="2" borderId="2" xfId="0" applyNumberFormat="1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64" fontId="1" fillId="3" borderId="3" xfId="0" applyNumberFormat="1" applyFont="1" applyFill="1" applyBorder="1" applyAlignment="1">
      <alignment horizontal="left"/>
    </xf>
    <xf numFmtId="1" fontId="1" fillId="3" borderId="4" xfId="0" applyNumberFormat="1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1" fontId="2" fillId="0" borderId="1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168" fontId="1" fillId="0" borderId="1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0" xfId="0" applyAlignment="1"/>
    <xf numFmtId="164" fontId="0" fillId="0" borderId="0" xfId="0" applyNumberFormat="1" applyAlignment="1"/>
    <xf numFmtId="1" fontId="0" fillId="0" borderId="0" xfId="0" applyNumberFormat="1" applyAlignment="1"/>
    <xf numFmtId="3" fontId="0" fillId="0" borderId="0" xfId="0" applyNumberFormat="1" applyAlignment="1"/>
    <xf numFmtId="167" fontId="0" fillId="0" borderId="0" xfId="0" applyNumberFormat="1" applyAlignment="1"/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164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3" fontId="12" fillId="0" borderId="1" xfId="0" applyNumberFormat="1" applyFont="1" applyBorder="1" applyAlignment="1">
      <alignment horizontal="center"/>
    </xf>
    <xf numFmtId="3" fontId="12" fillId="0" borderId="1" xfId="0" applyNumberFormat="1" applyFont="1" applyBorder="1" applyAlignment="1">
      <alignment horizontal="right"/>
    </xf>
    <xf numFmtId="169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right"/>
    </xf>
    <xf numFmtId="4" fontId="12" fillId="0" borderId="1" xfId="0" applyNumberFormat="1" applyFont="1" applyBorder="1" applyAlignment="1">
      <alignment horizontal="right"/>
    </xf>
    <xf numFmtId="3" fontId="11" fillId="0" borderId="1" xfId="0" applyNumberFormat="1" applyFont="1" applyBorder="1" applyAlignment="1">
      <alignment horizontal="left"/>
    </xf>
    <xf numFmtId="1" fontId="12" fillId="0" borderId="1" xfId="0" applyNumberFormat="1" applyFont="1" applyBorder="1" applyAlignment="1">
      <alignment horizontal="right"/>
    </xf>
    <xf numFmtId="167" fontId="12" fillId="0" borderId="1" xfId="0" applyNumberFormat="1" applyFont="1" applyBorder="1" applyAlignment="1">
      <alignment horizontal="right"/>
    </xf>
    <xf numFmtId="3" fontId="13" fillId="0" borderId="1" xfId="0" applyNumberFormat="1" applyFont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164" fontId="12" fillId="4" borderId="2" xfId="0" applyNumberFormat="1" applyFont="1" applyFill="1" applyBorder="1" applyAlignment="1">
      <alignment horizontal="left"/>
    </xf>
    <xf numFmtId="3" fontId="12" fillId="4" borderId="2" xfId="0" applyNumberFormat="1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3" fontId="0" fillId="0" borderId="0" xfId="0" applyNumberFormat="1" applyAlignment="1"/>
    <xf numFmtId="167" fontId="0" fillId="0" borderId="0" xfId="0" applyNumberFormat="1" applyAlignment="1"/>
    <xf numFmtId="0" fontId="12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168" fontId="14" fillId="3" borderId="2" xfId="0" applyNumberFormat="1" applyFont="1" applyFill="1" applyBorder="1" applyAlignment="1">
      <alignment horizontal="right"/>
    </xf>
    <xf numFmtId="3" fontId="14" fillId="3" borderId="2" xfId="0" applyNumberFormat="1" applyFont="1" applyFill="1" applyBorder="1" applyAlignment="1">
      <alignment horizontal="right"/>
    </xf>
    <xf numFmtId="164" fontId="14" fillId="3" borderId="2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4" fontId="15" fillId="0" borderId="1" xfId="0" applyNumberFormat="1" applyFont="1" applyBorder="1" applyAlignment="1">
      <alignment horizontal="right"/>
    </xf>
    <xf numFmtId="168" fontId="16" fillId="5" borderId="11" xfId="0" applyNumberFormat="1" applyFont="1" applyFill="1" applyBorder="1" applyAlignment="1">
      <alignment horizontal="right"/>
    </xf>
    <xf numFmtId="168" fontId="14" fillId="0" borderId="1" xfId="0" applyNumberFormat="1" applyFont="1" applyBorder="1" applyAlignment="1">
      <alignment horizontal="right"/>
    </xf>
    <xf numFmtId="170" fontId="16" fillId="3" borderId="11" xfId="0" applyNumberFormat="1" applyFont="1" applyFill="1" applyBorder="1" applyAlignment="1">
      <alignment horizontal="right"/>
    </xf>
    <xf numFmtId="168" fontId="15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70" fontId="15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3" fontId="12" fillId="0" borderId="1" xfId="0" applyNumberFormat="1" applyFont="1" applyBorder="1" applyAlignment="1">
      <alignment horizontal="left"/>
    </xf>
    <xf numFmtId="171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1" fontId="0" fillId="0" borderId="0" xfId="0" applyNumberFormat="1" applyAlignment="1"/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71" fontId="0" fillId="0" borderId="0" xfId="0" applyNumberFormat="1" applyAlignment="1"/>
    <xf numFmtId="164" fontId="12" fillId="0" borderId="1" xfId="0" applyNumberFormat="1" applyFont="1" applyBorder="1" applyAlignment="1">
      <alignment horizontal="center"/>
    </xf>
    <xf numFmtId="169" fontId="12" fillId="0" borderId="1" xfId="0" applyNumberFormat="1" applyFont="1" applyBorder="1" applyAlignment="1">
      <alignment horizontal="center"/>
    </xf>
    <xf numFmtId="164" fontId="12" fillId="0" borderId="12" xfId="0" applyNumberFormat="1" applyFont="1" applyBorder="1" applyAlignment="1">
      <alignment horizontal="center"/>
    </xf>
    <xf numFmtId="164" fontId="12" fillId="0" borderId="13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left"/>
    </xf>
    <xf numFmtId="164" fontId="17" fillId="0" borderId="12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left"/>
    </xf>
    <xf numFmtId="164" fontId="21" fillId="0" borderId="12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9" fontId="9" fillId="0" borderId="1" xfId="0" applyNumberFormat="1" applyFont="1" applyBorder="1" applyAlignment="1">
      <alignment horizontal="center"/>
    </xf>
    <xf numFmtId="164" fontId="22" fillId="0" borderId="12" xfId="0" applyNumberFormat="1" applyFont="1" applyBorder="1" applyAlignment="1">
      <alignment horizontal="center"/>
    </xf>
    <xf numFmtId="164" fontId="22" fillId="0" borderId="1" xfId="0" applyNumberFormat="1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164" fontId="9" fillId="0" borderId="13" xfId="0" applyNumberFormat="1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164" fontId="21" fillId="0" borderId="13" xfId="0" applyNumberFormat="1" applyFont="1" applyBorder="1" applyAlignment="1">
      <alignment horizontal="center"/>
    </xf>
    <xf numFmtId="0" fontId="23" fillId="0" borderId="1" xfId="0" applyFont="1" applyBorder="1" applyAlignment="1">
      <alignment horizontal="right"/>
    </xf>
    <xf numFmtId="164" fontId="23" fillId="0" borderId="1" xfId="0" applyNumberFormat="1" applyFont="1" applyBorder="1" applyAlignment="1">
      <alignment horizontal="center"/>
    </xf>
    <xf numFmtId="4" fontId="23" fillId="0" borderId="1" xfId="0" applyNumberFormat="1" applyFont="1" applyBorder="1" applyAlignment="1">
      <alignment horizontal="center"/>
    </xf>
    <xf numFmtId="169" fontId="9" fillId="0" borderId="12" xfId="0" applyNumberFormat="1" applyFont="1" applyBorder="1" applyAlignment="1">
      <alignment horizontal="center"/>
    </xf>
    <xf numFmtId="164" fontId="22" fillId="0" borderId="13" xfId="0" applyNumberFormat="1" applyFont="1" applyBorder="1" applyAlignment="1">
      <alignment horizontal="center"/>
    </xf>
    <xf numFmtId="169" fontId="21" fillId="0" borderId="1" xfId="0" applyNumberFormat="1" applyFont="1" applyBorder="1" applyAlignment="1">
      <alignment horizontal="center"/>
    </xf>
    <xf numFmtId="169" fontId="19" fillId="0" borderId="1" xfId="0" applyNumberFormat="1" applyFont="1" applyBorder="1" applyAlignment="1">
      <alignment horizontal="center"/>
    </xf>
    <xf numFmtId="164" fontId="24" fillId="0" borderId="12" xfId="0" applyNumberFormat="1" applyFont="1" applyBorder="1" applyAlignment="1">
      <alignment horizontal="center"/>
    </xf>
    <xf numFmtId="167" fontId="22" fillId="0" borderId="1" xfId="0" applyNumberFormat="1" applyFont="1" applyBorder="1" applyAlignment="1">
      <alignment horizontal="center"/>
    </xf>
    <xf numFmtId="167" fontId="22" fillId="0" borderId="13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169" fontId="0" fillId="0" borderId="0" xfId="0" applyNumberFormat="1" applyAlignment="1"/>
    <xf numFmtId="169" fontId="0" fillId="0" borderId="0" xfId="0" applyNumberFormat="1" applyAlignment="1"/>
    <xf numFmtId="4" fontId="0" fillId="0" borderId="0" xfId="0" applyNumberFormat="1" applyAlignment="1"/>
    <xf numFmtId="4" fontId="9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4" fontId="17" fillId="0" borderId="1" xfId="0" applyNumberFormat="1" applyFont="1" applyBorder="1" applyAlignment="1">
      <alignment horizontal="center"/>
    </xf>
    <xf numFmtId="3" fontId="17" fillId="0" borderId="1" xfId="0" applyNumberFormat="1" applyFont="1" applyBorder="1" applyAlignment="1">
      <alignment horizontal="center"/>
    </xf>
    <xf numFmtId="4" fontId="0" fillId="0" borderId="0" xfId="0" applyNumberFormat="1" applyAlignment="1"/>
    <xf numFmtId="168" fontId="0" fillId="0" borderId="0" xfId="0" applyNumberFormat="1" applyAlignment="1"/>
    <xf numFmtId="168" fontId="17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left"/>
    </xf>
    <xf numFmtId="4" fontId="12" fillId="0" borderId="1" xfId="0" applyNumberFormat="1" applyFont="1" applyBorder="1" applyAlignment="1">
      <alignment horizontal="left"/>
    </xf>
    <xf numFmtId="168" fontId="21" fillId="0" borderId="1" xfId="0" applyNumberFormat="1" applyFont="1" applyBorder="1" applyAlignment="1">
      <alignment horizontal="center"/>
    </xf>
    <xf numFmtId="168" fontId="9" fillId="0" borderId="1" xfId="0" applyNumberFormat="1" applyFont="1" applyBorder="1" applyAlignment="1">
      <alignment horizontal="center"/>
    </xf>
    <xf numFmtId="4" fontId="12" fillId="0" borderId="1" xfId="0" applyNumberFormat="1" applyFont="1" applyBorder="1" applyAlignment="1">
      <alignment horizontal="center"/>
    </xf>
    <xf numFmtId="168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168" fontId="19" fillId="0" borderId="1" xfId="0" applyNumberFormat="1" applyFont="1" applyBorder="1" applyAlignment="1">
      <alignment horizontal="center"/>
    </xf>
    <xf numFmtId="3" fontId="21" fillId="0" borderId="1" xfId="0" applyNumberFormat="1" applyFont="1" applyBorder="1" applyAlignment="1">
      <alignment horizontal="center"/>
    </xf>
    <xf numFmtId="1" fontId="21" fillId="0" borderId="1" xfId="0" applyNumberFormat="1" applyFont="1" applyBorder="1" applyAlignment="1">
      <alignment horizontal="center"/>
    </xf>
    <xf numFmtId="168" fontId="0" fillId="0" borderId="0" xfId="0" applyNumberFormat="1" applyAlignment="1"/>
    <xf numFmtId="172" fontId="0" fillId="0" borderId="0" xfId="0" applyNumberFormat="1" applyAlignment="1"/>
    <xf numFmtId="4" fontId="0" fillId="0" borderId="0" xfId="0" applyNumberFormat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172" fontId="9" fillId="0" borderId="1" xfId="0" applyNumberFormat="1" applyFont="1" applyBorder="1" applyAlignment="1">
      <alignment horizontal="center"/>
    </xf>
    <xf numFmtId="172" fontId="12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67" fontId="17" fillId="0" borderId="1" xfId="0" applyNumberFormat="1" applyFont="1" applyBorder="1" applyAlignment="1">
      <alignment horizontal="center"/>
    </xf>
    <xf numFmtId="172" fontId="17" fillId="0" borderId="1" xfId="0" applyNumberFormat="1" applyFont="1" applyBorder="1" applyAlignment="1">
      <alignment horizontal="center"/>
    </xf>
    <xf numFmtId="172" fontId="20" fillId="0" borderId="1" xfId="0" applyNumberFormat="1" applyFont="1" applyBorder="1" applyAlignment="1">
      <alignment horizontal="center"/>
    </xf>
    <xf numFmtId="4" fontId="20" fillId="0" borderId="1" xfId="0" applyNumberFormat="1" applyFont="1" applyBorder="1" applyAlignment="1">
      <alignment horizontal="center"/>
    </xf>
    <xf numFmtId="172" fontId="0" fillId="0" borderId="0" xfId="0" applyNumberFormat="1" applyAlignment="1"/>
    <xf numFmtId="4" fontId="0" fillId="0" borderId="0" xfId="0" applyNumberFormat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25" fillId="0" borderId="0" xfId="1" applyAlignment="1"/>
    <xf numFmtId="0" fontId="25" fillId="4" borderId="2" xfId="1" applyFill="1" applyBorder="1" applyAlignment="1">
      <alignment horizontal="left"/>
    </xf>
    <xf numFmtId="0" fontId="25" fillId="0" borderId="1" xfId="1" applyBorder="1" applyAlignment="1">
      <alignment horizontal="left"/>
    </xf>
    <xf numFmtId="3" fontId="25" fillId="0" borderId="1" xfId="1" applyNumberFormat="1" applyBorder="1" applyAlignment="1">
      <alignment horizontal="left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3" fontId="12" fillId="0" borderId="1" xfId="0" applyNumberFormat="1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gis/solar.html" TargetMode="External"/><Relationship Id="rId2" Type="http://schemas.openxmlformats.org/officeDocument/2006/relationships/hyperlink" Target="https://globalsolaratlas.info/map?c=19.55979,67.5,3" TargetMode="External"/><Relationship Id="rId1" Type="http://schemas.openxmlformats.org/officeDocument/2006/relationships/hyperlink" Target="https://solargis.com/pricing/products-and-plans" TargetMode="External"/><Relationship Id="rId6" Type="http://schemas.openxmlformats.org/officeDocument/2006/relationships/hyperlink" Target="https://globalsolaratlas.info/map?c=10.874779,-74.792175,11&amp;s=11.023428,-74.823074" TargetMode="External"/><Relationship Id="rId5" Type="http://schemas.openxmlformats.org/officeDocument/2006/relationships/hyperlink" Target="https://emp.lbl.gov/tracking-the-sun/" TargetMode="External"/><Relationship Id="rId4" Type="http://schemas.openxmlformats.org/officeDocument/2006/relationships/hyperlink" Target="https://www.nrel.gov/gis/data-too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0739-8A82-1B49-AD35-D3F66208BB01}">
  <dimension ref="A1:G41"/>
  <sheetViews>
    <sheetView workbookViewId="0">
      <selection activeCell="F11" sqref="F11"/>
    </sheetView>
  </sheetViews>
  <sheetFormatPr baseColWidth="10" defaultRowHeight="15" x14ac:dyDescent="0.2"/>
  <cols>
    <col min="2" max="2" width="11.83203125" customWidth="1"/>
    <col min="5" max="5" width="18.5" customWidth="1"/>
    <col min="6" max="6" width="15.6640625" customWidth="1"/>
    <col min="7" max="7" width="12.83203125" customWidth="1"/>
  </cols>
  <sheetData>
    <row r="1" spans="1:6" x14ac:dyDescent="0.2">
      <c r="A1" s="40"/>
      <c r="B1" s="89"/>
      <c r="C1" s="40"/>
      <c r="D1" s="91"/>
      <c r="E1" s="65"/>
      <c r="F1" s="40"/>
    </row>
    <row r="2" spans="1:6" x14ac:dyDescent="0.2">
      <c r="A2" s="40" t="s">
        <v>141</v>
      </c>
      <c r="B2" s="89"/>
      <c r="C2" s="40"/>
      <c r="D2" s="91"/>
      <c r="E2" s="65"/>
      <c r="F2" s="40"/>
    </row>
    <row r="3" spans="1:6" x14ac:dyDescent="0.2">
      <c r="A3" s="40" t="s">
        <v>142</v>
      </c>
      <c r="B3" s="89" t="s">
        <v>143</v>
      </c>
      <c r="C3" s="40"/>
      <c r="D3" s="91"/>
      <c r="E3" s="65"/>
      <c r="F3" s="40"/>
    </row>
    <row r="4" spans="1:6" x14ac:dyDescent="0.2">
      <c r="A4" s="40" t="s">
        <v>144</v>
      </c>
      <c r="B4" s="86" t="s">
        <v>145</v>
      </c>
      <c r="C4" s="40"/>
      <c r="D4" s="91"/>
      <c r="E4" s="65"/>
      <c r="F4" s="40"/>
    </row>
    <row r="5" spans="1:6" x14ac:dyDescent="0.2">
      <c r="A5" s="40" t="s">
        <v>146</v>
      </c>
      <c r="B5" s="89" t="s">
        <v>235</v>
      </c>
      <c r="C5" s="40"/>
      <c r="D5" s="91"/>
      <c r="E5" s="65"/>
      <c r="F5" s="40"/>
    </row>
    <row r="6" spans="1:6" x14ac:dyDescent="0.2">
      <c r="A6" s="40" t="s">
        <v>148</v>
      </c>
      <c r="B6" s="89" t="s">
        <v>149</v>
      </c>
      <c r="C6" s="40"/>
      <c r="D6" s="91"/>
      <c r="E6" s="65"/>
      <c r="F6" s="40"/>
    </row>
    <row r="7" spans="1:6" x14ac:dyDescent="0.2">
      <c r="A7" s="40" t="s">
        <v>150</v>
      </c>
      <c r="B7" s="89" t="s">
        <v>151</v>
      </c>
      <c r="C7" s="40"/>
      <c r="D7" s="91"/>
      <c r="E7" s="65"/>
      <c r="F7" s="40"/>
    </row>
    <row r="8" spans="1:6" x14ac:dyDescent="0.2">
      <c r="A8" s="40" t="s">
        <v>152</v>
      </c>
      <c r="B8" s="89" t="s">
        <v>153</v>
      </c>
      <c r="C8" s="40"/>
      <c r="E8" s="65"/>
      <c r="F8" s="40"/>
    </row>
    <row r="9" spans="1:6" x14ac:dyDescent="0.2">
      <c r="A9" s="40" t="s">
        <v>154</v>
      </c>
      <c r="B9" s="89"/>
      <c r="C9" s="40"/>
      <c r="D9" s="91"/>
      <c r="E9" s="65"/>
      <c r="F9" s="40"/>
    </row>
    <row r="10" spans="1:6" x14ac:dyDescent="0.2">
      <c r="A10" s="40" t="s">
        <v>155</v>
      </c>
      <c r="B10" s="56"/>
      <c r="C10" s="40"/>
      <c r="D10" s="91"/>
      <c r="E10" s="65"/>
      <c r="F10" s="40"/>
    </row>
    <row r="11" spans="1:6" x14ac:dyDescent="0.2">
      <c r="A11" s="40" t="s">
        <v>156</v>
      </c>
      <c r="B11" s="89"/>
      <c r="C11" s="40"/>
      <c r="D11" s="91"/>
      <c r="E11" s="65"/>
      <c r="F11" s="40"/>
    </row>
    <row r="12" spans="1:6" x14ac:dyDescent="0.2">
      <c r="A12" s="40"/>
      <c r="B12" s="89"/>
      <c r="C12" s="40"/>
      <c r="D12" s="91"/>
      <c r="E12" s="65"/>
      <c r="F12" s="40"/>
    </row>
    <row r="13" spans="1:6" x14ac:dyDescent="0.2">
      <c r="A13" s="40"/>
      <c r="B13" s="89"/>
      <c r="C13" s="40"/>
      <c r="D13" s="91"/>
      <c r="E13" s="65"/>
      <c r="F13" s="40"/>
    </row>
    <row r="14" spans="1:6" x14ac:dyDescent="0.2">
      <c r="A14" s="40"/>
      <c r="B14" s="89"/>
      <c r="C14" s="40"/>
      <c r="D14" s="91"/>
      <c r="E14" s="65"/>
      <c r="F14" s="40"/>
    </row>
    <row r="15" spans="1:6" x14ac:dyDescent="0.2">
      <c r="A15" s="40"/>
      <c r="B15" s="89"/>
      <c r="C15" s="40"/>
      <c r="D15" s="91"/>
      <c r="E15" s="65"/>
      <c r="F15" s="40"/>
    </row>
    <row r="16" spans="1:6" x14ac:dyDescent="0.2">
      <c r="A16" s="40"/>
      <c r="B16" s="89"/>
      <c r="C16" s="40"/>
      <c r="D16" s="91"/>
      <c r="E16" s="65"/>
      <c r="F16" s="40"/>
    </row>
    <row r="17" spans="1:7" x14ac:dyDescent="0.2">
      <c r="A17" s="40"/>
      <c r="B17" s="93" t="s">
        <v>157</v>
      </c>
      <c r="C17" s="94"/>
      <c r="D17" s="95" t="s">
        <v>159</v>
      </c>
      <c r="E17" s="93" t="s">
        <v>236</v>
      </c>
      <c r="F17" s="94"/>
    </row>
    <row r="18" spans="1:7" x14ac:dyDescent="0.2">
      <c r="A18" s="88" t="s">
        <v>1</v>
      </c>
      <c r="B18" s="89"/>
      <c r="C18" s="40"/>
      <c r="D18" s="91"/>
      <c r="E18" s="164" t="s">
        <v>231</v>
      </c>
      <c r="F18" s="169"/>
      <c r="G18" s="169"/>
    </row>
    <row r="19" spans="1:7" x14ac:dyDescent="0.2">
      <c r="A19" s="88" t="s">
        <v>161</v>
      </c>
      <c r="B19" s="89"/>
      <c r="C19" s="40"/>
      <c r="D19" s="91"/>
      <c r="E19" s="90" t="s">
        <v>217</v>
      </c>
      <c r="F19" s="169"/>
      <c r="G19" s="169"/>
    </row>
    <row r="20" spans="1:7" x14ac:dyDescent="0.2">
      <c r="A20" s="40"/>
      <c r="B20" s="51">
        <v>0</v>
      </c>
      <c r="C20" s="40"/>
      <c r="D20" s="87">
        <v>44713</v>
      </c>
      <c r="E20" s="135">
        <v>30</v>
      </c>
      <c r="F20" s="169"/>
    </row>
    <row r="21" spans="1:7" x14ac:dyDescent="0.2">
      <c r="A21" s="40"/>
      <c r="B21" s="51">
        <f t="shared" ref="B21:B41" si="0">1+B20</f>
        <v>1</v>
      </c>
      <c r="C21" s="40"/>
      <c r="D21" s="87"/>
      <c r="E21" s="65"/>
      <c r="F21" s="40"/>
    </row>
    <row r="22" spans="1:7" x14ac:dyDescent="0.2">
      <c r="A22" s="40"/>
      <c r="B22" s="51">
        <f t="shared" si="0"/>
        <v>2</v>
      </c>
      <c r="C22" s="40"/>
      <c r="D22" s="87"/>
      <c r="E22" s="65"/>
      <c r="F22" s="40"/>
    </row>
    <row r="23" spans="1:7" x14ac:dyDescent="0.2">
      <c r="A23" s="40"/>
      <c r="B23" s="51">
        <f t="shared" si="0"/>
        <v>3</v>
      </c>
      <c r="C23" s="40"/>
      <c r="D23" s="87"/>
      <c r="E23" s="65"/>
      <c r="F23" s="40"/>
    </row>
    <row r="24" spans="1:7" x14ac:dyDescent="0.2">
      <c r="A24" s="40"/>
      <c r="B24" s="51">
        <f t="shared" si="0"/>
        <v>4</v>
      </c>
      <c r="C24" s="40"/>
      <c r="D24" s="87"/>
      <c r="E24" s="65"/>
      <c r="F24" s="40"/>
    </row>
    <row r="25" spans="1:7" x14ac:dyDescent="0.2">
      <c r="A25" s="40"/>
      <c r="B25" s="51">
        <f t="shared" si="0"/>
        <v>5</v>
      </c>
      <c r="C25" s="40"/>
      <c r="D25" s="87"/>
      <c r="E25" s="65"/>
      <c r="F25" s="40"/>
    </row>
    <row r="26" spans="1:7" x14ac:dyDescent="0.2">
      <c r="A26" s="40"/>
      <c r="B26" s="51">
        <f t="shared" si="0"/>
        <v>6</v>
      </c>
      <c r="C26" s="40"/>
      <c r="D26" s="87"/>
      <c r="E26" s="65"/>
      <c r="F26" s="40"/>
    </row>
    <row r="27" spans="1:7" x14ac:dyDescent="0.2">
      <c r="A27" s="40"/>
      <c r="B27" s="51">
        <f t="shared" si="0"/>
        <v>7</v>
      </c>
      <c r="C27" s="40"/>
      <c r="D27" s="87"/>
      <c r="E27" s="65"/>
      <c r="F27" s="40"/>
    </row>
    <row r="28" spans="1:7" x14ac:dyDescent="0.2">
      <c r="A28" s="40"/>
      <c r="B28" s="51">
        <f t="shared" si="0"/>
        <v>8</v>
      </c>
      <c r="C28" s="40"/>
      <c r="D28" s="87"/>
      <c r="E28" s="65"/>
      <c r="F28" s="40"/>
    </row>
    <row r="29" spans="1:7" x14ac:dyDescent="0.2">
      <c r="A29" s="40"/>
      <c r="B29" s="51">
        <f t="shared" si="0"/>
        <v>9</v>
      </c>
      <c r="C29" s="40"/>
      <c r="D29" s="87">
        <v>48366</v>
      </c>
      <c r="E29" s="135"/>
      <c r="F29" s="40"/>
    </row>
    <row r="30" spans="1:7" x14ac:dyDescent="0.2">
      <c r="A30" s="40"/>
      <c r="B30" s="51">
        <f t="shared" si="0"/>
        <v>10</v>
      </c>
      <c r="C30" s="40"/>
      <c r="D30" s="87"/>
      <c r="E30" s="65"/>
      <c r="F30" s="40"/>
    </row>
    <row r="31" spans="1:7" x14ac:dyDescent="0.2">
      <c r="A31" s="40"/>
      <c r="B31" s="51">
        <f t="shared" si="0"/>
        <v>11</v>
      </c>
      <c r="C31" s="40"/>
      <c r="D31" s="87"/>
      <c r="E31" s="65"/>
      <c r="F31" s="40"/>
    </row>
    <row r="32" spans="1:7" x14ac:dyDescent="0.2">
      <c r="A32" s="40"/>
      <c r="B32" s="51">
        <f t="shared" si="0"/>
        <v>12</v>
      </c>
      <c r="C32" s="40"/>
      <c r="D32" s="87"/>
      <c r="E32" s="65"/>
      <c r="F32" s="40"/>
    </row>
    <row r="33" spans="1:6" x14ac:dyDescent="0.2">
      <c r="A33" s="40"/>
      <c r="B33" s="51">
        <f t="shared" si="0"/>
        <v>13</v>
      </c>
      <c r="C33" s="40"/>
      <c r="D33" s="87"/>
      <c r="E33" s="65"/>
      <c r="F33" s="40"/>
    </row>
    <row r="34" spans="1:6" x14ac:dyDescent="0.2">
      <c r="A34" s="40"/>
      <c r="B34" s="51">
        <f t="shared" si="0"/>
        <v>14</v>
      </c>
      <c r="C34" s="40"/>
      <c r="D34" s="87"/>
      <c r="E34" s="65"/>
      <c r="F34" s="40"/>
    </row>
    <row r="35" spans="1:6" x14ac:dyDescent="0.2">
      <c r="A35" s="40"/>
      <c r="B35" s="51">
        <f t="shared" si="0"/>
        <v>15</v>
      </c>
      <c r="C35" s="40"/>
      <c r="D35" s="87"/>
      <c r="E35" s="65"/>
      <c r="F35" s="40"/>
    </row>
    <row r="36" spans="1:6" x14ac:dyDescent="0.2">
      <c r="A36" s="40"/>
      <c r="B36" s="51">
        <f t="shared" si="0"/>
        <v>16</v>
      </c>
      <c r="C36" s="40"/>
      <c r="D36" s="87"/>
      <c r="E36" s="65"/>
      <c r="F36" s="40"/>
    </row>
    <row r="37" spans="1:6" x14ac:dyDescent="0.2">
      <c r="A37" s="40"/>
      <c r="B37" s="51">
        <f t="shared" si="0"/>
        <v>17</v>
      </c>
      <c r="C37" s="40"/>
      <c r="D37" s="87"/>
      <c r="E37" s="65"/>
      <c r="F37" s="40"/>
    </row>
    <row r="38" spans="1:6" x14ac:dyDescent="0.2">
      <c r="A38" s="40"/>
      <c r="B38" s="51">
        <f t="shared" si="0"/>
        <v>18</v>
      </c>
      <c r="C38" s="40"/>
      <c r="D38" s="87"/>
      <c r="E38" s="65"/>
      <c r="F38" s="40"/>
    </row>
    <row r="39" spans="1:6" x14ac:dyDescent="0.2">
      <c r="A39" s="40"/>
      <c r="B39" s="51">
        <f t="shared" si="0"/>
        <v>19</v>
      </c>
      <c r="C39" s="40"/>
      <c r="D39" s="87"/>
      <c r="E39" s="65"/>
      <c r="F39" s="40"/>
    </row>
    <row r="40" spans="1:6" x14ac:dyDescent="0.2">
      <c r="A40" s="40"/>
      <c r="B40" s="51">
        <f t="shared" si="0"/>
        <v>20</v>
      </c>
      <c r="C40" s="40"/>
      <c r="D40" s="87"/>
      <c r="E40" s="65"/>
      <c r="F40" s="40"/>
    </row>
    <row r="41" spans="1:6" x14ac:dyDescent="0.2">
      <c r="A41" s="40"/>
      <c r="B41" s="51">
        <f t="shared" si="0"/>
        <v>21</v>
      </c>
      <c r="C41" s="40"/>
      <c r="D41" s="87"/>
      <c r="E41" s="65"/>
      <c r="F41" s="4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I52"/>
  <sheetViews>
    <sheetView tabSelected="1" workbookViewId="0"/>
  </sheetViews>
  <sheetFormatPr baseColWidth="10" defaultColWidth="8.83203125" defaultRowHeight="15" x14ac:dyDescent="0.2"/>
  <cols>
    <col min="1" max="1" width="1.5" style="40" bestFit="1" customWidth="1"/>
    <col min="2" max="2" width="7.1640625" style="41" bestFit="1" customWidth="1"/>
    <col min="3" max="3" width="12.5" style="42" bestFit="1" customWidth="1"/>
    <col min="4" max="4" width="18.5" style="40" bestFit="1" customWidth="1"/>
    <col min="5" max="9" width="13.1640625" style="40" bestFit="1" customWidth="1"/>
  </cols>
  <sheetData>
    <row r="1" spans="1:9" ht="18" customHeight="1" x14ac:dyDescent="0.2">
      <c r="A1" s="1"/>
      <c r="B1" s="2"/>
      <c r="C1" s="3"/>
      <c r="D1" s="1"/>
      <c r="E1" s="1"/>
      <c r="F1" s="1"/>
      <c r="G1" s="1"/>
      <c r="H1" s="1"/>
      <c r="I1" s="1"/>
    </row>
    <row r="2" spans="1:9" ht="18" customHeight="1" x14ac:dyDescent="0.2">
      <c r="A2" s="1"/>
      <c r="B2" s="4" t="s">
        <v>0</v>
      </c>
      <c r="C2" s="3"/>
      <c r="D2" s="5" t="s">
        <v>1</v>
      </c>
      <c r="E2" s="1"/>
      <c r="F2" s="1"/>
      <c r="G2" s="1"/>
      <c r="H2" s="1"/>
      <c r="I2" s="1"/>
    </row>
    <row r="3" spans="1:9" ht="18" customHeight="1" x14ac:dyDescent="0.2">
      <c r="A3" s="1"/>
      <c r="B3" s="2"/>
      <c r="C3" s="3"/>
      <c r="D3" s="1"/>
      <c r="E3" s="1"/>
      <c r="F3" s="1"/>
      <c r="G3" s="1"/>
      <c r="H3" s="1"/>
      <c r="I3" s="1"/>
    </row>
    <row r="4" spans="1:9" ht="18" customHeight="1" x14ac:dyDescent="0.2">
      <c r="A4" s="1"/>
      <c r="B4" s="6" t="s">
        <v>2</v>
      </c>
      <c r="C4" s="7">
        <v>6.0220000000000003E+23</v>
      </c>
      <c r="D4" s="7"/>
      <c r="E4" s="8" t="s">
        <v>3</v>
      </c>
      <c r="F4" s="1"/>
      <c r="G4" s="1"/>
      <c r="H4" s="1"/>
      <c r="I4" s="1"/>
    </row>
    <row r="5" spans="1:9" ht="18" customHeight="1" x14ac:dyDescent="0.2">
      <c r="A5" s="1"/>
      <c r="B5" s="6" t="s">
        <v>4</v>
      </c>
      <c r="C5" s="7">
        <v>1.6021765699999999E-19</v>
      </c>
      <c r="D5" s="8" t="s">
        <v>5</v>
      </c>
      <c r="E5" s="8" t="s">
        <v>6</v>
      </c>
      <c r="F5" s="1"/>
      <c r="G5" s="1"/>
      <c r="H5" s="1"/>
      <c r="I5" s="1"/>
    </row>
    <row r="6" spans="1:9" ht="18" customHeight="1" x14ac:dyDescent="0.2">
      <c r="A6" s="1"/>
      <c r="B6" s="6" t="s">
        <v>7</v>
      </c>
      <c r="C6" s="9">
        <v>6.241E+18</v>
      </c>
      <c r="D6" s="8" t="s">
        <v>4</v>
      </c>
      <c r="E6" s="8" t="s">
        <v>5</v>
      </c>
      <c r="F6" s="1"/>
      <c r="G6" s="1"/>
      <c r="H6" s="1"/>
      <c r="I6" s="1"/>
    </row>
    <row r="7" spans="1:9" ht="18" customHeight="1" x14ac:dyDescent="0.2">
      <c r="A7" s="1"/>
      <c r="B7" s="6" t="s">
        <v>2</v>
      </c>
      <c r="C7" s="10">
        <v>1</v>
      </c>
      <c r="D7" s="8" t="s">
        <v>8</v>
      </c>
      <c r="E7" s="8" t="s">
        <v>9</v>
      </c>
      <c r="F7" s="1"/>
      <c r="G7" s="1"/>
      <c r="H7" s="1"/>
      <c r="I7" s="1"/>
    </row>
    <row r="8" spans="1:9" ht="18" customHeight="1" x14ac:dyDescent="0.2">
      <c r="A8" s="1"/>
      <c r="B8" s="2"/>
      <c r="C8" s="9">
        <v>8.2057459999999995E-5</v>
      </c>
      <c r="D8" s="8" t="s">
        <v>10</v>
      </c>
      <c r="E8" s="8" t="s">
        <v>11</v>
      </c>
      <c r="F8" s="1"/>
      <c r="G8" s="1"/>
      <c r="H8" s="1"/>
      <c r="I8" s="1"/>
    </row>
    <row r="9" spans="1:9" ht="18" customHeight="1" x14ac:dyDescent="0.2">
      <c r="A9" s="1"/>
      <c r="B9" s="2"/>
      <c r="C9" s="11">
        <v>0.20799999999999999</v>
      </c>
      <c r="D9" s="1"/>
      <c r="E9" s="8" t="s">
        <v>12</v>
      </c>
      <c r="F9" s="1"/>
      <c r="G9" s="1"/>
      <c r="H9" s="1"/>
      <c r="I9" s="1"/>
    </row>
    <row r="10" spans="1:9" ht="18" customHeight="1" x14ac:dyDescent="0.2">
      <c r="A10" s="1"/>
      <c r="B10" s="2"/>
      <c r="C10" s="12">
        <f>1*C8*300/1*1000</f>
        <v>24.617238</v>
      </c>
      <c r="D10" s="8" t="s">
        <v>13</v>
      </c>
      <c r="E10" s="8" t="s">
        <v>14</v>
      </c>
      <c r="F10" s="1"/>
      <c r="G10" s="1"/>
      <c r="H10" s="1"/>
      <c r="I10" s="1"/>
    </row>
    <row r="11" spans="1:9" ht="18" customHeight="1" x14ac:dyDescent="0.2">
      <c r="A11" s="1"/>
      <c r="B11" s="2"/>
      <c r="C11" s="3"/>
      <c r="D11" s="1"/>
      <c r="E11" s="1"/>
      <c r="F11" s="1"/>
      <c r="G11" s="1"/>
      <c r="H11" s="1"/>
      <c r="I11" s="1"/>
    </row>
    <row r="12" spans="1:9" ht="18" customHeight="1" x14ac:dyDescent="0.2">
      <c r="A12" s="1"/>
      <c r="B12" s="2"/>
      <c r="C12" s="3"/>
      <c r="D12" s="1"/>
      <c r="E12" s="1"/>
      <c r="F12" s="1"/>
      <c r="G12" s="1"/>
      <c r="H12" s="1"/>
      <c r="I12" s="1"/>
    </row>
    <row r="13" spans="1:9" ht="18" customHeight="1" x14ac:dyDescent="0.25">
      <c r="A13" s="1"/>
      <c r="B13" s="13" t="s">
        <v>15</v>
      </c>
      <c r="C13" s="14"/>
      <c r="D13" s="15"/>
      <c r="E13" s="16"/>
      <c r="F13" s="15"/>
      <c r="G13" s="15"/>
      <c r="H13" s="15"/>
      <c r="I13" s="15"/>
    </row>
    <row r="14" spans="1:9" ht="18" customHeight="1" x14ac:dyDescent="0.2">
      <c r="A14" s="1"/>
      <c r="B14" s="2"/>
      <c r="C14" s="17">
        <v>1.1499999999999999</v>
      </c>
      <c r="D14" s="18" t="s">
        <v>16</v>
      </c>
      <c r="E14" s="8" t="s">
        <v>17</v>
      </c>
      <c r="F14" s="1"/>
      <c r="G14" s="1"/>
      <c r="H14" s="1"/>
      <c r="I14" s="1"/>
    </row>
    <row r="15" spans="1:9" ht="18" customHeight="1" x14ac:dyDescent="0.2">
      <c r="A15" s="1"/>
      <c r="B15" s="2"/>
      <c r="C15" s="19">
        <f>1000/C14</f>
        <v>869.56521739130437</v>
      </c>
      <c r="D15" s="20" t="s">
        <v>18</v>
      </c>
      <c r="E15" s="8" t="s">
        <v>19</v>
      </c>
      <c r="F15" s="1"/>
      <c r="G15" s="1"/>
      <c r="H15" s="1"/>
      <c r="I15" s="1"/>
    </row>
    <row r="16" spans="1:9" ht="18" customHeight="1" x14ac:dyDescent="0.2">
      <c r="A16" s="1"/>
      <c r="B16" s="2"/>
      <c r="C16" s="7">
        <f>C15*C6*3600</f>
        <v>1.9537043478260873E+25</v>
      </c>
      <c r="D16" s="1"/>
      <c r="E16" s="8" t="s">
        <v>20</v>
      </c>
      <c r="F16" s="1"/>
      <c r="G16" s="1"/>
      <c r="H16" s="1"/>
      <c r="I16" s="1"/>
    </row>
    <row r="17" spans="1:9" ht="18" customHeight="1" x14ac:dyDescent="0.2">
      <c r="A17" s="1"/>
      <c r="B17" s="2"/>
      <c r="C17" s="21">
        <v>4</v>
      </c>
      <c r="D17" s="1"/>
      <c r="E17" s="8" t="s">
        <v>21</v>
      </c>
      <c r="F17" s="1"/>
      <c r="G17" s="1"/>
      <c r="H17" s="1"/>
      <c r="I17" s="1"/>
    </row>
    <row r="18" spans="1:9" ht="18" customHeight="1" x14ac:dyDescent="0.2">
      <c r="A18" s="1"/>
      <c r="B18" s="2"/>
      <c r="C18" s="7">
        <f>C16/C17</f>
        <v>4.8842608695652183E+24</v>
      </c>
      <c r="D18" s="1"/>
      <c r="E18" s="8" t="s">
        <v>22</v>
      </c>
      <c r="F18" s="1"/>
      <c r="G18" s="1"/>
      <c r="H18" s="1"/>
      <c r="I18" s="1"/>
    </row>
    <row r="19" spans="1:9" ht="18" customHeight="1" x14ac:dyDescent="0.2">
      <c r="A19" s="1"/>
      <c r="B19" s="2"/>
      <c r="C19" s="22">
        <f>C18/C4</f>
        <v>8.1106955655350674</v>
      </c>
      <c r="D19" s="1"/>
      <c r="E19" s="8" t="s">
        <v>23</v>
      </c>
      <c r="F19" s="1"/>
      <c r="G19" s="1"/>
      <c r="H19" s="1"/>
      <c r="I19" s="1"/>
    </row>
    <row r="20" spans="1:9" ht="18" customHeight="1" x14ac:dyDescent="0.2">
      <c r="A20" s="1"/>
      <c r="B20" s="2"/>
      <c r="C20" s="22">
        <f>C19*C8*300/1</f>
        <v>0.19966292308232134</v>
      </c>
      <c r="D20" s="8" t="s">
        <v>24</v>
      </c>
      <c r="E20" s="8" t="s">
        <v>25</v>
      </c>
      <c r="F20" s="1"/>
      <c r="G20" s="1"/>
      <c r="H20" s="1"/>
      <c r="I20" s="1"/>
    </row>
    <row r="21" spans="1:9" ht="18" customHeight="1" x14ac:dyDescent="0.2">
      <c r="A21" s="1"/>
      <c r="B21" s="2"/>
      <c r="C21" s="22">
        <f>C20/C9</f>
        <v>0.95991789943423722</v>
      </c>
      <c r="D21" s="8" t="s">
        <v>24</v>
      </c>
      <c r="E21" s="8" t="s">
        <v>26</v>
      </c>
      <c r="F21" s="1"/>
      <c r="G21" s="1"/>
      <c r="H21" s="1"/>
      <c r="I21" s="1"/>
    </row>
    <row r="22" spans="1:9" ht="18" customHeight="1" x14ac:dyDescent="0.2">
      <c r="A22" s="1"/>
      <c r="B22" s="2"/>
      <c r="C22" s="3"/>
      <c r="D22" s="1"/>
      <c r="E22" s="1"/>
      <c r="F22" s="1"/>
      <c r="G22" s="1"/>
      <c r="H22" s="1"/>
      <c r="I22" s="1"/>
    </row>
    <row r="23" spans="1:9" ht="18" customHeight="1" x14ac:dyDescent="0.2">
      <c r="A23" s="1"/>
      <c r="B23" s="23" t="s">
        <v>27</v>
      </c>
      <c r="C23" s="24"/>
      <c r="D23" s="25"/>
      <c r="E23" s="25"/>
      <c r="F23" s="25"/>
      <c r="G23" s="25"/>
      <c r="H23" s="25"/>
      <c r="I23" s="26"/>
    </row>
    <row r="24" spans="1:9" ht="18" customHeight="1" x14ac:dyDescent="0.2">
      <c r="A24" s="1"/>
      <c r="B24" s="27"/>
      <c r="C24" s="28">
        <v>10</v>
      </c>
      <c r="D24" s="29" t="s">
        <v>28</v>
      </c>
      <c r="E24" s="8" t="s">
        <v>29</v>
      </c>
      <c r="F24" s="1"/>
      <c r="G24" s="1"/>
      <c r="H24" s="1"/>
      <c r="I24" s="30"/>
    </row>
    <row r="25" spans="1:9" ht="18" customHeight="1" x14ac:dyDescent="0.2">
      <c r="A25" s="1"/>
      <c r="B25" s="27"/>
      <c r="C25" s="12">
        <f>C24/C14</f>
        <v>8.6956521739130448</v>
      </c>
      <c r="D25" s="8" t="s">
        <v>18</v>
      </c>
      <c r="E25" s="8" t="s">
        <v>29</v>
      </c>
      <c r="F25" s="1"/>
      <c r="G25" s="1"/>
      <c r="H25" s="1"/>
      <c r="I25" s="30"/>
    </row>
    <row r="26" spans="1:9" ht="18" customHeight="1" x14ac:dyDescent="0.2">
      <c r="A26" s="1"/>
      <c r="B26" s="27"/>
      <c r="C26" s="12">
        <v>100</v>
      </c>
      <c r="D26" s="8" t="s">
        <v>30</v>
      </c>
      <c r="E26" s="8" t="s">
        <v>31</v>
      </c>
      <c r="F26" s="1"/>
      <c r="G26" s="1"/>
      <c r="H26" s="1"/>
      <c r="I26" s="30"/>
    </row>
    <row r="27" spans="1:9" ht="18" customHeight="1" x14ac:dyDescent="0.2">
      <c r="A27" s="1"/>
      <c r="B27" s="27"/>
      <c r="C27" s="12">
        <v>1.7</v>
      </c>
      <c r="D27" s="8" t="s">
        <v>32</v>
      </c>
      <c r="E27" s="8" t="s">
        <v>33</v>
      </c>
      <c r="F27" s="1"/>
      <c r="G27" s="1"/>
      <c r="H27" s="1"/>
      <c r="I27" s="30"/>
    </row>
    <row r="28" spans="1:9" ht="18" customHeight="1" x14ac:dyDescent="0.2">
      <c r="A28" s="1"/>
      <c r="B28" s="27"/>
      <c r="C28" s="31">
        <f>C26*C27</f>
        <v>170</v>
      </c>
      <c r="D28" s="8" t="s">
        <v>34</v>
      </c>
      <c r="E28" s="8" t="s">
        <v>35</v>
      </c>
      <c r="F28" s="1"/>
      <c r="G28" s="1"/>
      <c r="H28" s="1"/>
      <c r="I28" s="30"/>
    </row>
    <row r="29" spans="1:9" ht="18" customHeight="1" x14ac:dyDescent="0.2">
      <c r="A29" s="1"/>
      <c r="B29" s="27"/>
      <c r="C29" s="22">
        <f>C24/C26/C27</f>
        <v>5.8823529411764712E-2</v>
      </c>
      <c r="D29" s="8" t="s">
        <v>13</v>
      </c>
      <c r="E29" s="8" t="s">
        <v>36</v>
      </c>
      <c r="F29" s="1"/>
      <c r="G29" s="1"/>
      <c r="H29" s="1"/>
      <c r="I29" s="30"/>
    </row>
    <row r="30" spans="1:9" ht="18" customHeight="1" x14ac:dyDescent="0.2">
      <c r="A30" s="1"/>
      <c r="B30" s="27"/>
      <c r="C30" s="12">
        <f>C20*1000*C25/C15</f>
        <v>1.9966292308232136</v>
      </c>
      <c r="D30" s="8" t="s">
        <v>13</v>
      </c>
      <c r="E30" s="8" t="s">
        <v>37</v>
      </c>
      <c r="F30" s="1"/>
      <c r="G30" s="1"/>
      <c r="H30" s="1"/>
      <c r="I30" s="30"/>
    </row>
    <row r="31" spans="1:9" ht="18" customHeight="1" x14ac:dyDescent="0.2">
      <c r="A31" s="1"/>
      <c r="B31" s="27"/>
      <c r="C31" s="31">
        <f>C30/C29</f>
        <v>33.942696923994632</v>
      </c>
      <c r="D31" s="8" t="s">
        <v>38</v>
      </c>
      <c r="E31" s="8" t="s">
        <v>39</v>
      </c>
      <c r="F31" s="1"/>
      <c r="G31" s="1"/>
      <c r="H31" s="1"/>
      <c r="I31" s="30"/>
    </row>
    <row r="32" spans="1:9" ht="18" customHeight="1" x14ac:dyDescent="0.2">
      <c r="A32" s="1"/>
      <c r="B32" s="27"/>
      <c r="C32" s="31">
        <f>C31+1</f>
        <v>34.942696923994632</v>
      </c>
      <c r="D32" s="8" t="s">
        <v>38</v>
      </c>
      <c r="E32" s="8" t="s">
        <v>40</v>
      </c>
      <c r="F32" s="1"/>
      <c r="G32" s="1"/>
      <c r="H32" s="1"/>
      <c r="I32" s="30"/>
    </row>
    <row r="33" spans="1:9" ht="18" customHeight="1" x14ac:dyDescent="0.2">
      <c r="A33" s="1"/>
      <c r="B33" s="32">
        <f>1/C32</f>
        <v>2.8618283304667157E-2</v>
      </c>
      <c r="C33" s="31">
        <f>C$26*C$27/C32</f>
        <v>4.8651081617934171</v>
      </c>
      <c r="D33" s="8" t="s">
        <v>34</v>
      </c>
      <c r="E33" s="8" t="s">
        <v>41</v>
      </c>
      <c r="F33" s="1"/>
      <c r="G33" s="1"/>
      <c r="H33" s="1"/>
      <c r="I33" s="30"/>
    </row>
    <row r="34" spans="1:9" ht="18" customHeight="1" x14ac:dyDescent="0.2">
      <c r="A34" s="1"/>
      <c r="B34" s="27"/>
      <c r="C34" s="3"/>
      <c r="D34" s="1"/>
      <c r="E34" s="1"/>
      <c r="F34" s="1"/>
      <c r="G34" s="1"/>
      <c r="H34" s="1"/>
      <c r="I34" s="30"/>
    </row>
    <row r="35" spans="1:9" ht="18" customHeight="1" x14ac:dyDescent="0.2">
      <c r="A35" s="1"/>
      <c r="B35" s="27"/>
      <c r="C35" s="33">
        <v>10</v>
      </c>
      <c r="D35" s="34" t="s">
        <v>42</v>
      </c>
      <c r="E35" s="8" t="s">
        <v>43</v>
      </c>
      <c r="F35" s="1"/>
      <c r="G35" s="1"/>
      <c r="H35" s="1"/>
      <c r="I35" s="30"/>
    </row>
    <row r="36" spans="1:9" ht="18" customHeight="1" x14ac:dyDescent="0.2">
      <c r="A36" s="1"/>
      <c r="B36" s="27"/>
      <c r="C36" s="22">
        <f>C$30/C35</f>
        <v>0.19966292308232136</v>
      </c>
      <c r="D36" s="8" t="s">
        <v>13</v>
      </c>
      <c r="E36" s="8" t="s">
        <v>37</v>
      </c>
      <c r="F36" s="1"/>
      <c r="G36" s="1"/>
      <c r="H36" s="1"/>
      <c r="I36" s="30"/>
    </row>
    <row r="37" spans="1:9" ht="18" customHeight="1" x14ac:dyDescent="0.2">
      <c r="A37" s="1"/>
      <c r="B37" s="27"/>
      <c r="C37" s="12">
        <f>C36/C$29</f>
        <v>3.3942696923994626</v>
      </c>
      <c r="D37" s="8" t="s">
        <v>38</v>
      </c>
      <c r="E37" s="8" t="s">
        <v>39</v>
      </c>
      <c r="F37" s="1"/>
      <c r="G37" s="1"/>
      <c r="H37" s="1"/>
      <c r="I37" s="30"/>
    </row>
    <row r="38" spans="1:9" ht="18" customHeight="1" x14ac:dyDescent="0.2">
      <c r="A38" s="1"/>
      <c r="B38" s="27"/>
      <c r="C38" s="35">
        <f>C37+1</f>
        <v>4.3942696923994626</v>
      </c>
      <c r="D38" s="5" t="s">
        <v>38</v>
      </c>
      <c r="E38" s="8" t="s">
        <v>40</v>
      </c>
      <c r="F38" s="1"/>
      <c r="G38" s="1"/>
      <c r="H38" s="1"/>
      <c r="I38" s="30"/>
    </row>
    <row r="39" spans="1:9" ht="18" customHeight="1" x14ac:dyDescent="0.2">
      <c r="A39" s="1"/>
      <c r="B39" s="32">
        <f>1/C38</f>
        <v>0.22756910021468355</v>
      </c>
      <c r="C39" s="31">
        <f>C$26*C$27/C38</f>
        <v>38.686747036496207</v>
      </c>
      <c r="D39" s="8" t="s">
        <v>34</v>
      </c>
      <c r="E39" s="8" t="s">
        <v>41</v>
      </c>
      <c r="F39" s="1"/>
      <c r="G39" s="1"/>
      <c r="H39" s="1"/>
      <c r="I39" s="30"/>
    </row>
    <row r="40" spans="1:9" ht="18" customHeight="1" x14ac:dyDescent="0.2">
      <c r="A40" s="1"/>
      <c r="B40" s="27"/>
      <c r="C40" s="3"/>
      <c r="D40" s="1"/>
      <c r="E40" s="1"/>
      <c r="F40" s="1"/>
      <c r="G40" s="1"/>
      <c r="H40" s="1"/>
      <c r="I40" s="30"/>
    </row>
    <row r="41" spans="1:9" ht="18" customHeight="1" x14ac:dyDescent="0.2">
      <c r="A41" s="1"/>
      <c r="B41" s="27"/>
      <c r="C41" s="33">
        <v>30</v>
      </c>
      <c r="D41" s="34" t="s">
        <v>42</v>
      </c>
      <c r="E41" s="8" t="s">
        <v>43</v>
      </c>
      <c r="F41" s="1"/>
      <c r="G41" s="1"/>
      <c r="H41" s="1"/>
      <c r="I41" s="30"/>
    </row>
    <row r="42" spans="1:9" ht="18" customHeight="1" x14ac:dyDescent="0.2">
      <c r="A42" s="1"/>
      <c r="B42" s="27"/>
      <c r="C42" s="22">
        <f>C$30/C41</f>
        <v>6.6554307694107126E-2</v>
      </c>
      <c r="D42" s="8" t="s">
        <v>13</v>
      </c>
      <c r="E42" s="8" t="s">
        <v>37</v>
      </c>
      <c r="F42" s="1"/>
      <c r="G42" s="1"/>
      <c r="H42" s="1"/>
      <c r="I42" s="30"/>
    </row>
    <row r="43" spans="1:9" ht="18" customHeight="1" x14ac:dyDescent="0.2">
      <c r="A43" s="1"/>
      <c r="B43" s="27"/>
      <c r="C43" s="12">
        <f>C42/C$29</f>
        <v>1.1314232307998211</v>
      </c>
      <c r="D43" s="8" t="s">
        <v>38</v>
      </c>
      <c r="E43" s="8" t="s">
        <v>39</v>
      </c>
      <c r="F43" s="1"/>
      <c r="G43" s="1"/>
      <c r="H43" s="1"/>
      <c r="I43" s="30"/>
    </row>
    <row r="44" spans="1:9" ht="18" customHeight="1" x14ac:dyDescent="0.2">
      <c r="A44" s="1"/>
      <c r="B44" s="27"/>
      <c r="C44" s="35">
        <f>C43+1</f>
        <v>2.1314232307998209</v>
      </c>
      <c r="D44" s="5" t="s">
        <v>38</v>
      </c>
      <c r="E44" s="8" t="s">
        <v>40</v>
      </c>
      <c r="F44" s="1"/>
      <c r="G44" s="1"/>
      <c r="H44" s="1"/>
      <c r="I44" s="30"/>
    </row>
    <row r="45" spans="1:9" ht="18" customHeight="1" x14ac:dyDescent="0.2">
      <c r="A45" s="1"/>
      <c r="B45" s="32">
        <f>1/C44</f>
        <v>0.4691700763835383</v>
      </c>
      <c r="C45" s="31">
        <f>C$26*C$27/C44</f>
        <v>79.758912985201519</v>
      </c>
      <c r="D45" s="8" t="s">
        <v>34</v>
      </c>
      <c r="E45" s="8" t="s">
        <v>41</v>
      </c>
      <c r="F45" s="1"/>
      <c r="G45" s="1"/>
      <c r="H45" s="1"/>
      <c r="I45" s="30"/>
    </row>
    <row r="46" spans="1:9" ht="18" customHeight="1" x14ac:dyDescent="0.2">
      <c r="A46" s="1"/>
      <c r="B46" s="27"/>
      <c r="C46" s="3"/>
      <c r="D46" s="1"/>
      <c r="E46" s="1"/>
      <c r="F46" s="1"/>
      <c r="G46" s="1"/>
      <c r="H46" s="1"/>
      <c r="I46" s="30"/>
    </row>
    <row r="47" spans="1:9" ht="18" customHeight="1" x14ac:dyDescent="0.2">
      <c r="A47" s="1"/>
      <c r="B47" s="27"/>
      <c r="C47" s="33">
        <v>100</v>
      </c>
      <c r="D47" s="34" t="s">
        <v>42</v>
      </c>
      <c r="E47" s="8" t="s">
        <v>43</v>
      </c>
      <c r="F47" s="1"/>
      <c r="G47" s="1"/>
      <c r="H47" s="1"/>
      <c r="I47" s="30"/>
    </row>
    <row r="48" spans="1:9" ht="18" customHeight="1" x14ac:dyDescent="0.2">
      <c r="A48" s="1"/>
      <c r="B48" s="27"/>
      <c r="C48" s="22">
        <f>C$30/C47</f>
        <v>1.9966292308232138E-2</v>
      </c>
      <c r="D48" s="8" t="s">
        <v>13</v>
      </c>
      <c r="E48" s="8" t="s">
        <v>37</v>
      </c>
      <c r="F48" s="1"/>
      <c r="G48" s="1"/>
      <c r="H48" s="1"/>
      <c r="I48" s="30"/>
    </row>
    <row r="49" spans="1:9" ht="18" customHeight="1" x14ac:dyDescent="0.2">
      <c r="A49" s="1"/>
      <c r="B49" s="27"/>
      <c r="C49" s="12">
        <f>C48/C$29</f>
        <v>0.33942696923994631</v>
      </c>
      <c r="D49" s="8" t="s">
        <v>38</v>
      </c>
      <c r="E49" s="8" t="s">
        <v>39</v>
      </c>
      <c r="F49" s="1"/>
      <c r="G49" s="1"/>
      <c r="H49" s="1"/>
      <c r="I49" s="30"/>
    </row>
    <row r="50" spans="1:9" ht="18" customHeight="1" x14ac:dyDescent="0.2">
      <c r="A50" s="1"/>
      <c r="B50" s="27"/>
      <c r="C50" s="35">
        <f>C49+1</f>
        <v>1.3394269692399463</v>
      </c>
      <c r="D50" s="5" t="s">
        <v>38</v>
      </c>
      <c r="E50" s="8" t="s">
        <v>40</v>
      </c>
      <c r="F50" s="1"/>
      <c r="G50" s="1"/>
      <c r="H50" s="1"/>
      <c r="I50" s="30"/>
    </row>
    <row r="51" spans="1:9" ht="18" customHeight="1" x14ac:dyDescent="0.2">
      <c r="A51" s="1"/>
      <c r="B51" s="32">
        <f>1/C50</f>
        <v>0.74658792376522543</v>
      </c>
      <c r="C51" s="31">
        <f>C$26*C$27/C50</f>
        <v>126.91994704008833</v>
      </c>
      <c r="D51" s="8" t="s">
        <v>34</v>
      </c>
      <c r="E51" s="8" t="s">
        <v>41</v>
      </c>
      <c r="F51" s="1"/>
      <c r="G51" s="1"/>
      <c r="H51" s="1"/>
      <c r="I51" s="30"/>
    </row>
    <row r="52" spans="1:9" ht="18" customHeight="1" x14ac:dyDescent="0.2">
      <c r="A52" s="1"/>
      <c r="B52" s="36"/>
      <c r="C52" s="37"/>
      <c r="D52" s="38"/>
      <c r="E52" s="38"/>
      <c r="F52" s="38"/>
      <c r="G52" s="38"/>
      <c r="H52" s="38"/>
      <c r="I52" s="3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T63"/>
  <sheetViews>
    <sheetView topLeftCell="C13" workbookViewId="0">
      <selection activeCell="S35" sqref="S35"/>
    </sheetView>
  </sheetViews>
  <sheetFormatPr baseColWidth="10" defaultColWidth="8.83203125" defaultRowHeight="15" x14ac:dyDescent="0.2"/>
  <cols>
    <col min="1" max="1" width="5.1640625" style="40" bestFit="1" customWidth="1"/>
    <col min="2" max="2" width="5.33203125" style="40" bestFit="1" customWidth="1"/>
    <col min="3" max="4" width="13" style="40" bestFit="1" customWidth="1"/>
    <col min="5" max="5" width="8.6640625" style="41" bestFit="1" customWidth="1"/>
    <col min="6" max="6" width="8.6640625" style="40" bestFit="1" customWidth="1"/>
    <col min="7" max="7" width="14.5" style="65" bestFit="1" customWidth="1"/>
    <col min="8" max="8" width="13" style="65" bestFit="1" customWidth="1"/>
    <col min="9" max="9" width="13" style="40" bestFit="1" customWidth="1"/>
    <col min="10" max="11" width="13" style="65" bestFit="1" customWidth="1"/>
    <col min="12" max="12" width="13" style="40" bestFit="1" customWidth="1"/>
    <col min="13" max="13" width="13" style="65" bestFit="1" customWidth="1"/>
    <col min="14" max="14" width="13" style="40" bestFit="1" customWidth="1"/>
    <col min="15" max="15" width="13" style="65" bestFit="1" customWidth="1"/>
    <col min="16" max="16" width="13" style="40" bestFit="1" customWidth="1"/>
    <col min="17" max="17" width="13" style="42" bestFit="1" customWidth="1"/>
    <col min="18" max="18" width="16" style="40" bestFit="1" customWidth="1"/>
    <col min="19" max="19" width="13" style="66" bestFit="1" customWidth="1"/>
    <col min="20" max="20" width="13" style="40" bestFit="1" customWidth="1"/>
  </cols>
  <sheetData>
    <row r="1" spans="1:20" ht="18" customHeight="1" x14ac:dyDescent="0.2">
      <c r="A1" s="1"/>
      <c r="B1" s="1"/>
      <c r="C1" s="1"/>
      <c r="D1" s="1"/>
      <c r="E1" s="2"/>
      <c r="F1" s="1"/>
      <c r="G1" s="43"/>
      <c r="H1" s="43"/>
      <c r="I1" s="1"/>
      <c r="J1" s="43"/>
      <c r="K1" s="43"/>
      <c r="L1" s="1"/>
      <c r="M1" s="43"/>
      <c r="N1" s="1"/>
      <c r="O1" s="43"/>
      <c r="P1" s="1"/>
      <c r="Q1" s="3"/>
      <c r="R1" s="1"/>
      <c r="S1" s="44"/>
      <c r="T1" s="1"/>
    </row>
    <row r="2" spans="1:20" ht="18" customHeight="1" x14ac:dyDescent="0.2">
      <c r="A2" s="1"/>
      <c r="B2" s="1"/>
      <c r="C2" s="1"/>
      <c r="D2" s="1"/>
      <c r="E2" s="2"/>
      <c r="F2" s="1"/>
      <c r="G2" s="43"/>
      <c r="H2" s="43"/>
      <c r="I2" s="1"/>
      <c r="J2" s="43"/>
      <c r="K2" s="43"/>
      <c r="L2" s="1"/>
      <c r="M2" s="43"/>
      <c r="N2" s="1"/>
      <c r="O2" s="43"/>
      <c r="P2" s="1"/>
      <c r="Q2" s="3"/>
      <c r="R2" s="1"/>
      <c r="S2" s="44"/>
      <c r="T2" s="1"/>
    </row>
    <row r="3" spans="1:20" ht="18" customHeight="1" x14ac:dyDescent="0.2">
      <c r="A3" s="45" t="s">
        <v>44</v>
      </c>
      <c r="B3" s="1"/>
      <c r="C3" s="1"/>
      <c r="D3" s="1"/>
      <c r="E3" s="2"/>
      <c r="F3" s="1"/>
      <c r="G3" s="43"/>
      <c r="H3" s="43"/>
      <c r="I3" s="1"/>
      <c r="J3" s="43"/>
      <c r="K3" s="43"/>
      <c r="L3" s="1"/>
      <c r="M3" s="43"/>
      <c r="N3" s="1"/>
      <c r="O3" s="43"/>
      <c r="P3" s="1"/>
      <c r="Q3" s="3"/>
      <c r="R3" s="1"/>
      <c r="S3" s="44"/>
      <c r="T3" s="1"/>
    </row>
    <row r="4" spans="1:20" ht="18" customHeight="1" x14ac:dyDescent="0.2">
      <c r="A4" s="1"/>
      <c r="B4" s="46" t="s">
        <v>45</v>
      </c>
      <c r="C4" s="1"/>
      <c r="D4" s="1"/>
      <c r="E4" s="2"/>
      <c r="F4" s="1"/>
      <c r="G4" s="43"/>
      <c r="H4" s="43"/>
      <c r="I4" s="1"/>
      <c r="J4" s="43"/>
      <c r="K4" s="43"/>
      <c r="L4" s="1"/>
      <c r="M4" s="43"/>
      <c r="N4" s="1"/>
      <c r="O4" s="43"/>
      <c r="P4" s="1"/>
      <c r="Q4" s="3"/>
      <c r="R4" s="1"/>
      <c r="S4" s="44"/>
      <c r="T4" s="1"/>
    </row>
    <row r="5" spans="1:20" ht="18" customHeight="1" x14ac:dyDescent="0.2">
      <c r="A5" s="1"/>
      <c r="B5" s="1"/>
      <c r="C5" s="1"/>
      <c r="D5" s="1"/>
      <c r="E5" s="2"/>
      <c r="F5" s="1"/>
      <c r="G5" s="43"/>
      <c r="H5" s="43"/>
      <c r="I5" s="1"/>
      <c r="J5" s="43"/>
      <c r="K5" s="43"/>
      <c r="L5" s="1"/>
      <c r="M5" s="43"/>
      <c r="N5" s="1"/>
      <c r="O5" s="43"/>
      <c r="P5" s="1"/>
      <c r="Q5" s="3"/>
      <c r="R5" s="1"/>
      <c r="S5" s="44"/>
      <c r="T5" s="1"/>
    </row>
    <row r="6" spans="1:20" ht="18" customHeight="1" x14ac:dyDescent="0.2">
      <c r="A6" s="1"/>
      <c r="B6" s="1"/>
      <c r="C6" s="1"/>
      <c r="D6" s="1"/>
      <c r="E6" s="2"/>
      <c r="F6" s="1"/>
      <c r="G6" s="43"/>
      <c r="H6" s="43"/>
      <c r="I6" s="1"/>
      <c r="J6" s="43"/>
      <c r="K6" s="43"/>
      <c r="L6" s="1"/>
      <c r="M6" s="43"/>
      <c r="N6" s="1"/>
      <c r="O6" s="43"/>
      <c r="P6" s="1"/>
      <c r="Q6" s="3"/>
      <c r="R6" s="1"/>
      <c r="S6" s="44"/>
      <c r="T6" s="1"/>
    </row>
    <row r="7" spans="1:20" ht="18" customHeight="1" x14ac:dyDescent="0.2">
      <c r="A7" s="45" t="s">
        <v>46</v>
      </c>
      <c r="B7" s="1"/>
      <c r="C7" s="1"/>
      <c r="D7" s="1"/>
      <c r="E7" s="2"/>
      <c r="F7" s="1"/>
      <c r="G7" s="43"/>
      <c r="H7" s="43"/>
      <c r="I7" s="1"/>
      <c r="J7" s="43"/>
      <c r="K7" s="43"/>
      <c r="L7" s="1"/>
      <c r="M7" s="43"/>
      <c r="N7" s="1"/>
      <c r="O7" s="43"/>
      <c r="P7" s="1"/>
      <c r="Q7" s="3"/>
      <c r="R7" s="1"/>
      <c r="S7" s="44"/>
      <c r="T7" s="1"/>
    </row>
    <row r="8" spans="1:20" ht="18" customHeight="1" x14ac:dyDescent="0.2">
      <c r="A8" s="1"/>
      <c r="B8" s="1"/>
      <c r="C8" s="1"/>
      <c r="D8" s="1"/>
      <c r="E8" s="2"/>
      <c r="F8" s="1"/>
      <c r="G8" s="43"/>
      <c r="H8" s="43"/>
      <c r="I8" s="1"/>
      <c r="J8" s="43"/>
      <c r="K8" s="43"/>
      <c r="L8" s="1"/>
      <c r="M8" s="43"/>
      <c r="N8" s="1"/>
      <c r="O8" s="43"/>
      <c r="P8" s="1"/>
      <c r="Q8" s="3"/>
      <c r="R8" s="1"/>
      <c r="S8" s="44"/>
      <c r="T8" s="1"/>
    </row>
    <row r="9" spans="1:20" ht="18" customHeight="1" x14ac:dyDescent="0.2">
      <c r="A9" s="1"/>
      <c r="B9" s="46" t="s">
        <v>47</v>
      </c>
      <c r="C9" s="1"/>
      <c r="D9" s="1"/>
      <c r="E9" s="2"/>
      <c r="F9" s="1"/>
      <c r="G9" s="43"/>
      <c r="H9" s="43"/>
      <c r="I9" s="1"/>
      <c r="J9" s="43"/>
      <c r="K9" s="43"/>
      <c r="L9" s="1"/>
      <c r="M9" s="43"/>
      <c r="N9" s="1"/>
      <c r="O9" s="43"/>
      <c r="P9" s="1"/>
      <c r="Q9" s="3"/>
      <c r="R9" s="1"/>
      <c r="S9" s="44"/>
      <c r="T9" s="1"/>
    </row>
    <row r="10" spans="1:20" ht="18" customHeight="1" x14ac:dyDescent="0.2">
      <c r="A10" s="1"/>
      <c r="B10" s="1"/>
      <c r="C10" s="1" t="s">
        <v>48</v>
      </c>
      <c r="D10" s="1"/>
      <c r="E10" s="2"/>
      <c r="F10" s="1"/>
      <c r="G10" s="43"/>
      <c r="H10" s="43"/>
      <c r="I10" s="1"/>
      <c r="J10" s="43"/>
      <c r="K10" s="43"/>
      <c r="L10" s="1"/>
      <c r="M10" s="43"/>
      <c r="N10" s="1"/>
      <c r="O10" s="43"/>
      <c r="P10" s="1"/>
      <c r="Q10" s="3"/>
      <c r="R10" s="1"/>
      <c r="S10" s="44"/>
      <c r="T10" s="1"/>
    </row>
    <row r="11" spans="1:20" ht="18" customHeight="1" x14ac:dyDescent="0.2">
      <c r="A11" s="1"/>
      <c r="B11" s="1"/>
      <c r="C11" s="1"/>
      <c r="D11" s="1"/>
      <c r="E11" s="2"/>
      <c r="F11" s="1"/>
      <c r="G11" s="43"/>
      <c r="H11" s="43"/>
      <c r="I11" s="1"/>
      <c r="J11" s="43"/>
      <c r="K11" s="43"/>
      <c r="L11" s="1"/>
      <c r="M11" s="43"/>
      <c r="N11" s="1"/>
      <c r="O11" s="43"/>
      <c r="P11" s="1"/>
      <c r="Q11" s="3"/>
      <c r="R11" s="1"/>
      <c r="S11" s="44"/>
      <c r="T11" s="1"/>
    </row>
    <row r="12" spans="1:20" ht="18" customHeight="1" x14ac:dyDescent="0.2">
      <c r="A12" s="1"/>
      <c r="B12" s="46" t="s">
        <v>49</v>
      </c>
      <c r="C12" s="1"/>
      <c r="D12" s="1"/>
      <c r="E12" s="2"/>
      <c r="F12" s="1"/>
      <c r="G12" s="43"/>
      <c r="H12" s="43"/>
      <c r="I12" s="1"/>
      <c r="J12" s="43"/>
      <c r="K12" s="43"/>
      <c r="L12" s="1"/>
      <c r="M12" s="43"/>
      <c r="N12" s="1"/>
      <c r="O12" s="43"/>
      <c r="P12" s="1"/>
      <c r="Q12" s="3"/>
      <c r="R12" s="1"/>
      <c r="S12" s="44"/>
      <c r="T12" s="1"/>
    </row>
    <row r="13" spans="1:20" ht="18" customHeight="1" x14ac:dyDescent="0.2">
      <c r="A13" s="1"/>
      <c r="B13" s="1"/>
      <c r="C13" s="1"/>
      <c r="D13" s="1"/>
      <c r="E13" s="2"/>
      <c r="F13" s="1"/>
      <c r="G13" s="43"/>
      <c r="H13" s="43"/>
      <c r="I13" s="1"/>
      <c r="J13" s="43"/>
      <c r="K13" s="43"/>
      <c r="L13" s="1"/>
      <c r="M13" s="43"/>
      <c r="N13" s="1"/>
      <c r="O13" s="43"/>
      <c r="P13" s="1"/>
      <c r="Q13" s="3"/>
      <c r="R13" s="1"/>
      <c r="S13" s="44"/>
      <c r="T13" s="1"/>
    </row>
    <row r="14" spans="1:20" ht="18" customHeight="1" x14ac:dyDescent="0.2">
      <c r="A14" s="1"/>
      <c r="B14" s="46" t="s">
        <v>50</v>
      </c>
      <c r="C14" s="1"/>
      <c r="D14" s="1"/>
      <c r="E14" s="2"/>
      <c r="F14" s="1"/>
      <c r="G14" s="43"/>
      <c r="H14" s="43"/>
      <c r="I14" s="1"/>
      <c r="J14" s="43"/>
      <c r="K14" s="43"/>
      <c r="L14" s="1"/>
      <c r="M14" s="43"/>
      <c r="N14" s="1"/>
      <c r="O14" s="43"/>
      <c r="P14" s="1"/>
      <c r="Q14" s="3"/>
      <c r="R14" s="1"/>
      <c r="S14" s="44"/>
      <c r="T14" s="1"/>
    </row>
    <row r="15" spans="1:20" ht="18" customHeight="1" x14ac:dyDescent="0.2">
      <c r="A15" s="1"/>
      <c r="B15" s="1"/>
      <c r="C15" s="1"/>
      <c r="D15" s="1"/>
      <c r="E15" s="2"/>
      <c r="F15" s="1"/>
      <c r="G15" s="43"/>
      <c r="H15" s="43"/>
      <c r="I15" s="1"/>
      <c r="J15" s="43"/>
      <c r="K15" s="43"/>
      <c r="L15" s="1"/>
      <c r="M15" s="43"/>
      <c r="N15" s="1"/>
      <c r="O15" s="43"/>
      <c r="P15" s="1"/>
      <c r="Q15" s="3"/>
      <c r="R15" s="1"/>
      <c r="S15" s="44"/>
      <c r="T15" s="1"/>
    </row>
    <row r="16" spans="1:20" ht="18" customHeight="1" x14ac:dyDescent="0.2">
      <c r="A16" s="1"/>
      <c r="B16" s="46" t="s">
        <v>51</v>
      </c>
      <c r="C16" s="1"/>
      <c r="D16" s="1"/>
      <c r="E16" s="2"/>
      <c r="F16" s="1"/>
      <c r="G16" s="43"/>
      <c r="H16" s="43"/>
      <c r="I16" s="1"/>
      <c r="J16" s="43"/>
      <c r="K16" s="43"/>
      <c r="L16" s="1"/>
      <c r="M16" s="43"/>
      <c r="N16" s="1"/>
      <c r="O16" s="43"/>
      <c r="P16" s="1"/>
      <c r="Q16" s="3"/>
      <c r="R16" s="1"/>
      <c r="S16" s="44"/>
      <c r="T16" s="1"/>
    </row>
    <row r="17" spans="1:20" ht="18" customHeight="1" x14ac:dyDescent="0.2">
      <c r="A17" s="1"/>
      <c r="B17" s="1"/>
      <c r="C17" s="1"/>
      <c r="D17" s="1"/>
      <c r="E17" s="2"/>
      <c r="F17" s="1"/>
      <c r="G17" s="43"/>
      <c r="H17" s="43"/>
      <c r="I17" s="1"/>
      <c r="J17" s="43"/>
      <c r="K17" s="43"/>
      <c r="L17" s="1"/>
      <c r="M17" s="43"/>
      <c r="N17" s="1"/>
      <c r="O17" s="43"/>
      <c r="P17" s="1"/>
      <c r="Q17" s="3"/>
      <c r="R17" s="1"/>
      <c r="S17" s="44"/>
      <c r="T17" s="1"/>
    </row>
    <row r="18" spans="1:20" ht="18" customHeight="1" x14ac:dyDescent="0.2">
      <c r="A18" s="1"/>
      <c r="B18" s="1"/>
      <c r="C18" s="1"/>
      <c r="D18" s="1"/>
      <c r="E18" s="2"/>
      <c r="F18" s="1"/>
      <c r="G18" s="43"/>
      <c r="H18" s="43"/>
      <c r="I18" s="1"/>
      <c r="J18" s="43"/>
      <c r="K18" s="43"/>
      <c r="L18" s="1"/>
      <c r="M18" s="43"/>
      <c r="N18" s="1"/>
      <c r="O18" s="43"/>
      <c r="P18" s="1"/>
      <c r="Q18" s="3"/>
      <c r="R18" s="1"/>
      <c r="S18" s="44"/>
      <c r="T18" s="1"/>
    </row>
    <row r="19" spans="1:20" ht="18" customHeight="1" x14ac:dyDescent="0.2">
      <c r="A19" s="45" t="s">
        <v>52</v>
      </c>
      <c r="B19" s="1"/>
      <c r="C19" s="1"/>
      <c r="D19" s="1"/>
      <c r="E19" s="2"/>
      <c r="F19" s="1"/>
      <c r="G19" s="43"/>
      <c r="H19" s="43"/>
      <c r="I19" s="1"/>
      <c r="J19" s="43"/>
      <c r="K19" s="43"/>
      <c r="L19" s="1"/>
      <c r="M19" s="43"/>
      <c r="N19" s="1"/>
      <c r="O19" s="43"/>
      <c r="P19" s="1"/>
      <c r="Q19" s="3"/>
      <c r="R19" s="1"/>
      <c r="S19" s="44"/>
      <c r="T19" s="1"/>
    </row>
    <row r="20" spans="1:20" ht="18" customHeight="1" x14ac:dyDescent="0.2">
      <c r="A20" s="1"/>
      <c r="B20" s="1"/>
      <c r="C20" s="47" t="s">
        <v>53</v>
      </c>
      <c r="D20" s="1"/>
      <c r="E20" s="2"/>
      <c r="F20" s="1"/>
      <c r="G20" s="43"/>
      <c r="H20" s="43"/>
      <c r="I20" s="1"/>
      <c r="J20" s="43"/>
      <c r="K20" s="43"/>
      <c r="L20" s="1"/>
      <c r="M20" s="43"/>
      <c r="N20" s="1"/>
      <c r="O20" s="43"/>
      <c r="P20" s="1"/>
      <c r="Q20" s="3"/>
      <c r="R20" s="1"/>
      <c r="S20" s="44"/>
      <c r="T20" s="1"/>
    </row>
    <row r="21" spans="1:20" ht="18" customHeight="1" x14ac:dyDescent="0.2">
      <c r="A21" s="1"/>
      <c r="B21" s="1"/>
      <c r="C21" s="47" t="s">
        <v>54</v>
      </c>
      <c r="D21" s="1"/>
      <c r="E21" s="2"/>
      <c r="F21" s="1"/>
      <c r="G21" s="43"/>
      <c r="H21" s="43"/>
      <c r="I21" s="1"/>
      <c r="J21" s="43"/>
      <c r="K21" s="43"/>
      <c r="L21" s="1"/>
      <c r="M21" s="43"/>
      <c r="N21" s="1"/>
      <c r="O21" s="43"/>
      <c r="P21" s="1"/>
      <c r="Q21" s="3"/>
      <c r="R21" s="1"/>
      <c r="S21" s="44"/>
      <c r="T21" s="1"/>
    </row>
    <row r="22" spans="1:20" ht="18" customHeight="1" x14ac:dyDescent="0.2">
      <c r="A22" s="1"/>
      <c r="B22" s="1"/>
      <c r="C22" s="1"/>
      <c r="D22" s="1"/>
      <c r="E22" s="48"/>
      <c r="F22" s="49"/>
      <c r="G22" s="43"/>
      <c r="H22" s="43"/>
      <c r="I22" s="1"/>
      <c r="J22" s="43"/>
      <c r="K22" s="43"/>
      <c r="L22" s="1"/>
      <c r="M22" s="43"/>
      <c r="N22" s="1"/>
      <c r="O22" s="43"/>
      <c r="P22" s="1"/>
      <c r="Q22" s="3"/>
      <c r="R22" s="1"/>
      <c r="S22" s="44"/>
      <c r="T22" s="1"/>
    </row>
    <row r="23" spans="1:20" ht="18" customHeight="1" x14ac:dyDescent="0.2">
      <c r="A23" s="1"/>
      <c r="B23" s="1"/>
      <c r="C23" s="1" t="s">
        <v>55</v>
      </c>
      <c r="D23" s="1"/>
      <c r="E23" s="2"/>
      <c r="F23" s="1"/>
      <c r="G23" s="43"/>
      <c r="H23" s="43"/>
      <c r="I23" s="1"/>
      <c r="J23" s="43"/>
      <c r="K23" s="43"/>
      <c r="L23" s="1"/>
      <c r="M23" s="43"/>
      <c r="N23" s="1"/>
      <c r="O23" s="43"/>
      <c r="P23" s="1"/>
      <c r="Q23" s="3"/>
      <c r="R23" s="1"/>
      <c r="S23" s="44"/>
      <c r="T23" s="1"/>
    </row>
    <row r="24" spans="1:20" ht="18" customHeight="1" x14ac:dyDescent="0.2">
      <c r="A24" s="1"/>
      <c r="B24" s="1"/>
      <c r="C24" s="1"/>
      <c r="D24" s="1" t="s">
        <v>56</v>
      </c>
      <c r="E24" s="2"/>
      <c r="F24" s="1"/>
      <c r="G24" s="43"/>
      <c r="H24" s="43"/>
      <c r="I24" s="1"/>
      <c r="J24" s="43"/>
      <c r="K24" s="43"/>
      <c r="L24" s="1"/>
      <c r="M24" s="43"/>
      <c r="N24" s="1"/>
      <c r="O24" s="43"/>
      <c r="P24" s="1"/>
      <c r="Q24" s="3"/>
      <c r="R24" s="1"/>
      <c r="S24" s="44"/>
      <c r="T24" s="1"/>
    </row>
    <row r="25" spans="1:20" ht="18" customHeight="1" x14ac:dyDescent="0.2">
      <c r="A25" s="1"/>
      <c r="B25" s="1"/>
      <c r="C25" s="1"/>
      <c r="D25" s="1" t="s">
        <v>57</v>
      </c>
      <c r="E25" s="2"/>
      <c r="F25" s="1"/>
      <c r="G25" s="43"/>
      <c r="H25" s="43"/>
      <c r="I25" s="1"/>
      <c r="J25" s="43"/>
      <c r="K25" s="43"/>
      <c r="L25" s="1"/>
      <c r="M25" s="43"/>
      <c r="N25" s="1"/>
      <c r="O25" s="43"/>
      <c r="P25" s="1"/>
      <c r="Q25" s="3"/>
      <c r="R25" s="1"/>
      <c r="S25" s="44"/>
      <c r="T25" s="1"/>
    </row>
    <row r="26" spans="1:20" ht="18" customHeight="1" x14ac:dyDescent="0.2">
      <c r="A26" s="1"/>
      <c r="B26" s="1"/>
      <c r="C26" s="1"/>
      <c r="D26" s="1"/>
      <c r="E26" s="2"/>
      <c r="F26" s="1"/>
      <c r="G26" s="43"/>
      <c r="H26" s="43"/>
      <c r="I26" s="1"/>
      <c r="J26" s="43"/>
      <c r="K26" s="43"/>
      <c r="L26" s="1"/>
      <c r="M26" s="43"/>
      <c r="N26" s="1"/>
      <c r="O26" s="43"/>
      <c r="P26" s="1"/>
      <c r="Q26" s="3"/>
      <c r="R26" s="1"/>
      <c r="S26" s="44"/>
      <c r="T26" s="1"/>
    </row>
    <row r="27" spans="1:20" ht="18" customHeight="1" x14ac:dyDescent="0.2">
      <c r="A27" s="1"/>
      <c r="B27" s="1"/>
      <c r="C27" s="1"/>
      <c r="D27" s="1"/>
      <c r="E27" s="2"/>
      <c r="F27" s="1"/>
      <c r="G27" s="171" t="s">
        <v>58</v>
      </c>
      <c r="H27" s="171"/>
      <c r="I27" s="1"/>
      <c r="J27" s="43"/>
      <c r="K27" s="43"/>
      <c r="L27" s="1"/>
      <c r="M27" s="43"/>
      <c r="N27" s="1"/>
      <c r="O27" s="43"/>
      <c r="P27" s="1"/>
      <c r="Q27" s="3"/>
      <c r="R27" s="1"/>
      <c r="S27" s="44"/>
      <c r="T27" s="1"/>
    </row>
    <row r="28" spans="1:20" ht="18" customHeight="1" x14ac:dyDescent="0.2">
      <c r="A28" s="1"/>
      <c r="B28" s="1"/>
      <c r="C28" s="1"/>
      <c r="D28" s="1"/>
      <c r="E28" s="2"/>
      <c r="F28" s="1"/>
      <c r="G28" s="43" t="s">
        <v>59</v>
      </c>
      <c r="H28" s="43" t="s">
        <v>60</v>
      </c>
      <c r="I28" s="1"/>
      <c r="J28" s="43"/>
      <c r="K28" s="51">
        <f>365*24</f>
        <v>8760</v>
      </c>
      <c r="L28" s="1" t="s">
        <v>61</v>
      </c>
      <c r="M28" s="43"/>
      <c r="N28" s="1"/>
      <c r="O28" s="43"/>
      <c r="P28" s="1"/>
      <c r="Q28" s="3"/>
      <c r="R28" s="1"/>
      <c r="S28" s="44"/>
      <c r="T28" s="1"/>
    </row>
    <row r="29" spans="1:20" ht="18" customHeight="1" x14ac:dyDescent="0.2">
      <c r="A29" s="1"/>
      <c r="B29" s="1"/>
      <c r="C29" s="1"/>
      <c r="D29" s="1"/>
      <c r="E29" s="2"/>
      <c r="F29" s="1"/>
      <c r="G29" s="43" t="s">
        <v>62</v>
      </c>
      <c r="H29" s="43" t="s">
        <v>63</v>
      </c>
      <c r="I29" s="1"/>
      <c r="J29" s="43"/>
      <c r="K29" s="43"/>
      <c r="L29" s="1"/>
      <c r="M29" s="43"/>
      <c r="N29" s="1"/>
      <c r="O29" s="43"/>
      <c r="P29" s="1"/>
      <c r="Q29" s="3"/>
      <c r="R29" s="1"/>
      <c r="S29" s="44"/>
      <c r="T29" s="1"/>
    </row>
    <row r="30" spans="1:20" ht="18" customHeight="1" x14ac:dyDescent="0.2">
      <c r="A30" s="1"/>
      <c r="B30" s="1"/>
      <c r="C30" s="1"/>
      <c r="D30" s="1"/>
      <c r="E30" s="2" t="s">
        <v>64</v>
      </c>
      <c r="F30" s="1"/>
      <c r="G30" s="43"/>
      <c r="H30" s="52">
        <v>0.75</v>
      </c>
      <c r="I30" s="53" t="s">
        <v>65</v>
      </c>
      <c r="J30" s="50">
        <v>1350</v>
      </c>
      <c r="K30" s="43" t="s">
        <v>66</v>
      </c>
      <c r="L30" s="1"/>
      <c r="M30" s="43"/>
      <c r="N30" s="1"/>
      <c r="O30" s="43"/>
      <c r="P30" s="1"/>
      <c r="Q30" s="3"/>
      <c r="R30" s="1"/>
      <c r="S30" s="44"/>
      <c r="T30" s="1"/>
    </row>
    <row r="31" spans="1:20" ht="18" customHeight="1" x14ac:dyDescent="0.2">
      <c r="A31" s="1"/>
      <c r="B31" s="1"/>
      <c r="C31" s="1" t="s">
        <v>67</v>
      </c>
      <c r="D31" s="1"/>
      <c r="E31" s="54">
        <f t="shared" ref="E31:E50" si="0">G31/G$31</f>
        <v>1</v>
      </c>
      <c r="F31" s="55"/>
      <c r="G31" s="51">
        <v>2250</v>
      </c>
      <c r="H31" s="52"/>
      <c r="I31" s="1"/>
      <c r="J31" s="43"/>
      <c r="K31" s="43"/>
      <c r="L31" s="1"/>
      <c r="M31" s="43"/>
      <c r="N31" s="1"/>
      <c r="O31" s="43"/>
      <c r="P31" s="1"/>
      <c r="Q31" s="3"/>
      <c r="R31" s="1"/>
      <c r="S31" s="44"/>
      <c r="T31" s="1"/>
    </row>
    <row r="32" spans="1:20" ht="18" customHeight="1" x14ac:dyDescent="0.2">
      <c r="A32" s="1"/>
      <c r="B32" s="1"/>
      <c r="C32" s="1" t="s">
        <v>68</v>
      </c>
      <c r="D32" s="1"/>
      <c r="E32" s="54">
        <f t="shared" si="0"/>
        <v>0.71111111111111114</v>
      </c>
      <c r="F32" s="55"/>
      <c r="G32" s="51">
        <v>1600</v>
      </c>
      <c r="H32" s="43"/>
      <c r="I32" s="1"/>
      <c r="J32" s="43"/>
      <c r="K32" s="43"/>
      <c r="L32" s="1"/>
      <c r="M32" s="43"/>
      <c r="N32" s="1"/>
      <c r="O32" s="43"/>
      <c r="P32" s="1"/>
      <c r="Q32" s="3"/>
      <c r="R32" s="1"/>
      <c r="S32" s="44"/>
      <c r="T32" s="1"/>
    </row>
    <row r="33" spans="1:20" ht="18" customHeight="1" x14ac:dyDescent="0.2">
      <c r="A33" s="1"/>
      <c r="B33" s="1"/>
      <c r="C33" s="1" t="s">
        <v>69</v>
      </c>
      <c r="D33" s="1"/>
      <c r="E33" s="54">
        <f t="shared" si="0"/>
        <v>0.84888888888888892</v>
      </c>
      <c r="F33" s="55"/>
      <c r="G33" s="51">
        <v>1910</v>
      </c>
      <c r="H33" s="51">
        <v>1450</v>
      </c>
      <c r="I33" s="1"/>
      <c r="J33" s="43"/>
      <c r="K33" s="43"/>
      <c r="L33" s="1"/>
      <c r="M33" s="43"/>
      <c r="N33" s="1"/>
      <c r="O33" s="43"/>
      <c r="P33" s="1"/>
      <c r="Q33" s="3"/>
      <c r="R33" s="1"/>
      <c r="S33" s="44" t="s">
        <v>70</v>
      </c>
      <c r="T33" s="1"/>
    </row>
    <row r="34" spans="1:20" ht="18" customHeight="1" x14ac:dyDescent="0.2">
      <c r="A34" s="1"/>
      <c r="B34" s="1"/>
      <c r="C34" s="1" t="s">
        <v>71</v>
      </c>
      <c r="D34" s="1"/>
      <c r="E34" s="54">
        <f t="shared" si="0"/>
        <v>0.9555555555555556</v>
      </c>
      <c r="F34" s="55"/>
      <c r="G34" s="51">
        <v>2150</v>
      </c>
      <c r="H34" s="51">
        <v>1696</v>
      </c>
      <c r="I34" s="1"/>
      <c r="J34" s="168" t="s">
        <v>225</v>
      </c>
      <c r="K34" s="43" t="s">
        <v>72</v>
      </c>
      <c r="L34" s="1"/>
      <c r="M34" s="51">
        <v>780</v>
      </c>
      <c r="N34" s="1" t="s">
        <v>73</v>
      </c>
      <c r="O34" s="51">
        <v>6300</v>
      </c>
      <c r="P34" s="1" t="s">
        <v>74</v>
      </c>
      <c r="Q34" s="57">
        <f>M34*1000/O34</f>
        <v>123.80952380952381</v>
      </c>
      <c r="R34" s="1" t="s">
        <v>75</v>
      </c>
      <c r="S34" s="58">
        <f>Q34/G34</f>
        <v>5.7585825027685493E-2</v>
      </c>
      <c r="T34" s="167"/>
    </row>
    <row r="35" spans="1:20" ht="18" customHeight="1" x14ac:dyDescent="0.2">
      <c r="A35" s="1"/>
      <c r="B35" s="1"/>
      <c r="C35" s="1" t="s">
        <v>76</v>
      </c>
      <c r="D35" s="1"/>
      <c r="E35" s="54">
        <f t="shared" si="0"/>
        <v>0.53333333333333333</v>
      </c>
      <c r="F35" s="55"/>
      <c r="G35" s="51">
        <v>1200</v>
      </c>
      <c r="H35" s="43"/>
      <c r="I35" s="1"/>
      <c r="J35" s="43"/>
      <c r="K35" s="43"/>
      <c r="L35" s="1"/>
      <c r="M35" s="43"/>
      <c r="N35" s="1"/>
      <c r="O35" s="43"/>
      <c r="P35" s="1"/>
      <c r="Q35" s="3"/>
      <c r="R35" s="1"/>
      <c r="S35" s="44"/>
      <c r="T35" s="1"/>
    </row>
    <row r="36" spans="1:20" ht="18" customHeight="1" x14ac:dyDescent="0.2">
      <c r="A36" s="1"/>
      <c r="B36" s="1"/>
      <c r="C36" s="1" t="s">
        <v>77</v>
      </c>
      <c r="D36" s="1"/>
      <c r="E36" s="54">
        <f t="shared" si="0"/>
        <v>0.44444444444444442</v>
      </c>
      <c r="F36" s="55"/>
      <c r="G36" s="51">
        <v>1000</v>
      </c>
      <c r="H36" s="43"/>
      <c r="I36" s="1"/>
      <c r="J36" s="43"/>
      <c r="K36" s="43"/>
      <c r="L36" s="1"/>
      <c r="M36" s="43"/>
      <c r="N36" s="1"/>
      <c r="O36" s="43"/>
      <c r="P36" s="1"/>
      <c r="Q36" s="3"/>
      <c r="R36" s="1"/>
      <c r="S36" s="44"/>
      <c r="T36" s="1"/>
    </row>
    <row r="37" spans="1:20" ht="18" customHeight="1" x14ac:dyDescent="0.2">
      <c r="A37" s="1"/>
      <c r="B37" s="1"/>
      <c r="C37" s="1" t="s">
        <v>78</v>
      </c>
      <c r="D37" s="1"/>
      <c r="E37" s="54">
        <f t="shared" si="0"/>
        <v>0.62222222222222223</v>
      </c>
      <c r="F37" s="55"/>
      <c r="G37" s="51">
        <v>1400</v>
      </c>
      <c r="H37" s="43"/>
      <c r="I37" s="1"/>
      <c r="J37" s="59" t="s">
        <v>79</v>
      </c>
      <c r="K37" s="43"/>
      <c r="L37" s="1"/>
      <c r="M37" s="43"/>
      <c r="N37" s="1"/>
      <c r="O37" s="43"/>
      <c r="P37" s="1"/>
      <c r="Q37" s="3"/>
      <c r="R37" s="1"/>
      <c r="S37" s="44"/>
      <c r="T37" s="1"/>
    </row>
    <row r="38" spans="1:20" ht="18" customHeight="1" x14ac:dyDescent="0.2">
      <c r="A38" s="1"/>
      <c r="B38" s="1"/>
      <c r="C38" s="1" t="s">
        <v>80</v>
      </c>
      <c r="D38" s="1"/>
      <c r="E38" s="54">
        <f t="shared" si="0"/>
        <v>0.88888888888888884</v>
      </c>
      <c r="F38" s="55"/>
      <c r="G38" s="51">
        <v>2000</v>
      </c>
      <c r="H38" s="51">
        <v>1500</v>
      </c>
      <c r="I38" s="1"/>
      <c r="J38" s="59" t="s">
        <v>81</v>
      </c>
      <c r="K38" s="43"/>
      <c r="L38" s="1"/>
      <c r="M38" s="43"/>
      <c r="N38" s="1"/>
      <c r="O38" s="43"/>
      <c r="P38" s="1"/>
      <c r="Q38" s="3"/>
      <c r="R38" s="1"/>
      <c r="S38" s="44"/>
      <c r="T38" s="1"/>
    </row>
    <row r="39" spans="1:20" ht="18" customHeight="1" x14ac:dyDescent="0.2">
      <c r="A39" s="1"/>
      <c r="B39" s="1"/>
      <c r="C39" s="1" t="s">
        <v>82</v>
      </c>
      <c r="D39" s="1"/>
      <c r="E39" s="54">
        <f t="shared" si="0"/>
        <v>0.88888888888888884</v>
      </c>
      <c r="F39" s="55"/>
      <c r="G39" s="51">
        <v>2000</v>
      </c>
      <c r="H39" s="43"/>
      <c r="I39" s="1"/>
      <c r="J39" s="43"/>
      <c r="K39" s="43"/>
      <c r="L39" s="1"/>
      <c r="M39" s="43"/>
      <c r="N39" s="1"/>
      <c r="O39" s="43"/>
      <c r="P39" s="1"/>
      <c r="Q39" s="3"/>
      <c r="R39" s="1"/>
      <c r="S39" s="44"/>
      <c r="T39" s="1"/>
    </row>
    <row r="40" spans="1:20" ht="18" customHeight="1" x14ac:dyDescent="0.2">
      <c r="A40" s="1"/>
      <c r="B40" s="1"/>
      <c r="C40" s="1" t="s">
        <v>83</v>
      </c>
      <c r="D40" s="1"/>
      <c r="E40" s="54">
        <f t="shared" si="0"/>
        <v>0.8</v>
      </c>
      <c r="F40" s="55"/>
      <c r="G40" s="51">
        <v>1800</v>
      </c>
      <c r="H40" s="43"/>
      <c r="I40" s="1"/>
      <c r="J40" s="43"/>
      <c r="K40" s="43"/>
      <c r="L40" s="1"/>
      <c r="M40" s="43"/>
      <c r="N40" s="1"/>
      <c r="O40" s="43"/>
      <c r="P40" s="1"/>
      <c r="Q40" s="3"/>
      <c r="R40" s="1"/>
      <c r="S40" s="44"/>
      <c r="T40" s="1"/>
    </row>
    <row r="41" spans="1:20" ht="18" customHeight="1" x14ac:dyDescent="0.2">
      <c r="A41" s="1"/>
      <c r="B41" s="1"/>
      <c r="C41" s="1" t="s">
        <v>84</v>
      </c>
      <c r="D41" s="1"/>
      <c r="E41" s="54">
        <f t="shared" si="0"/>
        <v>0.97777777777777775</v>
      </c>
      <c r="F41" s="55"/>
      <c r="G41" s="51">
        <v>2200</v>
      </c>
      <c r="H41" s="43"/>
      <c r="I41" s="1"/>
      <c r="J41" s="43"/>
      <c r="K41" s="43"/>
      <c r="L41" s="1"/>
      <c r="M41" s="43"/>
      <c r="N41" s="1"/>
      <c r="O41" s="43"/>
      <c r="P41" s="1"/>
      <c r="Q41" s="3"/>
      <c r="R41" s="1"/>
      <c r="S41" s="44"/>
      <c r="T41" s="1"/>
    </row>
    <row r="42" spans="1:20" ht="18" customHeight="1" x14ac:dyDescent="0.2">
      <c r="A42" s="1"/>
      <c r="B42" s="1"/>
      <c r="C42" s="1" t="s">
        <v>85</v>
      </c>
      <c r="D42" s="1"/>
      <c r="E42" s="54">
        <f t="shared" si="0"/>
        <v>0.88888888888888884</v>
      </c>
      <c r="F42" s="55"/>
      <c r="G42" s="51">
        <v>2000</v>
      </c>
      <c r="H42" s="43"/>
      <c r="I42" s="1"/>
      <c r="J42" s="43"/>
      <c r="K42" s="43"/>
      <c r="L42" s="1"/>
      <c r="M42" s="43"/>
      <c r="N42" s="1"/>
      <c r="O42" s="43"/>
      <c r="P42" s="1"/>
      <c r="Q42" s="3"/>
      <c r="R42" s="1"/>
      <c r="S42" s="44"/>
      <c r="T42" s="1"/>
    </row>
    <row r="43" spans="1:20" ht="18" customHeight="1" x14ac:dyDescent="0.2">
      <c r="A43" s="1"/>
      <c r="B43" s="1"/>
      <c r="C43" s="1" t="s">
        <v>86</v>
      </c>
      <c r="D43" s="1"/>
      <c r="E43" s="54">
        <f t="shared" si="0"/>
        <v>0.88888888888888884</v>
      </c>
      <c r="F43" s="55"/>
      <c r="G43" s="51">
        <v>2000</v>
      </c>
      <c r="H43" s="43"/>
      <c r="I43" s="1"/>
      <c r="J43" s="43"/>
      <c r="K43" s="43"/>
      <c r="L43" s="1"/>
      <c r="M43" s="43"/>
      <c r="N43" s="1"/>
      <c r="O43" s="43"/>
      <c r="P43" s="1"/>
      <c r="Q43" s="3"/>
      <c r="R43" s="1"/>
      <c r="S43" s="44"/>
      <c r="T43" s="1"/>
    </row>
    <row r="44" spans="1:20" ht="18" customHeight="1" x14ac:dyDescent="0.2">
      <c r="A44" s="1"/>
      <c r="B44" s="1"/>
      <c r="C44" s="1" t="s">
        <v>87</v>
      </c>
      <c r="D44" s="1"/>
      <c r="E44" s="54">
        <f t="shared" si="0"/>
        <v>0.71111111111111114</v>
      </c>
      <c r="F44" s="55"/>
      <c r="G44" s="51">
        <v>1600</v>
      </c>
      <c r="H44" s="43"/>
      <c r="I44" s="1"/>
      <c r="J44" s="43"/>
      <c r="K44" s="43"/>
      <c r="L44" s="1"/>
      <c r="M44" s="43"/>
      <c r="N44" s="1"/>
      <c r="O44" s="43"/>
      <c r="P44" s="1"/>
      <c r="Q44" s="3"/>
      <c r="R44" s="1"/>
      <c r="S44" s="44"/>
      <c r="T44" s="1"/>
    </row>
    <row r="45" spans="1:20" ht="18" customHeight="1" x14ac:dyDescent="0.2">
      <c r="A45" s="1"/>
      <c r="B45" s="1"/>
      <c r="C45" s="1" t="s">
        <v>88</v>
      </c>
      <c r="D45" s="1"/>
      <c r="E45" s="54">
        <f t="shared" si="0"/>
        <v>0.48888888888888887</v>
      </c>
      <c r="F45" s="55"/>
      <c r="G45" s="51">
        <v>1100</v>
      </c>
      <c r="H45" s="43"/>
      <c r="I45" s="1"/>
      <c r="J45" s="43"/>
      <c r="K45" s="43"/>
      <c r="L45" s="1"/>
      <c r="M45" s="43"/>
      <c r="N45" s="1"/>
      <c r="O45" s="43"/>
      <c r="P45" s="1"/>
      <c r="Q45" s="3"/>
      <c r="R45" s="1"/>
      <c r="S45" s="44"/>
      <c r="T45" s="1"/>
    </row>
    <row r="46" spans="1:20" ht="18" customHeight="1" x14ac:dyDescent="0.2">
      <c r="A46" s="1"/>
      <c r="B46" s="1"/>
      <c r="C46" s="1" t="s">
        <v>89</v>
      </c>
      <c r="D46" s="1"/>
      <c r="E46" s="54">
        <f t="shared" si="0"/>
        <v>0.44444444444444442</v>
      </c>
      <c r="F46" s="55"/>
      <c r="G46" s="51">
        <v>1000</v>
      </c>
      <c r="H46" s="43"/>
      <c r="I46" s="1"/>
      <c r="J46" s="43"/>
      <c r="K46" s="43"/>
      <c r="L46" s="1"/>
      <c r="M46" s="43"/>
      <c r="N46" s="1"/>
      <c r="O46" s="43"/>
      <c r="P46" s="1"/>
      <c r="Q46" s="3"/>
      <c r="R46" s="1"/>
      <c r="S46" s="44"/>
      <c r="T46" s="1"/>
    </row>
    <row r="47" spans="1:20" ht="18" customHeight="1" x14ac:dyDescent="0.2">
      <c r="A47" s="1"/>
      <c r="B47" s="1"/>
      <c r="C47" s="1" t="s">
        <v>90</v>
      </c>
      <c r="D47" s="1"/>
      <c r="E47" s="54">
        <f t="shared" si="0"/>
        <v>0.44444444444444442</v>
      </c>
      <c r="F47" s="55"/>
      <c r="G47" s="51">
        <v>1000</v>
      </c>
      <c r="H47" s="43"/>
      <c r="I47" s="1"/>
      <c r="J47" s="43"/>
      <c r="K47" s="43"/>
      <c r="L47" s="1"/>
      <c r="M47" s="43"/>
      <c r="N47" s="1"/>
      <c r="O47" s="43"/>
      <c r="P47" s="1"/>
      <c r="Q47" s="3"/>
      <c r="R47" s="1"/>
      <c r="S47" s="44"/>
      <c r="T47" s="1"/>
    </row>
    <row r="48" spans="1:20" ht="18" customHeight="1" x14ac:dyDescent="0.2">
      <c r="A48" s="1"/>
      <c r="B48" s="1"/>
      <c r="C48" s="1" t="s">
        <v>91</v>
      </c>
      <c r="D48" s="1"/>
      <c r="E48" s="54">
        <f t="shared" si="0"/>
        <v>0.48888888888888887</v>
      </c>
      <c r="F48" s="55"/>
      <c r="G48" s="51">
        <v>1100</v>
      </c>
      <c r="H48" s="43"/>
      <c r="I48" s="1"/>
      <c r="J48" s="43"/>
      <c r="K48" s="43"/>
      <c r="L48" s="1"/>
      <c r="M48" s="43"/>
      <c r="N48" s="1"/>
      <c r="O48" s="43"/>
      <c r="P48" s="1"/>
      <c r="Q48" s="3"/>
      <c r="R48" s="1"/>
      <c r="S48" s="44"/>
      <c r="T48" s="1"/>
    </row>
    <row r="49" spans="1:20" ht="18" customHeight="1" x14ac:dyDescent="0.2">
      <c r="A49" s="1"/>
      <c r="B49" s="1"/>
      <c r="C49" s="1" t="s">
        <v>92</v>
      </c>
      <c r="D49" s="1"/>
      <c r="E49" s="54">
        <f t="shared" si="0"/>
        <v>0.48888888888888887</v>
      </c>
      <c r="F49" s="55"/>
      <c r="G49" s="51">
        <v>1100</v>
      </c>
      <c r="H49" s="43"/>
      <c r="I49" s="1"/>
      <c r="J49" s="43"/>
      <c r="K49" s="43"/>
      <c r="L49" s="1"/>
      <c r="M49" s="43"/>
      <c r="N49" s="1"/>
      <c r="O49" s="43"/>
      <c r="P49" s="1"/>
      <c r="Q49" s="3"/>
      <c r="R49" s="1"/>
      <c r="S49" s="44"/>
      <c r="T49" s="1"/>
    </row>
    <row r="50" spans="1:20" ht="18" customHeight="1" x14ac:dyDescent="0.2">
      <c r="A50" s="1"/>
      <c r="B50" s="1"/>
      <c r="C50" s="1" t="s">
        <v>93</v>
      </c>
      <c r="D50" s="1"/>
      <c r="E50" s="54">
        <f t="shared" si="0"/>
        <v>1.3333333333333333</v>
      </c>
      <c r="F50" s="1"/>
      <c r="G50" s="51">
        <v>3000</v>
      </c>
      <c r="H50" s="43" t="s">
        <v>94</v>
      </c>
      <c r="I50" s="1"/>
      <c r="J50" s="43"/>
      <c r="K50" s="43"/>
      <c r="L50" s="1"/>
      <c r="M50" s="43"/>
      <c r="N50" s="1"/>
      <c r="O50" s="43"/>
      <c r="P50" s="1"/>
      <c r="Q50" s="3"/>
      <c r="R50" s="1"/>
      <c r="S50" s="44"/>
      <c r="T50" s="1"/>
    </row>
    <row r="51" spans="1:20" ht="18" customHeight="1" x14ac:dyDescent="0.2">
      <c r="A51" s="1"/>
      <c r="B51" s="1"/>
      <c r="C51" s="1"/>
      <c r="D51" s="1"/>
      <c r="E51" s="54"/>
      <c r="F51" s="1"/>
      <c r="G51" s="43"/>
      <c r="H51" s="43"/>
      <c r="I51" s="1"/>
      <c r="J51" s="43"/>
      <c r="K51" s="43"/>
      <c r="L51" s="1"/>
      <c r="M51" s="43"/>
      <c r="N51" s="1"/>
      <c r="O51" s="43"/>
      <c r="P51" s="1"/>
      <c r="Q51" s="3"/>
      <c r="R51" s="1"/>
      <c r="S51" s="44"/>
      <c r="T51" s="1"/>
    </row>
    <row r="52" spans="1:20" ht="18" customHeight="1" x14ac:dyDescent="0.2">
      <c r="A52" s="1"/>
      <c r="B52" s="46" t="s">
        <v>95</v>
      </c>
      <c r="C52" s="1"/>
      <c r="D52" s="1"/>
      <c r="E52" s="2"/>
      <c r="F52" s="1"/>
      <c r="G52" s="43"/>
      <c r="H52" s="43"/>
      <c r="I52" s="1"/>
      <c r="J52" s="43"/>
      <c r="K52" s="43"/>
      <c r="L52" s="1"/>
      <c r="M52" s="43"/>
      <c r="N52" s="1"/>
      <c r="O52" s="43"/>
      <c r="P52" s="1"/>
      <c r="Q52" s="3"/>
      <c r="R52" s="1"/>
      <c r="S52" s="44"/>
      <c r="T52" s="1"/>
    </row>
    <row r="53" spans="1:20" ht="18" customHeight="1" x14ac:dyDescent="0.2">
      <c r="A53" s="1"/>
      <c r="B53" s="1"/>
      <c r="C53" s="167" t="s">
        <v>96</v>
      </c>
      <c r="D53" s="1"/>
      <c r="E53" s="2"/>
      <c r="F53" s="1"/>
      <c r="G53" s="43"/>
      <c r="H53" s="43"/>
      <c r="I53" s="1"/>
      <c r="J53" s="43"/>
      <c r="K53" s="43"/>
      <c r="L53" s="1"/>
      <c r="M53" s="43"/>
      <c r="N53" s="1"/>
      <c r="O53" s="43"/>
      <c r="P53" s="1"/>
      <c r="Q53" s="3"/>
      <c r="R53" s="1"/>
      <c r="S53" s="44"/>
      <c r="T53" s="1"/>
    </row>
    <row r="54" spans="1:20" ht="18" customHeight="1" x14ac:dyDescent="0.2">
      <c r="A54" s="1"/>
      <c r="B54" s="1"/>
      <c r="C54" s="167" t="s">
        <v>97</v>
      </c>
      <c r="D54" s="1"/>
      <c r="E54" s="2"/>
      <c r="F54" s="1"/>
      <c r="G54" s="43"/>
      <c r="H54" s="43"/>
      <c r="I54" s="1"/>
      <c r="J54" s="43"/>
      <c r="K54" s="43"/>
      <c r="L54" s="1"/>
      <c r="M54" s="43"/>
      <c r="N54" s="1"/>
      <c r="O54" s="43"/>
      <c r="P54" s="1"/>
      <c r="Q54" s="3"/>
      <c r="R54" s="1"/>
      <c r="S54" s="44"/>
      <c r="T54" s="1"/>
    </row>
    <row r="55" spans="1:20" ht="18" customHeight="1" x14ac:dyDescent="0.2">
      <c r="A55" s="1"/>
      <c r="B55" s="1"/>
      <c r="C55" s="167" t="s">
        <v>98</v>
      </c>
      <c r="D55" s="1"/>
      <c r="E55" s="2"/>
      <c r="F55" s="1"/>
      <c r="G55" s="43"/>
      <c r="H55" s="43"/>
      <c r="I55" s="1"/>
      <c r="J55" s="43"/>
      <c r="K55" s="43"/>
      <c r="L55" s="1"/>
      <c r="M55" s="43"/>
      <c r="N55" s="1"/>
      <c r="O55" s="43"/>
      <c r="P55" s="1"/>
      <c r="Q55" s="3"/>
      <c r="R55" s="1"/>
      <c r="S55" s="44"/>
      <c r="T55" s="1"/>
    </row>
    <row r="56" spans="1:20" ht="18" customHeight="1" x14ac:dyDescent="0.2">
      <c r="A56" s="1"/>
      <c r="B56" s="1"/>
      <c r="C56" s="1" t="s">
        <v>99</v>
      </c>
      <c r="D56" s="1"/>
      <c r="E56" s="2"/>
      <c r="F56" s="1"/>
      <c r="G56" s="43"/>
      <c r="H56" s="43"/>
      <c r="I56" s="1"/>
      <c r="J56" s="43"/>
      <c r="K56" s="43"/>
      <c r="L56" s="1"/>
      <c r="M56" s="43"/>
      <c r="N56" s="1"/>
      <c r="O56" s="43"/>
      <c r="P56" s="1"/>
      <c r="Q56" s="3"/>
      <c r="R56" s="1"/>
      <c r="S56" s="44"/>
      <c r="T56" s="1"/>
    </row>
    <row r="57" spans="1:20" ht="18" customHeight="1" x14ac:dyDescent="0.2">
      <c r="A57" s="1"/>
      <c r="B57" s="1"/>
      <c r="C57" s="1"/>
      <c r="D57" s="1"/>
      <c r="E57" s="2"/>
      <c r="F57" s="1"/>
      <c r="G57" s="43"/>
      <c r="H57" s="43"/>
      <c r="I57" s="1"/>
      <c r="J57" s="43"/>
      <c r="K57" s="43"/>
      <c r="L57" s="1"/>
      <c r="M57" s="43"/>
      <c r="N57" s="1"/>
      <c r="O57" s="43"/>
      <c r="P57" s="1"/>
      <c r="Q57" s="3"/>
      <c r="R57" s="1"/>
      <c r="S57" s="44"/>
      <c r="T57" s="1"/>
    </row>
    <row r="58" spans="1:20" ht="18" customHeight="1" x14ac:dyDescent="0.2">
      <c r="A58" s="1"/>
      <c r="B58" s="60" t="s">
        <v>100</v>
      </c>
      <c r="C58" s="61"/>
      <c r="D58" s="61"/>
      <c r="E58" s="62"/>
      <c r="F58" s="61"/>
      <c r="G58" s="63"/>
      <c r="H58" s="63"/>
      <c r="I58" s="61"/>
      <c r="J58" s="63"/>
      <c r="K58" s="63"/>
      <c r="L58" s="1"/>
      <c r="M58" s="43"/>
      <c r="N58" s="1"/>
      <c r="O58" s="43"/>
      <c r="P58" s="1"/>
      <c r="Q58" s="3"/>
      <c r="R58" s="1"/>
      <c r="S58" s="44"/>
      <c r="T58" s="1"/>
    </row>
    <row r="59" spans="1:20" ht="18" customHeight="1" x14ac:dyDescent="0.2">
      <c r="A59" s="1"/>
      <c r="B59" s="60"/>
      <c r="C59" s="166" t="s">
        <v>101</v>
      </c>
      <c r="D59" s="61"/>
      <c r="E59" s="62"/>
      <c r="F59" s="61"/>
      <c r="G59" s="63"/>
      <c r="H59" s="63"/>
      <c r="I59" s="61"/>
      <c r="J59" s="63"/>
      <c r="K59" s="63"/>
      <c r="L59" s="1"/>
      <c r="M59" s="43"/>
      <c r="N59" s="1"/>
      <c r="O59" s="43"/>
      <c r="P59" s="1"/>
      <c r="Q59" s="3"/>
      <c r="R59" s="1"/>
      <c r="S59" s="44"/>
      <c r="T59" s="1"/>
    </row>
    <row r="60" spans="1:20" ht="18" customHeight="1" x14ac:dyDescent="0.2">
      <c r="A60" s="1"/>
      <c r="B60" s="60"/>
      <c r="C60" s="64" t="s">
        <v>102</v>
      </c>
      <c r="D60" s="61"/>
      <c r="E60" s="62"/>
      <c r="F60" s="61"/>
      <c r="G60" s="63"/>
      <c r="H60" s="63"/>
      <c r="I60" s="61"/>
      <c r="J60" s="63"/>
      <c r="K60" s="63"/>
      <c r="L60" s="1"/>
      <c r="M60" s="43"/>
      <c r="N60" s="1"/>
      <c r="O60" s="43"/>
      <c r="P60" s="1"/>
      <c r="Q60" s="3"/>
      <c r="R60" s="1"/>
      <c r="S60" s="44"/>
      <c r="T60" s="1"/>
    </row>
    <row r="61" spans="1:20" ht="18" customHeight="1" x14ac:dyDescent="0.2">
      <c r="A61" s="1"/>
      <c r="B61" s="1"/>
      <c r="C61" s="1"/>
      <c r="D61" s="1"/>
      <c r="E61" s="2"/>
      <c r="F61" s="1"/>
      <c r="G61" s="43"/>
      <c r="H61" s="43"/>
      <c r="I61" s="1"/>
      <c r="J61" s="43"/>
      <c r="K61" s="43"/>
      <c r="L61" s="1"/>
      <c r="M61" s="43"/>
      <c r="N61" s="1"/>
      <c r="O61" s="43"/>
      <c r="P61" s="1"/>
      <c r="Q61" s="3"/>
      <c r="R61" s="1"/>
      <c r="S61" s="44"/>
      <c r="T61" s="1"/>
    </row>
    <row r="62" spans="1:20" ht="18" customHeight="1" x14ac:dyDescent="0.2">
      <c r="A62" s="45" t="s">
        <v>103</v>
      </c>
      <c r="B62" s="1"/>
      <c r="C62" s="1"/>
      <c r="D62" s="1"/>
      <c r="E62" s="2"/>
      <c r="F62" s="1"/>
      <c r="G62" s="43"/>
      <c r="H62" s="43"/>
      <c r="I62" s="1"/>
      <c r="J62" s="43"/>
      <c r="K62" s="43"/>
      <c r="L62" s="1"/>
      <c r="M62" s="43"/>
      <c r="N62" s="1"/>
      <c r="O62" s="43"/>
      <c r="P62" s="1"/>
      <c r="Q62" s="3"/>
      <c r="R62" s="1"/>
      <c r="S62" s="44"/>
      <c r="T62" s="1"/>
    </row>
    <row r="63" spans="1:20" ht="18" customHeight="1" x14ac:dyDescent="0.2">
      <c r="A63" s="1"/>
      <c r="B63" s="1"/>
      <c r="C63" s="165" t="s">
        <v>104</v>
      </c>
      <c r="D63" s="1"/>
      <c r="E63" s="2"/>
      <c r="F63" s="1"/>
      <c r="G63" s="43"/>
      <c r="H63" s="43"/>
      <c r="I63" s="1"/>
      <c r="J63" s="43"/>
      <c r="K63" s="43"/>
      <c r="L63" s="1"/>
      <c r="M63" s="43"/>
      <c r="N63" s="1"/>
      <c r="O63" s="43"/>
      <c r="P63" s="1"/>
      <c r="Q63" s="3"/>
      <c r="R63" s="1"/>
      <c r="S63" s="44"/>
      <c r="T63" s="1"/>
    </row>
  </sheetData>
  <mergeCells count="1">
    <mergeCell ref="G27:H27"/>
  </mergeCells>
  <hyperlinks>
    <hyperlink ref="C63" r:id="rId1" xr:uid="{8EBD65AC-945C-BB45-8B9B-1A33A3F9B16C}"/>
    <hyperlink ref="C59" r:id="rId2" xr:uid="{FA570EEE-B0F3-8246-ADB6-2BA64263DAF4}"/>
    <hyperlink ref="C53" r:id="rId3" xr:uid="{06C9C7B5-3160-D846-80A6-8AFBFA2D5101}"/>
    <hyperlink ref="C54" r:id="rId4" xr:uid="{0BBA80A4-6DA5-6249-96C8-9B77E6E724DD}"/>
    <hyperlink ref="C55" r:id="rId5" xr:uid="{AF942DE8-357B-704B-B676-B2755842B426}"/>
    <hyperlink ref="J34" r:id="rId6" xr:uid="{DC325B7F-BBD9-F94C-8CBA-DE82F2D9DA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A268-96A7-4546-8D89-3894662D0E09}">
  <dimension ref="A1:G41"/>
  <sheetViews>
    <sheetView workbookViewId="0">
      <selection activeCell="G17" sqref="G17"/>
    </sheetView>
  </sheetViews>
  <sheetFormatPr baseColWidth="10" defaultRowHeight="15" x14ac:dyDescent="0.2"/>
  <cols>
    <col min="2" max="2" width="11.83203125" customWidth="1"/>
    <col min="6" max="6" width="15.6640625" customWidth="1"/>
    <col min="7" max="7" width="12.83203125" customWidth="1"/>
  </cols>
  <sheetData>
    <row r="1" spans="1:6" x14ac:dyDescent="0.2">
      <c r="A1" s="40"/>
      <c r="B1" s="89"/>
      <c r="C1" s="40"/>
      <c r="D1" s="91"/>
      <c r="E1" s="65"/>
      <c r="F1" s="40"/>
    </row>
    <row r="2" spans="1:6" x14ac:dyDescent="0.2">
      <c r="A2" s="40" t="s">
        <v>141</v>
      </c>
      <c r="B2" s="89"/>
      <c r="C2" s="40"/>
      <c r="D2" s="91"/>
      <c r="E2" s="65"/>
      <c r="F2" s="40"/>
    </row>
    <row r="3" spans="1:6" x14ac:dyDescent="0.2">
      <c r="A3" s="40" t="s">
        <v>142</v>
      </c>
      <c r="B3" s="89" t="s">
        <v>143</v>
      </c>
      <c r="C3" s="40"/>
      <c r="D3" s="91"/>
      <c r="E3" s="65"/>
      <c r="F3" s="40"/>
    </row>
    <row r="4" spans="1:6" x14ac:dyDescent="0.2">
      <c r="A4" s="40" t="s">
        <v>144</v>
      </c>
      <c r="B4" s="86" t="s">
        <v>145</v>
      </c>
      <c r="C4" s="40"/>
      <c r="D4" s="91"/>
      <c r="E4" s="65"/>
      <c r="F4" s="40"/>
    </row>
    <row r="5" spans="1:6" x14ac:dyDescent="0.2">
      <c r="A5" s="40" t="s">
        <v>146</v>
      </c>
      <c r="B5" s="89" t="s">
        <v>227</v>
      </c>
      <c r="C5" s="40"/>
      <c r="D5" s="91"/>
      <c r="E5" s="65"/>
      <c r="F5" s="40"/>
    </row>
    <row r="6" spans="1:6" x14ac:dyDescent="0.2">
      <c r="A6" s="40" t="s">
        <v>148</v>
      </c>
      <c r="B6" s="89" t="s">
        <v>235</v>
      </c>
      <c r="C6" s="40"/>
      <c r="D6" s="91"/>
      <c r="E6" s="65"/>
      <c r="F6" s="40"/>
    </row>
    <row r="7" spans="1:6" x14ac:dyDescent="0.2">
      <c r="A7" s="40" t="s">
        <v>150</v>
      </c>
      <c r="B7" s="89" t="s">
        <v>151</v>
      </c>
      <c r="C7" s="40"/>
      <c r="D7" s="91"/>
      <c r="E7" s="65"/>
      <c r="F7" s="40"/>
    </row>
    <row r="8" spans="1:6" x14ac:dyDescent="0.2">
      <c r="A8" s="40" t="s">
        <v>152</v>
      </c>
      <c r="B8" s="89" t="s">
        <v>153</v>
      </c>
      <c r="C8" s="40"/>
      <c r="D8" s="89"/>
      <c r="E8" s="65"/>
      <c r="F8" s="40"/>
    </row>
    <row r="9" spans="1:6" x14ac:dyDescent="0.2">
      <c r="A9" s="40" t="s">
        <v>154</v>
      </c>
      <c r="B9" s="89"/>
      <c r="C9" s="40"/>
      <c r="D9" s="91"/>
      <c r="E9" s="65"/>
      <c r="F9" s="40"/>
    </row>
    <row r="10" spans="1:6" x14ac:dyDescent="0.2">
      <c r="A10" s="40" t="s">
        <v>155</v>
      </c>
      <c r="B10" s="56"/>
      <c r="C10" s="40"/>
      <c r="D10" s="91"/>
      <c r="E10" s="65"/>
      <c r="F10" s="40"/>
    </row>
    <row r="11" spans="1:6" x14ac:dyDescent="0.2">
      <c r="A11" s="40" t="s">
        <v>156</v>
      </c>
      <c r="B11" s="89"/>
      <c r="C11" s="40"/>
      <c r="D11" s="91"/>
      <c r="E11" s="65"/>
      <c r="F11" s="40"/>
    </row>
    <row r="12" spans="1:6" x14ac:dyDescent="0.2">
      <c r="A12" s="40"/>
      <c r="B12" s="89"/>
      <c r="C12" s="40"/>
      <c r="D12" s="91"/>
      <c r="E12" s="65"/>
      <c r="F12" s="40"/>
    </row>
    <row r="13" spans="1:6" x14ac:dyDescent="0.2">
      <c r="A13" s="40"/>
      <c r="B13" s="89"/>
      <c r="C13" s="40"/>
      <c r="D13" s="91"/>
      <c r="E13" s="65"/>
      <c r="F13" s="40"/>
    </row>
    <row r="14" spans="1:6" x14ac:dyDescent="0.2">
      <c r="A14" s="40"/>
      <c r="B14" s="89"/>
      <c r="C14" s="40"/>
      <c r="D14" s="91"/>
      <c r="E14" s="65"/>
      <c r="F14" s="40"/>
    </row>
    <row r="15" spans="1:6" x14ac:dyDescent="0.2">
      <c r="A15" s="40"/>
      <c r="B15" s="89"/>
      <c r="C15" s="40"/>
      <c r="D15" s="91"/>
      <c r="E15" s="65"/>
      <c r="F15" s="40"/>
    </row>
    <row r="16" spans="1:6" x14ac:dyDescent="0.2">
      <c r="A16" s="40"/>
      <c r="B16" s="89"/>
      <c r="C16" s="40"/>
      <c r="D16" s="91"/>
      <c r="E16" s="65"/>
      <c r="F16" s="40"/>
    </row>
    <row r="17" spans="1:7" x14ac:dyDescent="0.2">
      <c r="A17" s="40"/>
      <c r="B17" s="93" t="s">
        <v>157</v>
      </c>
      <c r="C17" s="94"/>
      <c r="D17" s="95" t="s">
        <v>159</v>
      </c>
      <c r="E17" s="93" t="s">
        <v>232</v>
      </c>
      <c r="F17" s="94" t="s">
        <v>230</v>
      </c>
    </row>
    <row r="18" spans="1:7" x14ac:dyDescent="0.2">
      <c r="A18" s="88" t="s">
        <v>1</v>
      </c>
      <c r="B18" s="89"/>
      <c r="C18" s="40"/>
      <c r="D18" s="91"/>
      <c r="E18" s="164" t="s">
        <v>231</v>
      </c>
      <c r="F18" s="169" t="s">
        <v>209</v>
      </c>
      <c r="G18" s="169"/>
    </row>
    <row r="19" spans="1:7" x14ac:dyDescent="0.2">
      <c r="A19" s="88" t="s">
        <v>161</v>
      </c>
      <c r="B19" s="89"/>
      <c r="C19" s="40"/>
      <c r="D19" s="91"/>
      <c r="E19" s="90" t="s">
        <v>217</v>
      </c>
      <c r="F19" s="169" t="s">
        <v>217</v>
      </c>
      <c r="G19" s="169"/>
    </row>
    <row r="20" spans="1:7" x14ac:dyDescent="0.2">
      <c r="A20" s="40"/>
      <c r="B20" s="51">
        <v>0</v>
      </c>
      <c r="C20" s="40"/>
      <c r="D20" s="87">
        <v>44713</v>
      </c>
      <c r="E20" s="135">
        <v>12</v>
      </c>
      <c r="F20" s="169">
        <v>10</v>
      </c>
    </row>
    <row r="21" spans="1:7" x14ac:dyDescent="0.2">
      <c r="A21" s="40"/>
      <c r="B21" s="51">
        <f t="shared" ref="B21:B41" si="0">1+B20</f>
        <v>1</v>
      </c>
      <c r="C21" s="40"/>
      <c r="D21" s="87"/>
      <c r="E21" s="65"/>
      <c r="F21" s="40"/>
    </row>
    <row r="22" spans="1:7" x14ac:dyDescent="0.2">
      <c r="A22" s="40"/>
      <c r="B22" s="51">
        <f t="shared" si="0"/>
        <v>2</v>
      </c>
      <c r="C22" s="40"/>
      <c r="D22" s="87"/>
      <c r="E22" s="65"/>
      <c r="F22" s="40"/>
    </row>
    <row r="23" spans="1:7" x14ac:dyDescent="0.2">
      <c r="A23" s="40"/>
      <c r="B23" s="51">
        <f t="shared" si="0"/>
        <v>3</v>
      </c>
      <c r="C23" s="40"/>
      <c r="D23" s="87"/>
      <c r="E23" s="65"/>
      <c r="F23" s="40"/>
    </row>
    <row r="24" spans="1:7" x14ac:dyDescent="0.2">
      <c r="A24" s="40"/>
      <c r="B24" s="51">
        <f t="shared" si="0"/>
        <v>4</v>
      </c>
      <c r="C24" s="40"/>
      <c r="D24" s="87"/>
      <c r="E24" s="65"/>
      <c r="F24" s="40"/>
    </row>
    <row r="25" spans="1:7" x14ac:dyDescent="0.2">
      <c r="A25" s="40"/>
      <c r="B25" s="51">
        <f t="shared" si="0"/>
        <v>5</v>
      </c>
      <c r="C25" s="40"/>
      <c r="D25" s="87"/>
      <c r="E25" s="65"/>
      <c r="F25" s="40"/>
    </row>
    <row r="26" spans="1:7" x14ac:dyDescent="0.2">
      <c r="A26" s="40"/>
      <c r="B26" s="51">
        <f t="shared" si="0"/>
        <v>6</v>
      </c>
      <c r="C26" s="40"/>
      <c r="D26" s="87"/>
      <c r="E26" s="65"/>
      <c r="F26" s="40"/>
    </row>
    <row r="27" spans="1:7" x14ac:dyDescent="0.2">
      <c r="A27" s="40"/>
      <c r="B27" s="51">
        <f t="shared" si="0"/>
        <v>7</v>
      </c>
      <c r="C27" s="40"/>
      <c r="D27" s="87"/>
      <c r="E27" s="65"/>
      <c r="F27" s="40"/>
    </row>
    <row r="28" spans="1:7" x14ac:dyDescent="0.2">
      <c r="A28" s="40"/>
      <c r="B28" s="51">
        <f t="shared" si="0"/>
        <v>8</v>
      </c>
      <c r="C28" s="40"/>
      <c r="D28" s="87"/>
      <c r="E28" s="65"/>
      <c r="F28" s="40"/>
    </row>
    <row r="29" spans="1:7" x14ac:dyDescent="0.2">
      <c r="A29" s="40"/>
      <c r="B29" s="51">
        <f t="shared" si="0"/>
        <v>9</v>
      </c>
      <c r="C29" s="40"/>
      <c r="D29" s="87">
        <v>48366</v>
      </c>
      <c r="E29" s="135"/>
      <c r="F29" s="40"/>
    </row>
    <row r="30" spans="1:7" x14ac:dyDescent="0.2">
      <c r="A30" s="40"/>
      <c r="B30" s="51">
        <f t="shared" si="0"/>
        <v>10</v>
      </c>
      <c r="C30" s="40"/>
      <c r="D30" s="87"/>
      <c r="E30" s="65"/>
      <c r="F30" s="40"/>
    </row>
    <row r="31" spans="1:7" x14ac:dyDescent="0.2">
      <c r="A31" s="40"/>
      <c r="B31" s="51">
        <f t="shared" si="0"/>
        <v>11</v>
      </c>
      <c r="C31" s="40"/>
      <c r="D31" s="87"/>
      <c r="E31" s="65"/>
      <c r="F31" s="40"/>
    </row>
    <row r="32" spans="1:7" x14ac:dyDescent="0.2">
      <c r="A32" s="40"/>
      <c r="B32" s="51">
        <f t="shared" si="0"/>
        <v>12</v>
      </c>
      <c r="C32" s="40"/>
      <c r="D32" s="87"/>
      <c r="E32" s="65"/>
      <c r="F32" s="40"/>
    </row>
    <row r="33" spans="1:6" x14ac:dyDescent="0.2">
      <c r="A33" s="40"/>
      <c r="B33" s="51">
        <f t="shared" si="0"/>
        <v>13</v>
      </c>
      <c r="C33" s="40"/>
      <c r="D33" s="87"/>
      <c r="E33" s="65"/>
      <c r="F33" s="40"/>
    </row>
    <row r="34" spans="1:6" x14ac:dyDescent="0.2">
      <c r="A34" s="40"/>
      <c r="B34" s="51">
        <f t="shared" si="0"/>
        <v>14</v>
      </c>
      <c r="C34" s="40"/>
      <c r="D34" s="87"/>
      <c r="E34" s="65"/>
      <c r="F34" s="40"/>
    </row>
    <row r="35" spans="1:6" x14ac:dyDescent="0.2">
      <c r="A35" s="40"/>
      <c r="B35" s="51">
        <f t="shared" si="0"/>
        <v>15</v>
      </c>
      <c r="C35" s="40"/>
      <c r="D35" s="87"/>
      <c r="E35" s="65"/>
      <c r="F35" s="40"/>
    </row>
    <row r="36" spans="1:6" x14ac:dyDescent="0.2">
      <c r="A36" s="40"/>
      <c r="B36" s="51">
        <f t="shared" si="0"/>
        <v>16</v>
      </c>
      <c r="C36" s="40"/>
      <c r="D36" s="87"/>
      <c r="E36" s="65"/>
      <c r="F36" s="40"/>
    </row>
    <row r="37" spans="1:6" x14ac:dyDescent="0.2">
      <c r="A37" s="40"/>
      <c r="B37" s="51">
        <f t="shared" si="0"/>
        <v>17</v>
      </c>
      <c r="C37" s="40"/>
      <c r="D37" s="87"/>
      <c r="E37" s="65"/>
      <c r="F37" s="40"/>
    </row>
    <row r="38" spans="1:6" x14ac:dyDescent="0.2">
      <c r="A38" s="40"/>
      <c r="B38" s="51">
        <f t="shared" si="0"/>
        <v>18</v>
      </c>
      <c r="C38" s="40"/>
      <c r="D38" s="87"/>
      <c r="E38" s="65"/>
      <c r="F38" s="40"/>
    </row>
    <row r="39" spans="1:6" x14ac:dyDescent="0.2">
      <c r="A39" s="40"/>
      <c r="B39" s="51">
        <f t="shared" si="0"/>
        <v>19</v>
      </c>
      <c r="C39" s="40"/>
      <c r="D39" s="87"/>
      <c r="E39" s="65"/>
      <c r="F39" s="40"/>
    </row>
    <row r="40" spans="1:6" x14ac:dyDescent="0.2">
      <c r="A40" s="40"/>
      <c r="B40" s="51">
        <f t="shared" si="0"/>
        <v>20</v>
      </c>
      <c r="C40" s="40"/>
      <c r="D40" s="87"/>
      <c r="E40" s="65"/>
      <c r="F40" s="40"/>
    </row>
    <row r="41" spans="1:6" x14ac:dyDescent="0.2">
      <c r="A41" s="40"/>
      <c r="B41" s="51">
        <f t="shared" si="0"/>
        <v>21</v>
      </c>
      <c r="C41" s="40"/>
      <c r="D41" s="87"/>
      <c r="E41" s="65"/>
      <c r="F41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E16D-B1B4-1E41-868D-F6CEF41F89CF}">
  <dimension ref="A1:M41"/>
  <sheetViews>
    <sheetView workbookViewId="0">
      <selection activeCell="J21" sqref="J21"/>
    </sheetView>
  </sheetViews>
  <sheetFormatPr baseColWidth="10" defaultRowHeight="15" x14ac:dyDescent="0.2"/>
  <cols>
    <col min="8" max="8" width="16.33203125" customWidth="1"/>
    <col min="10" max="10" width="13.5" customWidth="1"/>
  </cols>
  <sheetData>
    <row r="1" spans="1:13" x14ac:dyDescent="0.2">
      <c r="A1" s="40"/>
      <c r="B1" s="89"/>
      <c r="C1" s="40"/>
      <c r="D1" s="91"/>
      <c r="E1" s="65"/>
      <c r="F1" s="65"/>
      <c r="G1" s="65"/>
      <c r="H1" s="151"/>
      <c r="I1" s="151"/>
      <c r="J1" s="151"/>
      <c r="K1" s="42"/>
      <c r="L1" s="42"/>
      <c r="M1" s="136"/>
    </row>
    <row r="2" spans="1:13" x14ac:dyDescent="0.2">
      <c r="A2" s="40" t="s">
        <v>141</v>
      </c>
      <c r="B2" s="89"/>
      <c r="C2" s="40"/>
      <c r="D2" s="91"/>
      <c r="E2" s="65"/>
      <c r="F2" s="65"/>
      <c r="G2" s="65"/>
      <c r="H2" s="151"/>
      <c r="I2" s="151"/>
      <c r="J2" s="151"/>
      <c r="K2" s="42"/>
      <c r="L2" s="42"/>
      <c r="M2" s="136"/>
    </row>
    <row r="3" spans="1:13" x14ac:dyDescent="0.2">
      <c r="A3" s="40" t="s">
        <v>142</v>
      </c>
      <c r="B3" s="89" t="s">
        <v>143</v>
      </c>
      <c r="C3" s="40"/>
      <c r="D3" s="91"/>
      <c r="E3" s="65"/>
      <c r="F3" s="65"/>
      <c r="G3" s="65"/>
      <c r="H3" s="151"/>
      <c r="I3" s="151"/>
      <c r="J3" s="151"/>
      <c r="K3" s="42"/>
      <c r="L3" s="42"/>
      <c r="M3" s="136"/>
    </row>
    <row r="4" spans="1:13" x14ac:dyDescent="0.2">
      <c r="A4" s="40" t="s">
        <v>144</v>
      </c>
      <c r="B4" s="86" t="s">
        <v>145</v>
      </c>
      <c r="C4" s="40"/>
      <c r="D4" s="91"/>
      <c r="E4" s="65"/>
      <c r="F4" s="65"/>
      <c r="G4" s="65"/>
      <c r="H4" s="151"/>
      <c r="I4" s="151"/>
      <c r="J4" s="151"/>
      <c r="K4" s="42"/>
      <c r="L4" s="42"/>
      <c r="M4" s="136"/>
    </row>
    <row r="5" spans="1:13" x14ac:dyDescent="0.2">
      <c r="A5" s="40" t="s">
        <v>146</v>
      </c>
      <c r="B5" s="89" t="s">
        <v>229</v>
      </c>
      <c r="C5" s="40"/>
      <c r="D5" s="91"/>
      <c r="E5" s="65"/>
      <c r="F5" s="65"/>
      <c r="G5" s="65"/>
      <c r="H5" s="138"/>
      <c r="I5" s="138"/>
      <c r="J5" s="138"/>
      <c r="K5" s="139"/>
      <c r="L5" s="139"/>
      <c r="M5" s="140"/>
    </row>
    <row r="6" spans="1:13" x14ac:dyDescent="0.2">
      <c r="A6" s="40" t="s">
        <v>148</v>
      </c>
      <c r="B6" s="89" t="s">
        <v>227</v>
      </c>
      <c r="C6" s="40"/>
      <c r="D6" s="91"/>
      <c r="E6" s="65"/>
      <c r="F6" s="65"/>
      <c r="G6" s="65"/>
      <c r="H6" s="141"/>
      <c r="I6" s="141"/>
      <c r="J6" s="141"/>
      <c r="K6" s="139"/>
      <c r="L6" s="139"/>
      <c r="M6" s="140"/>
    </row>
    <row r="7" spans="1:13" x14ac:dyDescent="0.2">
      <c r="A7" s="40" t="s">
        <v>150</v>
      </c>
      <c r="B7" s="89" t="s">
        <v>151</v>
      </c>
      <c r="C7" s="40"/>
      <c r="D7" s="91"/>
      <c r="E7" s="65"/>
      <c r="F7" s="65"/>
      <c r="G7" s="65"/>
      <c r="H7" s="151"/>
      <c r="I7" s="151"/>
      <c r="J7" s="151"/>
      <c r="K7" s="42"/>
      <c r="L7" s="42"/>
      <c r="M7" s="136"/>
    </row>
    <row r="8" spans="1:13" x14ac:dyDescent="0.2">
      <c r="A8" s="40" t="s">
        <v>152</v>
      </c>
      <c r="B8" s="89" t="s">
        <v>153</v>
      </c>
      <c r="C8" s="40"/>
      <c r="D8" s="91"/>
      <c r="E8" s="65"/>
      <c r="F8" s="65"/>
      <c r="G8" s="65"/>
      <c r="H8" s="151"/>
      <c r="I8" s="151"/>
      <c r="J8" s="151"/>
      <c r="K8" s="42"/>
      <c r="L8" s="42"/>
      <c r="M8" s="136"/>
    </row>
    <row r="9" spans="1:13" x14ac:dyDescent="0.2">
      <c r="A9" s="40" t="s">
        <v>154</v>
      </c>
      <c r="B9" s="89"/>
      <c r="C9" s="40"/>
      <c r="D9" s="91"/>
      <c r="E9" s="65"/>
      <c r="F9" s="65"/>
      <c r="G9" s="65"/>
      <c r="H9" s="151"/>
      <c r="I9" s="151"/>
      <c r="J9" s="151"/>
      <c r="K9" s="42"/>
      <c r="L9" s="42"/>
      <c r="M9" s="136"/>
    </row>
    <row r="10" spans="1:13" x14ac:dyDescent="0.2">
      <c r="A10" s="40" t="s">
        <v>155</v>
      </c>
      <c r="B10" s="56"/>
      <c r="C10" s="40"/>
      <c r="D10" s="91"/>
      <c r="E10" s="65"/>
      <c r="F10" s="65"/>
      <c r="G10" s="65"/>
      <c r="H10" s="151"/>
      <c r="I10" s="151"/>
      <c r="J10" s="151"/>
      <c r="K10" s="42"/>
      <c r="L10" s="42"/>
      <c r="M10" s="136"/>
    </row>
    <row r="11" spans="1:13" x14ac:dyDescent="0.2">
      <c r="A11" s="40" t="s">
        <v>156</v>
      </c>
      <c r="B11" s="89"/>
      <c r="C11" s="40"/>
      <c r="D11" s="91"/>
      <c r="E11" s="65"/>
      <c r="F11" s="65"/>
      <c r="G11" s="65"/>
      <c r="H11" s="151"/>
      <c r="I11" s="151"/>
      <c r="J11" s="151"/>
      <c r="K11" s="42"/>
      <c r="L11" s="42"/>
      <c r="M11" s="136"/>
    </row>
    <row r="12" spans="1:13" x14ac:dyDescent="0.2">
      <c r="A12" s="40"/>
      <c r="B12" s="89"/>
      <c r="C12" s="40"/>
      <c r="D12" s="91"/>
      <c r="E12" s="65"/>
      <c r="F12" s="65"/>
      <c r="G12" s="65"/>
      <c r="H12" s="151"/>
      <c r="I12" s="151"/>
      <c r="J12" s="151"/>
      <c r="K12" s="42"/>
      <c r="L12" s="42"/>
      <c r="M12" s="136"/>
    </row>
    <row r="13" spans="1:13" x14ac:dyDescent="0.2">
      <c r="A13" s="40"/>
      <c r="B13" s="89"/>
      <c r="C13" s="40"/>
      <c r="D13" s="91"/>
      <c r="E13" s="65"/>
      <c r="F13" s="65"/>
      <c r="G13" s="65"/>
      <c r="H13" s="151"/>
      <c r="I13" s="151"/>
      <c r="J13" s="151"/>
      <c r="K13" s="42"/>
      <c r="L13" s="42"/>
      <c r="M13" s="136"/>
    </row>
    <row r="14" spans="1:13" x14ac:dyDescent="0.2">
      <c r="A14" s="40"/>
      <c r="B14" s="89"/>
      <c r="C14" s="40"/>
      <c r="D14" s="91"/>
      <c r="E14" s="65"/>
      <c r="F14" s="65"/>
      <c r="G14" s="65"/>
      <c r="H14" s="151"/>
      <c r="I14" s="151"/>
      <c r="J14" s="151"/>
      <c r="K14" s="42"/>
      <c r="L14" s="42"/>
      <c r="M14" s="136"/>
    </row>
    <row r="15" spans="1:13" x14ac:dyDescent="0.2">
      <c r="A15" s="40"/>
      <c r="B15" s="89"/>
      <c r="C15" s="40"/>
      <c r="D15" s="91"/>
      <c r="E15" s="65"/>
      <c r="F15" s="65"/>
      <c r="G15" s="65"/>
      <c r="H15" s="151"/>
      <c r="I15" s="151"/>
      <c r="J15" s="151"/>
      <c r="K15" s="42"/>
      <c r="L15" s="42"/>
      <c r="M15" s="136"/>
    </row>
    <row r="16" spans="1:13" x14ac:dyDescent="0.2">
      <c r="A16" s="40"/>
      <c r="B16" s="89"/>
      <c r="C16" s="40"/>
      <c r="D16" s="91"/>
      <c r="E16" s="65"/>
      <c r="F16" s="65"/>
      <c r="G16" s="65"/>
      <c r="H16" s="151"/>
      <c r="I16" s="151"/>
      <c r="J16" s="151"/>
      <c r="K16" s="42"/>
      <c r="L16" s="42"/>
      <c r="M16" s="136"/>
    </row>
    <row r="17" spans="1:13" x14ac:dyDescent="0.2">
      <c r="A17" s="40"/>
      <c r="B17" s="93" t="s">
        <v>157</v>
      </c>
      <c r="C17" s="94"/>
      <c r="D17" s="95" t="s">
        <v>159</v>
      </c>
      <c r="E17" s="93" t="s">
        <v>193</v>
      </c>
      <c r="F17" s="93" t="s">
        <v>194</v>
      </c>
      <c r="G17" s="93" t="s">
        <v>195</v>
      </c>
      <c r="H17" s="142" t="s">
        <v>226</v>
      </c>
      <c r="I17" s="142" t="s">
        <v>229</v>
      </c>
      <c r="J17" s="142" t="s">
        <v>233</v>
      </c>
      <c r="K17" s="133"/>
      <c r="L17" s="133"/>
      <c r="M17" s="132"/>
    </row>
    <row r="18" spans="1:13" x14ac:dyDescent="0.2">
      <c r="A18" s="88" t="s">
        <v>1</v>
      </c>
      <c r="B18" s="89"/>
      <c r="C18" s="40"/>
      <c r="D18" s="91"/>
      <c r="E18" s="164" t="s">
        <v>211</v>
      </c>
      <c r="F18" s="164" t="s">
        <v>211</v>
      </c>
      <c r="G18" s="164" t="s">
        <v>211</v>
      </c>
      <c r="H18" s="144" t="s">
        <v>211</v>
      </c>
      <c r="I18" s="144" t="s">
        <v>234</v>
      </c>
      <c r="J18" s="144" t="s">
        <v>234</v>
      </c>
      <c r="K18" s="145"/>
      <c r="L18" s="145"/>
      <c r="M18" s="143"/>
    </row>
    <row r="19" spans="1:13" x14ac:dyDescent="0.2">
      <c r="A19" s="88" t="s">
        <v>161</v>
      </c>
      <c r="B19" s="89"/>
      <c r="C19" s="40"/>
      <c r="D19" s="91"/>
      <c r="E19" s="90" t="s">
        <v>217</v>
      </c>
      <c r="F19" s="90" t="s">
        <v>217</v>
      </c>
      <c r="G19" s="90" t="s">
        <v>217</v>
      </c>
      <c r="H19" s="90" t="s">
        <v>217</v>
      </c>
      <c r="I19" s="144" t="s">
        <v>217</v>
      </c>
      <c r="J19" s="170" t="s">
        <v>217</v>
      </c>
      <c r="K19" s="42"/>
      <c r="L19" s="42"/>
      <c r="M19" s="136"/>
    </row>
    <row r="20" spans="1:13" x14ac:dyDescent="0.2">
      <c r="A20" s="40"/>
      <c r="B20" s="51">
        <v>0</v>
      </c>
      <c r="C20" s="40"/>
      <c r="D20" s="87">
        <v>44713</v>
      </c>
      <c r="E20" s="135">
        <v>20</v>
      </c>
      <c r="F20" s="135">
        <v>20</v>
      </c>
      <c r="G20" s="135">
        <v>20</v>
      </c>
      <c r="H20" s="148">
        <v>4</v>
      </c>
      <c r="I20" s="141">
        <v>4</v>
      </c>
      <c r="J20" s="148">
        <v>2</v>
      </c>
      <c r="K20" s="126"/>
      <c r="L20" s="126"/>
      <c r="M20" s="134"/>
    </row>
    <row r="21" spans="1:13" x14ac:dyDescent="0.2">
      <c r="A21" s="40"/>
      <c r="B21" s="51">
        <f t="shared" ref="B21:B41" si="0">1+B20</f>
        <v>1</v>
      </c>
      <c r="C21" s="40"/>
      <c r="D21" s="87"/>
      <c r="E21" s="65"/>
      <c r="F21" s="65"/>
      <c r="G21" s="65"/>
      <c r="H21" s="151"/>
      <c r="I21" s="151"/>
      <c r="J21" s="151"/>
      <c r="K21" s="42"/>
      <c r="L21" s="42"/>
      <c r="M21" s="136"/>
    </row>
    <row r="22" spans="1:13" x14ac:dyDescent="0.2">
      <c r="A22" s="40"/>
      <c r="B22" s="51">
        <f t="shared" si="0"/>
        <v>2</v>
      </c>
      <c r="C22" s="40"/>
      <c r="D22" s="87"/>
      <c r="E22" s="65"/>
      <c r="F22" s="65"/>
      <c r="G22" s="65"/>
      <c r="H22" s="151"/>
      <c r="I22" s="151"/>
      <c r="J22" s="151"/>
      <c r="K22" s="42"/>
      <c r="L22" s="42"/>
      <c r="M22" s="136"/>
    </row>
    <row r="23" spans="1:13" x14ac:dyDescent="0.2">
      <c r="A23" s="40"/>
      <c r="B23" s="51">
        <f t="shared" si="0"/>
        <v>3</v>
      </c>
      <c r="C23" s="40"/>
      <c r="D23" s="87"/>
      <c r="E23" s="65"/>
      <c r="F23" s="65"/>
      <c r="G23" s="65"/>
      <c r="H23" s="151"/>
      <c r="I23" s="151"/>
      <c r="J23" s="151"/>
      <c r="K23" s="42"/>
      <c r="L23" s="42"/>
      <c r="M23" s="136"/>
    </row>
    <row r="24" spans="1:13" x14ac:dyDescent="0.2">
      <c r="A24" s="40"/>
      <c r="B24" s="51">
        <f t="shared" si="0"/>
        <v>4</v>
      </c>
      <c r="C24" s="40"/>
      <c r="D24" s="87"/>
      <c r="E24" s="65"/>
      <c r="F24" s="65"/>
      <c r="G24" s="65"/>
      <c r="H24" s="151"/>
      <c r="I24" s="151"/>
      <c r="J24" s="151"/>
      <c r="K24" s="42"/>
      <c r="L24" s="42"/>
      <c r="M24" s="136"/>
    </row>
    <row r="25" spans="1:13" x14ac:dyDescent="0.2">
      <c r="A25" s="40"/>
      <c r="B25" s="51">
        <f t="shared" si="0"/>
        <v>5</v>
      </c>
      <c r="C25" s="40"/>
      <c r="D25" s="87"/>
      <c r="E25" s="65"/>
      <c r="F25" s="65"/>
      <c r="G25" s="65"/>
      <c r="H25" s="151"/>
      <c r="I25" s="151"/>
      <c r="J25" s="151"/>
      <c r="K25" s="42"/>
      <c r="L25" s="42"/>
      <c r="M25" s="136"/>
    </row>
    <row r="26" spans="1:13" x14ac:dyDescent="0.2">
      <c r="A26" s="40"/>
      <c r="B26" s="51">
        <f t="shared" si="0"/>
        <v>6</v>
      </c>
      <c r="C26" s="40"/>
      <c r="D26" s="87"/>
      <c r="E26" s="65"/>
      <c r="F26" s="65"/>
      <c r="G26" s="65"/>
      <c r="H26" s="151"/>
      <c r="I26" s="151"/>
      <c r="J26" s="151"/>
      <c r="K26" s="42"/>
      <c r="L26" s="42"/>
      <c r="M26" s="136"/>
    </row>
    <row r="27" spans="1:13" x14ac:dyDescent="0.2">
      <c r="A27" s="40"/>
      <c r="B27" s="51">
        <f t="shared" si="0"/>
        <v>7</v>
      </c>
      <c r="C27" s="40"/>
      <c r="D27" s="87"/>
      <c r="E27" s="65"/>
      <c r="F27" s="65"/>
      <c r="G27" s="65"/>
      <c r="H27" s="151"/>
      <c r="I27" s="151"/>
      <c r="J27" s="151"/>
      <c r="K27" s="42"/>
      <c r="L27" s="42"/>
      <c r="M27" s="136"/>
    </row>
    <row r="28" spans="1:13" x14ac:dyDescent="0.2">
      <c r="A28" s="40"/>
      <c r="B28" s="51">
        <f t="shared" si="0"/>
        <v>8</v>
      </c>
      <c r="C28" s="40"/>
      <c r="D28" s="87"/>
      <c r="E28" s="65"/>
      <c r="F28" s="65"/>
      <c r="G28" s="65"/>
      <c r="H28" s="151"/>
      <c r="I28" s="151"/>
      <c r="J28" s="151"/>
      <c r="K28" s="42"/>
      <c r="L28" s="42"/>
      <c r="M28" s="136"/>
    </row>
    <row r="29" spans="1:13" x14ac:dyDescent="0.2">
      <c r="A29" s="40"/>
      <c r="B29" s="51">
        <f t="shared" si="0"/>
        <v>9</v>
      </c>
      <c r="C29" s="40"/>
      <c r="D29" s="87">
        <v>48366</v>
      </c>
      <c r="E29" s="135"/>
      <c r="F29" s="135"/>
      <c r="G29" s="135"/>
      <c r="H29" s="148"/>
      <c r="I29" s="148"/>
      <c r="J29" s="141"/>
      <c r="K29" s="126"/>
      <c r="L29" s="126"/>
      <c r="M29" s="134"/>
    </row>
    <row r="30" spans="1:13" x14ac:dyDescent="0.2">
      <c r="A30" s="40"/>
      <c r="B30" s="51">
        <f t="shared" si="0"/>
        <v>10</v>
      </c>
      <c r="C30" s="40"/>
      <c r="D30" s="87"/>
      <c r="E30" s="65"/>
      <c r="F30" s="65"/>
      <c r="G30" s="65"/>
      <c r="H30" s="151"/>
      <c r="I30" s="151"/>
      <c r="J30" s="151"/>
      <c r="K30" s="42"/>
      <c r="L30" s="42"/>
      <c r="M30" s="136"/>
    </row>
    <row r="31" spans="1:13" x14ac:dyDescent="0.2">
      <c r="A31" s="40"/>
      <c r="B31" s="51">
        <f t="shared" si="0"/>
        <v>11</v>
      </c>
      <c r="C31" s="40"/>
      <c r="D31" s="87"/>
      <c r="E31" s="65"/>
      <c r="F31" s="65"/>
      <c r="G31" s="65"/>
      <c r="H31" s="151"/>
      <c r="I31" s="151"/>
      <c r="J31" s="151"/>
      <c r="K31" s="42"/>
      <c r="L31" s="42"/>
      <c r="M31" s="136"/>
    </row>
    <row r="32" spans="1:13" x14ac:dyDescent="0.2">
      <c r="A32" s="40"/>
      <c r="B32" s="51">
        <f t="shared" si="0"/>
        <v>12</v>
      </c>
      <c r="C32" s="40"/>
      <c r="D32" s="87"/>
      <c r="E32" s="65"/>
      <c r="F32" s="65"/>
      <c r="G32" s="65"/>
      <c r="H32" s="151"/>
      <c r="I32" s="151"/>
      <c r="J32" s="151"/>
      <c r="K32" s="42"/>
      <c r="L32" s="42"/>
      <c r="M32" s="136"/>
    </row>
    <row r="33" spans="1:13" x14ac:dyDescent="0.2">
      <c r="A33" s="40"/>
      <c r="B33" s="51">
        <f t="shared" si="0"/>
        <v>13</v>
      </c>
      <c r="C33" s="40"/>
      <c r="D33" s="87"/>
      <c r="E33" s="65"/>
      <c r="F33" s="65"/>
      <c r="G33" s="65"/>
      <c r="H33" s="151"/>
      <c r="I33" s="151"/>
      <c r="J33" s="151"/>
      <c r="K33" s="42"/>
      <c r="L33" s="42"/>
      <c r="M33" s="136"/>
    </row>
    <row r="34" spans="1:13" x14ac:dyDescent="0.2">
      <c r="A34" s="40"/>
      <c r="B34" s="51">
        <f t="shared" si="0"/>
        <v>14</v>
      </c>
      <c r="C34" s="40"/>
      <c r="D34" s="87"/>
      <c r="E34" s="65"/>
      <c r="F34" s="65"/>
      <c r="G34" s="65"/>
      <c r="H34" s="151"/>
      <c r="I34" s="151"/>
      <c r="J34" s="151"/>
      <c r="K34" s="42"/>
      <c r="L34" s="42"/>
      <c r="M34" s="136"/>
    </row>
    <row r="35" spans="1:13" x14ac:dyDescent="0.2">
      <c r="A35" s="40"/>
      <c r="B35" s="51">
        <f t="shared" si="0"/>
        <v>15</v>
      </c>
      <c r="C35" s="40"/>
      <c r="D35" s="87"/>
      <c r="E35" s="65"/>
      <c r="F35" s="65"/>
      <c r="G35" s="65"/>
      <c r="H35" s="151"/>
      <c r="I35" s="151"/>
      <c r="J35" s="151"/>
      <c r="K35" s="42"/>
      <c r="L35" s="42"/>
      <c r="M35" s="136"/>
    </row>
    <row r="36" spans="1:13" x14ac:dyDescent="0.2">
      <c r="A36" s="40"/>
      <c r="B36" s="51">
        <f t="shared" si="0"/>
        <v>16</v>
      </c>
      <c r="C36" s="40"/>
      <c r="D36" s="87"/>
      <c r="E36" s="65"/>
      <c r="F36" s="65"/>
      <c r="G36" s="65"/>
      <c r="H36" s="151"/>
      <c r="I36" s="151"/>
      <c r="J36" s="151"/>
      <c r="K36" s="42"/>
      <c r="L36" s="42"/>
      <c r="M36" s="136"/>
    </row>
    <row r="37" spans="1:13" x14ac:dyDescent="0.2">
      <c r="A37" s="40"/>
      <c r="B37" s="51">
        <f t="shared" si="0"/>
        <v>17</v>
      </c>
      <c r="C37" s="40"/>
      <c r="D37" s="87"/>
      <c r="E37" s="65"/>
      <c r="F37" s="65"/>
      <c r="G37" s="65"/>
      <c r="H37" s="151"/>
      <c r="I37" s="151"/>
      <c r="J37" s="151"/>
      <c r="K37" s="42"/>
      <c r="L37" s="42"/>
      <c r="M37" s="136"/>
    </row>
    <row r="38" spans="1:13" x14ac:dyDescent="0.2">
      <c r="A38" s="40"/>
      <c r="B38" s="51">
        <f t="shared" si="0"/>
        <v>18</v>
      </c>
      <c r="C38" s="40"/>
      <c r="D38" s="87"/>
      <c r="E38" s="65"/>
      <c r="F38" s="65"/>
      <c r="G38" s="65"/>
      <c r="H38" s="151"/>
      <c r="I38" s="151"/>
      <c r="J38" s="151"/>
      <c r="K38" s="42"/>
      <c r="L38" s="42"/>
      <c r="M38" s="136"/>
    </row>
    <row r="39" spans="1:13" x14ac:dyDescent="0.2">
      <c r="A39" s="40"/>
      <c r="B39" s="51">
        <f t="shared" si="0"/>
        <v>19</v>
      </c>
      <c r="C39" s="40"/>
      <c r="D39" s="87"/>
      <c r="E39" s="65"/>
      <c r="F39" s="65"/>
      <c r="G39" s="65"/>
      <c r="H39" s="151"/>
      <c r="I39" s="151"/>
      <c r="J39" s="151"/>
      <c r="K39" s="42"/>
      <c r="L39" s="42"/>
      <c r="M39" s="136"/>
    </row>
    <row r="40" spans="1:13" x14ac:dyDescent="0.2">
      <c r="A40" s="40"/>
      <c r="B40" s="51">
        <f t="shared" si="0"/>
        <v>20</v>
      </c>
      <c r="C40" s="40"/>
      <c r="D40" s="87"/>
      <c r="E40" s="65"/>
      <c r="F40" s="65"/>
      <c r="G40" s="65"/>
      <c r="H40" s="151"/>
      <c r="I40" s="151"/>
      <c r="J40" s="151"/>
      <c r="K40" s="42"/>
      <c r="L40" s="42"/>
      <c r="M40" s="136"/>
    </row>
    <row r="41" spans="1:13" x14ac:dyDescent="0.2">
      <c r="A41" s="40"/>
      <c r="B41" s="51">
        <f t="shared" si="0"/>
        <v>21</v>
      </c>
      <c r="C41" s="40"/>
      <c r="D41" s="87"/>
      <c r="E41" s="65"/>
      <c r="F41" s="65"/>
      <c r="G41" s="65"/>
      <c r="H41" s="151"/>
      <c r="I41" s="151"/>
      <c r="J41" s="151"/>
      <c r="K41" s="42"/>
      <c r="L41" s="42"/>
      <c r="M41" s="1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Y41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7.5" style="40" bestFit="1" customWidth="1"/>
    <col min="2" max="2" width="13.5" style="89" bestFit="1" customWidth="1"/>
    <col min="3" max="3" width="8" style="40" bestFit="1" customWidth="1"/>
    <col min="4" max="4" width="11.6640625" style="91" bestFit="1" customWidth="1"/>
    <col min="5" max="5" width="21.33203125" style="136" customWidth="1"/>
    <col min="6" max="6" width="14.5" style="41" customWidth="1"/>
    <col min="7" max="7" width="14.6640625" style="65" customWidth="1"/>
    <col min="8" max="8" width="27.83203125" style="65" customWidth="1"/>
    <col min="9" max="9" width="7.83203125" style="136" bestFit="1" customWidth="1"/>
    <col min="10" max="11" width="4.83203125" style="65" bestFit="1" customWidth="1"/>
    <col min="12" max="12" width="4.6640625" style="65" bestFit="1" customWidth="1"/>
    <col min="13" max="14" width="7.83203125" style="151" bestFit="1" customWidth="1"/>
    <col min="15" max="15" width="24.1640625" style="42" customWidth="1"/>
    <col min="16" max="16" width="24.5" style="42" customWidth="1"/>
    <col min="17" max="17" width="7.83203125" style="136" bestFit="1" customWidth="1"/>
    <col min="18" max="20" width="7.83203125" style="65" bestFit="1" customWidth="1"/>
    <col min="21" max="21" width="9.1640625" style="65" bestFit="1" customWidth="1"/>
    <col min="22" max="22" width="9.83203125" style="42" bestFit="1" customWidth="1"/>
    <col min="23" max="23" width="7.83203125" style="42" bestFit="1" customWidth="1"/>
    <col min="24" max="24" width="7.83203125" style="41" bestFit="1" customWidth="1"/>
    <col min="25" max="25" width="7.83203125" style="40" bestFit="1" customWidth="1"/>
  </cols>
  <sheetData>
    <row r="1" spans="1:25" ht="18" customHeight="1" x14ac:dyDescent="0.2">
      <c r="A1" s="1"/>
      <c r="B1" s="83"/>
      <c r="C1" s="1"/>
      <c r="D1" s="85"/>
      <c r="E1" s="131"/>
      <c r="F1" s="2"/>
      <c r="G1" s="43"/>
      <c r="H1" s="43"/>
      <c r="I1" s="131"/>
      <c r="J1" s="43"/>
      <c r="K1" s="43"/>
      <c r="L1" s="43"/>
      <c r="M1" s="137"/>
      <c r="N1" s="137"/>
      <c r="O1" s="3"/>
      <c r="P1" s="3"/>
      <c r="Q1" s="131"/>
      <c r="R1" s="43"/>
      <c r="S1" s="43"/>
      <c r="T1" s="43"/>
      <c r="U1" s="43"/>
      <c r="V1" s="3"/>
      <c r="W1" s="3"/>
      <c r="X1" s="2"/>
      <c r="Y1" s="1"/>
    </row>
    <row r="2" spans="1:25" ht="18" customHeight="1" x14ac:dyDescent="0.2">
      <c r="A2" s="1" t="s">
        <v>141</v>
      </c>
      <c r="B2" s="83"/>
      <c r="C2" s="1"/>
      <c r="D2" s="85"/>
      <c r="E2" s="131"/>
      <c r="F2" s="2"/>
      <c r="G2" s="43"/>
      <c r="H2" s="43"/>
      <c r="I2" s="131"/>
      <c r="J2" s="43"/>
      <c r="K2" s="43"/>
      <c r="L2" s="43"/>
      <c r="M2" s="137"/>
      <c r="N2" s="137"/>
      <c r="O2" s="3"/>
      <c r="P2" s="3"/>
      <c r="Q2" s="131"/>
      <c r="R2" s="43"/>
      <c r="S2" s="43"/>
      <c r="T2" s="43"/>
      <c r="U2" s="43"/>
      <c r="V2" s="3"/>
      <c r="W2" s="3"/>
      <c r="X2" s="2"/>
      <c r="Y2" s="1"/>
    </row>
    <row r="3" spans="1:25" ht="18" customHeight="1" x14ac:dyDescent="0.2">
      <c r="A3" s="1" t="s">
        <v>142</v>
      </c>
      <c r="B3" s="83" t="s">
        <v>143</v>
      </c>
      <c r="C3" s="1"/>
      <c r="D3" s="85"/>
      <c r="E3" s="131"/>
      <c r="F3" s="2"/>
      <c r="G3" s="43"/>
      <c r="H3" s="43"/>
      <c r="I3" s="131"/>
      <c r="J3" s="43"/>
      <c r="K3" s="43"/>
      <c r="L3" s="43"/>
      <c r="M3" s="137"/>
      <c r="N3" s="137"/>
      <c r="O3" s="3"/>
      <c r="P3" s="3"/>
      <c r="Q3" s="131"/>
      <c r="R3" s="43"/>
      <c r="S3" s="43"/>
      <c r="T3" s="43"/>
      <c r="U3" s="43"/>
      <c r="V3" s="3"/>
      <c r="W3" s="3"/>
      <c r="X3" s="2"/>
      <c r="Y3" s="1"/>
    </row>
    <row r="4" spans="1:25" ht="18" customHeight="1" x14ac:dyDescent="0.2">
      <c r="A4" s="1" t="s">
        <v>144</v>
      </c>
      <c r="B4" s="86" t="s">
        <v>145</v>
      </c>
      <c r="C4" s="1"/>
      <c r="D4" s="85"/>
      <c r="E4" s="131"/>
      <c r="F4" s="2"/>
      <c r="G4" s="43"/>
      <c r="H4" s="43"/>
      <c r="I4" s="131"/>
      <c r="J4" s="43"/>
      <c r="K4" s="43"/>
      <c r="L4" s="43"/>
      <c r="M4" s="137"/>
      <c r="N4" s="137"/>
      <c r="O4" s="3"/>
      <c r="P4" s="3"/>
      <c r="Q4" s="131"/>
      <c r="R4" s="43"/>
      <c r="S4" s="43"/>
      <c r="T4" s="43"/>
      <c r="U4" s="43"/>
      <c r="V4" s="3"/>
      <c r="W4" s="3"/>
      <c r="X4" s="2"/>
      <c r="Y4" s="1"/>
    </row>
    <row r="5" spans="1:25" ht="18" customHeight="1" x14ac:dyDescent="0.2">
      <c r="A5" s="1" t="s">
        <v>146</v>
      </c>
      <c r="B5" s="83" t="s">
        <v>228</v>
      </c>
      <c r="C5" s="1"/>
      <c r="D5" s="85"/>
      <c r="E5" s="131"/>
      <c r="F5" s="2"/>
      <c r="G5" s="43"/>
      <c r="H5" s="43"/>
      <c r="I5" s="131"/>
      <c r="J5" s="43"/>
      <c r="K5" s="43"/>
      <c r="L5" s="43"/>
      <c r="M5" s="138" t="s">
        <v>166</v>
      </c>
      <c r="N5" s="138"/>
      <c r="O5" s="139" t="s">
        <v>167</v>
      </c>
      <c r="P5" s="139"/>
      <c r="Q5" s="140"/>
      <c r="R5" s="43"/>
      <c r="S5" s="43"/>
      <c r="T5" s="43"/>
      <c r="U5" s="43"/>
      <c r="V5" s="3"/>
      <c r="W5" s="3"/>
      <c r="X5" s="2"/>
      <c r="Y5" s="1"/>
    </row>
    <row r="6" spans="1:25" ht="18" customHeight="1" x14ac:dyDescent="0.2">
      <c r="A6" s="1" t="s">
        <v>148</v>
      </c>
      <c r="B6" s="89" t="s">
        <v>227</v>
      </c>
      <c r="C6" s="1"/>
      <c r="D6" s="85"/>
      <c r="E6" s="131"/>
      <c r="F6" s="2"/>
      <c r="G6" s="43"/>
      <c r="H6" s="43"/>
      <c r="I6" s="131"/>
      <c r="J6" s="43"/>
      <c r="K6" s="43"/>
      <c r="L6" s="43"/>
      <c r="M6" s="141" t="s">
        <v>169</v>
      </c>
      <c r="N6" s="141"/>
      <c r="O6" s="139" t="s">
        <v>170</v>
      </c>
      <c r="P6" s="139"/>
      <c r="Q6" s="140"/>
      <c r="R6" s="43"/>
      <c r="S6" s="43"/>
      <c r="T6" s="43"/>
      <c r="U6" s="43"/>
      <c r="V6" s="3"/>
      <c r="W6" s="3"/>
      <c r="X6" s="2"/>
      <c r="Y6" s="1"/>
    </row>
    <row r="7" spans="1:25" ht="18" customHeight="1" x14ac:dyDescent="0.2">
      <c r="A7" s="1" t="s">
        <v>150</v>
      </c>
      <c r="B7" s="83" t="s">
        <v>151</v>
      </c>
      <c r="C7" s="1"/>
      <c r="D7" s="85"/>
      <c r="E7" s="131"/>
      <c r="F7" s="2"/>
      <c r="G7" s="43"/>
      <c r="H7" s="43"/>
      <c r="I7" s="131"/>
      <c r="J7" s="43"/>
      <c r="K7" s="43"/>
      <c r="L7" s="43"/>
      <c r="M7" s="137"/>
      <c r="N7" s="137"/>
      <c r="O7" s="3"/>
      <c r="P7" s="3"/>
      <c r="Q7" s="131"/>
      <c r="R7" s="43"/>
      <c r="S7" s="43"/>
      <c r="T7" s="43"/>
      <c r="U7" s="43"/>
      <c r="V7" s="3"/>
      <c r="W7" s="3"/>
      <c r="X7" s="2"/>
      <c r="Y7" s="1"/>
    </row>
    <row r="8" spans="1:25" ht="18" customHeight="1" x14ac:dyDescent="0.2">
      <c r="A8" s="1" t="s">
        <v>152</v>
      </c>
      <c r="B8" s="83" t="s">
        <v>153</v>
      </c>
      <c r="C8" s="1"/>
      <c r="D8" s="85"/>
      <c r="E8" s="131"/>
      <c r="F8" s="2"/>
      <c r="G8" s="43"/>
      <c r="H8" s="43"/>
      <c r="I8" s="131"/>
      <c r="J8" s="43"/>
      <c r="K8" s="43"/>
      <c r="L8" s="43"/>
      <c r="M8" s="137"/>
      <c r="N8" s="137"/>
      <c r="O8" s="3"/>
      <c r="P8" s="3"/>
      <c r="Q8" s="131"/>
      <c r="R8" s="43"/>
      <c r="S8" s="43"/>
      <c r="T8" s="43"/>
      <c r="U8" s="43"/>
      <c r="V8" s="3"/>
      <c r="W8" s="3"/>
      <c r="X8" s="2"/>
      <c r="Y8" s="1"/>
    </row>
    <row r="9" spans="1:25" ht="18" customHeight="1" x14ac:dyDescent="0.2">
      <c r="A9" s="1" t="s">
        <v>154</v>
      </c>
      <c r="B9" s="83"/>
      <c r="C9" s="1"/>
      <c r="D9" s="85"/>
      <c r="E9" s="131"/>
      <c r="F9" s="2"/>
      <c r="G9" s="43"/>
      <c r="H9" s="43"/>
      <c r="I9" s="131"/>
      <c r="J9" s="43"/>
      <c r="K9" s="43"/>
      <c r="L9" s="43"/>
      <c r="M9" s="137"/>
      <c r="N9" s="137"/>
      <c r="O9" s="3"/>
      <c r="P9" s="3"/>
      <c r="Q9" s="131"/>
      <c r="R9" s="43"/>
      <c r="S9" s="43"/>
      <c r="T9" s="43"/>
      <c r="U9" s="43"/>
      <c r="V9" s="3"/>
      <c r="W9" s="3"/>
      <c r="X9" s="2"/>
      <c r="Y9" s="1"/>
    </row>
    <row r="10" spans="1:25" ht="18" customHeight="1" x14ac:dyDescent="0.2">
      <c r="A10" s="1" t="s">
        <v>155</v>
      </c>
      <c r="B10" s="56" t="s">
        <v>188</v>
      </c>
      <c r="C10" s="1"/>
      <c r="D10" s="85"/>
      <c r="E10" s="131"/>
      <c r="F10" s="2"/>
      <c r="G10" s="43"/>
      <c r="H10" s="43"/>
      <c r="I10" s="131"/>
      <c r="J10" s="43"/>
      <c r="K10" s="43"/>
      <c r="L10" s="43"/>
      <c r="M10" s="137"/>
      <c r="N10" s="137"/>
      <c r="O10" s="3"/>
      <c r="P10" s="3"/>
      <c r="Q10" s="131"/>
      <c r="R10" s="43"/>
      <c r="S10" s="43"/>
      <c r="T10" s="43"/>
      <c r="U10" s="43"/>
      <c r="V10" s="3"/>
      <c r="W10" s="3"/>
      <c r="X10" s="2"/>
      <c r="Y10" s="1"/>
    </row>
    <row r="11" spans="1:25" ht="18" customHeight="1" x14ac:dyDescent="0.2">
      <c r="A11" s="1" t="s">
        <v>156</v>
      </c>
      <c r="B11" s="83"/>
      <c r="C11" s="1"/>
      <c r="D11" s="85"/>
      <c r="E11" s="131"/>
      <c r="F11" s="2"/>
      <c r="G11" s="43"/>
      <c r="H11" s="43"/>
      <c r="I11" s="131"/>
      <c r="J11" s="43"/>
      <c r="K11" s="43"/>
      <c r="L11" s="43"/>
      <c r="M11" s="137"/>
      <c r="N11" s="137"/>
      <c r="O11" s="3"/>
      <c r="P11" s="3"/>
      <c r="Q11" s="131"/>
      <c r="R11" s="43"/>
      <c r="S11" s="43"/>
      <c r="T11" s="43"/>
      <c r="U11" s="43"/>
      <c r="V11" s="3"/>
      <c r="W11" s="3"/>
      <c r="X11" s="2"/>
      <c r="Y11" s="1"/>
    </row>
    <row r="12" spans="1:25" ht="18" customHeight="1" x14ac:dyDescent="0.2">
      <c r="A12" s="1"/>
      <c r="B12" s="83"/>
      <c r="C12" s="1"/>
      <c r="D12" s="85"/>
      <c r="E12" s="131"/>
      <c r="F12" s="2"/>
      <c r="G12" s="43"/>
      <c r="H12" s="43"/>
      <c r="I12" s="131"/>
      <c r="J12" s="43"/>
      <c r="K12" s="43"/>
      <c r="L12" s="43"/>
      <c r="M12" s="137"/>
      <c r="N12" s="137"/>
      <c r="O12" s="3"/>
      <c r="P12" s="3"/>
      <c r="Q12" s="131"/>
      <c r="R12" s="43"/>
      <c r="S12" s="43"/>
      <c r="T12" s="43"/>
      <c r="U12" s="43"/>
      <c r="V12" s="3"/>
      <c r="W12" s="3"/>
      <c r="X12" s="2"/>
      <c r="Y12" s="1"/>
    </row>
    <row r="13" spans="1:25" ht="18" customHeight="1" x14ac:dyDescent="0.2">
      <c r="A13" s="1"/>
      <c r="B13" s="83"/>
      <c r="C13" s="1"/>
      <c r="D13" s="85"/>
      <c r="E13" s="131"/>
      <c r="F13" s="2"/>
      <c r="G13" s="43"/>
      <c r="H13" s="43"/>
      <c r="I13" s="131"/>
      <c r="J13" s="43"/>
      <c r="K13" s="43"/>
      <c r="L13" s="43"/>
      <c r="M13" s="137"/>
      <c r="N13" s="137"/>
      <c r="O13" s="3"/>
      <c r="P13" s="3"/>
      <c r="Q13" s="131"/>
      <c r="R13" s="43"/>
      <c r="S13" s="43"/>
      <c r="T13" s="43"/>
      <c r="U13" s="43"/>
      <c r="V13" s="3"/>
      <c r="W13" s="3"/>
      <c r="X13" s="2"/>
      <c r="Y13" s="1"/>
    </row>
    <row r="14" spans="1:25" ht="18" customHeight="1" x14ac:dyDescent="0.2">
      <c r="A14" s="1"/>
      <c r="B14" s="83"/>
      <c r="C14" s="1"/>
      <c r="D14" s="85"/>
      <c r="E14" s="131"/>
      <c r="F14" s="2"/>
      <c r="G14" s="43"/>
      <c r="H14" s="43"/>
      <c r="I14" s="131"/>
      <c r="J14" s="43"/>
      <c r="K14" s="43"/>
      <c r="L14" s="43"/>
      <c r="M14" s="137"/>
      <c r="N14" s="137"/>
      <c r="O14" s="3"/>
      <c r="P14" s="3"/>
      <c r="Q14" s="131"/>
      <c r="R14" s="43"/>
      <c r="S14" s="43"/>
      <c r="T14" s="43"/>
      <c r="U14" s="43"/>
      <c r="V14" s="3"/>
      <c r="W14" s="3"/>
      <c r="X14" s="2"/>
      <c r="Y14" s="1"/>
    </row>
    <row r="15" spans="1:25" ht="18" customHeight="1" x14ac:dyDescent="0.2">
      <c r="A15" s="1"/>
      <c r="B15" s="83"/>
      <c r="C15" s="1"/>
      <c r="D15" s="85"/>
      <c r="E15" s="131"/>
      <c r="F15" s="2"/>
      <c r="G15" s="43"/>
      <c r="H15" s="43"/>
      <c r="I15" s="131"/>
      <c r="J15" s="43"/>
      <c r="K15" s="43"/>
      <c r="L15" s="43"/>
      <c r="M15" s="137"/>
      <c r="N15" s="137"/>
      <c r="O15" s="3"/>
      <c r="P15" s="3"/>
      <c r="Q15" s="131"/>
      <c r="R15" s="43"/>
      <c r="S15" s="43"/>
      <c r="T15" s="43"/>
      <c r="U15" s="43"/>
      <c r="V15" s="3"/>
      <c r="W15" s="3"/>
      <c r="X15" s="2"/>
      <c r="Y15" s="1"/>
    </row>
    <row r="16" spans="1:25" ht="18" customHeight="1" x14ac:dyDescent="0.2">
      <c r="A16" s="1"/>
      <c r="B16" s="83"/>
      <c r="C16" s="1"/>
      <c r="D16" s="85"/>
      <c r="E16" s="131"/>
      <c r="F16" s="2"/>
      <c r="G16" s="43"/>
      <c r="H16" s="43"/>
      <c r="I16" s="131"/>
      <c r="J16" s="43"/>
      <c r="K16" s="43"/>
      <c r="L16" s="43"/>
      <c r="M16" s="137"/>
      <c r="N16" s="137"/>
      <c r="O16" s="3"/>
      <c r="P16" s="3"/>
      <c r="Q16" s="131"/>
      <c r="R16" s="43"/>
      <c r="S16" s="43"/>
      <c r="T16" s="43"/>
      <c r="U16" s="43"/>
      <c r="V16" s="3"/>
      <c r="W16" s="3"/>
      <c r="X16" s="2"/>
      <c r="Y16" s="1"/>
    </row>
    <row r="17" spans="1:25" ht="18" customHeight="1" x14ac:dyDescent="0.2">
      <c r="A17" s="1"/>
      <c r="B17" s="93" t="s">
        <v>157</v>
      </c>
      <c r="C17" s="94"/>
      <c r="D17" s="95" t="s">
        <v>159</v>
      </c>
      <c r="E17" s="132" t="s">
        <v>189</v>
      </c>
      <c r="F17" s="108" t="s">
        <v>190</v>
      </c>
      <c r="G17" s="93" t="s">
        <v>191</v>
      </c>
      <c r="H17" s="93" t="s">
        <v>191</v>
      </c>
      <c r="I17" s="132" t="s">
        <v>192</v>
      </c>
      <c r="J17" s="93" t="s">
        <v>116</v>
      </c>
      <c r="K17" s="93" t="s">
        <v>114</v>
      </c>
      <c r="L17" s="93" t="s">
        <v>237</v>
      </c>
      <c r="M17" s="142" t="s">
        <v>197</v>
      </c>
      <c r="N17" s="142" t="s">
        <v>198</v>
      </c>
      <c r="O17" s="133" t="s">
        <v>199</v>
      </c>
      <c r="P17" s="133" t="s">
        <v>200</v>
      </c>
      <c r="Q17" s="132" t="s">
        <v>201</v>
      </c>
      <c r="R17" s="93" t="s">
        <v>202</v>
      </c>
      <c r="S17" s="93" t="s">
        <v>203</v>
      </c>
      <c r="T17" s="93" t="s">
        <v>204</v>
      </c>
      <c r="U17" s="93" t="s">
        <v>205</v>
      </c>
      <c r="V17" s="133" t="s">
        <v>206</v>
      </c>
      <c r="W17" s="133" t="s">
        <v>207</v>
      </c>
      <c r="X17" s="108" t="s">
        <v>208</v>
      </c>
      <c r="Y17" s="94"/>
    </row>
    <row r="18" spans="1:25" ht="18" customHeight="1" x14ac:dyDescent="0.2">
      <c r="A18" s="88" t="s">
        <v>1</v>
      </c>
      <c r="B18" s="83"/>
      <c r="C18" s="1"/>
      <c r="D18" s="85"/>
      <c r="E18" s="143" t="s">
        <v>16</v>
      </c>
      <c r="F18" s="100" t="s">
        <v>209</v>
      </c>
      <c r="G18" s="50" t="s">
        <v>18</v>
      </c>
      <c r="H18" s="50" t="s">
        <v>28</v>
      </c>
      <c r="I18" s="143" t="s">
        <v>210</v>
      </c>
      <c r="J18" s="50" t="s">
        <v>211</v>
      </c>
      <c r="K18" s="50" t="s">
        <v>211</v>
      </c>
      <c r="L18" s="50" t="s">
        <v>211</v>
      </c>
      <c r="M18" s="144" t="s">
        <v>213</v>
      </c>
      <c r="N18" s="144" t="s">
        <v>32</v>
      </c>
      <c r="O18" s="145" t="s">
        <v>214</v>
      </c>
      <c r="P18" s="145" t="s">
        <v>30</v>
      </c>
      <c r="Q18" s="143" t="s">
        <v>7</v>
      </c>
      <c r="R18" s="50" t="s">
        <v>7</v>
      </c>
      <c r="S18" s="50" t="s">
        <v>7</v>
      </c>
      <c r="T18" s="50" t="s">
        <v>7</v>
      </c>
      <c r="U18" s="50" t="s">
        <v>215</v>
      </c>
      <c r="V18" s="145" t="s">
        <v>216</v>
      </c>
      <c r="W18" s="145" t="s">
        <v>187</v>
      </c>
      <c r="X18" s="100" t="s">
        <v>187</v>
      </c>
      <c r="Y18" s="1"/>
    </row>
    <row r="19" spans="1:25" ht="18" customHeight="1" x14ac:dyDescent="0.2">
      <c r="A19" s="88" t="s">
        <v>161</v>
      </c>
      <c r="B19" s="83"/>
      <c r="C19" s="1"/>
      <c r="D19" s="85"/>
      <c r="E19" s="143" t="s">
        <v>217</v>
      </c>
      <c r="F19" s="100" t="s">
        <v>218</v>
      </c>
      <c r="G19" s="50" t="s">
        <v>217</v>
      </c>
      <c r="H19" s="50" t="s">
        <v>217</v>
      </c>
      <c r="I19" s="143" t="s">
        <v>218</v>
      </c>
      <c r="J19" s="43"/>
      <c r="K19" s="43"/>
      <c r="L19" s="43"/>
      <c r="M19" s="144" t="s">
        <v>219</v>
      </c>
      <c r="N19" s="137"/>
      <c r="O19" s="3"/>
      <c r="P19" s="3"/>
      <c r="Q19" s="131"/>
      <c r="R19" s="43"/>
      <c r="S19" s="43"/>
      <c r="T19" s="43"/>
      <c r="U19" s="43"/>
      <c r="V19" s="3"/>
      <c r="W19" s="3"/>
      <c r="X19" s="2"/>
      <c r="Y19" s="1"/>
    </row>
    <row r="20" spans="1:25" ht="18" customHeight="1" x14ac:dyDescent="0.2">
      <c r="A20" s="1"/>
      <c r="B20" s="51">
        <v>0</v>
      </c>
      <c r="C20" s="1"/>
      <c r="D20" s="87">
        <v>44713</v>
      </c>
      <c r="E20" s="134">
        <v>3.2</v>
      </c>
      <c r="F20" s="146">
        <v>0.95</v>
      </c>
      <c r="G20" s="135">
        <v>280</v>
      </c>
      <c r="H20" s="147">
        <f>G20*E20</f>
        <v>896</v>
      </c>
      <c r="I20" s="134">
        <v>0.2</v>
      </c>
      <c r="J20" s="135">
        <v>205</v>
      </c>
      <c r="K20" s="135">
        <v>174</v>
      </c>
      <c r="L20" s="135">
        <v>72</v>
      </c>
      <c r="M20" s="141">
        <v>5.3</v>
      </c>
      <c r="N20" s="148"/>
      <c r="O20" s="126"/>
      <c r="P20" s="126">
        <f>H20/M20</f>
        <v>169.05660377358492</v>
      </c>
      <c r="Q20" s="134">
        <v>0.5</v>
      </c>
      <c r="R20" s="135">
        <v>1</v>
      </c>
      <c r="S20" s="149">
        <v>3</v>
      </c>
      <c r="T20" s="135">
        <v>4000</v>
      </c>
      <c r="U20" s="135">
        <f>1080/8</f>
        <v>135</v>
      </c>
      <c r="V20" s="126">
        <f>U20/H20*1000</f>
        <v>150.66964285714286</v>
      </c>
      <c r="W20" s="149">
        <f>2/3*U20</f>
        <v>90</v>
      </c>
      <c r="X20" s="114">
        <v>0.1</v>
      </c>
      <c r="Y20" s="1"/>
    </row>
    <row r="21" spans="1:25" ht="18" customHeight="1" x14ac:dyDescent="0.2">
      <c r="A21" s="1"/>
      <c r="B21" s="51">
        <f t="shared" ref="B21:B41" si="0">1+B20</f>
        <v>1</v>
      </c>
      <c r="C21" s="1"/>
      <c r="D21" s="87"/>
      <c r="E21" s="131"/>
      <c r="F21" s="2"/>
      <c r="G21" s="43"/>
      <c r="H21" s="43"/>
      <c r="I21" s="131"/>
      <c r="J21" s="43"/>
      <c r="K21" s="43"/>
      <c r="L21" s="43"/>
      <c r="M21" s="137"/>
      <c r="N21" s="137"/>
      <c r="O21" s="3"/>
      <c r="P21" s="3"/>
      <c r="Q21" s="131"/>
      <c r="R21" s="43"/>
      <c r="S21" s="43"/>
      <c r="T21" s="43"/>
      <c r="U21" s="43"/>
      <c r="V21" s="3"/>
      <c r="W21" s="3"/>
      <c r="X21" s="2"/>
      <c r="Y21" s="1"/>
    </row>
    <row r="22" spans="1:25" ht="18" customHeight="1" x14ac:dyDescent="0.2">
      <c r="A22" s="1"/>
      <c r="B22" s="51">
        <f t="shared" si="0"/>
        <v>2</v>
      </c>
      <c r="C22" s="1"/>
      <c r="D22" s="87"/>
      <c r="E22" s="131"/>
      <c r="F22" s="2"/>
      <c r="G22" s="43"/>
      <c r="H22" s="43"/>
      <c r="I22" s="131"/>
      <c r="J22" s="43"/>
      <c r="K22" s="43"/>
      <c r="L22" s="43"/>
      <c r="M22" s="137"/>
      <c r="N22" s="137"/>
      <c r="O22" s="3"/>
      <c r="P22" s="3"/>
      <c r="Q22" s="131"/>
      <c r="R22" s="43"/>
      <c r="S22" s="43"/>
      <c r="T22" s="43"/>
      <c r="U22" s="43"/>
      <c r="V22" s="3"/>
      <c r="W22" s="3"/>
      <c r="X22" s="2"/>
      <c r="Y22" s="1"/>
    </row>
    <row r="23" spans="1:25" ht="18" customHeight="1" x14ac:dyDescent="0.2">
      <c r="A23" s="1"/>
      <c r="B23" s="51">
        <f t="shared" si="0"/>
        <v>3</v>
      </c>
      <c r="C23" s="1"/>
      <c r="D23" s="87"/>
      <c r="E23" s="131"/>
      <c r="F23" s="2"/>
      <c r="G23" s="43"/>
      <c r="H23" s="43"/>
      <c r="I23" s="131"/>
      <c r="J23" s="43"/>
      <c r="K23" s="43"/>
      <c r="L23" s="43"/>
      <c r="M23" s="137"/>
      <c r="N23" s="137"/>
      <c r="O23" s="3"/>
      <c r="P23" s="3"/>
      <c r="Q23" s="131"/>
      <c r="R23" s="43"/>
      <c r="S23" s="43"/>
      <c r="T23" s="43"/>
      <c r="U23" s="43"/>
      <c r="V23" s="3"/>
      <c r="W23" s="3"/>
      <c r="X23" s="2"/>
      <c r="Y23" s="1"/>
    </row>
    <row r="24" spans="1:25" ht="18" customHeight="1" x14ac:dyDescent="0.2">
      <c r="A24" s="1"/>
      <c r="B24" s="51">
        <f t="shared" si="0"/>
        <v>4</v>
      </c>
      <c r="C24" s="1"/>
      <c r="D24" s="87"/>
      <c r="E24" s="131"/>
      <c r="F24" s="2"/>
      <c r="G24" s="43"/>
      <c r="H24" s="43"/>
      <c r="I24" s="131"/>
      <c r="J24" s="43"/>
      <c r="K24" s="43"/>
      <c r="L24" s="43"/>
      <c r="M24" s="137"/>
      <c r="N24" s="137"/>
      <c r="O24" s="3"/>
      <c r="P24" s="3"/>
      <c r="Q24" s="131"/>
      <c r="R24" s="43"/>
      <c r="S24" s="43"/>
      <c r="T24" s="43"/>
      <c r="U24" s="43"/>
      <c r="V24" s="3"/>
      <c r="W24" s="3"/>
      <c r="X24" s="2"/>
      <c r="Y24" s="1"/>
    </row>
    <row r="25" spans="1:25" ht="18" customHeight="1" x14ac:dyDescent="0.2">
      <c r="A25" s="1"/>
      <c r="B25" s="51">
        <f t="shared" si="0"/>
        <v>5</v>
      </c>
      <c r="C25" s="1"/>
      <c r="D25" s="87"/>
      <c r="E25" s="131"/>
      <c r="F25" s="2"/>
      <c r="G25" s="43"/>
      <c r="H25" s="43"/>
      <c r="I25" s="131"/>
      <c r="J25" s="43"/>
      <c r="K25" s="43"/>
      <c r="L25" s="43"/>
      <c r="M25" s="137"/>
      <c r="N25" s="137"/>
      <c r="O25" s="3"/>
      <c r="P25" s="3"/>
      <c r="Q25" s="131"/>
      <c r="R25" s="43"/>
      <c r="S25" s="43"/>
      <c r="T25" s="43"/>
      <c r="U25" s="43"/>
      <c r="V25" s="3"/>
      <c r="W25" s="3"/>
      <c r="X25" s="2"/>
      <c r="Y25" s="1"/>
    </row>
    <row r="26" spans="1:25" ht="18" customHeight="1" x14ac:dyDescent="0.2">
      <c r="A26" s="1"/>
      <c r="B26" s="51">
        <f t="shared" si="0"/>
        <v>6</v>
      </c>
      <c r="C26" s="1"/>
      <c r="D26" s="87"/>
      <c r="E26" s="131"/>
      <c r="F26" s="2"/>
      <c r="G26" s="43"/>
      <c r="H26" s="43"/>
      <c r="I26" s="131"/>
      <c r="J26" s="43"/>
      <c r="K26" s="43"/>
      <c r="L26" s="43"/>
      <c r="M26" s="137"/>
      <c r="N26" s="137"/>
      <c r="O26" s="3"/>
      <c r="P26" s="3"/>
      <c r="Q26" s="131"/>
      <c r="R26" s="43"/>
      <c r="S26" s="43"/>
      <c r="T26" s="43"/>
      <c r="U26" s="43"/>
      <c r="V26" s="3"/>
      <c r="W26" s="3"/>
      <c r="X26" s="2"/>
      <c r="Y26" s="1"/>
    </row>
    <row r="27" spans="1:25" ht="18" customHeight="1" x14ac:dyDescent="0.2">
      <c r="A27" s="1"/>
      <c r="B27" s="51">
        <f t="shared" si="0"/>
        <v>7</v>
      </c>
      <c r="C27" s="1"/>
      <c r="D27" s="87"/>
      <c r="E27" s="131"/>
      <c r="F27" s="2"/>
      <c r="G27" s="43"/>
      <c r="H27" s="43"/>
      <c r="I27" s="131"/>
      <c r="J27" s="43"/>
      <c r="K27" s="43"/>
      <c r="L27" s="43"/>
      <c r="M27" s="137"/>
      <c r="N27" s="137"/>
      <c r="O27" s="3"/>
      <c r="P27" s="3"/>
      <c r="Q27" s="131"/>
      <c r="R27" s="43"/>
      <c r="S27" s="43"/>
      <c r="T27" s="43"/>
      <c r="U27" s="43"/>
      <c r="V27" s="3"/>
      <c r="W27" s="3"/>
      <c r="X27" s="2"/>
      <c r="Y27" s="1"/>
    </row>
    <row r="28" spans="1:25" ht="18" customHeight="1" x14ac:dyDescent="0.2">
      <c r="A28" s="1"/>
      <c r="B28" s="51">
        <f t="shared" si="0"/>
        <v>8</v>
      </c>
      <c r="C28" s="1"/>
      <c r="D28" s="87"/>
      <c r="E28" s="131"/>
      <c r="F28" s="2"/>
      <c r="G28" s="43"/>
      <c r="H28" s="43"/>
      <c r="I28" s="131"/>
      <c r="J28" s="43"/>
      <c r="K28" s="43"/>
      <c r="L28" s="43"/>
      <c r="M28" s="137"/>
      <c r="N28" s="137"/>
      <c r="O28" s="3"/>
      <c r="P28" s="3"/>
      <c r="Q28" s="131"/>
      <c r="R28" s="43"/>
      <c r="S28" s="43"/>
      <c r="T28" s="43"/>
      <c r="U28" s="43"/>
      <c r="V28" s="3"/>
      <c r="W28" s="3"/>
      <c r="X28" s="2"/>
      <c r="Y28" s="1"/>
    </row>
    <row r="29" spans="1:25" ht="18" customHeight="1" x14ac:dyDescent="0.2">
      <c r="A29" s="1"/>
      <c r="B29" s="51">
        <f t="shared" si="0"/>
        <v>9</v>
      </c>
      <c r="C29" s="1"/>
      <c r="D29" s="87">
        <v>48366</v>
      </c>
      <c r="E29" s="134"/>
      <c r="F29" s="146">
        <v>0.95</v>
      </c>
      <c r="G29" s="135"/>
      <c r="H29" s="147">
        <f>H20</f>
        <v>896</v>
      </c>
      <c r="I29" s="134">
        <v>0.2</v>
      </c>
      <c r="J29" s="135"/>
      <c r="K29" s="135"/>
      <c r="L29" s="135"/>
      <c r="M29" s="148" t="e">
        <f>#REF!*N29</f>
        <v>#REF!</v>
      </c>
      <c r="N29" s="141">
        <v>2.1</v>
      </c>
      <c r="O29" s="126" t="e">
        <f>H29/#REF!</f>
        <v>#REF!</v>
      </c>
      <c r="P29" s="126" t="e">
        <f>H29/M29</f>
        <v>#REF!</v>
      </c>
      <c r="Q29" s="134">
        <v>0.5</v>
      </c>
      <c r="R29" s="135">
        <v>1</v>
      </c>
      <c r="S29" s="149">
        <v>3</v>
      </c>
      <c r="T29" s="135">
        <v>4000</v>
      </c>
      <c r="U29" s="149">
        <v>110</v>
      </c>
      <c r="V29" s="126">
        <f>U29/H29*1000</f>
        <v>122.76785714285714</v>
      </c>
      <c r="W29" s="150">
        <f>2/3*U29</f>
        <v>73.333333333333329</v>
      </c>
      <c r="X29" s="114">
        <v>0.1</v>
      </c>
      <c r="Y29" s="1"/>
    </row>
    <row r="30" spans="1:25" ht="18" customHeight="1" x14ac:dyDescent="0.2">
      <c r="A30" s="1"/>
      <c r="B30" s="51">
        <f t="shared" si="0"/>
        <v>10</v>
      </c>
      <c r="C30" s="1"/>
      <c r="D30" s="87"/>
      <c r="E30" s="131"/>
      <c r="F30" s="2"/>
      <c r="G30" s="43"/>
      <c r="H30" s="43"/>
      <c r="I30" s="131"/>
      <c r="J30" s="43"/>
      <c r="K30" s="43"/>
      <c r="L30" s="43"/>
      <c r="M30" s="137"/>
      <c r="N30" s="137"/>
      <c r="O30" s="3"/>
      <c r="P30" s="3"/>
      <c r="Q30" s="131"/>
      <c r="R30" s="43"/>
      <c r="S30" s="43"/>
      <c r="T30" s="43"/>
      <c r="U30" s="43"/>
      <c r="V30" s="3"/>
      <c r="W30" s="3"/>
      <c r="X30" s="2"/>
      <c r="Y30" s="1"/>
    </row>
    <row r="31" spans="1:25" ht="18" customHeight="1" x14ac:dyDescent="0.2">
      <c r="A31" s="1"/>
      <c r="B31" s="51">
        <f t="shared" si="0"/>
        <v>11</v>
      </c>
      <c r="C31" s="1"/>
      <c r="D31" s="87"/>
      <c r="E31" s="131"/>
      <c r="F31" s="2"/>
      <c r="G31" s="43"/>
      <c r="H31" s="43"/>
      <c r="I31" s="131"/>
      <c r="J31" s="43"/>
      <c r="K31" s="43"/>
      <c r="L31" s="43"/>
      <c r="M31" s="137"/>
      <c r="N31" s="137"/>
      <c r="O31" s="3"/>
      <c r="P31" s="3"/>
      <c r="Q31" s="131"/>
      <c r="R31" s="43"/>
      <c r="S31" s="43"/>
      <c r="T31" s="43"/>
      <c r="U31" s="43"/>
      <c r="V31" s="3"/>
      <c r="W31" s="3"/>
      <c r="X31" s="2"/>
      <c r="Y31" s="1"/>
    </row>
    <row r="32" spans="1:25" ht="18" customHeight="1" x14ac:dyDescent="0.2">
      <c r="A32" s="1"/>
      <c r="B32" s="51">
        <f t="shared" si="0"/>
        <v>12</v>
      </c>
      <c r="C32" s="1"/>
      <c r="D32" s="87"/>
      <c r="E32" s="131"/>
      <c r="F32" s="2"/>
      <c r="G32" s="43"/>
      <c r="H32" s="43"/>
      <c r="I32" s="131"/>
      <c r="J32" s="43"/>
      <c r="K32" s="43"/>
      <c r="L32" s="43"/>
      <c r="M32" s="137"/>
      <c r="N32" s="137"/>
      <c r="O32" s="3"/>
      <c r="P32" s="3"/>
      <c r="Q32" s="131"/>
      <c r="R32" s="43"/>
      <c r="S32" s="43"/>
      <c r="T32" s="43"/>
      <c r="U32" s="43"/>
      <c r="V32" s="3"/>
      <c r="W32" s="3"/>
      <c r="X32" s="2"/>
      <c r="Y32" s="1"/>
    </row>
    <row r="33" spans="1:25" ht="18" customHeight="1" x14ac:dyDescent="0.2">
      <c r="A33" s="1"/>
      <c r="B33" s="51">
        <f t="shared" si="0"/>
        <v>13</v>
      </c>
      <c r="C33" s="1"/>
      <c r="D33" s="87"/>
      <c r="E33" s="131"/>
      <c r="F33" s="2"/>
      <c r="G33" s="43"/>
      <c r="H33" s="43"/>
      <c r="I33" s="131"/>
      <c r="J33" s="43"/>
      <c r="K33" s="43"/>
      <c r="L33" s="43"/>
      <c r="M33" s="137"/>
      <c r="N33" s="137"/>
      <c r="O33" s="3"/>
      <c r="P33" s="3"/>
      <c r="Q33" s="131"/>
      <c r="R33" s="43"/>
      <c r="S33" s="43"/>
      <c r="T33" s="43"/>
      <c r="U33" s="43"/>
      <c r="V33" s="3"/>
      <c r="W33" s="3"/>
      <c r="X33" s="2"/>
      <c r="Y33" s="1"/>
    </row>
    <row r="34" spans="1:25" ht="18" customHeight="1" x14ac:dyDescent="0.2">
      <c r="A34" s="1"/>
      <c r="B34" s="51">
        <f t="shared" si="0"/>
        <v>14</v>
      </c>
      <c r="C34" s="1"/>
      <c r="D34" s="87"/>
      <c r="E34" s="131"/>
      <c r="F34" s="2"/>
      <c r="G34" s="43"/>
      <c r="H34" s="43"/>
      <c r="I34" s="131"/>
      <c r="J34" s="43"/>
      <c r="K34" s="43"/>
      <c r="L34" s="43"/>
      <c r="M34" s="137"/>
      <c r="N34" s="137"/>
      <c r="O34" s="3"/>
      <c r="P34" s="3"/>
      <c r="Q34" s="131"/>
      <c r="R34" s="43"/>
      <c r="S34" s="43"/>
      <c r="T34" s="43"/>
      <c r="U34" s="43"/>
      <c r="V34" s="3"/>
      <c r="W34" s="3"/>
      <c r="X34" s="2"/>
      <c r="Y34" s="1"/>
    </row>
    <row r="35" spans="1:25" ht="18" customHeight="1" x14ac:dyDescent="0.2">
      <c r="A35" s="1"/>
      <c r="B35" s="51">
        <f t="shared" si="0"/>
        <v>15</v>
      </c>
      <c r="C35" s="1"/>
      <c r="D35" s="87"/>
      <c r="E35" s="131"/>
      <c r="F35" s="2"/>
      <c r="G35" s="43"/>
      <c r="H35" s="43"/>
      <c r="I35" s="131"/>
      <c r="J35" s="43"/>
      <c r="K35" s="43"/>
      <c r="L35" s="43"/>
      <c r="M35" s="137"/>
      <c r="N35" s="137"/>
      <c r="O35" s="3"/>
      <c r="P35" s="3"/>
      <c r="Q35" s="131"/>
      <c r="R35" s="43"/>
      <c r="S35" s="43"/>
      <c r="T35" s="43"/>
      <c r="U35" s="43"/>
      <c r="V35" s="3"/>
      <c r="W35" s="3"/>
      <c r="X35" s="2"/>
      <c r="Y35" s="1"/>
    </row>
    <row r="36" spans="1:25" ht="18" customHeight="1" x14ac:dyDescent="0.2">
      <c r="A36" s="1"/>
      <c r="B36" s="51">
        <f t="shared" si="0"/>
        <v>16</v>
      </c>
      <c r="C36" s="1"/>
      <c r="D36" s="87"/>
      <c r="E36" s="131"/>
      <c r="F36" s="2"/>
      <c r="G36" s="43"/>
      <c r="H36" s="43"/>
      <c r="I36" s="131"/>
      <c r="J36" s="43"/>
      <c r="K36" s="43"/>
      <c r="L36" s="43"/>
      <c r="M36" s="137"/>
      <c r="N36" s="137"/>
      <c r="O36" s="3"/>
      <c r="P36" s="3"/>
      <c r="Q36" s="131"/>
      <c r="R36" s="43"/>
      <c r="S36" s="43"/>
      <c r="T36" s="43"/>
      <c r="U36" s="43"/>
      <c r="V36" s="3"/>
      <c r="W36" s="3"/>
      <c r="X36" s="2"/>
      <c r="Y36" s="1"/>
    </row>
    <row r="37" spans="1:25" ht="18" customHeight="1" x14ac:dyDescent="0.2">
      <c r="A37" s="1"/>
      <c r="B37" s="51">
        <f t="shared" si="0"/>
        <v>17</v>
      </c>
      <c r="C37" s="1"/>
      <c r="D37" s="87"/>
      <c r="E37" s="131"/>
      <c r="F37" s="2"/>
      <c r="G37" s="43"/>
      <c r="H37" s="43"/>
      <c r="I37" s="131"/>
      <c r="J37" s="43"/>
      <c r="K37" s="43"/>
      <c r="L37" s="43"/>
      <c r="M37" s="137"/>
      <c r="N37" s="137"/>
      <c r="O37" s="3"/>
      <c r="P37" s="3"/>
      <c r="Q37" s="131"/>
      <c r="R37" s="43"/>
      <c r="S37" s="43"/>
      <c r="T37" s="43"/>
      <c r="U37" s="43"/>
      <c r="V37" s="3"/>
      <c r="W37" s="3"/>
      <c r="X37" s="2"/>
      <c r="Y37" s="1"/>
    </row>
    <row r="38" spans="1:25" ht="18" customHeight="1" x14ac:dyDescent="0.2">
      <c r="A38" s="1"/>
      <c r="B38" s="51">
        <f t="shared" si="0"/>
        <v>18</v>
      </c>
      <c r="C38" s="1"/>
      <c r="D38" s="87"/>
      <c r="E38" s="131"/>
      <c r="F38" s="2"/>
      <c r="G38" s="43"/>
      <c r="H38" s="43"/>
      <c r="I38" s="131"/>
      <c r="J38" s="43"/>
      <c r="K38" s="43"/>
      <c r="L38" s="43"/>
      <c r="M38" s="137"/>
      <c r="N38" s="137"/>
      <c r="O38" s="3"/>
      <c r="P38" s="3"/>
      <c r="Q38" s="131"/>
      <c r="R38" s="43"/>
      <c r="S38" s="43"/>
      <c r="T38" s="43"/>
      <c r="U38" s="43"/>
      <c r="V38" s="3"/>
      <c r="W38" s="3"/>
      <c r="X38" s="2"/>
      <c r="Y38" s="1"/>
    </row>
    <row r="39" spans="1:25" ht="18" customHeight="1" x14ac:dyDescent="0.2">
      <c r="A39" s="1"/>
      <c r="B39" s="51">
        <f t="shared" si="0"/>
        <v>19</v>
      </c>
      <c r="C39" s="1"/>
      <c r="D39" s="87"/>
      <c r="E39" s="131"/>
      <c r="F39" s="2"/>
      <c r="G39" s="43"/>
      <c r="H39" s="43"/>
      <c r="I39" s="131"/>
      <c r="J39" s="43"/>
      <c r="K39" s="43"/>
      <c r="L39" s="43"/>
      <c r="M39" s="137"/>
      <c r="N39" s="137"/>
      <c r="O39" s="3"/>
      <c r="P39" s="3"/>
      <c r="Q39" s="131"/>
      <c r="R39" s="43"/>
      <c r="S39" s="43"/>
      <c r="T39" s="43"/>
      <c r="U39" s="43"/>
      <c r="V39" s="3"/>
      <c r="W39" s="3"/>
      <c r="X39" s="2"/>
      <c r="Y39" s="1"/>
    </row>
    <row r="40" spans="1:25" ht="18" customHeight="1" x14ac:dyDescent="0.2">
      <c r="A40" s="1"/>
      <c r="B40" s="51">
        <f t="shared" si="0"/>
        <v>20</v>
      </c>
      <c r="C40" s="1"/>
      <c r="D40" s="87"/>
      <c r="E40" s="131"/>
      <c r="F40" s="2"/>
      <c r="G40" s="43"/>
      <c r="H40" s="43"/>
      <c r="I40" s="131"/>
      <c r="J40" s="43"/>
      <c r="K40" s="43"/>
      <c r="L40" s="43"/>
      <c r="M40" s="137"/>
      <c r="N40" s="137"/>
      <c r="O40" s="3"/>
      <c r="P40" s="3"/>
      <c r="Q40" s="131"/>
      <c r="R40" s="43"/>
      <c r="S40" s="43"/>
      <c r="T40" s="43"/>
      <c r="U40" s="43"/>
      <c r="V40" s="3"/>
      <c r="W40" s="3"/>
      <c r="X40" s="2"/>
      <c r="Y40" s="1"/>
    </row>
    <row r="41" spans="1:25" ht="18" customHeight="1" x14ac:dyDescent="0.2">
      <c r="A41" s="1"/>
      <c r="B41" s="51">
        <f t="shared" si="0"/>
        <v>21</v>
      </c>
      <c r="C41" s="1"/>
      <c r="D41" s="87"/>
      <c r="E41" s="131"/>
      <c r="F41" s="2"/>
      <c r="G41" s="43"/>
      <c r="H41" s="43"/>
      <c r="I41" s="131"/>
      <c r="J41" s="43"/>
      <c r="K41" s="43"/>
      <c r="L41" s="43"/>
      <c r="M41" s="137"/>
      <c r="N41" s="137"/>
      <c r="O41" s="3"/>
      <c r="P41" s="3"/>
      <c r="Q41" s="131"/>
      <c r="R41" s="43"/>
      <c r="S41" s="43"/>
      <c r="T41" s="43"/>
      <c r="U41" s="43"/>
      <c r="V41" s="3"/>
      <c r="W41" s="3"/>
      <c r="X41" s="2"/>
      <c r="Y4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MJ5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0" style="40" bestFit="1" customWidth="1"/>
    <col min="2" max="2" width="13.5" style="89" bestFit="1" customWidth="1"/>
    <col min="3" max="3" width="8" style="40" bestFit="1" customWidth="1"/>
    <col min="4" max="4" width="11.6640625" style="91" bestFit="1" customWidth="1"/>
    <col min="5" max="5" width="7.83203125" style="65" bestFit="1" customWidth="1"/>
    <col min="6" max="6" width="7.83203125" style="41" bestFit="1" customWidth="1"/>
    <col min="7" max="7" width="7.83203125" style="65" bestFit="1" customWidth="1"/>
    <col min="8" max="8" width="7.83203125" style="136" bestFit="1" customWidth="1"/>
    <col min="9" max="12" width="7.83203125" style="65" bestFit="1" customWidth="1"/>
    <col min="13" max="13" width="7.83203125" style="136" bestFit="1" customWidth="1"/>
    <col min="14" max="15" width="4.83203125" style="65" bestFit="1" customWidth="1"/>
    <col min="16" max="16" width="4.6640625" style="65" bestFit="1" customWidth="1"/>
    <col min="17" max="19" width="7.83203125" style="151" bestFit="1" customWidth="1"/>
    <col min="20" max="21" width="7.83203125" style="42" bestFit="1" customWidth="1"/>
    <col min="22" max="23" width="7.83203125" style="65" bestFit="1" customWidth="1"/>
    <col min="24" max="24" width="9.1640625" style="41" bestFit="1" customWidth="1"/>
    <col min="25" max="25" width="9.1640625" style="66" bestFit="1" customWidth="1"/>
    <col min="26" max="26" width="9.1640625" style="162" bestFit="1" customWidth="1"/>
    <col min="27" max="27" width="9.83203125" style="162" bestFit="1" customWidth="1"/>
    <col min="28" max="28" width="7.83203125" style="162" bestFit="1" customWidth="1"/>
    <col min="29" max="29" width="10" style="163" bestFit="1" customWidth="1"/>
    <col min="30" max="30" width="7.83203125" style="41" bestFit="1" customWidth="1"/>
    <col min="31" max="31" width="7.83203125" style="40" bestFit="1" customWidth="1"/>
    <col min="32" max="1024" width="13" style="40" bestFit="1" customWidth="1"/>
  </cols>
  <sheetData>
    <row r="1" spans="1:1024" ht="18" customHeight="1" x14ac:dyDescent="0.2">
      <c r="A1" s="1"/>
      <c r="B1" s="83"/>
      <c r="C1" s="1"/>
      <c r="D1" s="85"/>
      <c r="E1" s="43"/>
      <c r="F1" s="2"/>
      <c r="G1" s="43"/>
      <c r="H1" s="131"/>
      <c r="I1" s="43"/>
      <c r="J1" s="43"/>
      <c r="K1" s="43"/>
      <c r="L1" s="43"/>
      <c r="M1" s="131"/>
      <c r="N1" s="43"/>
      <c r="O1" s="43"/>
      <c r="P1" s="43"/>
      <c r="Q1" s="137"/>
      <c r="R1" s="137"/>
      <c r="S1" s="137"/>
      <c r="T1" s="3"/>
      <c r="U1" s="3"/>
      <c r="V1" s="43"/>
      <c r="W1" s="43"/>
      <c r="X1" s="2"/>
      <c r="Y1" s="44"/>
      <c r="Z1" s="152"/>
      <c r="AA1" s="152"/>
      <c r="AB1" s="152"/>
      <c r="AC1" s="153"/>
      <c r="AD1" s="2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x14ac:dyDescent="0.2">
      <c r="A2" s="1" t="s">
        <v>141</v>
      </c>
      <c r="B2" s="83"/>
      <c r="C2" s="1"/>
      <c r="D2" s="85"/>
      <c r="E2" s="43"/>
      <c r="F2" s="2"/>
      <c r="G2" s="43"/>
      <c r="H2" s="131"/>
      <c r="I2" s="43"/>
      <c r="J2" s="43"/>
      <c r="K2" s="43"/>
      <c r="L2" s="43"/>
      <c r="M2" s="131"/>
      <c r="N2" s="43"/>
      <c r="O2" s="43"/>
      <c r="P2" s="43"/>
      <c r="Q2" s="137"/>
      <c r="R2" s="137"/>
      <c r="S2" s="137"/>
      <c r="T2" s="3"/>
      <c r="U2" s="3"/>
      <c r="V2" s="43"/>
      <c r="W2" s="43"/>
      <c r="X2" s="2"/>
      <c r="Y2" s="44"/>
      <c r="Z2" s="152"/>
      <c r="AA2" s="152"/>
      <c r="AB2" s="152"/>
      <c r="AC2" s="153"/>
      <c r="AD2" s="2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ht="18" customHeight="1" x14ac:dyDescent="0.2">
      <c r="A3" s="1" t="s">
        <v>142</v>
      </c>
      <c r="B3" s="83" t="s">
        <v>143</v>
      </c>
      <c r="C3" s="1"/>
      <c r="D3" s="85"/>
      <c r="E3" s="43"/>
      <c r="F3" s="2"/>
      <c r="G3" s="43"/>
      <c r="H3" s="131"/>
      <c r="I3" s="43"/>
      <c r="J3" s="43"/>
      <c r="K3" s="43"/>
      <c r="L3" s="43"/>
      <c r="M3" s="131"/>
      <c r="N3" s="43"/>
      <c r="O3" s="43"/>
      <c r="P3" s="43"/>
      <c r="Q3" s="137"/>
      <c r="R3" s="137"/>
      <c r="S3" s="137"/>
      <c r="T3" s="3"/>
      <c r="U3" s="3"/>
      <c r="V3" s="43"/>
      <c r="W3" s="43"/>
      <c r="X3" s="2"/>
      <c r="Y3" s="44"/>
      <c r="Z3" s="152"/>
      <c r="AA3" s="152"/>
      <c r="AB3" s="152"/>
      <c r="AC3" s="153"/>
      <c r="AD3" s="2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ht="18" customHeight="1" x14ac:dyDescent="0.2">
      <c r="A4" s="1" t="s">
        <v>144</v>
      </c>
      <c r="B4" s="86" t="s">
        <v>145</v>
      </c>
      <c r="C4" s="1"/>
      <c r="D4" s="85"/>
      <c r="E4" s="43"/>
      <c r="F4" s="2"/>
      <c r="G4" s="43"/>
      <c r="H4" s="131"/>
      <c r="I4" s="43"/>
      <c r="J4" s="43"/>
      <c r="K4" s="43"/>
      <c r="L4" s="43"/>
      <c r="M4" s="131"/>
      <c r="N4" s="43"/>
      <c r="O4" s="43"/>
      <c r="P4" s="43"/>
      <c r="Q4" s="137"/>
      <c r="R4" s="137"/>
      <c r="S4" s="137"/>
      <c r="T4" s="3"/>
      <c r="U4" s="3"/>
      <c r="V4" s="43"/>
      <c r="W4" s="43"/>
      <c r="X4" s="2"/>
      <c r="Y4" s="44"/>
      <c r="Z4" s="152"/>
      <c r="AA4" s="152"/>
      <c r="AB4" s="152"/>
      <c r="AC4" s="153"/>
      <c r="AD4" s="2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ht="18" customHeight="1" x14ac:dyDescent="0.2">
      <c r="A5" s="1" t="s">
        <v>146</v>
      </c>
      <c r="B5" s="83" t="s">
        <v>147</v>
      </c>
      <c r="C5" s="1"/>
      <c r="D5" s="85"/>
      <c r="E5" s="43"/>
      <c r="F5" s="2"/>
      <c r="G5" s="43"/>
      <c r="H5" s="140"/>
      <c r="I5" s="43"/>
      <c r="J5" s="43"/>
      <c r="K5" s="86"/>
      <c r="L5" s="43"/>
      <c r="M5" s="131"/>
      <c r="N5" s="43"/>
      <c r="O5" s="43"/>
      <c r="P5" s="43"/>
      <c r="Q5" s="138"/>
      <c r="R5" s="138" t="s">
        <v>166</v>
      </c>
      <c r="S5" s="138"/>
      <c r="T5" s="139" t="s">
        <v>167</v>
      </c>
      <c r="U5" s="139"/>
      <c r="V5" s="43"/>
      <c r="W5" s="43"/>
      <c r="X5" s="2"/>
      <c r="Y5" s="44"/>
      <c r="Z5" s="152"/>
      <c r="AA5" s="152"/>
      <c r="AB5" s="152"/>
      <c r="AC5" s="153"/>
      <c r="AD5" s="2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ht="18" customHeight="1" x14ac:dyDescent="0.2">
      <c r="A6" s="1" t="s">
        <v>148</v>
      </c>
      <c r="B6" s="106" t="s">
        <v>168</v>
      </c>
      <c r="C6" s="1"/>
      <c r="D6" s="85"/>
      <c r="E6" s="43"/>
      <c r="F6" s="2"/>
      <c r="G6" s="43"/>
      <c r="H6" s="140"/>
      <c r="I6" s="43"/>
      <c r="J6" s="43"/>
      <c r="K6" s="86"/>
      <c r="L6" s="43"/>
      <c r="M6" s="131"/>
      <c r="N6" s="43"/>
      <c r="O6" s="43"/>
      <c r="P6" s="43"/>
      <c r="Q6" s="141"/>
      <c r="R6" s="141" t="s">
        <v>169</v>
      </c>
      <c r="S6" s="141"/>
      <c r="T6" s="139" t="s">
        <v>170</v>
      </c>
      <c r="U6" s="139"/>
      <c r="V6" s="43"/>
      <c r="W6" s="43"/>
      <c r="X6" s="2"/>
      <c r="Y6" s="44"/>
      <c r="Z6" s="152"/>
      <c r="AA6" s="152"/>
      <c r="AB6" s="152"/>
      <c r="AC6" s="153"/>
      <c r="AD6" s="2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ht="18" customHeight="1" x14ac:dyDescent="0.2">
      <c r="A7" s="1" t="s">
        <v>150</v>
      </c>
      <c r="B7" s="106" t="s">
        <v>171</v>
      </c>
      <c r="C7" s="1"/>
      <c r="D7" s="85"/>
      <c r="E7" s="43"/>
      <c r="F7" s="2"/>
      <c r="G7" s="43"/>
      <c r="H7" s="131"/>
      <c r="I7" s="43"/>
      <c r="J7" s="43"/>
      <c r="K7" s="43"/>
      <c r="L7" s="43"/>
      <c r="M7" s="131"/>
      <c r="N7" s="43"/>
      <c r="O7" s="43"/>
      <c r="P7" s="43"/>
      <c r="Q7" s="137"/>
      <c r="R7" s="137"/>
      <c r="S7" s="137"/>
      <c r="T7" s="3"/>
      <c r="U7" s="3"/>
      <c r="V7" s="43"/>
      <c r="W7" s="43"/>
      <c r="X7" s="2"/>
      <c r="Y7" s="44"/>
      <c r="Z7" s="152"/>
      <c r="AA7" s="152"/>
      <c r="AB7" s="152"/>
      <c r="AC7" s="153"/>
      <c r="AD7" s="2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8" customHeight="1" x14ac:dyDescent="0.2">
      <c r="A8" s="1" t="s">
        <v>152</v>
      </c>
      <c r="B8" s="106" t="s">
        <v>153</v>
      </c>
      <c r="C8" s="1"/>
      <c r="D8" s="85"/>
      <c r="E8" s="43"/>
      <c r="F8" s="2"/>
      <c r="G8" s="43"/>
      <c r="H8" s="131"/>
      <c r="I8" s="43"/>
      <c r="J8" s="43"/>
      <c r="K8" s="43"/>
      <c r="L8" s="43"/>
      <c r="M8" s="131"/>
      <c r="N8" s="43"/>
      <c r="O8" s="43"/>
      <c r="P8" s="43"/>
      <c r="Q8" s="137"/>
      <c r="R8" s="137"/>
      <c r="S8" s="137"/>
      <c r="T8" s="3"/>
      <c r="U8" s="3"/>
      <c r="V8" s="43"/>
      <c r="W8" s="43"/>
      <c r="X8" s="2"/>
      <c r="Y8" s="44"/>
      <c r="Z8" s="152"/>
      <c r="AA8" s="152"/>
      <c r="AB8" s="152"/>
      <c r="AC8" s="153"/>
      <c r="AD8" s="2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" customHeight="1" x14ac:dyDescent="0.2">
      <c r="A9" s="1" t="s">
        <v>154</v>
      </c>
      <c r="B9" s="83"/>
      <c r="C9" s="1"/>
      <c r="D9" s="85"/>
      <c r="E9" s="43"/>
      <c r="F9" s="2"/>
      <c r="G9" s="43"/>
      <c r="H9" s="131"/>
      <c r="I9" s="43"/>
      <c r="J9" s="43"/>
      <c r="K9" s="43"/>
      <c r="L9" s="43"/>
      <c r="M9" s="131"/>
      <c r="N9" s="43"/>
      <c r="O9" s="43"/>
      <c r="P9" s="43"/>
      <c r="Q9" s="137"/>
      <c r="R9" s="137"/>
      <c r="S9" s="137"/>
      <c r="T9" s="3"/>
      <c r="U9" s="3"/>
      <c r="V9" s="43"/>
      <c r="W9" s="43"/>
      <c r="X9" s="2"/>
      <c r="Y9" s="44"/>
      <c r="Z9" s="152"/>
      <c r="AA9" s="152"/>
      <c r="AB9" s="152"/>
      <c r="AC9" s="153"/>
      <c r="AD9" s="2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pans="1:1024" ht="18" customHeight="1" x14ac:dyDescent="0.2">
      <c r="A10" s="1" t="s">
        <v>155</v>
      </c>
      <c r="B10" s="56" t="s">
        <v>172</v>
      </c>
      <c r="C10" s="1"/>
      <c r="D10" s="85"/>
      <c r="E10" s="43"/>
      <c r="F10" s="2"/>
      <c r="G10" s="43"/>
      <c r="H10" s="131"/>
      <c r="I10" s="43"/>
      <c r="J10" s="43"/>
      <c r="K10" s="43"/>
      <c r="L10" s="43"/>
      <c r="M10" s="131"/>
      <c r="N10" s="43"/>
      <c r="O10" s="43"/>
      <c r="P10" s="43"/>
      <c r="Q10" s="137"/>
      <c r="R10" s="137"/>
      <c r="S10" s="137"/>
      <c r="T10" s="3"/>
      <c r="U10" s="3"/>
      <c r="V10" s="43"/>
      <c r="W10" s="43"/>
      <c r="X10" s="2"/>
      <c r="Y10" s="44"/>
      <c r="Z10" s="152"/>
      <c r="AA10" s="152"/>
      <c r="AB10" s="152"/>
      <c r="AC10" s="153"/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pans="1:1024" ht="18" customHeight="1" x14ac:dyDescent="0.2">
      <c r="A11" s="1" t="s">
        <v>156</v>
      </c>
      <c r="B11" s="83"/>
      <c r="C11" s="1"/>
      <c r="D11" s="85"/>
      <c r="E11" s="43"/>
      <c r="F11" s="2"/>
      <c r="G11" s="43"/>
      <c r="H11" s="131"/>
      <c r="I11" s="43"/>
      <c r="J11" s="43"/>
      <c r="K11" s="43"/>
      <c r="L11" s="43"/>
      <c r="M11" s="131"/>
      <c r="N11" s="43"/>
      <c r="O11" s="43"/>
      <c r="P11" s="43"/>
      <c r="Q11" s="137"/>
      <c r="R11" s="137"/>
      <c r="S11" s="137"/>
      <c r="T11" s="3"/>
      <c r="U11" s="3"/>
      <c r="V11" s="43"/>
      <c r="W11" s="43"/>
      <c r="X11" s="2"/>
      <c r="Y11" s="44"/>
      <c r="Z11" s="152"/>
      <c r="AA11" s="152"/>
      <c r="AB11" s="152"/>
      <c r="AC11" s="153"/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2" spans="1:1024" ht="18" customHeight="1" x14ac:dyDescent="0.2">
      <c r="A12" s="1"/>
      <c r="B12" s="83"/>
      <c r="C12" s="1"/>
      <c r="D12" s="85"/>
      <c r="E12" s="43"/>
      <c r="F12" s="2"/>
      <c r="G12" s="43"/>
      <c r="H12" s="131"/>
      <c r="I12" s="43"/>
      <c r="J12" s="43"/>
      <c r="K12" s="43"/>
      <c r="L12" s="43"/>
      <c r="M12" s="131"/>
      <c r="N12" s="43"/>
      <c r="O12" s="43"/>
      <c r="P12" s="43"/>
      <c r="Q12" s="137"/>
      <c r="R12" s="137"/>
      <c r="S12" s="137"/>
      <c r="T12" s="3"/>
      <c r="U12" s="3"/>
      <c r="V12" s="43"/>
      <c r="W12" s="43"/>
      <c r="X12" s="2"/>
      <c r="Y12" s="44"/>
      <c r="Z12" s="152"/>
      <c r="AA12" s="152"/>
      <c r="AB12" s="152"/>
      <c r="AC12" s="153"/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spans="1:1024" ht="18" customHeight="1" x14ac:dyDescent="0.2">
      <c r="A13" s="1"/>
      <c r="B13" s="83"/>
      <c r="C13" s="1"/>
      <c r="D13" s="85"/>
      <c r="E13" s="43"/>
      <c r="F13" s="2"/>
      <c r="G13" s="43"/>
      <c r="H13" s="131"/>
      <c r="I13" s="43"/>
      <c r="J13" s="43"/>
      <c r="K13" s="43"/>
      <c r="L13" s="43"/>
      <c r="M13" s="131"/>
      <c r="N13" s="43"/>
      <c r="O13" s="43"/>
      <c r="P13" s="43"/>
      <c r="Q13" s="137"/>
      <c r="R13" s="137"/>
      <c r="S13" s="137"/>
      <c r="T13" s="3"/>
      <c r="U13" s="3"/>
      <c r="V13" s="43"/>
      <c r="W13" s="43"/>
      <c r="X13" s="2"/>
      <c r="Y13" s="44"/>
      <c r="Z13" s="152"/>
      <c r="AA13" s="152"/>
      <c r="AB13" s="152"/>
      <c r="AC13" s="153"/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ht="18" customHeight="1" x14ac:dyDescent="0.2">
      <c r="A14" s="1"/>
      <c r="B14" s="83"/>
      <c r="C14" s="1"/>
      <c r="D14" s="85"/>
      <c r="E14" s="43"/>
      <c r="F14" s="2"/>
      <c r="G14" s="43"/>
      <c r="H14" s="131"/>
      <c r="I14" s="43"/>
      <c r="J14" s="43"/>
      <c r="K14" s="43"/>
      <c r="L14" s="43"/>
      <c r="M14" s="131"/>
      <c r="N14" s="43"/>
      <c r="O14" s="43"/>
      <c r="P14" s="43"/>
      <c r="Q14" s="137"/>
      <c r="R14" s="137"/>
      <c r="S14" s="137"/>
      <c r="T14" s="3"/>
      <c r="U14" s="3"/>
      <c r="V14" s="43"/>
      <c r="W14" s="43"/>
      <c r="X14" s="2"/>
      <c r="Y14" s="44"/>
      <c r="Z14" s="152"/>
      <c r="AA14" s="152"/>
      <c r="AB14" s="152"/>
      <c r="AC14" s="153"/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ht="18" customHeight="1" x14ac:dyDescent="0.2">
      <c r="A15" s="1"/>
      <c r="B15" s="83"/>
      <c r="C15" s="1"/>
      <c r="D15" s="85"/>
      <c r="E15" s="43"/>
      <c r="F15" s="2"/>
      <c r="G15" s="43"/>
      <c r="H15" s="131"/>
      <c r="I15" s="43"/>
      <c r="J15" s="43"/>
      <c r="K15" s="43"/>
      <c r="L15" s="43"/>
      <c r="M15" s="131"/>
      <c r="N15" s="43"/>
      <c r="O15" s="43"/>
      <c r="P15" s="43"/>
      <c r="Q15" s="137"/>
      <c r="R15" s="137"/>
      <c r="S15" s="137"/>
      <c r="T15" s="3"/>
      <c r="U15" s="3"/>
      <c r="V15" s="43"/>
      <c r="W15" s="43"/>
      <c r="X15" s="2"/>
      <c r="Y15" s="44"/>
      <c r="Z15" s="152"/>
      <c r="AA15" s="152"/>
      <c r="AB15" s="152"/>
      <c r="AC15" s="153"/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4" ht="18" customHeight="1" x14ac:dyDescent="0.2">
      <c r="A16" s="1"/>
      <c r="B16" s="83"/>
      <c r="C16" s="1"/>
      <c r="D16" s="85"/>
      <c r="E16" s="43"/>
      <c r="F16" s="2"/>
      <c r="G16" s="43"/>
      <c r="H16" s="131"/>
      <c r="I16" s="43"/>
      <c r="J16" s="43"/>
      <c r="K16" s="43"/>
      <c r="L16" s="43"/>
      <c r="M16" s="131"/>
      <c r="N16" s="43"/>
      <c r="O16" s="43"/>
      <c r="P16" s="43"/>
      <c r="Q16" s="137"/>
      <c r="R16" s="137"/>
      <c r="S16" s="137"/>
      <c r="T16" s="3"/>
      <c r="U16" s="3"/>
      <c r="V16" s="43"/>
      <c r="W16" s="43"/>
      <c r="X16" s="2"/>
      <c r="Y16" s="44"/>
      <c r="Z16" s="152"/>
      <c r="AA16" s="152"/>
      <c r="AB16" s="152"/>
      <c r="AC16" s="153"/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 ht="206.5" customHeight="1" x14ac:dyDescent="0.2">
      <c r="A17" s="1"/>
      <c r="B17" s="93" t="s">
        <v>157</v>
      </c>
      <c r="C17" s="94"/>
      <c r="D17" s="95" t="s">
        <v>159</v>
      </c>
      <c r="E17" s="93" t="s">
        <v>189</v>
      </c>
      <c r="F17" s="108" t="s">
        <v>190</v>
      </c>
      <c r="G17" s="93" t="s">
        <v>191</v>
      </c>
      <c r="H17" s="132" t="s">
        <v>201</v>
      </c>
      <c r="I17" s="93" t="s">
        <v>204</v>
      </c>
      <c r="J17" s="93" t="s">
        <v>220</v>
      </c>
      <c r="K17" s="93" t="s">
        <v>220</v>
      </c>
      <c r="L17" s="93" t="s">
        <v>191</v>
      </c>
      <c r="M17" s="132" t="s">
        <v>192</v>
      </c>
      <c r="N17" s="93" t="s">
        <v>193</v>
      </c>
      <c r="O17" s="93" t="s">
        <v>194</v>
      </c>
      <c r="P17" s="93" t="s">
        <v>195</v>
      </c>
      <c r="Q17" s="142" t="s">
        <v>196</v>
      </c>
      <c r="R17" s="142" t="s">
        <v>197</v>
      </c>
      <c r="S17" s="142" t="s">
        <v>198</v>
      </c>
      <c r="T17" s="133" t="s">
        <v>199</v>
      </c>
      <c r="U17" s="133" t="s">
        <v>200</v>
      </c>
      <c r="V17" s="93" t="s">
        <v>202</v>
      </c>
      <c r="W17" s="93" t="s">
        <v>203</v>
      </c>
      <c r="X17" s="108" t="s">
        <v>221</v>
      </c>
      <c r="Y17" s="154" t="s">
        <v>222</v>
      </c>
      <c r="Z17" s="155" t="s">
        <v>205</v>
      </c>
      <c r="AA17" s="155" t="s">
        <v>206</v>
      </c>
      <c r="AB17" s="155" t="s">
        <v>223</v>
      </c>
      <c r="AC17" s="132" t="s">
        <v>207</v>
      </c>
      <c r="AD17" s="108" t="s">
        <v>208</v>
      </c>
      <c r="AE17" s="94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</row>
    <row r="18" spans="1:1024" ht="18" customHeight="1" x14ac:dyDescent="0.2">
      <c r="A18" s="88" t="s">
        <v>1</v>
      </c>
      <c r="B18" s="83"/>
      <c r="C18" s="1"/>
      <c r="D18" s="85"/>
      <c r="E18" s="50" t="s">
        <v>16</v>
      </c>
      <c r="F18" s="100" t="s">
        <v>209</v>
      </c>
      <c r="G18" s="50" t="s">
        <v>18</v>
      </c>
      <c r="H18" s="143" t="s">
        <v>7</v>
      </c>
      <c r="I18" s="50" t="s">
        <v>7</v>
      </c>
      <c r="J18" s="50" t="s">
        <v>18</v>
      </c>
      <c r="K18" s="50" t="s">
        <v>18</v>
      </c>
      <c r="L18" s="50" t="s">
        <v>28</v>
      </c>
      <c r="M18" s="143" t="s">
        <v>210</v>
      </c>
      <c r="N18" s="50" t="s">
        <v>211</v>
      </c>
      <c r="O18" s="50" t="s">
        <v>211</v>
      </c>
      <c r="P18" s="50" t="s">
        <v>211</v>
      </c>
      <c r="Q18" s="144" t="s">
        <v>212</v>
      </c>
      <c r="R18" s="144" t="s">
        <v>213</v>
      </c>
      <c r="S18" s="144" t="s">
        <v>32</v>
      </c>
      <c r="T18" s="145" t="s">
        <v>214</v>
      </c>
      <c r="U18" s="145" t="s">
        <v>30</v>
      </c>
      <c r="V18" s="50" t="s">
        <v>7</v>
      </c>
      <c r="W18" s="50" t="s">
        <v>7</v>
      </c>
      <c r="X18" s="2"/>
      <c r="Y18" s="44"/>
      <c r="Z18" s="156" t="s">
        <v>215</v>
      </c>
      <c r="AA18" s="156" t="s">
        <v>216</v>
      </c>
      <c r="AB18" s="156" t="s">
        <v>187</v>
      </c>
      <c r="AC18" s="143" t="s">
        <v>187</v>
      </c>
      <c r="AD18" s="100" t="s">
        <v>187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spans="1:1024" ht="18" customHeight="1" x14ac:dyDescent="0.2">
      <c r="A19" s="88" t="s">
        <v>161</v>
      </c>
      <c r="B19" s="83"/>
      <c r="C19" s="1"/>
      <c r="D19" s="85"/>
      <c r="E19" s="50" t="s">
        <v>217</v>
      </c>
      <c r="F19" s="100" t="s">
        <v>218</v>
      </c>
      <c r="G19" s="50" t="s">
        <v>217</v>
      </c>
      <c r="H19" s="131"/>
      <c r="I19" s="43"/>
      <c r="J19" s="50" t="s">
        <v>217</v>
      </c>
      <c r="K19" s="50" t="s">
        <v>217</v>
      </c>
      <c r="L19" s="50" t="s">
        <v>217</v>
      </c>
      <c r="M19" s="143" t="s">
        <v>218</v>
      </c>
      <c r="N19" s="43"/>
      <c r="O19" s="43"/>
      <c r="P19" s="43"/>
      <c r="Q19" s="144" t="s">
        <v>219</v>
      </c>
      <c r="R19" s="144" t="s">
        <v>219</v>
      </c>
      <c r="S19" s="137"/>
      <c r="T19" s="3"/>
      <c r="U19" s="3"/>
      <c r="V19" s="43"/>
      <c r="W19" s="43"/>
      <c r="X19" s="2"/>
      <c r="Y19" s="44"/>
      <c r="Z19" s="152"/>
      <c r="AA19" s="152"/>
      <c r="AB19" s="152"/>
      <c r="AC19" s="153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ht="18" customHeight="1" x14ac:dyDescent="0.2">
      <c r="A20" s="116" t="s">
        <v>224</v>
      </c>
      <c r="B20" s="83"/>
      <c r="C20" s="94"/>
      <c r="D20" s="95"/>
      <c r="E20" s="93"/>
      <c r="F20" s="108"/>
      <c r="G20" s="93"/>
      <c r="H20" s="132"/>
      <c r="I20" s="118">
        <f>1/20</f>
        <v>0.05</v>
      </c>
      <c r="J20" s="118">
        <f>1/3</f>
        <v>0.33333333333333331</v>
      </c>
      <c r="K20" s="118">
        <v>1</v>
      </c>
      <c r="L20" s="93"/>
      <c r="M20" s="132"/>
      <c r="N20" s="93"/>
      <c r="O20" s="93"/>
      <c r="P20" s="93"/>
      <c r="Q20" s="142"/>
      <c r="R20" s="142"/>
      <c r="S20" s="142"/>
      <c r="T20" s="133"/>
      <c r="U20" s="133"/>
      <c r="V20" s="93"/>
      <c r="W20" s="93"/>
      <c r="X20" s="108"/>
      <c r="Y20" s="154"/>
      <c r="Z20" s="155"/>
      <c r="AA20" s="155"/>
      <c r="AB20" s="155"/>
      <c r="AC20" s="132"/>
      <c r="AD20" s="108"/>
      <c r="AE20" s="94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ht="18" customHeight="1" x14ac:dyDescent="0.2">
      <c r="A21" s="116" t="s">
        <v>186</v>
      </c>
      <c r="B21" s="83"/>
      <c r="C21" s="94"/>
      <c r="D21" s="95"/>
      <c r="E21" s="93"/>
      <c r="F21" s="108"/>
      <c r="G21" s="93"/>
      <c r="H21" s="132"/>
      <c r="I21" s="117">
        <v>0.5</v>
      </c>
      <c r="J21" s="118"/>
      <c r="K21" s="118"/>
      <c r="L21" s="93"/>
      <c r="M21" s="132"/>
      <c r="N21" s="93"/>
      <c r="O21" s="93"/>
      <c r="P21" s="93"/>
      <c r="Q21" s="142"/>
      <c r="R21" s="142"/>
      <c r="S21" s="142"/>
      <c r="T21" s="133"/>
      <c r="U21" s="133"/>
      <c r="V21" s="93"/>
      <c r="W21" s="93"/>
      <c r="X21" s="108"/>
      <c r="Y21" s="154"/>
      <c r="Z21" s="155"/>
      <c r="AA21" s="155"/>
      <c r="AB21" s="155"/>
      <c r="AC21" s="132"/>
      <c r="AD21" s="108"/>
      <c r="AE21" s="94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ht="18" customHeight="1" x14ac:dyDescent="0.2">
      <c r="A22" s="1"/>
      <c r="B22" s="51">
        <v>0</v>
      </c>
      <c r="C22" s="1"/>
      <c r="D22" s="87">
        <v>44743</v>
      </c>
      <c r="E22" s="135">
        <v>12</v>
      </c>
      <c r="F22" s="146">
        <f>12/14</f>
        <v>0.8571428571428571</v>
      </c>
      <c r="G22" s="135">
        <v>200</v>
      </c>
      <c r="H22" s="134">
        <v>0.1</v>
      </c>
      <c r="I22" s="135">
        <v>500</v>
      </c>
      <c r="J22" s="135">
        <v>150</v>
      </c>
      <c r="K22" s="135">
        <v>110</v>
      </c>
      <c r="L22" s="147">
        <f>G22*E22</f>
        <v>2400</v>
      </c>
      <c r="M22" s="134">
        <v>8.0000000000000002E-3</v>
      </c>
      <c r="N22" s="135">
        <v>238</v>
      </c>
      <c r="O22" s="135">
        <v>522</v>
      </c>
      <c r="P22" s="135">
        <v>218</v>
      </c>
      <c r="Q22" s="148">
        <f>P22*O22*N22/1000000</f>
        <v>27.083448000000001</v>
      </c>
      <c r="R22" s="138">
        <v>57.5</v>
      </c>
      <c r="S22" s="148">
        <f>R22/Q22</f>
        <v>2.1230679343339149</v>
      </c>
      <c r="T22" s="126">
        <f>L22/Q22</f>
        <v>88.615009433067755</v>
      </c>
      <c r="U22" s="126">
        <f>L22/R22</f>
        <v>41.739130434782609</v>
      </c>
      <c r="V22" s="157">
        <v>1</v>
      </c>
      <c r="W22" s="157">
        <v>2</v>
      </c>
      <c r="X22" s="146">
        <v>-0.1</v>
      </c>
      <c r="Y22" s="158">
        <f>X22/12</f>
        <v>-8.3333333333333332E-3</v>
      </c>
      <c r="Z22" s="159">
        <v>1221</v>
      </c>
      <c r="AA22" s="159">
        <f>Z22/L22*1000</f>
        <v>508.75000000000006</v>
      </c>
      <c r="AB22" s="160">
        <f>2/3*AA22</f>
        <v>339.16666666666669</v>
      </c>
      <c r="AC22" s="157">
        <v>100</v>
      </c>
      <c r="AD22" s="128">
        <v>0.2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 ht="18" customHeight="1" x14ac:dyDescent="0.2">
      <c r="A23" s="1"/>
      <c r="B23" s="51">
        <f t="shared" ref="B23:B52" si="0">1+B22</f>
        <v>1</v>
      </c>
      <c r="C23" s="1"/>
      <c r="D23" s="87">
        <v>45108</v>
      </c>
      <c r="E23" s="157"/>
      <c r="F23" s="128"/>
      <c r="G23" s="157"/>
      <c r="H23" s="131"/>
      <c r="I23" s="43"/>
      <c r="J23" s="157"/>
      <c r="K23" s="43"/>
      <c r="L23" s="43"/>
      <c r="M23" s="161"/>
      <c r="N23" s="157"/>
      <c r="O23" s="157"/>
      <c r="P23" s="157"/>
      <c r="Q23" s="137"/>
      <c r="R23" s="137"/>
      <c r="S23" s="137"/>
      <c r="T23" s="3"/>
      <c r="U23" s="3"/>
      <c r="V23" s="43"/>
      <c r="W23" s="43"/>
      <c r="X23" s="2"/>
      <c r="Y23" s="44"/>
      <c r="Z23" s="152"/>
      <c r="AA23" s="152"/>
      <c r="AB23" s="152"/>
      <c r="AC23" s="153"/>
      <c r="AD23" s="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ht="18" customHeight="1" x14ac:dyDescent="0.2">
      <c r="A24" s="1"/>
      <c r="B24" s="51">
        <f t="shared" si="0"/>
        <v>2</v>
      </c>
      <c r="C24" s="1"/>
      <c r="D24" s="87">
        <v>45474</v>
      </c>
      <c r="E24" s="157"/>
      <c r="F24" s="128"/>
      <c r="G24" s="157"/>
      <c r="H24" s="131"/>
      <c r="I24" s="43"/>
      <c r="J24" s="157"/>
      <c r="K24" s="43"/>
      <c r="L24" s="43"/>
      <c r="M24" s="161"/>
      <c r="N24" s="157"/>
      <c r="O24" s="157"/>
      <c r="P24" s="157"/>
      <c r="Q24" s="137"/>
      <c r="R24" s="137"/>
      <c r="S24" s="137"/>
      <c r="T24" s="3"/>
      <c r="U24" s="3"/>
      <c r="V24" s="43"/>
      <c r="W24" s="43"/>
      <c r="X24" s="2"/>
      <c r="Y24" s="44"/>
      <c r="Z24" s="152"/>
      <c r="AA24" s="152"/>
      <c r="AB24" s="152"/>
      <c r="AC24" s="153"/>
      <c r="AD24" s="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ht="18" customHeight="1" x14ac:dyDescent="0.2">
      <c r="A25" s="1"/>
      <c r="B25" s="51">
        <f t="shared" si="0"/>
        <v>3</v>
      </c>
      <c r="C25" s="1"/>
      <c r="D25" s="87">
        <v>45839</v>
      </c>
      <c r="E25" s="157"/>
      <c r="F25" s="128"/>
      <c r="G25" s="157"/>
      <c r="H25" s="131"/>
      <c r="I25" s="43"/>
      <c r="J25" s="157"/>
      <c r="K25" s="43"/>
      <c r="L25" s="43"/>
      <c r="M25" s="161"/>
      <c r="N25" s="157"/>
      <c r="O25" s="157"/>
      <c r="P25" s="157"/>
      <c r="Q25" s="137"/>
      <c r="R25" s="137"/>
      <c r="S25" s="137"/>
      <c r="T25" s="3"/>
      <c r="U25" s="3"/>
      <c r="V25" s="43"/>
      <c r="W25" s="43"/>
      <c r="X25" s="2"/>
      <c r="Y25" s="44"/>
      <c r="Z25" s="152"/>
      <c r="AA25" s="152"/>
      <c r="AB25" s="152"/>
      <c r="AC25" s="153"/>
      <c r="AD25" s="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ht="18" customHeight="1" x14ac:dyDescent="0.2">
      <c r="A26" s="1"/>
      <c r="B26" s="51">
        <f t="shared" si="0"/>
        <v>4</v>
      </c>
      <c r="C26" s="1"/>
      <c r="D26" s="87">
        <v>46204</v>
      </c>
      <c r="E26" s="157"/>
      <c r="F26" s="128"/>
      <c r="G26" s="157"/>
      <c r="H26" s="131"/>
      <c r="I26" s="43"/>
      <c r="J26" s="157"/>
      <c r="K26" s="43"/>
      <c r="L26" s="43"/>
      <c r="M26" s="161"/>
      <c r="N26" s="157"/>
      <c r="O26" s="157"/>
      <c r="P26" s="157"/>
      <c r="Q26" s="137"/>
      <c r="R26" s="137"/>
      <c r="S26" s="137"/>
      <c r="T26" s="3"/>
      <c r="U26" s="3"/>
      <c r="V26" s="43"/>
      <c r="W26" s="43"/>
      <c r="X26" s="2"/>
      <c r="Y26" s="44"/>
      <c r="Z26" s="152"/>
      <c r="AA26" s="152"/>
      <c r="AB26" s="152"/>
      <c r="AC26" s="153"/>
      <c r="AD26" s="2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ht="18" customHeight="1" x14ac:dyDescent="0.2">
      <c r="A27" s="1"/>
      <c r="B27" s="51">
        <f t="shared" si="0"/>
        <v>5</v>
      </c>
      <c r="C27" s="1"/>
      <c r="D27" s="87">
        <v>46569</v>
      </c>
      <c r="E27" s="157"/>
      <c r="F27" s="128"/>
      <c r="G27" s="157"/>
      <c r="H27" s="131"/>
      <c r="I27" s="43"/>
      <c r="J27" s="157"/>
      <c r="K27" s="43"/>
      <c r="L27" s="43"/>
      <c r="M27" s="161"/>
      <c r="N27" s="157"/>
      <c r="O27" s="157"/>
      <c r="P27" s="157"/>
      <c r="Q27" s="137"/>
      <c r="R27" s="137"/>
      <c r="S27" s="137"/>
      <c r="T27" s="3"/>
      <c r="U27" s="3"/>
      <c r="V27" s="43"/>
      <c r="W27" s="43"/>
      <c r="X27" s="2"/>
      <c r="Y27" s="44"/>
      <c r="Z27" s="152"/>
      <c r="AA27" s="152"/>
      <c r="AB27" s="152"/>
      <c r="AC27" s="143">
        <f>AC$22*'_Mix--SLA'!N27</f>
        <v>197.93161661600331</v>
      </c>
      <c r="AD27" s="2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pans="1:1024" ht="18" customHeight="1" x14ac:dyDescent="0.2">
      <c r="A28" s="1"/>
      <c r="B28" s="51">
        <f t="shared" si="0"/>
        <v>6</v>
      </c>
      <c r="C28" s="1"/>
      <c r="D28" s="87">
        <v>46935</v>
      </c>
      <c r="E28" s="157"/>
      <c r="F28" s="128"/>
      <c r="G28" s="157"/>
      <c r="H28" s="131"/>
      <c r="I28" s="43"/>
      <c r="J28" s="157"/>
      <c r="K28" s="43"/>
      <c r="L28" s="43"/>
      <c r="M28" s="161"/>
      <c r="N28" s="157"/>
      <c r="O28" s="157"/>
      <c r="P28" s="157"/>
      <c r="Q28" s="137"/>
      <c r="R28" s="137"/>
      <c r="S28" s="137"/>
      <c r="T28" s="3"/>
      <c r="U28" s="3"/>
      <c r="V28" s="43"/>
      <c r="W28" s="43"/>
      <c r="X28" s="2"/>
      <c r="Y28" s="44"/>
      <c r="Z28" s="152"/>
      <c r="AA28" s="152"/>
      <c r="AB28" s="152"/>
      <c r="AC28" s="153"/>
      <c r="AD28" s="2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 ht="18" customHeight="1" x14ac:dyDescent="0.2">
      <c r="A29" s="1"/>
      <c r="B29" s="51">
        <f t="shared" si="0"/>
        <v>7</v>
      </c>
      <c r="C29" s="1"/>
      <c r="D29" s="87">
        <v>47300</v>
      </c>
      <c r="E29" s="157"/>
      <c r="F29" s="128"/>
      <c r="G29" s="157"/>
      <c r="H29" s="131"/>
      <c r="I29" s="43"/>
      <c r="J29" s="157"/>
      <c r="K29" s="43"/>
      <c r="L29" s="43"/>
      <c r="M29" s="161"/>
      <c r="N29" s="157"/>
      <c r="O29" s="157"/>
      <c r="P29" s="157"/>
      <c r="Q29" s="137"/>
      <c r="R29" s="137"/>
      <c r="S29" s="137"/>
      <c r="T29" s="3"/>
      <c r="U29" s="3"/>
      <c r="V29" s="43"/>
      <c r="W29" s="43"/>
      <c r="X29" s="2"/>
      <c r="Y29" s="44"/>
      <c r="Z29" s="152"/>
      <c r="AA29" s="152"/>
      <c r="AB29" s="152"/>
      <c r="AC29" s="153"/>
      <c r="AD29" s="2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 ht="18" customHeight="1" x14ac:dyDescent="0.2">
      <c r="A30" s="1"/>
      <c r="B30" s="51">
        <f t="shared" si="0"/>
        <v>8</v>
      </c>
      <c r="C30" s="1"/>
      <c r="D30" s="87">
        <v>47665</v>
      </c>
      <c r="E30" s="157"/>
      <c r="F30" s="128"/>
      <c r="G30" s="157"/>
      <c r="H30" s="131"/>
      <c r="I30" s="43"/>
      <c r="J30" s="157"/>
      <c r="K30" s="43"/>
      <c r="L30" s="43"/>
      <c r="M30" s="161"/>
      <c r="N30" s="157"/>
      <c r="O30" s="157"/>
      <c r="P30" s="157"/>
      <c r="Q30" s="137"/>
      <c r="R30" s="137"/>
      <c r="S30" s="137"/>
      <c r="T30" s="3"/>
      <c r="U30" s="3"/>
      <c r="V30" s="43"/>
      <c r="W30" s="43"/>
      <c r="X30" s="2"/>
      <c r="Y30" s="44"/>
      <c r="Z30" s="152"/>
      <c r="AA30" s="152"/>
      <c r="AB30" s="152"/>
      <c r="AC30" s="153"/>
      <c r="AD30" s="2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 ht="18" customHeight="1" x14ac:dyDescent="0.2">
      <c r="A31" s="1"/>
      <c r="B31" s="51">
        <f t="shared" si="0"/>
        <v>9</v>
      </c>
      <c r="C31" s="1"/>
      <c r="D31" s="87">
        <v>48030</v>
      </c>
      <c r="E31" s="43"/>
      <c r="F31" s="2"/>
      <c r="G31" s="43"/>
      <c r="H31" s="131"/>
      <c r="I31" s="43"/>
      <c r="J31" s="43"/>
      <c r="K31" s="43"/>
      <c r="L31" s="43"/>
      <c r="M31" s="131"/>
      <c r="N31" s="43"/>
      <c r="O31" s="43"/>
      <c r="P31" s="43"/>
      <c r="Q31" s="137"/>
      <c r="R31" s="137"/>
      <c r="S31" s="137"/>
      <c r="T31" s="3"/>
      <c r="U31" s="3"/>
      <c r="V31" s="43"/>
      <c r="W31" s="43"/>
      <c r="X31" s="2"/>
      <c r="Y31" s="44"/>
      <c r="Z31" s="152"/>
      <c r="AA31" s="152"/>
      <c r="AB31" s="152"/>
      <c r="AC31" s="153"/>
      <c r="AD31" s="2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r="32" spans="1:1024" ht="18" customHeight="1" x14ac:dyDescent="0.2">
      <c r="A32" s="1"/>
      <c r="B32" s="51">
        <f t="shared" si="0"/>
        <v>10</v>
      </c>
      <c r="C32" s="1"/>
      <c r="D32" s="87">
        <v>48396</v>
      </c>
      <c r="E32" s="43"/>
      <c r="F32" s="2"/>
      <c r="G32" s="43"/>
      <c r="H32" s="131"/>
      <c r="I32" s="43"/>
      <c r="J32" s="43"/>
      <c r="K32" s="43"/>
      <c r="L32" s="43"/>
      <c r="M32" s="131"/>
      <c r="N32" s="43"/>
      <c r="O32" s="43"/>
      <c r="P32" s="43"/>
      <c r="Q32" s="137"/>
      <c r="R32" s="137"/>
      <c r="S32" s="137"/>
      <c r="T32" s="3"/>
      <c r="U32" s="3"/>
      <c r="V32" s="43"/>
      <c r="W32" s="43"/>
      <c r="X32" s="2"/>
      <c r="Y32" s="44"/>
      <c r="Z32" s="152"/>
      <c r="AA32" s="152"/>
      <c r="AB32" s="152"/>
      <c r="AC32" s="143">
        <f>AC$22*'_Mix--SLA'!N32</f>
        <v>347.00180810491179</v>
      </c>
      <c r="AD32" s="2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r="33" spans="1:1024" ht="18" customHeight="1" x14ac:dyDescent="0.2">
      <c r="A33" s="1"/>
      <c r="B33" s="51">
        <f t="shared" si="0"/>
        <v>11</v>
      </c>
      <c r="C33" s="1"/>
      <c r="D33" s="87">
        <v>48761</v>
      </c>
      <c r="E33" s="43"/>
      <c r="F33" s="2"/>
      <c r="G33" s="43"/>
      <c r="H33" s="131"/>
      <c r="I33" s="43"/>
      <c r="J33" s="43"/>
      <c r="K33" s="43"/>
      <c r="L33" s="43"/>
      <c r="M33" s="131"/>
      <c r="N33" s="43"/>
      <c r="O33" s="43"/>
      <c r="P33" s="43"/>
      <c r="Q33" s="137"/>
      <c r="R33" s="137"/>
      <c r="S33" s="137"/>
      <c r="T33" s="3"/>
      <c r="U33" s="3"/>
      <c r="V33" s="43"/>
      <c r="W33" s="43"/>
      <c r="X33" s="2"/>
      <c r="Y33" s="44"/>
      <c r="Z33" s="152"/>
      <c r="AA33" s="152"/>
      <c r="AB33" s="152"/>
      <c r="AC33" s="153"/>
      <c r="AD33" s="2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</row>
    <row r="34" spans="1:1024" ht="18" customHeight="1" x14ac:dyDescent="0.2">
      <c r="A34" s="1"/>
      <c r="B34" s="51">
        <f t="shared" si="0"/>
        <v>12</v>
      </c>
      <c r="C34" s="1"/>
      <c r="D34" s="87">
        <v>49126</v>
      </c>
      <c r="E34" s="43"/>
      <c r="F34" s="2"/>
      <c r="G34" s="43"/>
      <c r="H34" s="131"/>
      <c r="I34" s="43"/>
      <c r="J34" s="43"/>
      <c r="K34" s="43"/>
      <c r="L34" s="43"/>
      <c r="M34" s="131"/>
      <c r="N34" s="43"/>
      <c r="O34" s="43"/>
      <c r="P34" s="43"/>
      <c r="Q34" s="137"/>
      <c r="R34" s="137"/>
      <c r="S34" s="137"/>
      <c r="T34" s="3"/>
      <c r="U34" s="3"/>
      <c r="V34" s="43"/>
      <c r="W34" s="43"/>
      <c r="X34" s="2"/>
      <c r="Y34" s="44"/>
      <c r="Z34" s="152"/>
      <c r="AA34" s="152"/>
      <c r="AB34" s="152"/>
      <c r="AC34" s="153"/>
      <c r="AD34" s="2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</row>
    <row r="35" spans="1:1024" ht="18" customHeight="1" x14ac:dyDescent="0.2">
      <c r="A35" s="1"/>
      <c r="B35" s="51">
        <f t="shared" si="0"/>
        <v>13</v>
      </c>
      <c r="C35" s="1"/>
      <c r="D35" s="87">
        <v>49491</v>
      </c>
      <c r="E35" s="43"/>
      <c r="F35" s="2"/>
      <c r="G35" s="43"/>
      <c r="H35" s="131"/>
      <c r="I35" s="43"/>
      <c r="J35" s="43"/>
      <c r="K35" s="43"/>
      <c r="L35" s="43"/>
      <c r="M35" s="131"/>
      <c r="N35" s="43"/>
      <c r="O35" s="43"/>
      <c r="P35" s="43"/>
      <c r="Q35" s="137"/>
      <c r="R35" s="137"/>
      <c r="S35" s="137"/>
      <c r="T35" s="3"/>
      <c r="U35" s="3"/>
      <c r="V35" s="43"/>
      <c r="W35" s="43"/>
      <c r="X35" s="2"/>
      <c r="Y35" s="44"/>
      <c r="Z35" s="152"/>
      <c r="AA35" s="152"/>
      <c r="AB35" s="152"/>
      <c r="AC35" s="153"/>
      <c r="AD35" s="2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</row>
    <row r="36" spans="1:1024" ht="18" customHeight="1" x14ac:dyDescent="0.2">
      <c r="A36" s="1"/>
      <c r="B36" s="51">
        <f t="shared" si="0"/>
        <v>14</v>
      </c>
      <c r="C36" s="1"/>
      <c r="D36" s="87">
        <v>49857</v>
      </c>
      <c r="E36" s="43"/>
      <c r="F36" s="2"/>
      <c r="G36" s="43"/>
      <c r="H36" s="131"/>
      <c r="I36" s="43"/>
      <c r="J36" s="43"/>
      <c r="K36" s="43"/>
      <c r="L36" s="43"/>
      <c r="M36" s="131"/>
      <c r="N36" s="43"/>
      <c r="O36" s="43"/>
      <c r="P36" s="43"/>
      <c r="Q36" s="137"/>
      <c r="R36" s="137"/>
      <c r="S36" s="137"/>
      <c r="T36" s="3"/>
      <c r="U36" s="3"/>
      <c r="V36" s="43"/>
      <c r="W36" s="43"/>
      <c r="X36" s="2"/>
      <c r="Y36" s="44"/>
      <c r="Z36" s="152"/>
      <c r="AA36" s="152"/>
      <c r="AB36" s="152"/>
      <c r="AC36" s="153"/>
      <c r="AD36" s="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</row>
    <row r="37" spans="1:1024" ht="18" customHeight="1" x14ac:dyDescent="0.2">
      <c r="A37" s="1"/>
      <c r="B37" s="51">
        <f t="shared" si="0"/>
        <v>15</v>
      </c>
      <c r="C37" s="1"/>
      <c r="D37" s="87">
        <v>50222</v>
      </c>
      <c r="E37" s="43"/>
      <c r="F37" s="2"/>
      <c r="G37" s="43"/>
      <c r="H37" s="131"/>
      <c r="I37" s="43"/>
      <c r="J37" s="43"/>
      <c r="K37" s="43"/>
      <c r="L37" s="43"/>
      <c r="M37" s="131"/>
      <c r="N37" s="43"/>
      <c r="O37" s="43"/>
      <c r="P37" s="43"/>
      <c r="Q37" s="137"/>
      <c r="R37" s="137"/>
      <c r="S37" s="137"/>
      <c r="T37" s="3"/>
      <c r="U37" s="3"/>
      <c r="V37" s="43"/>
      <c r="W37" s="43"/>
      <c r="X37" s="2"/>
      <c r="Y37" s="44"/>
      <c r="Z37" s="152"/>
      <c r="AA37" s="152"/>
      <c r="AB37" s="152"/>
      <c r="AC37" s="143">
        <f>AC$22*'_Mix--SLA'!N37</f>
        <v>546.11604836607899</v>
      </c>
      <c r="AD37" s="2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</row>
    <row r="38" spans="1:1024" ht="18" customHeight="1" x14ac:dyDescent="0.2">
      <c r="A38" s="1"/>
      <c r="B38" s="51">
        <f t="shared" si="0"/>
        <v>16</v>
      </c>
      <c r="C38" s="1"/>
      <c r="D38" s="87">
        <v>50587</v>
      </c>
      <c r="E38" s="43"/>
      <c r="F38" s="2"/>
      <c r="G38" s="43"/>
      <c r="H38" s="131"/>
      <c r="I38" s="43"/>
      <c r="J38" s="43"/>
      <c r="K38" s="43"/>
      <c r="L38" s="43"/>
      <c r="M38" s="131"/>
      <c r="N38" s="43"/>
      <c r="O38" s="43"/>
      <c r="P38" s="43"/>
      <c r="Q38" s="137"/>
      <c r="R38" s="137"/>
      <c r="S38" s="137"/>
      <c r="T38" s="3"/>
      <c r="U38" s="3"/>
      <c r="V38" s="43"/>
      <c r="W38" s="43"/>
      <c r="X38" s="2"/>
      <c r="Y38" s="44"/>
      <c r="Z38" s="152"/>
      <c r="AA38" s="152"/>
      <c r="AB38" s="152"/>
      <c r="AC38" s="153"/>
      <c r="AD38" s="2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</row>
    <row r="39" spans="1:1024" ht="18" customHeight="1" x14ac:dyDescent="0.2">
      <c r="A39" s="1"/>
      <c r="B39" s="51">
        <f t="shared" si="0"/>
        <v>17</v>
      </c>
      <c r="C39" s="1"/>
      <c r="D39" s="87">
        <v>50952</v>
      </c>
      <c r="E39" s="43"/>
      <c r="F39" s="2"/>
      <c r="G39" s="43"/>
      <c r="H39" s="131"/>
      <c r="I39" s="43"/>
      <c r="J39" s="43"/>
      <c r="K39" s="43"/>
      <c r="L39" s="43"/>
      <c r="M39" s="131"/>
      <c r="N39" s="43"/>
      <c r="O39" s="43"/>
      <c r="P39" s="43"/>
      <c r="Q39" s="137"/>
      <c r="R39" s="137"/>
      <c r="S39" s="137"/>
      <c r="T39" s="3"/>
      <c r="U39" s="3"/>
      <c r="V39" s="43"/>
      <c r="W39" s="43"/>
      <c r="X39" s="2"/>
      <c r="Y39" s="44"/>
      <c r="Z39" s="152"/>
      <c r="AA39" s="152"/>
      <c r="AB39" s="152"/>
      <c r="AC39" s="153"/>
      <c r="AD39" s="2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</row>
    <row r="40" spans="1:1024" ht="18" customHeight="1" x14ac:dyDescent="0.2">
      <c r="A40" s="1"/>
      <c r="B40" s="51">
        <f t="shared" si="0"/>
        <v>18</v>
      </c>
      <c r="C40" s="1"/>
      <c r="D40" s="87">
        <v>51318</v>
      </c>
      <c r="E40" s="43"/>
      <c r="F40" s="2"/>
      <c r="G40" s="43"/>
      <c r="H40" s="131"/>
      <c r="I40" s="43"/>
      <c r="J40" s="43"/>
      <c r="K40" s="43"/>
      <c r="L40" s="43"/>
      <c r="M40" s="131"/>
      <c r="N40" s="43"/>
      <c r="O40" s="43"/>
      <c r="P40" s="43"/>
      <c r="Q40" s="137"/>
      <c r="R40" s="137"/>
      <c r="S40" s="137"/>
      <c r="T40" s="3"/>
      <c r="U40" s="3"/>
      <c r="V40" s="43"/>
      <c r="W40" s="43"/>
      <c r="X40" s="2"/>
      <c r="Y40" s="44"/>
      <c r="Z40" s="152"/>
      <c r="AA40" s="152"/>
      <c r="AB40" s="152"/>
      <c r="AC40" s="153"/>
      <c r="AD40" s="2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</row>
    <row r="41" spans="1:1024" ht="18" customHeight="1" x14ac:dyDescent="0.2">
      <c r="A41" s="1"/>
      <c r="B41" s="51">
        <f t="shared" si="0"/>
        <v>19</v>
      </c>
      <c r="C41" s="1"/>
      <c r="D41" s="87">
        <v>51683</v>
      </c>
      <c r="E41" s="43"/>
      <c r="F41" s="2"/>
      <c r="G41" s="43"/>
      <c r="H41" s="131"/>
      <c r="I41" s="43"/>
      <c r="J41" s="43"/>
      <c r="K41" s="43"/>
      <c r="L41" s="43"/>
      <c r="M41" s="131"/>
      <c r="N41" s="43"/>
      <c r="O41" s="43"/>
      <c r="P41" s="43"/>
      <c r="Q41" s="137"/>
      <c r="R41" s="137"/>
      <c r="S41" s="137"/>
      <c r="T41" s="3"/>
      <c r="U41" s="3"/>
      <c r="V41" s="43"/>
      <c r="W41" s="43"/>
      <c r="X41" s="2"/>
      <c r="Y41" s="44"/>
      <c r="Z41" s="152"/>
      <c r="AA41" s="152"/>
      <c r="AB41" s="152"/>
      <c r="AC41" s="153"/>
      <c r="AD41" s="2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</row>
    <row r="42" spans="1:1024" ht="18" customHeight="1" x14ac:dyDescent="0.2">
      <c r="A42" s="1"/>
      <c r="B42" s="51">
        <f t="shared" si="0"/>
        <v>20</v>
      </c>
      <c r="C42" s="1"/>
      <c r="D42" s="87">
        <v>52048</v>
      </c>
      <c r="E42" s="43"/>
      <c r="F42" s="2"/>
      <c r="G42" s="43"/>
      <c r="H42" s="131"/>
      <c r="I42" s="43"/>
      <c r="J42" s="43"/>
      <c r="K42" s="43"/>
      <c r="L42" s="43"/>
      <c r="M42" s="131"/>
      <c r="N42" s="43"/>
      <c r="O42" s="43"/>
      <c r="P42" s="43"/>
      <c r="Q42" s="137"/>
      <c r="R42" s="137"/>
      <c r="S42" s="137"/>
      <c r="T42" s="3"/>
      <c r="U42" s="3"/>
      <c r="V42" s="43"/>
      <c r="W42" s="43"/>
      <c r="X42" s="2"/>
      <c r="Y42" s="44"/>
      <c r="Z42" s="152"/>
      <c r="AA42" s="152"/>
      <c r="AB42" s="152"/>
      <c r="AC42" s="143">
        <f>AC$22*'_Mix--SLA'!N42</f>
        <v>784.22542601904559</v>
      </c>
      <c r="AD42" s="2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</row>
    <row r="43" spans="1:1024" ht="18" customHeight="1" x14ac:dyDescent="0.2">
      <c r="A43" s="1"/>
      <c r="B43" s="51">
        <f t="shared" si="0"/>
        <v>21</v>
      </c>
      <c r="C43" s="1"/>
      <c r="D43" s="87">
        <v>52413</v>
      </c>
      <c r="E43" s="43"/>
      <c r="F43" s="2"/>
      <c r="G43" s="43"/>
      <c r="H43" s="131"/>
      <c r="I43" s="43"/>
      <c r="J43" s="43"/>
      <c r="K43" s="43"/>
      <c r="L43" s="43"/>
      <c r="M43" s="131"/>
      <c r="N43" s="43"/>
      <c r="O43" s="43"/>
      <c r="P43" s="43"/>
      <c r="Q43" s="137"/>
      <c r="R43" s="137"/>
      <c r="S43" s="137"/>
      <c r="T43" s="3"/>
      <c r="U43" s="3"/>
      <c r="V43" s="43"/>
      <c r="W43" s="43"/>
      <c r="X43" s="2"/>
      <c r="Y43" s="44"/>
      <c r="Z43" s="152"/>
      <c r="AA43" s="152"/>
      <c r="AB43" s="152"/>
      <c r="AC43" s="153"/>
      <c r="AD43" s="2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</row>
    <row r="44" spans="1:1024" ht="18" customHeight="1" x14ac:dyDescent="0.2">
      <c r="A44" s="1"/>
      <c r="B44" s="51">
        <f t="shared" si="0"/>
        <v>22</v>
      </c>
      <c r="C44" s="1"/>
      <c r="D44" s="87">
        <v>52779</v>
      </c>
      <c r="E44" s="43"/>
      <c r="F44" s="2"/>
      <c r="G44" s="43"/>
      <c r="H44" s="131"/>
      <c r="I44" s="43"/>
      <c r="J44" s="43"/>
      <c r="K44" s="43"/>
      <c r="L44" s="43"/>
      <c r="M44" s="131"/>
      <c r="N44" s="43"/>
      <c r="O44" s="43"/>
      <c r="P44" s="43"/>
      <c r="Q44" s="137"/>
      <c r="R44" s="137"/>
      <c r="S44" s="137"/>
      <c r="T44" s="3"/>
      <c r="U44" s="3"/>
      <c r="V44" s="43"/>
      <c r="W44" s="43"/>
      <c r="X44" s="2"/>
      <c r="Y44" s="44"/>
      <c r="Z44" s="152"/>
      <c r="AA44" s="152"/>
      <c r="AB44" s="152"/>
      <c r="AC44" s="153"/>
      <c r="AD44" s="2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</row>
    <row r="45" spans="1:1024" ht="18" customHeight="1" x14ac:dyDescent="0.2">
      <c r="A45" s="1"/>
      <c r="B45" s="51">
        <f t="shared" si="0"/>
        <v>23</v>
      </c>
      <c r="C45" s="1"/>
      <c r="D45" s="87">
        <v>53144</v>
      </c>
      <c r="E45" s="43"/>
      <c r="F45" s="2"/>
      <c r="G45" s="43"/>
      <c r="H45" s="131"/>
      <c r="I45" s="43"/>
      <c r="J45" s="43"/>
      <c r="K45" s="43"/>
      <c r="L45" s="43"/>
      <c r="M45" s="131"/>
      <c r="N45" s="43"/>
      <c r="O45" s="43"/>
      <c r="P45" s="43"/>
      <c r="Q45" s="137"/>
      <c r="R45" s="137"/>
      <c r="S45" s="137"/>
      <c r="T45" s="3"/>
      <c r="U45" s="3"/>
      <c r="V45" s="43"/>
      <c r="W45" s="43"/>
      <c r="X45" s="2"/>
      <c r="Y45" s="44"/>
      <c r="Z45" s="152"/>
      <c r="AA45" s="152"/>
      <c r="AB45" s="152"/>
      <c r="AC45" s="153"/>
      <c r="AD45" s="2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</row>
    <row r="46" spans="1:1024" ht="18" customHeight="1" x14ac:dyDescent="0.2">
      <c r="A46" s="1"/>
      <c r="B46" s="51">
        <f t="shared" si="0"/>
        <v>24</v>
      </c>
      <c r="C46" s="1"/>
      <c r="D46" s="87">
        <v>53509</v>
      </c>
      <c r="E46" s="43"/>
      <c r="F46" s="2"/>
      <c r="G46" s="43"/>
      <c r="H46" s="131"/>
      <c r="I46" s="43"/>
      <c r="J46" s="43"/>
      <c r="K46" s="43"/>
      <c r="L46" s="43"/>
      <c r="M46" s="131"/>
      <c r="N46" s="43"/>
      <c r="O46" s="43"/>
      <c r="P46" s="43"/>
      <c r="Q46" s="137"/>
      <c r="R46" s="137"/>
      <c r="S46" s="137"/>
      <c r="T46" s="3"/>
      <c r="U46" s="3"/>
      <c r="V46" s="43"/>
      <c r="W46" s="43"/>
      <c r="X46" s="2"/>
      <c r="Y46" s="44"/>
      <c r="Z46" s="152"/>
      <c r="AA46" s="152"/>
      <c r="AB46" s="152"/>
      <c r="AC46" s="153"/>
      <c r="AD46" s="2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</row>
    <row r="47" spans="1:1024" ht="18" customHeight="1" x14ac:dyDescent="0.2">
      <c r="A47" s="1"/>
      <c r="B47" s="51">
        <f t="shared" si="0"/>
        <v>25</v>
      </c>
      <c r="C47" s="1"/>
      <c r="D47" s="87">
        <v>53874</v>
      </c>
      <c r="E47" s="43"/>
      <c r="F47" s="2"/>
      <c r="G47" s="43"/>
      <c r="H47" s="131"/>
      <c r="I47" s="43"/>
      <c r="J47" s="43"/>
      <c r="K47" s="43"/>
      <c r="L47" s="43"/>
      <c r="M47" s="131"/>
      <c r="N47" s="43"/>
      <c r="O47" s="43"/>
      <c r="P47" s="43"/>
      <c r="Q47" s="137"/>
      <c r="R47" s="137"/>
      <c r="S47" s="137"/>
      <c r="T47" s="3"/>
      <c r="U47" s="3"/>
      <c r="V47" s="43"/>
      <c r="W47" s="43"/>
      <c r="X47" s="2"/>
      <c r="Y47" s="44"/>
      <c r="Z47" s="152"/>
      <c r="AA47" s="152"/>
      <c r="AB47" s="152"/>
      <c r="AC47" s="143">
        <f>AC$22*'_Mix--SLA'!N47</f>
        <v>1044.20428090215</v>
      </c>
      <c r="AD47" s="2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</row>
    <row r="48" spans="1:1024" ht="18" customHeight="1" x14ac:dyDescent="0.2">
      <c r="A48" s="1"/>
      <c r="B48" s="51">
        <f t="shared" si="0"/>
        <v>26</v>
      </c>
      <c r="C48" s="1"/>
      <c r="D48" s="87">
        <v>54240</v>
      </c>
      <c r="E48" s="43"/>
      <c r="F48" s="2"/>
      <c r="G48" s="43"/>
      <c r="H48" s="131"/>
      <c r="I48" s="43"/>
      <c r="J48" s="43"/>
      <c r="K48" s="43"/>
      <c r="L48" s="43"/>
      <c r="M48" s="131"/>
      <c r="N48" s="43"/>
      <c r="O48" s="43"/>
      <c r="P48" s="43"/>
      <c r="Q48" s="137"/>
      <c r="R48" s="137"/>
      <c r="S48" s="137"/>
      <c r="T48" s="3"/>
      <c r="U48" s="3"/>
      <c r="V48" s="43"/>
      <c r="W48" s="43"/>
      <c r="X48" s="2"/>
      <c r="Y48" s="44"/>
      <c r="Z48" s="152"/>
      <c r="AA48" s="152"/>
      <c r="AB48" s="152"/>
      <c r="AC48" s="153"/>
      <c r="AD48" s="2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</row>
    <row r="49" spans="1:1024" ht="18" customHeight="1" x14ac:dyDescent="0.2">
      <c r="A49" s="1"/>
      <c r="B49" s="51">
        <f t="shared" si="0"/>
        <v>27</v>
      </c>
      <c r="C49" s="1"/>
      <c r="D49" s="87">
        <v>54605</v>
      </c>
      <c r="E49" s="43"/>
      <c r="F49" s="2"/>
      <c r="G49" s="43"/>
      <c r="H49" s="131"/>
      <c r="I49" s="43"/>
      <c r="J49" s="43"/>
      <c r="K49" s="43"/>
      <c r="L49" s="43"/>
      <c r="M49" s="131"/>
      <c r="N49" s="43"/>
      <c r="O49" s="43"/>
      <c r="P49" s="43"/>
      <c r="Q49" s="137"/>
      <c r="R49" s="137"/>
      <c r="S49" s="137"/>
      <c r="T49" s="3"/>
      <c r="U49" s="3"/>
      <c r="V49" s="43"/>
      <c r="W49" s="43"/>
      <c r="X49" s="2"/>
      <c r="Y49" s="44"/>
      <c r="Z49" s="152"/>
      <c r="AA49" s="152"/>
      <c r="AB49" s="152"/>
      <c r="AC49" s="153"/>
      <c r="AD49" s="2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</row>
    <row r="50" spans="1:1024" ht="18" customHeight="1" x14ac:dyDescent="0.2">
      <c r="A50" s="1"/>
      <c r="B50" s="51">
        <f t="shared" si="0"/>
        <v>28</v>
      </c>
      <c r="C50" s="1"/>
      <c r="D50" s="87">
        <v>54970</v>
      </c>
      <c r="E50" s="43"/>
      <c r="F50" s="2"/>
      <c r="G50" s="43"/>
      <c r="H50" s="131"/>
      <c r="I50" s="43"/>
      <c r="J50" s="43"/>
      <c r="K50" s="43"/>
      <c r="L50" s="43"/>
      <c r="M50" s="131"/>
      <c r="N50" s="43"/>
      <c r="O50" s="43"/>
      <c r="P50" s="43"/>
      <c r="Q50" s="137"/>
      <c r="R50" s="137"/>
      <c r="S50" s="137"/>
      <c r="T50" s="3"/>
      <c r="U50" s="3"/>
      <c r="V50" s="43"/>
      <c r="W50" s="43"/>
      <c r="X50" s="2"/>
      <c r="Y50" s="44"/>
      <c r="Z50" s="152"/>
      <c r="AA50" s="152"/>
      <c r="AB50" s="152"/>
      <c r="AC50" s="153"/>
      <c r="AD50" s="2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</row>
    <row r="51" spans="1:1024" ht="18" customHeight="1" x14ac:dyDescent="0.2">
      <c r="A51" s="1"/>
      <c r="B51" s="51">
        <f t="shared" si="0"/>
        <v>29</v>
      </c>
      <c r="C51" s="1"/>
      <c r="D51" s="87">
        <v>55335</v>
      </c>
      <c r="E51" s="43"/>
      <c r="F51" s="2"/>
      <c r="G51" s="43"/>
      <c r="H51" s="131"/>
      <c r="I51" s="43"/>
      <c r="J51" s="43"/>
      <c r="K51" s="43"/>
      <c r="L51" s="43"/>
      <c r="M51" s="131"/>
      <c r="N51" s="43"/>
      <c r="O51" s="43"/>
      <c r="P51" s="43"/>
      <c r="Q51" s="137"/>
      <c r="R51" s="137"/>
      <c r="S51" s="137"/>
      <c r="T51" s="3"/>
      <c r="U51" s="3"/>
      <c r="V51" s="43"/>
      <c r="W51" s="43"/>
      <c r="X51" s="2"/>
      <c r="Y51" s="44"/>
      <c r="Z51" s="152"/>
      <c r="AA51" s="152"/>
      <c r="AB51" s="152"/>
      <c r="AC51" s="153"/>
      <c r="AD51" s="2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</row>
    <row r="52" spans="1:1024" ht="18" customHeight="1" x14ac:dyDescent="0.2">
      <c r="A52" s="1"/>
      <c r="B52" s="51">
        <f t="shared" si="0"/>
        <v>30</v>
      </c>
      <c r="C52" s="1"/>
      <c r="D52" s="87">
        <v>55702</v>
      </c>
      <c r="E52" s="43"/>
      <c r="F52" s="2"/>
      <c r="G52" s="43"/>
      <c r="H52" s="131"/>
      <c r="I52" s="43"/>
      <c r="J52" s="43"/>
      <c r="K52" s="43"/>
      <c r="L52" s="43"/>
      <c r="M52" s="131"/>
      <c r="N52" s="43"/>
      <c r="O52" s="43"/>
      <c r="P52" s="43"/>
      <c r="Q52" s="137"/>
      <c r="R52" s="137"/>
      <c r="S52" s="137"/>
      <c r="T52" s="3"/>
      <c r="U52" s="3"/>
      <c r="V52" s="43"/>
      <c r="W52" s="43"/>
      <c r="X52" s="2"/>
      <c r="Y52" s="44"/>
      <c r="Z52" s="152"/>
      <c r="AA52" s="152"/>
      <c r="AB52" s="152"/>
      <c r="AC52" s="143">
        <f>AC$22*'_Mix--SLA'!N52</f>
        <v>1307.9463011524438</v>
      </c>
      <c r="AD52" s="2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F53"/>
  <sheetViews>
    <sheetView workbookViewId="0"/>
  </sheetViews>
  <sheetFormatPr baseColWidth="10" defaultColWidth="8.83203125" defaultRowHeight="15" x14ac:dyDescent="0.2"/>
  <cols>
    <col min="1" max="1" width="22" style="40" bestFit="1" customWidth="1"/>
    <col min="2" max="2" width="13" style="89" bestFit="1" customWidth="1"/>
    <col min="3" max="3" width="13" style="40" bestFit="1" customWidth="1"/>
    <col min="4" max="4" width="13" style="99" bestFit="1" customWidth="1"/>
    <col min="5" max="11" width="9.6640625" style="41" bestFit="1" customWidth="1"/>
    <col min="12" max="12" width="9.6640625" style="130" bestFit="1" customWidth="1"/>
    <col min="13" max="13" width="9.6640625" style="40" bestFit="1" customWidth="1"/>
    <col min="14" max="28" width="9.6640625" style="41" bestFit="1" customWidth="1"/>
    <col min="29" max="32" width="13" style="40" bestFit="1" customWidth="1"/>
  </cols>
  <sheetData>
    <row r="1" spans="1:32" ht="18" customHeight="1" x14ac:dyDescent="0.2">
      <c r="A1" s="1"/>
      <c r="B1" s="83"/>
      <c r="C1" s="53"/>
      <c r="D1" s="87"/>
      <c r="E1" s="100"/>
      <c r="F1" s="100"/>
      <c r="G1" s="100"/>
      <c r="H1" s="100"/>
      <c r="I1" s="100"/>
      <c r="J1" s="100"/>
      <c r="K1" s="100"/>
      <c r="L1" s="101"/>
      <c r="M1" s="53"/>
      <c r="N1" s="100"/>
      <c r="O1" s="2"/>
      <c r="P1" s="2"/>
      <c r="Q1" s="102"/>
      <c r="R1" s="103"/>
      <c r="S1" s="102"/>
      <c r="T1" s="103"/>
      <c r="U1" s="102"/>
      <c r="V1" s="103"/>
      <c r="W1" s="102"/>
      <c r="X1" s="103"/>
      <c r="Y1" s="102"/>
      <c r="Z1" s="103"/>
      <c r="AA1" s="102"/>
      <c r="AB1" s="103"/>
      <c r="AC1" s="53"/>
      <c r="AD1" s="53"/>
      <c r="AE1" s="53"/>
      <c r="AF1" s="53"/>
    </row>
    <row r="2" spans="1:32" ht="18" customHeight="1" x14ac:dyDescent="0.2">
      <c r="A2" s="1" t="s">
        <v>165</v>
      </c>
      <c r="B2" s="83"/>
      <c r="C2" s="53"/>
      <c r="D2" s="87"/>
      <c r="E2" s="100"/>
      <c r="F2" s="100"/>
      <c r="G2" s="100"/>
      <c r="H2" s="100"/>
      <c r="I2" s="100"/>
      <c r="J2" s="100"/>
      <c r="K2" s="100"/>
      <c r="L2" s="101"/>
      <c r="M2" s="53"/>
      <c r="N2" s="100"/>
      <c r="O2" s="2"/>
      <c r="P2" s="2"/>
      <c r="Q2" s="102"/>
      <c r="R2" s="103"/>
      <c r="S2" s="102"/>
      <c r="T2" s="103"/>
      <c r="U2" s="102"/>
      <c r="V2" s="103"/>
      <c r="W2" s="102"/>
      <c r="X2" s="103"/>
      <c r="Y2" s="102"/>
      <c r="Z2" s="103"/>
      <c r="AA2" s="102"/>
      <c r="AB2" s="103"/>
      <c r="AC2" s="53"/>
      <c r="AD2" s="53"/>
      <c r="AE2" s="53"/>
      <c r="AF2" s="53"/>
    </row>
    <row r="3" spans="1:32" ht="18" customHeight="1" x14ac:dyDescent="0.2">
      <c r="A3" s="1" t="s">
        <v>142</v>
      </c>
      <c r="B3" s="83" t="s">
        <v>143</v>
      </c>
      <c r="C3" s="53"/>
      <c r="D3" s="87"/>
      <c r="E3" s="100"/>
      <c r="F3" s="100"/>
      <c r="G3" s="100"/>
      <c r="H3" s="100"/>
      <c r="I3" s="100"/>
      <c r="J3" s="100"/>
      <c r="K3" s="100"/>
      <c r="L3" s="101"/>
      <c r="M3" s="53"/>
      <c r="N3" s="100"/>
      <c r="O3" s="2"/>
      <c r="P3" s="2"/>
      <c r="Q3" s="102"/>
      <c r="R3" s="103"/>
      <c r="S3" s="102"/>
      <c r="T3" s="103"/>
      <c r="U3" s="102"/>
      <c r="V3" s="103"/>
      <c r="W3" s="102"/>
      <c r="X3" s="103"/>
      <c r="Y3" s="102"/>
      <c r="Z3" s="103"/>
      <c r="AA3" s="102"/>
      <c r="AB3" s="103"/>
      <c r="AC3" s="53"/>
      <c r="AD3" s="53"/>
      <c r="AE3" s="53"/>
      <c r="AF3" s="53"/>
    </row>
    <row r="4" spans="1:32" ht="18" customHeight="1" x14ac:dyDescent="0.2">
      <c r="A4" s="1" t="s">
        <v>144</v>
      </c>
      <c r="B4" s="86" t="s">
        <v>162</v>
      </c>
      <c r="C4" s="53"/>
      <c r="D4" s="87"/>
      <c r="E4" s="100"/>
      <c r="F4" s="100"/>
      <c r="G4" s="100"/>
      <c r="H4" s="100"/>
      <c r="I4" s="100"/>
      <c r="J4" s="100"/>
      <c r="K4" s="100"/>
      <c r="L4" s="101"/>
      <c r="M4" s="53"/>
      <c r="N4" s="100"/>
      <c r="O4" s="2"/>
      <c r="P4" s="2"/>
      <c r="Q4" s="102"/>
      <c r="R4" s="103"/>
      <c r="S4" s="102"/>
      <c r="T4" s="103"/>
      <c r="U4" s="102"/>
      <c r="V4" s="103"/>
      <c r="W4" s="102"/>
      <c r="X4" s="103"/>
      <c r="Y4" s="102"/>
      <c r="Z4" s="103"/>
      <c r="AA4" s="102"/>
      <c r="AB4" s="103"/>
      <c r="AC4" s="53"/>
      <c r="AD4" s="53"/>
      <c r="AE4" s="53"/>
      <c r="AF4" s="53"/>
    </row>
    <row r="5" spans="1:32" ht="18" customHeight="1" x14ac:dyDescent="0.2">
      <c r="A5" s="1" t="s">
        <v>146</v>
      </c>
      <c r="B5" s="83" t="s">
        <v>147</v>
      </c>
      <c r="C5" s="53"/>
      <c r="D5" s="87"/>
      <c r="E5" s="100"/>
      <c r="F5" s="100"/>
      <c r="G5" s="100"/>
      <c r="H5" s="104"/>
      <c r="I5" s="100"/>
      <c r="J5" s="100"/>
      <c r="K5" s="104"/>
      <c r="L5" s="101"/>
      <c r="M5" s="53"/>
      <c r="N5" s="100"/>
      <c r="O5" s="2"/>
      <c r="P5" s="2"/>
      <c r="Q5" s="102"/>
      <c r="R5" s="103"/>
      <c r="S5" s="102"/>
      <c r="T5" s="103"/>
      <c r="U5" s="102"/>
      <c r="V5" s="103"/>
      <c r="W5" s="105"/>
      <c r="X5" s="103"/>
      <c r="Y5" s="105" t="s">
        <v>166</v>
      </c>
      <c r="Z5" s="103"/>
      <c r="AA5" s="105"/>
      <c r="AB5" s="103"/>
      <c r="AC5" s="67" t="s">
        <v>167</v>
      </c>
      <c r="AD5" s="67"/>
      <c r="AE5" s="53"/>
      <c r="AF5" s="53"/>
    </row>
    <row r="6" spans="1:32" ht="18" customHeight="1" x14ac:dyDescent="0.2">
      <c r="A6" s="1" t="s">
        <v>148</v>
      </c>
      <c r="B6" s="106" t="s">
        <v>168</v>
      </c>
      <c r="C6" s="53"/>
      <c r="D6" s="87"/>
      <c r="E6" s="100"/>
      <c r="F6" s="100"/>
      <c r="G6" s="100"/>
      <c r="H6" s="104"/>
      <c r="I6" s="100"/>
      <c r="J6" s="100"/>
      <c r="K6" s="104"/>
      <c r="L6" s="101"/>
      <c r="M6" s="53"/>
      <c r="N6" s="100"/>
      <c r="O6" s="2"/>
      <c r="P6" s="2"/>
      <c r="Q6" s="102"/>
      <c r="R6" s="103"/>
      <c r="S6" s="102"/>
      <c r="T6" s="103"/>
      <c r="U6" s="102"/>
      <c r="V6" s="103"/>
      <c r="W6" s="107"/>
      <c r="X6" s="103"/>
      <c r="Y6" s="107" t="s">
        <v>169</v>
      </c>
      <c r="Z6" s="103"/>
      <c r="AA6" s="107"/>
      <c r="AB6" s="103"/>
      <c r="AC6" s="67" t="s">
        <v>170</v>
      </c>
      <c r="AD6" s="67"/>
      <c r="AE6" s="53"/>
      <c r="AF6" s="53"/>
    </row>
    <row r="7" spans="1:32" ht="18" customHeight="1" x14ac:dyDescent="0.2">
      <c r="A7" s="1" t="s">
        <v>150</v>
      </c>
      <c r="B7" s="106" t="s">
        <v>171</v>
      </c>
      <c r="C7" s="53"/>
      <c r="D7" s="87"/>
      <c r="E7" s="100"/>
      <c r="F7" s="100"/>
      <c r="G7" s="100"/>
      <c r="H7" s="100"/>
      <c r="I7" s="100"/>
      <c r="J7" s="100"/>
      <c r="K7" s="100"/>
      <c r="L7" s="101"/>
      <c r="M7" s="53"/>
      <c r="N7" s="100"/>
      <c r="O7" s="2"/>
      <c r="P7" s="2"/>
      <c r="Q7" s="102"/>
      <c r="R7" s="103"/>
      <c r="S7" s="102"/>
      <c r="T7" s="103"/>
      <c r="U7" s="102"/>
      <c r="V7" s="103"/>
      <c r="W7" s="102"/>
      <c r="X7" s="103"/>
      <c r="Y7" s="102"/>
      <c r="Z7" s="103"/>
      <c r="AA7" s="102"/>
      <c r="AB7" s="103"/>
      <c r="AC7" s="53"/>
      <c r="AD7" s="53"/>
      <c r="AE7" s="53"/>
      <c r="AF7" s="53"/>
    </row>
    <row r="8" spans="1:32" ht="18" customHeight="1" x14ac:dyDescent="0.2">
      <c r="A8" s="1" t="s">
        <v>152</v>
      </c>
      <c r="B8" s="106" t="s">
        <v>153</v>
      </c>
      <c r="C8" s="53"/>
      <c r="D8" s="87"/>
      <c r="E8" s="100"/>
      <c r="F8" s="100"/>
      <c r="G8" s="100"/>
      <c r="H8" s="100"/>
      <c r="I8" s="100"/>
      <c r="J8" s="100"/>
      <c r="K8" s="100"/>
      <c r="L8" s="101"/>
      <c r="M8" s="53"/>
      <c r="N8" s="100"/>
      <c r="O8" s="2"/>
      <c r="P8" s="2"/>
      <c r="Q8" s="102"/>
      <c r="R8" s="103"/>
      <c r="S8" s="102"/>
      <c r="T8" s="103"/>
      <c r="U8" s="102"/>
      <c r="V8" s="103"/>
      <c r="W8" s="102"/>
      <c r="X8" s="103"/>
      <c r="Y8" s="102"/>
      <c r="Z8" s="103"/>
      <c r="AA8" s="102"/>
      <c r="AB8" s="103"/>
      <c r="AC8" s="53"/>
      <c r="AD8" s="53"/>
      <c r="AE8" s="53"/>
      <c r="AF8" s="53"/>
    </row>
    <row r="9" spans="1:32" ht="18" customHeight="1" x14ac:dyDescent="0.2">
      <c r="A9" s="1" t="s">
        <v>154</v>
      </c>
      <c r="B9" s="83"/>
      <c r="C9" s="53"/>
      <c r="D9" s="87"/>
      <c r="E9" s="100"/>
      <c r="F9" s="100"/>
      <c r="G9" s="100"/>
      <c r="H9" s="100"/>
      <c r="I9" s="100"/>
      <c r="J9" s="100"/>
      <c r="K9" s="100"/>
      <c r="L9" s="101"/>
      <c r="M9" s="53"/>
      <c r="N9" s="100"/>
      <c r="O9" s="2"/>
      <c r="P9" s="2"/>
      <c r="Q9" s="102"/>
      <c r="R9" s="103"/>
      <c r="S9" s="102"/>
      <c r="T9" s="103"/>
      <c r="U9" s="102"/>
      <c r="V9" s="103"/>
      <c r="W9" s="102"/>
      <c r="X9" s="103"/>
      <c r="Y9" s="102"/>
      <c r="Z9" s="103"/>
      <c r="AA9" s="102"/>
      <c r="AB9" s="103"/>
      <c r="AC9" s="53"/>
      <c r="AD9" s="53"/>
      <c r="AE9" s="53"/>
      <c r="AF9" s="53"/>
    </row>
    <row r="10" spans="1:32" ht="18" customHeight="1" x14ac:dyDescent="0.2">
      <c r="A10" s="1" t="s">
        <v>155</v>
      </c>
      <c r="B10" s="56" t="s">
        <v>172</v>
      </c>
      <c r="C10" s="53"/>
      <c r="D10" s="87"/>
      <c r="E10" s="100"/>
      <c r="F10" s="100"/>
      <c r="G10" s="100"/>
      <c r="H10" s="100"/>
      <c r="I10" s="100"/>
      <c r="J10" s="100"/>
      <c r="K10" s="100"/>
      <c r="L10" s="101"/>
      <c r="M10" s="53"/>
      <c r="N10" s="100"/>
      <c r="O10" s="2"/>
      <c r="P10" s="2"/>
      <c r="Q10" s="102"/>
      <c r="R10" s="103"/>
      <c r="S10" s="102"/>
      <c r="T10" s="103"/>
      <c r="U10" s="102"/>
      <c r="V10" s="103"/>
      <c r="W10" s="102"/>
      <c r="X10" s="103"/>
      <c r="Y10" s="102"/>
      <c r="Z10" s="103"/>
      <c r="AA10" s="102"/>
      <c r="AB10" s="103"/>
      <c r="AC10" s="53"/>
      <c r="AD10" s="53"/>
      <c r="AE10" s="53"/>
      <c r="AF10" s="53"/>
    </row>
    <row r="11" spans="1:32" ht="18" customHeight="1" x14ac:dyDescent="0.2">
      <c r="A11" s="1" t="s">
        <v>156</v>
      </c>
      <c r="B11" s="83"/>
      <c r="C11" s="53"/>
      <c r="D11" s="87"/>
      <c r="E11" s="100"/>
      <c r="F11" s="100"/>
      <c r="G11" s="100"/>
      <c r="H11" s="100"/>
      <c r="I11" s="100"/>
      <c r="J11" s="100"/>
      <c r="K11" s="100"/>
      <c r="L11" s="101"/>
      <c r="M11" s="53"/>
      <c r="N11" s="100"/>
      <c r="O11" s="2"/>
      <c r="P11" s="2"/>
      <c r="Q11" s="102"/>
      <c r="R11" s="103"/>
      <c r="S11" s="102"/>
      <c r="T11" s="103"/>
      <c r="U11" s="102"/>
      <c r="V11" s="103"/>
      <c r="W11" s="102"/>
      <c r="X11" s="103"/>
      <c r="Y11" s="102"/>
      <c r="Z11" s="103"/>
      <c r="AA11" s="102"/>
      <c r="AB11" s="103"/>
      <c r="AC11" s="53"/>
      <c r="AD11" s="53"/>
      <c r="AE11" s="53"/>
      <c r="AF11" s="53"/>
    </row>
    <row r="12" spans="1:32" ht="18" customHeight="1" x14ac:dyDescent="0.2">
      <c r="A12" s="1"/>
      <c r="B12" s="83"/>
      <c r="C12" s="53"/>
      <c r="D12" s="87"/>
      <c r="E12" s="100"/>
      <c r="F12" s="100"/>
      <c r="G12" s="100"/>
      <c r="H12" s="100"/>
      <c r="I12" s="100"/>
      <c r="J12" s="100"/>
      <c r="K12" s="100"/>
      <c r="L12" s="101"/>
      <c r="M12" s="53"/>
      <c r="N12" s="100"/>
      <c r="O12" s="2"/>
      <c r="P12" s="2"/>
      <c r="Q12" s="102"/>
      <c r="R12" s="103"/>
      <c r="S12" s="102"/>
      <c r="T12" s="103"/>
      <c r="U12" s="102"/>
      <c r="V12" s="103"/>
      <c r="W12" s="102"/>
      <c r="X12" s="103"/>
      <c r="Y12" s="102"/>
      <c r="Z12" s="103"/>
      <c r="AA12" s="102"/>
      <c r="AB12" s="103"/>
      <c r="AC12" s="53"/>
      <c r="AD12" s="53"/>
      <c r="AE12" s="53"/>
      <c r="AF12" s="53"/>
    </row>
    <row r="13" spans="1:32" ht="18" customHeight="1" x14ac:dyDescent="0.2">
      <c r="A13" s="1"/>
      <c r="B13" s="83"/>
      <c r="C13" s="53"/>
      <c r="D13" s="87"/>
      <c r="E13" s="100"/>
      <c r="F13" s="100"/>
      <c r="G13" s="100"/>
      <c r="H13" s="100"/>
      <c r="I13" s="100"/>
      <c r="J13" s="100"/>
      <c r="K13" s="100"/>
      <c r="L13" s="101"/>
      <c r="M13" s="53"/>
      <c r="N13" s="100"/>
      <c r="O13" s="2"/>
      <c r="P13" s="2"/>
      <c r="Q13" s="102"/>
      <c r="R13" s="103"/>
      <c r="S13" s="102"/>
      <c r="T13" s="103"/>
      <c r="U13" s="102"/>
      <c r="V13" s="103"/>
      <c r="W13" s="102"/>
      <c r="X13" s="103"/>
      <c r="Y13" s="102"/>
      <c r="Z13" s="103"/>
      <c r="AA13" s="102"/>
      <c r="AB13" s="103"/>
      <c r="AC13" s="53"/>
      <c r="AD13" s="53"/>
      <c r="AE13" s="53"/>
      <c r="AF13" s="53"/>
    </row>
    <row r="14" spans="1:32" ht="18" customHeight="1" x14ac:dyDescent="0.2">
      <c r="A14" s="1"/>
      <c r="B14" s="83"/>
      <c r="C14" s="53"/>
      <c r="D14" s="87"/>
      <c r="E14" s="100"/>
      <c r="F14" s="100"/>
      <c r="G14" s="100"/>
      <c r="H14" s="100"/>
      <c r="I14" s="100"/>
      <c r="J14" s="100"/>
      <c r="K14" s="100"/>
      <c r="L14" s="101"/>
      <c r="M14" s="53"/>
      <c r="N14" s="100"/>
      <c r="O14" s="2"/>
      <c r="P14" s="2"/>
      <c r="Q14" s="102"/>
      <c r="R14" s="103"/>
      <c r="S14" s="102"/>
      <c r="T14" s="103"/>
      <c r="U14" s="102"/>
      <c r="V14" s="103"/>
      <c r="W14" s="102"/>
      <c r="X14" s="103"/>
      <c r="Y14" s="102"/>
      <c r="Z14" s="103"/>
      <c r="AA14" s="102"/>
      <c r="AB14" s="103"/>
      <c r="AC14" s="53"/>
      <c r="AD14" s="53"/>
      <c r="AE14" s="53"/>
      <c r="AF14" s="53"/>
    </row>
    <row r="15" spans="1:32" ht="18" customHeight="1" x14ac:dyDescent="0.2">
      <c r="A15" s="1"/>
      <c r="B15" s="83"/>
      <c r="C15" s="53"/>
      <c r="D15" s="87"/>
      <c r="E15" s="100"/>
      <c r="F15" s="100"/>
      <c r="G15" s="100"/>
      <c r="H15" s="100"/>
      <c r="I15" s="100"/>
      <c r="J15" s="100"/>
      <c r="K15" s="100"/>
      <c r="L15" s="101"/>
      <c r="M15" s="53"/>
      <c r="N15" s="100"/>
      <c r="O15" s="2"/>
      <c r="P15" s="2"/>
      <c r="Q15" s="102"/>
      <c r="R15" s="103"/>
      <c r="S15" s="102"/>
      <c r="T15" s="103"/>
      <c r="U15" s="102"/>
      <c r="V15" s="103"/>
      <c r="W15" s="102"/>
      <c r="X15" s="103"/>
      <c r="Y15" s="102"/>
      <c r="Z15" s="103"/>
      <c r="AA15" s="102"/>
      <c r="AB15" s="103"/>
      <c r="AC15" s="53"/>
      <c r="AD15" s="53"/>
      <c r="AE15" s="53"/>
      <c r="AF15" s="53"/>
    </row>
    <row r="16" spans="1:32" ht="18" customHeight="1" x14ac:dyDescent="0.2">
      <c r="A16" s="1"/>
      <c r="B16" s="83"/>
      <c r="C16" s="53"/>
      <c r="D16" s="87"/>
      <c r="E16" s="100"/>
      <c r="F16" s="100"/>
      <c r="G16" s="100"/>
      <c r="H16" s="100"/>
      <c r="I16" s="100"/>
      <c r="J16" s="100"/>
      <c r="K16" s="100"/>
      <c r="L16" s="101"/>
      <c r="M16" s="53"/>
      <c r="N16" s="100"/>
      <c r="O16" s="2"/>
      <c r="P16" s="2"/>
      <c r="Q16" s="102"/>
      <c r="R16" s="103"/>
      <c r="S16" s="102"/>
      <c r="T16" s="103"/>
      <c r="U16" s="102"/>
      <c r="V16" s="103"/>
      <c r="W16" s="102"/>
      <c r="X16" s="103"/>
      <c r="Y16" s="102"/>
      <c r="Z16" s="103"/>
      <c r="AA16" s="102"/>
      <c r="AB16" s="103"/>
      <c r="AC16" s="53"/>
      <c r="AD16" s="53"/>
      <c r="AE16" s="53"/>
      <c r="AF16" s="53"/>
    </row>
    <row r="17" spans="1:32" ht="206.5" customHeight="1" x14ac:dyDescent="0.2">
      <c r="A17" s="1"/>
      <c r="B17" s="93" t="s">
        <v>157</v>
      </c>
      <c r="C17" s="94"/>
      <c r="D17" s="95" t="s">
        <v>159</v>
      </c>
      <c r="E17" s="108" t="s">
        <v>173</v>
      </c>
      <c r="F17" s="108" t="s">
        <v>174</v>
      </c>
      <c r="G17" s="108" t="s">
        <v>175</v>
      </c>
      <c r="H17" s="108" t="s">
        <v>176</v>
      </c>
      <c r="I17" s="108" t="s">
        <v>177</v>
      </c>
      <c r="J17" s="108" t="s">
        <v>178</v>
      </c>
      <c r="K17" s="108" t="s">
        <v>179</v>
      </c>
      <c r="L17" s="109" t="s">
        <v>180</v>
      </c>
      <c r="M17" s="94"/>
      <c r="N17" s="108" t="s">
        <v>181</v>
      </c>
      <c r="O17" s="110" t="s">
        <v>173</v>
      </c>
      <c r="P17" s="111"/>
      <c r="Q17" s="112" t="s">
        <v>174</v>
      </c>
      <c r="R17" s="113"/>
      <c r="S17" s="112" t="s">
        <v>182</v>
      </c>
      <c r="T17" s="113"/>
      <c r="U17" s="112" t="s">
        <v>176</v>
      </c>
      <c r="V17" s="113"/>
      <c r="W17" s="112" t="s">
        <v>177</v>
      </c>
      <c r="X17" s="113"/>
      <c r="Y17" s="112" t="s">
        <v>178</v>
      </c>
      <c r="Z17" s="113"/>
      <c r="AA17" s="112" t="s">
        <v>179</v>
      </c>
      <c r="AB17" s="113"/>
      <c r="AC17" s="94"/>
      <c r="AD17" s="94"/>
      <c r="AE17" s="94"/>
      <c r="AF17" s="94"/>
    </row>
    <row r="18" spans="1:32" ht="18" customHeight="1" x14ac:dyDescent="0.2">
      <c r="A18" s="88" t="s">
        <v>1</v>
      </c>
      <c r="B18" s="83"/>
      <c r="C18" s="53"/>
      <c r="D18" s="87"/>
      <c r="E18" s="100"/>
      <c r="F18" s="100"/>
      <c r="G18" s="100"/>
      <c r="H18" s="100"/>
      <c r="I18" s="100"/>
      <c r="J18" s="100"/>
      <c r="K18" s="100"/>
      <c r="L18" s="101"/>
      <c r="M18" s="53"/>
      <c r="N18" s="100"/>
      <c r="O18" s="107" t="s">
        <v>183</v>
      </c>
      <c r="P18" s="114" t="s">
        <v>184</v>
      </c>
      <c r="Q18" s="107" t="s">
        <v>183</v>
      </c>
      <c r="R18" s="114" t="s">
        <v>184</v>
      </c>
      <c r="S18" s="107" t="s">
        <v>183</v>
      </c>
      <c r="T18" s="114" t="s">
        <v>184</v>
      </c>
      <c r="U18" s="107" t="s">
        <v>183</v>
      </c>
      <c r="V18" s="115" t="s">
        <v>184</v>
      </c>
      <c r="W18" s="107" t="s">
        <v>183</v>
      </c>
      <c r="X18" s="115" t="s">
        <v>184</v>
      </c>
      <c r="Y18" s="107" t="s">
        <v>183</v>
      </c>
      <c r="Z18" s="115" t="s">
        <v>184</v>
      </c>
      <c r="AA18" s="107" t="s">
        <v>183</v>
      </c>
      <c r="AB18" s="115" t="s">
        <v>184</v>
      </c>
      <c r="AC18" s="53"/>
      <c r="AD18" s="53"/>
      <c r="AE18" s="53"/>
      <c r="AF18" s="53"/>
    </row>
    <row r="19" spans="1:32" ht="18" customHeight="1" x14ac:dyDescent="0.2">
      <c r="A19" s="88" t="s">
        <v>161</v>
      </c>
      <c r="B19" s="83"/>
      <c r="C19" s="53"/>
      <c r="D19" s="87"/>
      <c r="E19" s="100"/>
      <c r="F19" s="100"/>
      <c r="G19" s="100"/>
      <c r="H19" s="100"/>
      <c r="I19" s="100"/>
      <c r="J19" s="100"/>
      <c r="K19" s="100"/>
      <c r="L19" s="101"/>
      <c r="M19" s="53"/>
      <c r="N19" s="100"/>
      <c r="O19" s="2"/>
      <c r="P19" s="2"/>
      <c r="Q19" s="102"/>
      <c r="R19" s="103"/>
      <c r="S19" s="102"/>
      <c r="T19" s="103"/>
      <c r="U19" s="102"/>
      <c r="V19" s="103"/>
      <c r="W19" s="102"/>
      <c r="X19" s="103"/>
      <c r="Y19" s="102"/>
      <c r="Z19" s="103"/>
      <c r="AA19" s="102"/>
      <c r="AB19" s="103"/>
      <c r="AC19" s="53"/>
      <c r="AD19" s="53"/>
      <c r="AE19" s="53"/>
      <c r="AF19" s="53"/>
    </row>
    <row r="20" spans="1:32" ht="18" customHeight="1" x14ac:dyDescent="0.2">
      <c r="A20" s="116" t="s">
        <v>185</v>
      </c>
      <c r="B20" s="83"/>
      <c r="C20" s="94"/>
      <c r="D20" s="95"/>
      <c r="E20" s="108"/>
      <c r="F20" s="108"/>
      <c r="G20" s="108"/>
      <c r="H20" s="108"/>
      <c r="I20" s="117"/>
      <c r="J20" s="118"/>
      <c r="K20" s="118"/>
      <c r="L20" s="109"/>
      <c r="M20" s="94"/>
      <c r="N20" s="108"/>
      <c r="O20" s="110"/>
      <c r="P20" s="111">
        <v>0.95</v>
      </c>
      <c r="Q20" s="112"/>
      <c r="R20" s="111">
        <v>0.95</v>
      </c>
      <c r="S20" s="119"/>
      <c r="T20" s="111">
        <v>0.95</v>
      </c>
      <c r="U20" s="119"/>
      <c r="V20" s="120">
        <v>0.95</v>
      </c>
      <c r="W20" s="112"/>
      <c r="X20" s="120">
        <v>0.95</v>
      </c>
      <c r="Y20" s="112"/>
      <c r="Z20" s="120">
        <v>0.95</v>
      </c>
      <c r="AA20" s="112"/>
      <c r="AB20" s="120">
        <v>0.95</v>
      </c>
      <c r="AC20" s="94"/>
      <c r="AD20" s="94"/>
      <c r="AE20" s="94"/>
      <c r="AF20" s="94"/>
    </row>
    <row r="21" spans="1:32" ht="18" customHeight="1" x14ac:dyDescent="0.2">
      <c r="A21" s="116" t="s">
        <v>186</v>
      </c>
      <c r="B21" s="83"/>
      <c r="C21" s="94"/>
      <c r="D21" s="95"/>
      <c r="E21" s="108"/>
      <c r="F21" s="108"/>
      <c r="G21" s="108"/>
      <c r="H21" s="108"/>
      <c r="I21" s="117"/>
      <c r="J21" s="118"/>
      <c r="K21" s="118"/>
      <c r="L21" s="109"/>
      <c r="M21" s="94"/>
      <c r="N21" s="108"/>
      <c r="O21" s="110"/>
      <c r="P21" s="111"/>
      <c r="Q21" s="112"/>
      <c r="R21" s="113"/>
      <c r="S21" s="112"/>
      <c r="T21" s="113"/>
      <c r="U21" s="112"/>
      <c r="V21" s="113"/>
      <c r="W21" s="112"/>
      <c r="X21" s="113"/>
      <c r="Y21" s="112"/>
      <c r="Z21" s="113"/>
      <c r="AA21" s="112"/>
      <c r="AB21" s="113"/>
      <c r="AC21" s="94"/>
      <c r="AD21" s="94"/>
      <c r="AE21" s="94"/>
      <c r="AF21" s="94"/>
    </row>
    <row r="22" spans="1:32" ht="18" customHeight="1" x14ac:dyDescent="0.2">
      <c r="A22" s="1"/>
      <c r="B22" s="51">
        <v>0</v>
      </c>
      <c r="C22" s="53" t="s">
        <v>158</v>
      </c>
      <c r="D22" s="87">
        <v>44743</v>
      </c>
      <c r="E22" s="121">
        <v>0.25</v>
      </c>
      <c r="F22" s="114">
        <v>0.1</v>
      </c>
      <c r="G22" s="121">
        <v>0.05</v>
      </c>
      <c r="H22" s="121">
        <v>0.1</v>
      </c>
      <c r="I22" s="121">
        <v>0.2</v>
      </c>
      <c r="J22" s="121">
        <v>0.1</v>
      </c>
      <c r="K22" s="121">
        <v>0.2</v>
      </c>
      <c r="L22" s="122">
        <f>SUM(E22:K22)</f>
        <v>1</v>
      </c>
      <c r="M22" s="122"/>
      <c r="N22" s="100">
        <f t="shared" ref="N22:N52" si="0">E$22*O22+F$22*Q22+G$22*S22+H$22*U22+I$22*W22+J$22*Y22+K$22*AA22</f>
        <v>1</v>
      </c>
      <c r="O22" s="123">
        <v>1</v>
      </c>
      <c r="P22" s="124">
        <v>0.2</v>
      </c>
      <c r="Q22" s="123">
        <v>1</v>
      </c>
      <c r="R22" s="125">
        <v>0.15</v>
      </c>
      <c r="S22" s="123">
        <v>1</v>
      </c>
      <c r="T22" s="125">
        <v>0.1</v>
      </c>
      <c r="U22" s="123">
        <v>1</v>
      </c>
      <c r="V22" s="125">
        <v>0.2</v>
      </c>
      <c r="W22" s="123">
        <v>1</v>
      </c>
      <c r="X22" s="125">
        <v>0.2</v>
      </c>
      <c r="Y22" s="123">
        <v>1</v>
      </c>
      <c r="Z22" s="125">
        <v>0.08</v>
      </c>
      <c r="AA22" s="123">
        <v>1</v>
      </c>
      <c r="AB22" s="125">
        <v>0.1</v>
      </c>
      <c r="AC22" s="126"/>
      <c r="AD22" s="126"/>
      <c r="AE22" s="127"/>
      <c r="AF22" s="127"/>
    </row>
    <row r="23" spans="1:32" ht="18" customHeight="1" x14ac:dyDescent="0.2">
      <c r="A23" s="1"/>
      <c r="B23" s="51">
        <f t="shared" ref="B23:B53" si="1">1+B22</f>
        <v>1</v>
      </c>
      <c r="C23" s="53"/>
      <c r="D23" s="87"/>
      <c r="E23" s="128"/>
      <c r="F23" s="128"/>
      <c r="G23" s="128"/>
      <c r="H23" s="100"/>
      <c r="I23" s="100"/>
      <c r="J23" s="128"/>
      <c r="K23" s="100"/>
      <c r="L23" s="101"/>
      <c r="M23" s="53"/>
      <c r="N23" s="100">
        <f t="shared" si="0"/>
        <v>1.1579999999999999</v>
      </c>
      <c r="O23" s="123">
        <f t="shared" ref="O23:O52" si="2">O22*(1+P22)</f>
        <v>1.2</v>
      </c>
      <c r="P23" s="114">
        <f t="shared" ref="P23:P52" si="3">P22*P$20</f>
        <v>0.19</v>
      </c>
      <c r="Q23" s="123">
        <f t="shared" ref="Q23:Q52" si="4">Q22*(1+R22)</f>
        <v>1.1499999999999999</v>
      </c>
      <c r="R23" s="114">
        <f t="shared" ref="R23:R52" si="5">R22*R$20</f>
        <v>0.14249999999999999</v>
      </c>
      <c r="S23" s="123">
        <f t="shared" ref="S23:S52" si="6">S22*(1+T22)</f>
        <v>1.1000000000000001</v>
      </c>
      <c r="T23" s="114">
        <f t="shared" ref="T23:T52" si="7">T22*T$20</f>
        <v>9.5000000000000001E-2</v>
      </c>
      <c r="U23" s="123">
        <f t="shared" ref="U23:U52" si="8">U22*(1+V22)</f>
        <v>1.2</v>
      </c>
      <c r="V23" s="115">
        <f t="shared" ref="V23:V52" si="9">V22*V$20</f>
        <v>0.19</v>
      </c>
      <c r="W23" s="123">
        <f t="shared" ref="W23:W52" si="10">W22*(1+X22)</f>
        <v>1.2</v>
      </c>
      <c r="X23" s="115">
        <f t="shared" ref="X23:X52" si="11">X22*X$20</f>
        <v>0.19</v>
      </c>
      <c r="Y23" s="123">
        <f t="shared" ref="Y23:Y52" si="12">Y22*(1+Z22)</f>
        <v>1.08</v>
      </c>
      <c r="Z23" s="115">
        <f t="shared" ref="Z23:Z52" si="13">Z22*Z$20</f>
        <v>7.5999999999999998E-2</v>
      </c>
      <c r="AA23" s="123">
        <f t="shared" ref="AA23:AA52" si="14">AA22*(1+AB22)</f>
        <v>1.1000000000000001</v>
      </c>
      <c r="AB23" s="115">
        <f t="shared" ref="AB23:AB52" si="15">AB22*AB$20</f>
        <v>9.5000000000000001E-2</v>
      </c>
      <c r="AC23" s="53"/>
      <c r="AD23" s="53"/>
      <c r="AE23" s="53"/>
      <c r="AF23" s="53"/>
    </row>
    <row r="24" spans="1:32" ht="18" customHeight="1" x14ac:dyDescent="0.2">
      <c r="A24" s="1"/>
      <c r="B24" s="51">
        <f t="shared" si="1"/>
        <v>2</v>
      </c>
      <c r="C24" s="53"/>
      <c r="D24" s="87"/>
      <c r="E24" s="128"/>
      <c r="F24" s="128"/>
      <c r="G24" s="128"/>
      <c r="H24" s="100"/>
      <c r="I24" s="100"/>
      <c r="J24" s="128"/>
      <c r="K24" s="100"/>
      <c r="L24" s="101"/>
      <c r="M24" s="53"/>
      <c r="N24" s="100">
        <f t="shared" si="0"/>
        <v>1.3341205000000003</v>
      </c>
      <c r="O24" s="123">
        <f t="shared" si="2"/>
        <v>1.4279999999999999</v>
      </c>
      <c r="P24" s="114">
        <f t="shared" si="3"/>
        <v>0.18049999999999999</v>
      </c>
      <c r="Q24" s="123">
        <f t="shared" si="4"/>
        <v>1.3138749999999999</v>
      </c>
      <c r="R24" s="114">
        <f t="shared" si="5"/>
        <v>0.135375</v>
      </c>
      <c r="S24" s="123">
        <f t="shared" si="6"/>
        <v>1.2045000000000001</v>
      </c>
      <c r="T24" s="114">
        <f t="shared" si="7"/>
        <v>9.0249999999999997E-2</v>
      </c>
      <c r="U24" s="123">
        <f t="shared" si="8"/>
        <v>1.4279999999999999</v>
      </c>
      <c r="V24" s="115">
        <f t="shared" si="9"/>
        <v>0.18049999999999999</v>
      </c>
      <c r="W24" s="123">
        <f t="shared" si="10"/>
        <v>1.4279999999999999</v>
      </c>
      <c r="X24" s="115">
        <f t="shared" si="11"/>
        <v>0.18049999999999999</v>
      </c>
      <c r="Y24" s="123">
        <f t="shared" si="12"/>
        <v>1.1620800000000002</v>
      </c>
      <c r="Z24" s="115">
        <f t="shared" si="13"/>
        <v>7.22E-2</v>
      </c>
      <c r="AA24" s="123">
        <f t="shared" si="14"/>
        <v>1.2045000000000001</v>
      </c>
      <c r="AB24" s="115">
        <f t="shared" si="15"/>
        <v>9.0249999999999997E-2</v>
      </c>
      <c r="AC24" s="53"/>
      <c r="AD24" s="53"/>
      <c r="AE24" s="53"/>
      <c r="AF24" s="53"/>
    </row>
    <row r="25" spans="1:32" ht="18" customHeight="1" x14ac:dyDescent="0.2">
      <c r="A25" s="1"/>
      <c r="B25" s="51">
        <f t="shared" si="1"/>
        <v>3</v>
      </c>
      <c r="C25" s="53"/>
      <c r="D25" s="87"/>
      <c r="E25" s="128"/>
      <c r="F25" s="128"/>
      <c r="G25" s="128"/>
      <c r="H25" s="100"/>
      <c r="I25" s="100"/>
      <c r="J25" s="128"/>
      <c r="K25" s="100"/>
      <c r="L25" s="101"/>
      <c r="M25" s="53"/>
      <c r="N25" s="100">
        <f t="shared" si="0"/>
        <v>1.5292385316624999</v>
      </c>
      <c r="O25" s="123">
        <f t="shared" si="2"/>
        <v>1.6857539999999998</v>
      </c>
      <c r="P25" s="114">
        <f t="shared" si="3"/>
        <v>0.17147499999999999</v>
      </c>
      <c r="Q25" s="123">
        <f t="shared" si="4"/>
        <v>1.491740828125</v>
      </c>
      <c r="R25" s="114">
        <f t="shared" si="5"/>
        <v>0.12860624999999998</v>
      </c>
      <c r="S25" s="123">
        <f t="shared" si="6"/>
        <v>1.313206125</v>
      </c>
      <c r="T25" s="114">
        <f t="shared" si="7"/>
        <v>8.5737499999999994E-2</v>
      </c>
      <c r="U25" s="123">
        <f t="shared" si="8"/>
        <v>1.6857539999999998</v>
      </c>
      <c r="V25" s="115">
        <f t="shared" si="9"/>
        <v>0.17147499999999999</v>
      </c>
      <c r="W25" s="123">
        <f t="shared" si="10"/>
        <v>1.6857539999999998</v>
      </c>
      <c r="X25" s="115">
        <f t="shared" si="11"/>
        <v>0.17147499999999999</v>
      </c>
      <c r="Y25" s="123">
        <f t="shared" si="12"/>
        <v>1.2459821760000003</v>
      </c>
      <c r="Z25" s="115">
        <f t="shared" si="13"/>
        <v>6.8589999999999998E-2</v>
      </c>
      <c r="AA25" s="123">
        <f t="shared" si="14"/>
        <v>1.313206125</v>
      </c>
      <c r="AB25" s="115">
        <f t="shared" si="15"/>
        <v>8.5737499999999994E-2</v>
      </c>
      <c r="AC25" s="53"/>
      <c r="AD25" s="53"/>
      <c r="AE25" s="53"/>
      <c r="AF25" s="53"/>
    </row>
    <row r="26" spans="1:32" ht="18" customHeight="1" x14ac:dyDescent="0.2">
      <c r="A26" s="1"/>
      <c r="B26" s="51">
        <f t="shared" si="1"/>
        <v>4</v>
      </c>
      <c r="C26" s="53"/>
      <c r="D26" s="87"/>
      <c r="E26" s="128"/>
      <c r="F26" s="128"/>
      <c r="G26" s="128"/>
      <c r="H26" s="100"/>
      <c r="I26" s="100"/>
      <c r="J26" s="128"/>
      <c r="K26" s="100"/>
      <c r="L26" s="101"/>
      <c r="M26" s="53"/>
      <c r="N26" s="100">
        <f t="shared" si="0"/>
        <v>1.744102762263436</v>
      </c>
      <c r="O26" s="123">
        <f t="shared" si="2"/>
        <v>1.9748186671499999</v>
      </c>
      <c r="P26" s="114">
        <f t="shared" si="3"/>
        <v>0.16290124999999997</v>
      </c>
      <c r="Q26" s="123">
        <f t="shared" si="4"/>
        <v>1.6835880220020507</v>
      </c>
      <c r="R26" s="114">
        <f t="shared" si="5"/>
        <v>0.12217593749999997</v>
      </c>
      <c r="S26" s="123">
        <f t="shared" si="6"/>
        <v>1.4257971351421874</v>
      </c>
      <c r="T26" s="114">
        <f t="shared" si="7"/>
        <v>8.1450624999999985E-2</v>
      </c>
      <c r="U26" s="123">
        <f t="shared" si="8"/>
        <v>1.9748186671499999</v>
      </c>
      <c r="V26" s="115">
        <f t="shared" si="9"/>
        <v>0.16290124999999997</v>
      </c>
      <c r="W26" s="123">
        <f t="shared" si="10"/>
        <v>1.9748186671499999</v>
      </c>
      <c r="X26" s="115">
        <f t="shared" si="11"/>
        <v>0.16290124999999997</v>
      </c>
      <c r="Y26" s="123">
        <f t="shared" si="12"/>
        <v>1.3314440934518401</v>
      </c>
      <c r="Z26" s="115">
        <f t="shared" si="13"/>
        <v>6.5160499999999996E-2</v>
      </c>
      <c r="AA26" s="123">
        <f t="shared" si="14"/>
        <v>1.4257971351421874</v>
      </c>
      <c r="AB26" s="115">
        <f t="shared" si="15"/>
        <v>8.1450624999999985E-2</v>
      </c>
      <c r="AC26" s="53"/>
      <c r="AD26" s="53"/>
      <c r="AE26" s="53"/>
      <c r="AF26" s="53"/>
    </row>
    <row r="27" spans="1:32" ht="18" customHeight="1" x14ac:dyDescent="0.2">
      <c r="A27" s="1"/>
      <c r="B27" s="51">
        <f t="shared" si="1"/>
        <v>5</v>
      </c>
      <c r="C27" s="53"/>
      <c r="D27" s="87"/>
      <c r="E27" s="128">
        <f>E$22*O27/$N27</f>
        <v>0.29006471222425073</v>
      </c>
      <c r="F27" s="128">
        <f>F$22*Q27/$N27</f>
        <v>9.5451247216316024E-2</v>
      </c>
      <c r="G27" s="128">
        <f>G$22*S27/$N27</f>
        <v>3.8951058685943632E-2</v>
      </c>
      <c r="H27" s="128">
        <f>H$22*U27/$N27</f>
        <v>0.1160258848897003</v>
      </c>
      <c r="I27" s="128">
        <f>I$22*W27/$N27</f>
        <v>0.23205176977940059</v>
      </c>
      <c r="J27" s="128">
        <f>J$22*Y27/$N27</f>
        <v>7.1651092460614157E-2</v>
      </c>
      <c r="K27" s="128">
        <f>K$22*AA27/$N27</f>
        <v>0.15580423474377453</v>
      </c>
      <c r="L27" s="122">
        <f>SUM(E27:K27)</f>
        <v>1</v>
      </c>
      <c r="M27" s="122"/>
      <c r="N27" s="100">
        <f t="shared" si="0"/>
        <v>1.9793161661600331</v>
      </c>
      <c r="O27" s="123">
        <f t="shared" si="2"/>
        <v>2.296519096552069</v>
      </c>
      <c r="P27" s="114">
        <f t="shared" si="3"/>
        <v>0.15475618749999998</v>
      </c>
      <c r="Q27" s="123">
        <f t="shared" si="4"/>
        <v>1.8892819669539218</v>
      </c>
      <c r="R27" s="114">
        <f t="shared" si="5"/>
        <v>0.11606714062499997</v>
      </c>
      <c r="S27" s="123">
        <f t="shared" si="6"/>
        <v>1.5419292029227281</v>
      </c>
      <c r="T27" s="114">
        <f t="shared" si="7"/>
        <v>7.7378093749999988E-2</v>
      </c>
      <c r="U27" s="123">
        <f t="shared" si="8"/>
        <v>2.296519096552069</v>
      </c>
      <c r="V27" s="115">
        <f t="shared" si="9"/>
        <v>0.15475618749999998</v>
      </c>
      <c r="W27" s="123">
        <f t="shared" si="10"/>
        <v>2.296519096552069</v>
      </c>
      <c r="X27" s="115">
        <f t="shared" si="11"/>
        <v>0.15475618749999998</v>
      </c>
      <c r="Y27" s="123">
        <f t="shared" si="12"/>
        <v>1.4182016563032087</v>
      </c>
      <c r="Z27" s="115">
        <f t="shared" si="13"/>
        <v>6.1902474999999992E-2</v>
      </c>
      <c r="AA27" s="123">
        <f t="shared" si="14"/>
        <v>1.5419292029227281</v>
      </c>
      <c r="AB27" s="115">
        <f t="shared" si="15"/>
        <v>7.7378093749999988E-2</v>
      </c>
      <c r="AC27" s="53"/>
      <c r="AD27" s="53"/>
      <c r="AE27" s="53"/>
      <c r="AF27" s="53"/>
    </row>
    <row r="28" spans="1:32" ht="18" customHeight="1" x14ac:dyDescent="0.2">
      <c r="A28" s="1"/>
      <c r="B28" s="51">
        <f t="shared" si="1"/>
        <v>6</v>
      </c>
      <c r="C28" s="53"/>
      <c r="D28" s="87"/>
      <c r="E28" s="128"/>
      <c r="F28" s="128"/>
      <c r="G28" s="128"/>
      <c r="H28" s="100"/>
      <c r="I28" s="100"/>
      <c r="J28" s="128"/>
      <c r="K28" s="100"/>
      <c r="L28" s="101"/>
      <c r="M28" s="53"/>
      <c r="N28" s="100">
        <f t="shared" si="0"/>
        <v>2.2353217235430742</v>
      </c>
      <c r="O28" s="123">
        <f t="shared" si="2"/>
        <v>2.6519196364554114</v>
      </c>
      <c r="P28" s="114">
        <f t="shared" si="3"/>
        <v>0.14701837812499996</v>
      </c>
      <c r="Q28" s="123">
        <f t="shared" si="4"/>
        <v>2.1085655226926394</v>
      </c>
      <c r="R28" s="114">
        <f t="shared" si="5"/>
        <v>0.11026378359374997</v>
      </c>
      <c r="S28" s="123">
        <f t="shared" si="6"/>
        <v>1.6612407453423457</v>
      </c>
      <c r="T28" s="114">
        <f t="shared" si="7"/>
        <v>7.350918906249998E-2</v>
      </c>
      <c r="U28" s="123">
        <f t="shared" si="8"/>
        <v>2.6519196364554114</v>
      </c>
      <c r="V28" s="115">
        <f t="shared" si="9"/>
        <v>0.14701837812499996</v>
      </c>
      <c r="W28" s="123">
        <f t="shared" si="10"/>
        <v>2.6519196364554114</v>
      </c>
      <c r="X28" s="115">
        <f t="shared" si="11"/>
        <v>0.14701837812499996</v>
      </c>
      <c r="Y28" s="123">
        <f t="shared" si="12"/>
        <v>1.5059918488774766</v>
      </c>
      <c r="Z28" s="115">
        <f t="shared" si="13"/>
        <v>5.8807351249999987E-2</v>
      </c>
      <c r="AA28" s="123">
        <f t="shared" si="14"/>
        <v>1.6612407453423457</v>
      </c>
      <c r="AB28" s="115">
        <f t="shared" si="15"/>
        <v>7.350918906249998E-2</v>
      </c>
      <c r="AC28" s="53"/>
      <c r="AD28" s="53"/>
      <c r="AE28" s="53"/>
      <c r="AF28" s="53"/>
    </row>
    <row r="29" spans="1:32" ht="18" customHeight="1" x14ac:dyDescent="0.2">
      <c r="A29" s="1"/>
      <c r="B29" s="51">
        <f t="shared" si="1"/>
        <v>7</v>
      </c>
      <c r="C29" s="53"/>
      <c r="D29" s="87"/>
      <c r="E29" s="128"/>
      <c r="F29" s="128"/>
      <c r="G29" s="128"/>
      <c r="H29" s="100"/>
      <c r="I29" s="100"/>
      <c r="J29" s="128"/>
      <c r="K29" s="100"/>
      <c r="L29" s="101"/>
      <c r="M29" s="53"/>
      <c r="N29" s="100">
        <f t="shared" si="0"/>
        <v>2.5123915270906316</v>
      </c>
      <c r="O29" s="123">
        <f t="shared" si="2"/>
        <v>3.0418005603249254</v>
      </c>
      <c r="P29" s="114">
        <f t="shared" si="3"/>
        <v>0.13966745921874996</v>
      </c>
      <c r="Q29" s="123">
        <f t="shared" si="4"/>
        <v>2.3410639351800628</v>
      </c>
      <c r="R29" s="114">
        <f t="shared" si="5"/>
        <v>0.10475059441406247</v>
      </c>
      <c r="S29" s="123">
        <f t="shared" si="6"/>
        <v>1.7833572053700444</v>
      </c>
      <c r="T29" s="114">
        <f t="shared" si="7"/>
        <v>6.9833729609374978E-2</v>
      </c>
      <c r="U29" s="123">
        <f t="shared" si="8"/>
        <v>3.0418005603249254</v>
      </c>
      <c r="V29" s="115">
        <f t="shared" si="9"/>
        <v>0.13966745921874996</v>
      </c>
      <c r="W29" s="123">
        <f t="shared" si="10"/>
        <v>3.0418005603249254</v>
      </c>
      <c r="X29" s="115">
        <f t="shared" si="11"/>
        <v>0.13966745921874996</v>
      </c>
      <c r="Y29" s="123">
        <f t="shared" si="12"/>
        <v>1.5945552405140513</v>
      </c>
      <c r="Z29" s="115">
        <f t="shared" si="13"/>
        <v>5.5866983687499983E-2</v>
      </c>
      <c r="AA29" s="123">
        <f t="shared" si="14"/>
        <v>1.7833572053700444</v>
      </c>
      <c r="AB29" s="115">
        <f t="shared" si="15"/>
        <v>6.9833729609374978E-2</v>
      </c>
      <c r="AC29" s="53"/>
      <c r="AD29" s="53"/>
      <c r="AE29" s="53"/>
      <c r="AF29" s="53"/>
    </row>
    <row r="30" spans="1:32" ht="18" customHeight="1" x14ac:dyDescent="0.2">
      <c r="A30" s="1"/>
      <c r="B30" s="51">
        <f t="shared" si="1"/>
        <v>8</v>
      </c>
      <c r="C30" s="53"/>
      <c r="D30" s="87"/>
      <c r="E30" s="128"/>
      <c r="F30" s="128"/>
      <c r="G30" s="128"/>
      <c r="H30" s="100"/>
      <c r="I30" s="100"/>
      <c r="J30" s="128"/>
      <c r="K30" s="100"/>
      <c r="L30" s="101"/>
      <c r="M30" s="53"/>
      <c r="N30" s="100">
        <f t="shared" si="0"/>
        <v>2.810619536988936</v>
      </c>
      <c r="O30" s="123">
        <f t="shared" si="2"/>
        <v>3.4666411160356776</v>
      </c>
      <c r="P30" s="114">
        <f t="shared" si="3"/>
        <v>0.13268408625781244</v>
      </c>
      <c r="Q30" s="123">
        <f t="shared" si="4"/>
        <v>2.586291773951499</v>
      </c>
      <c r="R30" s="114">
        <f t="shared" si="5"/>
        <v>9.951306469335934E-2</v>
      </c>
      <c r="S30" s="123">
        <f t="shared" si="6"/>
        <v>1.9078956902467865</v>
      </c>
      <c r="T30" s="114">
        <f t="shared" si="7"/>
        <v>6.6342043128906222E-2</v>
      </c>
      <c r="U30" s="123">
        <f t="shared" si="8"/>
        <v>3.4666411160356776</v>
      </c>
      <c r="V30" s="115">
        <f t="shared" si="9"/>
        <v>0.13268408625781244</v>
      </c>
      <c r="W30" s="123">
        <f t="shared" si="10"/>
        <v>3.4666411160356776</v>
      </c>
      <c r="X30" s="115">
        <f t="shared" si="11"/>
        <v>0.13268408625781244</v>
      </c>
      <c r="Y30" s="123">
        <f t="shared" si="12"/>
        <v>1.6836382321246672</v>
      </c>
      <c r="Z30" s="115">
        <f t="shared" si="13"/>
        <v>5.3073634503124981E-2</v>
      </c>
      <c r="AA30" s="123">
        <f t="shared" si="14"/>
        <v>1.9078956902467865</v>
      </c>
      <c r="AB30" s="115">
        <f t="shared" si="15"/>
        <v>6.6342043128906222E-2</v>
      </c>
      <c r="AC30" s="53"/>
      <c r="AD30" s="53"/>
      <c r="AE30" s="53"/>
      <c r="AF30" s="53"/>
    </row>
    <row r="31" spans="1:32" ht="18" customHeight="1" x14ac:dyDescent="0.2">
      <c r="A31" s="1"/>
      <c r="B31" s="51">
        <f t="shared" si="1"/>
        <v>9</v>
      </c>
      <c r="C31" s="1"/>
      <c r="D31" s="92"/>
      <c r="E31" s="2"/>
      <c r="F31" s="2"/>
      <c r="G31" s="2"/>
      <c r="H31" s="2"/>
      <c r="I31" s="2"/>
      <c r="J31" s="2"/>
      <c r="K31" s="2"/>
      <c r="L31" s="129"/>
      <c r="M31" s="1"/>
      <c r="N31" s="100">
        <f t="shared" si="0"/>
        <v>3.1299180834850548</v>
      </c>
      <c r="O31" s="123">
        <f t="shared" si="2"/>
        <v>3.9266092249006346</v>
      </c>
      <c r="P31" s="114">
        <f t="shared" si="3"/>
        <v>0.12604988194492181</v>
      </c>
      <c r="Q31" s="123">
        <f t="shared" si="4"/>
        <v>2.8436615945686374</v>
      </c>
      <c r="R31" s="114">
        <f t="shared" si="5"/>
        <v>9.4537411458691364E-2</v>
      </c>
      <c r="S31" s="123">
        <f t="shared" si="6"/>
        <v>2.034469388414593</v>
      </c>
      <c r="T31" s="114">
        <f t="shared" si="7"/>
        <v>6.3024940972460905E-2</v>
      </c>
      <c r="U31" s="123">
        <f t="shared" si="8"/>
        <v>3.9266092249006346</v>
      </c>
      <c r="V31" s="115">
        <f t="shared" si="9"/>
        <v>0.12604988194492181</v>
      </c>
      <c r="W31" s="123">
        <f t="shared" si="10"/>
        <v>3.9266092249006346</v>
      </c>
      <c r="X31" s="115">
        <f t="shared" si="11"/>
        <v>0.12604988194492181</v>
      </c>
      <c r="Y31" s="123">
        <f t="shared" si="12"/>
        <v>1.7729950322919394</v>
      </c>
      <c r="Z31" s="115">
        <f t="shared" si="13"/>
        <v>5.0419952777968728E-2</v>
      </c>
      <c r="AA31" s="123">
        <f t="shared" si="14"/>
        <v>2.034469388414593</v>
      </c>
      <c r="AB31" s="115">
        <f t="shared" si="15"/>
        <v>6.3024940972460905E-2</v>
      </c>
      <c r="AC31" s="1"/>
      <c r="AD31" s="1"/>
      <c r="AE31" s="1"/>
      <c r="AF31" s="1"/>
    </row>
    <row r="32" spans="1:32" ht="18" customHeight="1" x14ac:dyDescent="0.2">
      <c r="A32" s="1"/>
      <c r="B32" s="51">
        <f t="shared" si="1"/>
        <v>10</v>
      </c>
      <c r="C32" s="1"/>
      <c r="D32" s="92"/>
      <c r="E32" s="128">
        <f>E$22*O32/$N32</f>
        <v>0.31855438148080167</v>
      </c>
      <c r="F32" s="128">
        <f>F$22*Q32/$N32</f>
        <v>8.9696766071104342E-2</v>
      </c>
      <c r="G32" s="128">
        <f>G$22*S32/$N32</f>
        <v>3.116254225505127E-2</v>
      </c>
      <c r="H32" s="128">
        <f>H$22*U32/$N32</f>
        <v>0.12742175259232069</v>
      </c>
      <c r="I32" s="128">
        <f>I$22*W32/$N32</f>
        <v>0.25484350518464138</v>
      </c>
      <c r="J32" s="128">
        <f>J$22*Y32/$N32</f>
        <v>5.3670883395875599E-2</v>
      </c>
      <c r="K32" s="128">
        <f>K$22*AA32/$N32</f>
        <v>0.12465016902020508</v>
      </c>
      <c r="L32" s="122">
        <f>SUM(E32:K32)</f>
        <v>1</v>
      </c>
      <c r="M32" s="122"/>
      <c r="N32" s="100">
        <f t="shared" si="0"/>
        <v>3.4700180810491181</v>
      </c>
      <c r="O32" s="123">
        <f t="shared" si="2"/>
        <v>4.4215578541432006</v>
      </c>
      <c r="P32" s="114">
        <f t="shared" si="3"/>
        <v>0.11974738784767572</v>
      </c>
      <c r="Q32" s="123">
        <f t="shared" si="4"/>
        <v>3.1124940007836512</v>
      </c>
      <c r="R32" s="114">
        <f t="shared" si="5"/>
        <v>8.9810540885756796E-2</v>
      </c>
      <c r="S32" s="123">
        <f t="shared" si="6"/>
        <v>2.1626917015297011</v>
      </c>
      <c r="T32" s="114">
        <f t="shared" si="7"/>
        <v>5.9873693923837859E-2</v>
      </c>
      <c r="U32" s="123">
        <f t="shared" si="8"/>
        <v>4.4215578541432006</v>
      </c>
      <c r="V32" s="115">
        <f t="shared" si="9"/>
        <v>0.11974738784767572</v>
      </c>
      <c r="W32" s="123">
        <f t="shared" si="10"/>
        <v>4.4215578541432006</v>
      </c>
      <c r="X32" s="115">
        <f t="shared" si="11"/>
        <v>0.11974738784767572</v>
      </c>
      <c r="Y32" s="123">
        <f t="shared" si="12"/>
        <v>1.8623893580956721</v>
      </c>
      <c r="Z32" s="115">
        <f t="shared" si="13"/>
        <v>4.789895513907029E-2</v>
      </c>
      <c r="AA32" s="123">
        <f t="shared" si="14"/>
        <v>2.1626917015297011</v>
      </c>
      <c r="AB32" s="115">
        <f t="shared" si="15"/>
        <v>5.9873693923837859E-2</v>
      </c>
      <c r="AC32" s="1"/>
      <c r="AD32" s="1"/>
      <c r="AE32" s="1"/>
      <c r="AF32" s="1"/>
    </row>
    <row r="33" spans="1:32" ht="18" customHeight="1" x14ac:dyDescent="0.2">
      <c r="A33" s="1"/>
      <c r="B33" s="51">
        <f t="shared" si="1"/>
        <v>11</v>
      </c>
      <c r="C33" s="1"/>
      <c r="D33" s="92"/>
      <c r="E33" s="2"/>
      <c r="F33" s="2"/>
      <c r="G33" s="2"/>
      <c r="H33" s="2"/>
      <c r="I33" s="2"/>
      <c r="J33" s="2"/>
      <c r="K33" s="2"/>
      <c r="L33" s="129"/>
      <c r="M33" s="1"/>
      <c r="N33" s="100">
        <f t="shared" si="0"/>
        <v>3.8304727954873301</v>
      </c>
      <c r="O33" s="123">
        <f t="shared" si="2"/>
        <v>4.9510278573942239</v>
      </c>
      <c r="P33" s="114">
        <f t="shared" si="3"/>
        <v>0.11376001845529193</v>
      </c>
      <c r="Q33" s="123">
        <f t="shared" si="4"/>
        <v>3.3920287704977041</v>
      </c>
      <c r="R33" s="114">
        <f t="shared" si="5"/>
        <v>8.532001384146895E-2</v>
      </c>
      <c r="S33" s="123">
        <f t="shared" si="6"/>
        <v>2.2921800425187144</v>
      </c>
      <c r="T33" s="114">
        <f t="shared" si="7"/>
        <v>5.6880009227645967E-2</v>
      </c>
      <c r="U33" s="123">
        <f t="shared" si="8"/>
        <v>4.9510278573942239</v>
      </c>
      <c r="V33" s="115">
        <f t="shared" si="9"/>
        <v>0.11376001845529193</v>
      </c>
      <c r="W33" s="123">
        <f t="shared" si="10"/>
        <v>4.9510278573942239</v>
      </c>
      <c r="X33" s="115">
        <f t="shared" si="11"/>
        <v>0.11376001845529193</v>
      </c>
      <c r="Y33" s="123">
        <f t="shared" si="12"/>
        <v>1.9515958624105785</v>
      </c>
      <c r="Z33" s="115">
        <f t="shared" si="13"/>
        <v>4.5504007382116775E-2</v>
      </c>
      <c r="AA33" s="123">
        <f t="shared" si="14"/>
        <v>2.2921800425187144</v>
      </c>
      <c r="AB33" s="115">
        <f t="shared" si="15"/>
        <v>5.6880009227645967E-2</v>
      </c>
      <c r="AC33" s="1"/>
      <c r="AD33" s="1"/>
      <c r="AE33" s="1"/>
      <c r="AF33" s="1"/>
    </row>
    <row r="34" spans="1:32" ht="18" customHeight="1" x14ac:dyDescent="0.2">
      <c r="A34" s="1"/>
      <c r="B34" s="51">
        <f t="shared" si="1"/>
        <v>12</v>
      </c>
      <c r="C34" s="1"/>
      <c r="D34" s="92"/>
      <c r="E34" s="2"/>
      <c r="F34" s="2"/>
      <c r="G34" s="2"/>
      <c r="H34" s="2"/>
      <c r="I34" s="2"/>
      <c r="J34" s="2"/>
      <c r="K34" s="2"/>
      <c r="L34" s="129"/>
      <c r="M34" s="1"/>
      <c r="N34" s="100">
        <f t="shared" si="0"/>
        <v>4.2106648996341667</v>
      </c>
      <c r="O34" s="123">
        <f t="shared" si="2"/>
        <v>5.5142568778240557</v>
      </c>
      <c r="P34" s="114">
        <f t="shared" si="3"/>
        <v>0.10807201753252733</v>
      </c>
      <c r="Q34" s="123">
        <f t="shared" si="4"/>
        <v>3.6814367121472289</v>
      </c>
      <c r="R34" s="114">
        <f t="shared" si="5"/>
        <v>8.1054013149395504E-2</v>
      </c>
      <c r="S34" s="123">
        <f t="shared" si="6"/>
        <v>2.4225592644886049</v>
      </c>
      <c r="T34" s="114">
        <f t="shared" si="7"/>
        <v>5.4036008766263667E-2</v>
      </c>
      <c r="U34" s="123">
        <f t="shared" si="8"/>
        <v>5.5142568778240557</v>
      </c>
      <c r="V34" s="115">
        <f t="shared" si="9"/>
        <v>0.10807201753252733</v>
      </c>
      <c r="W34" s="123">
        <f t="shared" si="10"/>
        <v>5.5142568778240557</v>
      </c>
      <c r="X34" s="115">
        <f t="shared" si="11"/>
        <v>0.10807201753252733</v>
      </c>
      <c r="Y34" s="123">
        <f t="shared" si="12"/>
        <v>2.0404012949406178</v>
      </c>
      <c r="Z34" s="115">
        <f t="shared" si="13"/>
        <v>4.3228807013010934E-2</v>
      </c>
      <c r="AA34" s="123">
        <f t="shared" si="14"/>
        <v>2.4225592644886049</v>
      </c>
      <c r="AB34" s="115">
        <f t="shared" si="15"/>
        <v>5.4036008766263667E-2</v>
      </c>
      <c r="AC34" s="1"/>
      <c r="AD34" s="1"/>
      <c r="AE34" s="1"/>
      <c r="AF34" s="1"/>
    </row>
    <row r="35" spans="1:32" ht="18" customHeight="1" x14ac:dyDescent="0.2">
      <c r="A35" s="1"/>
      <c r="B35" s="51">
        <f t="shared" si="1"/>
        <v>13</v>
      </c>
      <c r="C35" s="1"/>
      <c r="D35" s="92"/>
      <c r="E35" s="2"/>
      <c r="F35" s="2"/>
      <c r="G35" s="2"/>
      <c r="H35" s="2"/>
      <c r="I35" s="2"/>
      <c r="J35" s="2"/>
      <c r="K35" s="2"/>
      <c r="L35" s="129"/>
      <c r="M35" s="1"/>
      <c r="N35" s="100">
        <f t="shared" si="0"/>
        <v>4.6098164676841389</v>
      </c>
      <c r="O35" s="123">
        <f t="shared" si="2"/>
        <v>6.1101937438031166</v>
      </c>
      <c r="P35" s="114">
        <f t="shared" si="3"/>
        <v>0.10266841665590096</v>
      </c>
      <c r="Q35" s="123">
        <f t="shared" si="4"/>
        <v>3.9798319318222779</v>
      </c>
      <c r="R35" s="114">
        <f t="shared" si="5"/>
        <v>7.7001312491925725E-2</v>
      </c>
      <c r="S35" s="123">
        <f t="shared" si="6"/>
        <v>2.5534646981413043</v>
      </c>
      <c r="T35" s="114">
        <f t="shared" si="7"/>
        <v>5.1334208327950479E-2</v>
      </c>
      <c r="U35" s="123">
        <f t="shared" si="8"/>
        <v>6.1101937438031166</v>
      </c>
      <c r="V35" s="115">
        <f t="shared" si="9"/>
        <v>0.10266841665590096</v>
      </c>
      <c r="W35" s="123">
        <f t="shared" si="10"/>
        <v>6.1101937438031166</v>
      </c>
      <c r="X35" s="115">
        <f t="shared" si="11"/>
        <v>0.10266841665590096</v>
      </c>
      <c r="Y35" s="123">
        <f t="shared" si="12"/>
        <v>2.1286054087487032</v>
      </c>
      <c r="Z35" s="115">
        <f t="shared" si="13"/>
        <v>4.1067366662360383E-2</v>
      </c>
      <c r="AA35" s="123">
        <f t="shared" si="14"/>
        <v>2.5534646981413043</v>
      </c>
      <c r="AB35" s="115">
        <f t="shared" si="15"/>
        <v>5.1334208327950479E-2</v>
      </c>
      <c r="AC35" s="1"/>
      <c r="AD35" s="1"/>
      <c r="AE35" s="1"/>
      <c r="AF35" s="1"/>
    </row>
    <row r="36" spans="1:32" ht="18" customHeight="1" x14ac:dyDescent="0.2">
      <c r="A36" s="1"/>
      <c r="B36" s="51">
        <f t="shared" si="1"/>
        <v>14</v>
      </c>
      <c r="C36" s="1"/>
      <c r="D36" s="92"/>
      <c r="E36" s="2"/>
      <c r="F36" s="2"/>
      <c r="G36" s="2"/>
      <c r="H36" s="2"/>
      <c r="I36" s="2"/>
      <c r="J36" s="2"/>
      <c r="K36" s="2"/>
      <c r="L36" s="129"/>
      <c r="M36" s="1"/>
      <c r="N36" s="100">
        <f t="shared" si="0"/>
        <v>5.0270014944074486</v>
      </c>
      <c r="O36" s="123">
        <f t="shared" si="2"/>
        <v>6.7375176609401741</v>
      </c>
      <c r="P36" s="114">
        <f t="shared" si="3"/>
        <v>9.7534995823105902E-2</v>
      </c>
      <c r="Q36" s="123">
        <f t="shared" si="4"/>
        <v>4.2862842140698696</v>
      </c>
      <c r="R36" s="114">
        <f t="shared" si="5"/>
        <v>7.3151246867329434E-2</v>
      </c>
      <c r="S36" s="123">
        <f t="shared" si="6"/>
        <v>2.6845447869137571</v>
      </c>
      <c r="T36" s="114">
        <f t="shared" si="7"/>
        <v>4.8767497911552951E-2</v>
      </c>
      <c r="U36" s="123">
        <f t="shared" si="8"/>
        <v>6.7375176609401741</v>
      </c>
      <c r="V36" s="115">
        <f t="shared" si="9"/>
        <v>9.7534995823105902E-2</v>
      </c>
      <c r="W36" s="123">
        <f t="shared" si="10"/>
        <v>6.7375176609401741</v>
      </c>
      <c r="X36" s="115">
        <f t="shared" si="11"/>
        <v>9.7534995823105902E-2</v>
      </c>
      <c r="Y36" s="123">
        <f t="shared" si="12"/>
        <v>2.2160216275492699</v>
      </c>
      <c r="Z36" s="115">
        <f t="shared" si="13"/>
        <v>3.9013998329242364E-2</v>
      </c>
      <c r="AA36" s="123">
        <f t="shared" si="14"/>
        <v>2.6845447869137571</v>
      </c>
      <c r="AB36" s="115">
        <f t="shared" si="15"/>
        <v>4.8767497911552951E-2</v>
      </c>
      <c r="AC36" s="1"/>
      <c r="AD36" s="1"/>
      <c r="AE36" s="1"/>
      <c r="AF36" s="1"/>
    </row>
    <row r="37" spans="1:32" ht="18" customHeight="1" x14ac:dyDescent="0.2">
      <c r="A37" s="1"/>
      <c r="B37" s="51">
        <f t="shared" si="1"/>
        <v>15</v>
      </c>
      <c r="C37" s="1"/>
      <c r="D37" s="92"/>
      <c r="E37" s="128">
        <f>E$22*O37/$N37</f>
        <v>0.33851145008382905</v>
      </c>
      <c r="F37" s="128">
        <f>F$22*Q37/$N37</f>
        <v>8.4228091492990126E-2</v>
      </c>
      <c r="G37" s="128">
        <f>G$22*S37/$N37</f>
        <v>2.5777152380218542E-2</v>
      </c>
      <c r="H37" s="128">
        <f>H$22*U37/$N37</f>
        <v>0.13540458003353162</v>
      </c>
      <c r="I37" s="128">
        <f>I$22*W37/$N37</f>
        <v>0.27080916006706324</v>
      </c>
      <c r="J37" s="128">
        <f>J$22*Y37/$N37</f>
        <v>4.2160956421493367E-2</v>
      </c>
      <c r="K37" s="128">
        <f>K$22*AA37/$N37</f>
        <v>0.10310860952087417</v>
      </c>
      <c r="L37" s="122">
        <f>SUM(E37:K37)</f>
        <v>1</v>
      </c>
      <c r="M37" s="122"/>
      <c r="N37" s="100">
        <f t="shared" si="0"/>
        <v>5.4611604836607901</v>
      </c>
      <c r="O37" s="123">
        <f t="shared" si="2"/>
        <v>7.3946614178580772</v>
      </c>
      <c r="P37" s="114">
        <f t="shared" si="3"/>
        <v>9.2658246031950608E-2</v>
      </c>
      <c r="Q37" s="123">
        <f t="shared" si="4"/>
        <v>4.599831248756832</v>
      </c>
      <c r="R37" s="114">
        <f t="shared" si="5"/>
        <v>6.9493684523962956E-2</v>
      </c>
      <c r="S37" s="123">
        <f t="shared" si="6"/>
        <v>2.8154633192030438</v>
      </c>
      <c r="T37" s="114">
        <f t="shared" si="7"/>
        <v>4.6329123015975304E-2</v>
      </c>
      <c r="U37" s="123">
        <f t="shared" si="8"/>
        <v>7.3946614178580772</v>
      </c>
      <c r="V37" s="115">
        <f t="shared" si="9"/>
        <v>9.2658246031950608E-2</v>
      </c>
      <c r="W37" s="123">
        <f t="shared" si="10"/>
        <v>7.3946614178580772</v>
      </c>
      <c r="X37" s="115">
        <f t="shared" si="11"/>
        <v>9.2658246031950608E-2</v>
      </c>
      <c r="Y37" s="123">
        <f t="shared" si="12"/>
        <v>2.302477491624042</v>
      </c>
      <c r="Z37" s="115">
        <f t="shared" si="13"/>
        <v>3.7063298412780242E-2</v>
      </c>
      <c r="AA37" s="123">
        <f t="shared" si="14"/>
        <v>2.8154633192030438</v>
      </c>
      <c r="AB37" s="115">
        <f t="shared" si="15"/>
        <v>4.6329123015975304E-2</v>
      </c>
      <c r="AC37" s="1"/>
      <c r="AD37" s="1"/>
      <c r="AE37" s="1"/>
      <c r="AF37" s="1"/>
    </row>
    <row r="38" spans="1:32" ht="18" customHeight="1" x14ac:dyDescent="0.2">
      <c r="A38" s="1"/>
      <c r="B38" s="51">
        <f t="shared" si="1"/>
        <v>16</v>
      </c>
      <c r="C38" s="1"/>
      <c r="D38" s="92"/>
      <c r="E38" s="2"/>
      <c r="F38" s="2"/>
      <c r="G38" s="2"/>
      <c r="H38" s="2"/>
      <c r="I38" s="2"/>
      <c r="J38" s="2"/>
      <c r="K38" s="2"/>
      <c r="L38" s="129"/>
      <c r="M38" s="1"/>
      <c r="N38" s="100">
        <f t="shared" si="0"/>
        <v>5.9111166298172826</v>
      </c>
      <c r="O38" s="123">
        <f t="shared" si="2"/>
        <v>8.0798377748369425</v>
      </c>
      <c r="P38" s="114">
        <f t="shared" si="3"/>
        <v>8.8025333730353081E-2</v>
      </c>
      <c r="Q38" s="123">
        <f t="shared" si="4"/>
        <v>4.9194904704214055</v>
      </c>
      <c r="R38" s="114">
        <f t="shared" si="5"/>
        <v>6.6019000297764807E-2</v>
      </c>
      <c r="S38" s="123">
        <f t="shared" si="6"/>
        <v>2.9459012656653676</v>
      </c>
      <c r="T38" s="114">
        <f t="shared" si="7"/>
        <v>4.401266686517654E-2</v>
      </c>
      <c r="U38" s="123">
        <f t="shared" si="8"/>
        <v>8.0798377748369425</v>
      </c>
      <c r="V38" s="115">
        <f t="shared" si="9"/>
        <v>8.8025333730353081E-2</v>
      </c>
      <c r="W38" s="123">
        <f t="shared" si="10"/>
        <v>8.0798377748369425</v>
      </c>
      <c r="X38" s="115">
        <f t="shared" si="11"/>
        <v>8.8025333730353081E-2</v>
      </c>
      <c r="Y38" s="123">
        <f t="shared" si="12"/>
        <v>2.3878149019848136</v>
      </c>
      <c r="Z38" s="115">
        <f t="shared" si="13"/>
        <v>3.5210133492141228E-2</v>
      </c>
      <c r="AA38" s="123">
        <f t="shared" si="14"/>
        <v>2.9459012656653676</v>
      </c>
      <c r="AB38" s="115">
        <f t="shared" si="15"/>
        <v>4.401266686517654E-2</v>
      </c>
      <c r="AC38" s="1"/>
      <c r="AD38" s="1"/>
      <c r="AE38" s="1"/>
      <c r="AF38" s="1"/>
    </row>
    <row r="39" spans="1:32" ht="18" customHeight="1" x14ac:dyDescent="0.2">
      <c r="A39" s="1"/>
      <c r="B39" s="51">
        <f t="shared" si="1"/>
        <v>17</v>
      </c>
      <c r="C39" s="1"/>
      <c r="D39" s="92"/>
      <c r="E39" s="2"/>
      <c r="F39" s="2"/>
      <c r="G39" s="2"/>
      <c r="H39" s="2"/>
      <c r="I39" s="2"/>
      <c r="J39" s="2"/>
      <c r="K39" s="2"/>
      <c r="L39" s="129"/>
      <c r="M39" s="1"/>
      <c r="N39" s="100">
        <f t="shared" si="0"/>
        <v>6.3755931141410667</v>
      </c>
      <c r="O39" s="123">
        <f t="shared" si="2"/>
        <v>8.7910681914540785</v>
      </c>
      <c r="P39" s="114">
        <f t="shared" si="3"/>
        <v>8.3624067043835418E-2</v>
      </c>
      <c r="Q39" s="123">
        <f t="shared" si="4"/>
        <v>5.2442703132530069</v>
      </c>
      <c r="R39" s="114">
        <f t="shared" si="5"/>
        <v>6.2718050282876567E-2</v>
      </c>
      <c r="S39" s="123">
        <f t="shared" si="6"/>
        <v>3.0755582366887992</v>
      </c>
      <c r="T39" s="114">
        <f t="shared" si="7"/>
        <v>4.1812033521917709E-2</v>
      </c>
      <c r="U39" s="123">
        <f t="shared" si="8"/>
        <v>8.7910681914540785</v>
      </c>
      <c r="V39" s="115">
        <f t="shared" si="9"/>
        <v>8.3624067043835418E-2</v>
      </c>
      <c r="W39" s="123">
        <f t="shared" si="10"/>
        <v>8.7910681914540785</v>
      </c>
      <c r="X39" s="115">
        <f t="shared" si="11"/>
        <v>8.3624067043835418E-2</v>
      </c>
      <c r="Y39" s="123">
        <f t="shared" si="12"/>
        <v>2.4718901834382234</v>
      </c>
      <c r="Z39" s="115">
        <f t="shared" si="13"/>
        <v>3.3449626817534168E-2</v>
      </c>
      <c r="AA39" s="123">
        <f t="shared" si="14"/>
        <v>3.0755582366887992</v>
      </c>
      <c r="AB39" s="115">
        <f t="shared" si="15"/>
        <v>4.1812033521917709E-2</v>
      </c>
      <c r="AC39" s="1"/>
      <c r="AD39" s="1"/>
      <c r="AE39" s="1"/>
      <c r="AF39" s="1"/>
    </row>
    <row r="40" spans="1:32" ht="18" customHeight="1" x14ac:dyDescent="0.2">
      <c r="A40" s="1"/>
      <c r="B40" s="51">
        <f t="shared" si="1"/>
        <v>18</v>
      </c>
      <c r="C40" s="1"/>
      <c r="D40" s="92"/>
      <c r="E40" s="2"/>
      <c r="F40" s="2"/>
      <c r="G40" s="2"/>
      <c r="H40" s="2"/>
      <c r="I40" s="2"/>
      <c r="J40" s="2"/>
      <c r="K40" s="2"/>
      <c r="L40" s="129"/>
      <c r="M40" s="1"/>
      <c r="N40" s="100">
        <f t="shared" si="0"/>
        <v>6.8532310532071774</v>
      </c>
      <c r="O40" s="123">
        <f t="shared" si="2"/>
        <v>9.5262130672831642</v>
      </c>
      <c r="P40" s="114">
        <f t="shared" si="3"/>
        <v>7.9442863691643648E-2</v>
      </c>
      <c r="Q40" s="123">
        <f t="shared" si="4"/>
        <v>5.5731807224566055</v>
      </c>
      <c r="R40" s="114">
        <f t="shared" si="5"/>
        <v>5.9582147768732732E-2</v>
      </c>
      <c r="S40" s="123">
        <f t="shared" si="6"/>
        <v>3.2041535807798414</v>
      </c>
      <c r="T40" s="114">
        <f t="shared" si="7"/>
        <v>3.9721431845821824E-2</v>
      </c>
      <c r="U40" s="123">
        <f t="shared" si="8"/>
        <v>9.5262130672831642</v>
      </c>
      <c r="V40" s="115">
        <f t="shared" si="9"/>
        <v>7.9442863691643648E-2</v>
      </c>
      <c r="W40" s="123">
        <f t="shared" si="10"/>
        <v>9.5262130672831642</v>
      </c>
      <c r="X40" s="115">
        <f t="shared" si="11"/>
        <v>7.9442863691643648E-2</v>
      </c>
      <c r="Y40" s="123">
        <f t="shared" si="12"/>
        <v>2.5545739876081579</v>
      </c>
      <c r="Z40" s="115">
        <f t="shared" si="13"/>
        <v>3.1777145476657456E-2</v>
      </c>
      <c r="AA40" s="123">
        <f t="shared" si="14"/>
        <v>3.2041535807798414</v>
      </c>
      <c r="AB40" s="115">
        <f t="shared" si="15"/>
        <v>3.9721431845821824E-2</v>
      </c>
      <c r="AC40" s="1"/>
      <c r="AD40" s="1"/>
      <c r="AE40" s="1"/>
      <c r="AF40" s="1"/>
    </row>
    <row r="41" spans="1:32" ht="18" customHeight="1" x14ac:dyDescent="0.2">
      <c r="A41" s="1"/>
      <c r="B41" s="51">
        <f t="shared" si="1"/>
        <v>19</v>
      </c>
      <c r="C41" s="1"/>
      <c r="D41" s="92"/>
      <c r="E41" s="2"/>
      <c r="F41" s="2"/>
      <c r="G41" s="2"/>
      <c r="H41" s="2"/>
      <c r="I41" s="2"/>
      <c r="J41" s="2"/>
      <c r="K41" s="2"/>
      <c r="L41" s="129"/>
      <c r="M41" s="1"/>
      <c r="N41" s="100">
        <f t="shared" si="0"/>
        <v>7.3426076652969883</v>
      </c>
      <c r="O41" s="123">
        <f t="shared" si="2"/>
        <v>10.283002713484894</v>
      </c>
      <c r="P41" s="114">
        <f t="shared" si="3"/>
        <v>7.5470720507061467E-2</v>
      </c>
      <c r="Q41" s="123">
        <f t="shared" si="4"/>
        <v>5.9052427998038679</v>
      </c>
      <c r="R41" s="114">
        <f t="shared" si="5"/>
        <v>5.6603040380296094E-2</v>
      </c>
      <c r="S41" s="123">
        <f t="shared" si="6"/>
        <v>3.3314271488623342</v>
      </c>
      <c r="T41" s="114">
        <f t="shared" si="7"/>
        <v>3.7735360253530734E-2</v>
      </c>
      <c r="U41" s="123">
        <f t="shared" si="8"/>
        <v>10.283002713484894</v>
      </c>
      <c r="V41" s="115">
        <f t="shared" si="9"/>
        <v>7.5470720507061467E-2</v>
      </c>
      <c r="W41" s="123">
        <f t="shared" si="10"/>
        <v>10.283002713484894</v>
      </c>
      <c r="X41" s="115">
        <f t="shared" si="11"/>
        <v>7.5470720507061467E-2</v>
      </c>
      <c r="Y41" s="123">
        <f t="shared" si="12"/>
        <v>2.6357510568432674</v>
      </c>
      <c r="Z41" s="115">
        <f t="shared" si="13"/>
        <v>3.0188288202824581E-2</v>
      </c>
      <c r="AA41" s="123">
        <f t="shared" si="14"/>
        <v>3.3314271488623342</v>
      </c>
      <c r="AB41" s="115">
        <f t="shared" si="15"/>
        <v>3.7735360253530734E-2</v>
      </c>
      <c r="AC41" s="1"/>
      <c r="AD41" s="1"/>
      <c r="AE41" s="1"/>
      <c r="AF41" s="1"/>
    </row>
    <row r="42" spans="1:32" ht="18" customHeight="1" x14ac:dyDescent="0.2">
      <c r="A42" s="1"/>
      <c r="B42" s="51">
        <f t="shared" si="1"/>
        <v>20</v>
      </c>
      <c r="C42" s="1"/>
      <c r="D42" s="92"/>
      <c r="E42" s="128">
        <f>E$22*O42/$N42</f>
        <v>0.35254749369026095</v>
      </c>
      <c r="F42" s="128">
        <f>F$22*Q42/$N42</f>
        <v>7.956255037700205E-2</v>
      </c>
      <c r="G42" s="128">
        <f>G$22*S42/$N42</f>
        <v>2.2041747422246211E-2</v>
      </c>
      <c r="H42" s="128">
        <f>H$22*U42/$N42</f>
        <v>0.14101899747610439</v>
      </c>
      <c r="I42" s="128">
        <f>I$22*W42/$N42</f>
        <v>0.28203799495220877</v>
      </c>
      <c r="J42" s="128">
        <f>J$22*Y42/$N42</f>
        <v>3.4624226393192813E-2</v>
      </c>
      <c r="K42" s="128">
        <f>K$22*AA42/$N42</f>
        <v>8.8166989688984843E-2</v>
      </c>
      <c r="L42" s="122">
        <f>SUM(E42:K42)</f>
        <v>1</v>
      </c>
      <c r="M42" s="122"/>
      <c r="N42" s="100">
        <f t="shared" si="0"/>
        <v>7.8422542601904563</v>
      </c>
      <c r="O42" s="123">
        <f t="shared" si="2"/>
        <v>11.059068337247668</v>
      </c>
      <c r="P42" s="114">
        <f t="shared" si="3"/>
        <v>7.1697184481708393E-2</v>
      </c>
      <c r="Q42" s="123">
        <f t="shared" si="4"/>
        <v>6.2394974964566199</v>
      </c>
      <c r="R42" s="114">
        <f t="shared" si="5"/>
        <v>5.3772888361281287E-2</v>
      </c>
      <c r="S42" s="123">
        <f t="shared" si="6"/>
        <v>3.4571397524830467</v>
      </c>
      <c r="T42" s="114">
        <f t="shared" si="7"/>
        <v>3.5848592240854196E-2</v>
      </c>
      <c r="U42" s="123">
        <f t="shared" si="8"/>
        <v>11.059068337247668</v>
      </c>
      <c r="V42" s="115">
        <f t="shared" si="9"/>
        <v>7.1697184481708393E-2</v>
      </c>
      <c r="W42" s="123">
        <f t="shared" si="10"/>
        <v>11.059068337247668</v>
      </c>
      <c r="X42" s="115">
        <f t="shared" si="11"/>
        <v>7.1697184481708393E-2</v>
      </c>
      <c r="Y42" s="123">
        <f t="shared" si="12"/>
        <v>2.7153198693781513</v>
      </c>
      <c r="Z42" s="115">
        <f t="shared" si="13"/>
        <v>2.867887379268335E-2</v>
      </c>
      <c r="AA42" s="123">
        <f t="shared" si="14"/>
        <v>3.4571397524830467</v>
      </c>
      <c r="AB42" s="115">
        <f t="shared" si="15"/>
        <v>3.5848592240854196E-2</v>
      </c>
      <c r="AC42" s="1"/>
      <c r="AD42" s="1"/>
      <c r="AE42" s="1"/>
      <c r="AF42" s="1"/>
    </row>
    <row r="43" spans="1:32" ht="18" customHeight="1" x14ac:dyDescent="0.2">
      <c r="A43" s="1"/>
      <c r="B43" s="51">
        <f t="shared" si="1"/>
        <v>21</v>
      </c>
      <c r="C43" s="1"/>
      <c r="D43" s="92"/>
      <c r="E43" s="2"/>
      <c r="F43" s="2"/>
      <c r="G43" s="2"/>
      <c r="H43" s="2"/>
      <c r="I43" s="2"/>
      <c r="J43" s="2"/>
      <c r="K43" s="2"/>
      <c r="L43" s="129"/>
      <c r="M43" s="1"/>
      <c r="N43" s="100">
        <f t="shared" si="0"/>
        <v>8.3506737048561792</v>
      </c>
      <c r="O43" s="123">
        <f t="shared" si="2"/>
        <v>11.851972400019134</v>
      </c>
      <c r="P43" s="114">
        <f t="shared" si="3"/>
        <v>6.8112325257622966E-2</v>
      </c>
      <c r="Q43" s="123">
        <f t="shared" si="4"/>
        <v>6.5750132987640759</v>
      </c>
      <c r="R43" s="114">
        <f t="shared" si="5"/>
        <v>5.1084243943217221E-2</v>
      </c>
      <c r="S43" s="123">
        <f t="shared" si="6"/>
        <v>3.5810733457894592</v>
      </c>
      <c r="T43" s="114">
        <f t="shared" si="7"/>
        <v>3.4056162628811483E-2</v>
      </c>
      <c r="U43" s="123">
        <f t="shared" si="8"/>
        <v>11.851972400019134</v>
      </c>
      <c r="V43" s="115">
        <f t="shared" si="9"/>
        <v>6.8112325257622966E-2</v>
      </c>
      <c r="W43" s="123">
        <f t="shared" si="10"/>
        <v>11.851972400019134</v>
      </c>
      <c r="X43" s="115">
        <f t="shared" si="11"/>
        <v>6.8112325257622966E-2</v>
      </c>
      <c r="Y43" s="123">
        <f t="shared" si="12"/>
        <v>2.7931921852188126</v>
      </c>
      <c r="Z43" s="115">
        <f t="shared" si="13"/>
        <v>2.7244930103049181E-2</v>
      </c>
      <c r="AA43" s="123">
        <f t="shared" si="14"/>
        <v>3.5810733457894592</v>
      </c>
      <c r="AB43" s="115">
        <f t="shared" si="15"/>
        <v>3.4056162628811483E-2</v>
      </c>
      <c r="AC43" s="1"/>
      <c r="AD43" s="1"/>
      <c r="AE43" s="1"/>
      <c r="AF43" s="1"/>
    </row>
    <row r="44" spans="1:32" ht="18" customHeight="1" x14ac:dyDescent="0.2">
      <c r="A44" s="1"/>
      <c r="B44" s="51">
        <f t="shared" si="1"/>
        <v>22</v>
      </c>
      <c r="C44" s="1"/>
      <c r="D44" s="92"/>
      <c r="E44" s="2"/>
      <c r="F44" s="2"/>
      <c r="G44" s="2"/>
      <c r="H44" s="2"/>
      <c r="I44" s="2"/>
      <c r="J44" s="2"/>
      <c r="K44" s="2"/>
      <c r="L44" s="129"/>
      <c r="M44" s="1"/>
      <c r="N44" s="100">
        <f t="shared" si="0"/>
        <v>8.8663570693120786</v>
      </c>
      <c r="O44" s="123">
        <f t="shared" si="2"/>
        <v>12.659237799073608</v>
      </c>
      <c r="P44" s="114">
        <f t="shared" si="3"/>
        <v>6.4706708994741818E-2</v>
      </c>
      <c r="Q44" s="123">
        <f t="shared" si="4"/>
        <v>6.9108928820480378</v>
      </c>
      <c r="R44" s="114">
        <f t="shared" si="5"/>
        <v>4.8530031746056357E-2</v>
      </c>
      <c r="S44" s="123">
        <f t="shared" si="6"/>
        <v>3.7030309620393669</v>
      </c>
      <c r="T44" s="114">
        <f t="shared" si="7"/>
        <v>3.2353354497370909E-2</v>
      </c>
      <c r="U44" s="123">
        <f t="shared" si="8"/>
        <v>12.659237799073608</v>
      </c>
      <c r="V44" s="115">
        <f t="shared" si="9"/>
        <v>6.4706708994741818E-2</v>
      </c>
      <c r="W44" s="123">
        <f t="shared" si="10"/>
        <v>12.659237799073608</v>
      </c>
      <c r="X44" s="115">
        <f t="shared" si="11"/>
        <v>6.4706708994741818E-2</v>
      </c>
      <c r="Y44" s="123">
        <f t="shared" si="12"/>
        <v>2.8692925110694829</v>
      </c>
      <c r="Z44" s="115">
        <f t="shared" si="13"/>
        <v>2.5882683597896722E-2</v>
      </c>
      <c r="AA44" s="123">
        <f t="shared" si="14"/>
        <v>3.7030309620393669</v>
      </c>
      <c r="AB44" s="115">
        <f t="shared" si="15"/>
        <v>3.2353354497370909E-2</v>
      </c>
      <c r="AC44" s="1"/>
      <c r="AD44" s="1"/>
      <c r="AE44" s="1"/>
      <c r="AF44" s="1"/>
    </row>
    <row r="45" spans="1:32" ht="18" customHeight="1" x14ac:dyDescent="0.2">
      <c r="A45" s="1"/>
      <c r="B45" s="51">
        <f t="shared" si="1"/>
        <v>23</v>
      </c>
      <c r="C45" s="1"/>
      <c r="D45" s="92"/>
      <c r="E45" s="2"/>
      <c r="F45" s="2"/>
      <c r="G45" s="2"/>
      <c r="H45" s="2"/>
      <c r="I45" s="2"/>
      <c r="J45" s="2"/>
      <c r="K45" s="2"/>
      <c r="L45" s="129"/>
      <c r="M45" s="1"/>
      <c r="N45" s="100">
        <f t="shared" si="0"/>
        <v>9.3877992107847401</v>
      </c>
      <c r="O45" s="123">
        <f t="shared" si="2"/>
        <v>13.478375415433499</v>
      </c>
      <c r="P45" s="114">
        <f t="shared" si="3"/>
        <v>6.1471373545004725E-2</v>
      </c>
      <c r="Q45" s="123">
        <f t="shared" si="4"/>
        <v>7.2462787330074248</v>
      </c>
      <c r="R45" s="114">
        <f t="shared" si="5"/>
        <v>4.6103530158753535E-2</v>
      </c>
      <c r="S45" s="123">
        <f t="shared" si="6"/>
        <v>3.8228364354689668</v>
      </c>
      <c r="T45" s="114">
        <f t="shared" si="7"/>
        <v>3.0735686772502362E-2</v>
      </c>
      <c r="U45" s="123">
        <f t="shared" si="8"/>
        <v>13.478375415433499</v>
      </c>
      <c r="V45" s="115">
        <f t="shared" si="9"/>
        <v>6.1471373545004725E-2</v>
      </c>
      <c r="W45" s="123">
        <f t="shared" si="10"/>
        <v>13.478375415433499</v>
      </c>
      <c r="X45" s="115">
        <f t="shared" si="11"/>
        <v>6.1471373545004725E-2</v>
      </c>
      <c r="Y45" s="123">
        <f t="shared" si="12"/>
        <v>2.9435575012833088</v>
      </c>
      <c r="Z45" s="115">
        <f t="shared" si="13"/>
        <v>2.4588549418001884E-2</v>
      </c>
      <c r="AA45" s="123">
        <f t="shared" si="14"/>
        <v>3.8228364354689668</v>
      </c>
      <c r="AB45" s="115">
        <f t="shared" si="15"/>
        <v>3.0735686772502362E-2</v>
      </c>
      <c r="AC45" s="1"/>
      <c r="AD45" s="1"/>
      <c r="AE45" s="1"/>
      <c r="AF45" s="1"/>
    </row>
    <row r="46" spans="1:32" ht="18" customHeight="1" x14ac:dyDescent="0.2">
      <c r="A46" s="1"/>
      <c r="B46" s="51">
        <f t="shared" si="1"/>
        <v>24</v>
      </c>
      <c r="C46" s="1"/>
      <c r="D46" s="92"/>
      <c r="E46" s="2"/>
      <c r="F46" s="2"/>
      <c r="G46" s="2"/>
      <c r="H46" s="2"/>
      <c r="I46" s="2"/>
      <c r="J46" s="2"/>
      <c r="K46" s="2"/>
      <c r="L46" s="129"/>
      <c r="M46" s="1"/>
      <c r="N46" s="100">
        <f t="shared" si="0"/>
        <v>9.9135131079876651</v>
      </c>
      <c r="O46" s="123">
        <f t="shared" si="2"/>
        <v>14.30690966537542</v>
      </c>
      <c r="P46" s="114">
        <f t="shared" si="3"/>
        <v>5.8397804867754484E-2</v>
      </c>
      <c r="Q46" s="123">
        <f t="shared" si="4"/>
        <v>7.5803577631133674</v>
      </c>
      <c r="R46" s="114">
        <f t="shared" si="5"/>
        <v>4.3798353650815858E-2</v>
      </c>
      <c r="S46" s="123">
        <f t="shared" si="6"/>
        <v>3.9403339387320506</v>
      </c>
      <c r="T46" s="114">
        <f t="shared" si="7"/>
        <v>2.9198902433877242E-2</v>
      </c>
      <c r="U46" s="123">
        <f t="shared" si="8"/>
        <v>14.30690966537542</v>
      </c>
      <c r="V46" s="115">
        <f t="shared" si="9"/>
        <v>5.8397804867754484E-2</v>
      </c>
      <c r="W46" s="123">
        <f t="shared" si="10"/>
        <v>14.30690966537542</v>
      </c>
      <c r="X46" s="115">
        <f t="shared" si="11"/>
        <v>5.8397804867754484E-2</v>
      </c>
      <c r="Y46" s="123">
        <f t="shared" si="12"/>
        <v>3.0159353103683433</v>
      </c>
      <c r="Z46" s="115">
        <f t="shared" si="13"/>
        <v>2.3359121947101789E-2</v>
      </c>
      <c r="AA46" s="123">
        <f t="shared" si="14"/>
        <v>3.9403339387320506</v>
      </c>
      <c r="AB46" s="115">
        <f t="shared" si="15"/>
        <v>2.9198902433877242E-2</v>
      </c>
      <c r="AC46" s="1"/>
      <c r="AD46" s="1"/>
      <c r="AE46" s="1"/>
      <c r="AF46" s="1"/>
    </row>
    <row r="47" spans="1:32" ht="18" customHeight="1" x14ac:dyDescent="0.2">
      <c r="A47" s="1"/>
      <c r="B47" s="51">
        <f t="shared" si="1"/>
        <v>25</v>
      </c>
      <c r="C47" s="1"/>
      <c r="D47" s="92"/>
      <c r="E47" s="128">
        <f>E$22*O47/$N47</f>
        <v>0.36253446909813908</v>
      </c>
      <c r="F47" s="128">
        <f>F$22*Q47/$N47</f>
        <v>7.5774109510314908E-2</v>
      </c>
      <c r="G47" s="128">
        <f>G$22*S47/$N47</f>
        <v>1.9418553625648295E-2</v>
      </c>
      <c r="H47" s="128">
        <f>H$22*U47/$N47</f>
        <v>0.14501378763925563</v>
      </c>
      <c r="I47" s="128">
        <f>I$22*W47/$N47</f>
        <v>0.29002757527851125</v>
      </c>
      <c r="J47" s="128">
        <f>J$22*Y47/$N47</f>
        <v>2.9557290345537533E-2</v>
      </c>
      <c r="K47" s="128">
        <f>K$22*AA47/$N47</f>
        <v>7.7674214502593181E-2</v>
      </c>
      <c r="L47" s="122">
        <f>SUM(E47:K47)</f>
        <v>0.99999999999999978</v>
      </c>
      <c r="M47" s="122"/>
      <c r="N47" s="100">
        <f t="shared" si="0"/>
        <v>10.442042809021501</v>
      </c>
      <c r="O47" s="123">
        <f t="shared" si="2"/>
        <v>15.142401784274604</v>
      </c>
      <c r="P47" s="114">
        <f t="shared" si="3"/>
        <v>5.5477914624366756E-2</v>
      </c>
      <c r="Q47" s="123">
        <f t="shared" si="4"/>
        <v>7.9123649532219149</v>
      </c>
      <c r="R47" s="114">
        <f t="shared" si="5"/>
        <v>4.1608435968275063E-2</v>
      </c>
      <c r="S47" s="123">
        <f t="shared" si="6"/>
        <v>4.0553873649659833</v>
      </c>
      <c r="T47" s="114">
        <f t="shared" si="7"/>
        <v>2.7738957312183378E-2</v>
      </c>
      <c r="U47" s="123">
        <f t="shared" si="8"/>
        <v>15.142401784274604</v>
      </c>
      <c r="V47" s="115">
        <f t="shared" si="9"/>
        <v>5.5477914624366756E-2</v>
      </c>
      <c r="W47" s="123">
        <f t="shared" si="10"/>
        <v>15.142401784274604</v>
      </c>
      <c r="X47" s="115">
        <f t="shared" si="11"/>
        <v>5.5477914624366756E-2</v>
      </c>
      <c r="Y47" s="123">
        <f t="shared" si="12"/>
        <v>3.0863849110678081</v>
      </c>
      <c r="Z47" s="115">
        <f t="shared" si="13"/>
        <v>2.2191165849746699E-2</v>
      </c>
      <c r="AA47" s="123">
        <f t="shared" si="14"/>
        <v>4.0553873649659833</v>
      </c>
      <c r="AB47" s="115">
        <f t="shared" si="15"/>
        <v>2.7738957312183378E-2</v>
      </c>
      <c r="AC47" s="1"/>
      <c r="AD47" s="1"/>
      <c r="AE47" s="1"/>
      <c r="AF47" s="1"/>
    </row>
    <row r="48" spans="1:32" ht="18" customHeight="1" x14ac:dyDescent="0.2">
      <c r="A48" s="1"/>
      <c r="B48" s="51">
        <f t="shared" si="1"/>
        <v>26</v>
      </c>
      <c r="C48" s="1"/>
      <c r="D48" s="92"/>
      <c r="E48" s="2"/>
      <c r="F48" s="2"/>
      <c r="G48" s="2"/>
      <c r="H48" s="2"/>
      <c r="I48" s="2"/>
      <c r="J48" s="2"/>
      <c r="K48" s="2"/>
      <c r="L48" s="129"/>
      <c r="M48" s="1"/>
      <c r="N48" s="100">
        <f t="shared" si="0"/>
        <v>10.971974904634646</v>
      </c>
      <c r="O48" s="123">
        <f t="shared" si="2"/>
        <v>15.982470657670449</v>
      </c>
      <c r="P48" s="114">
        <f t="shared" si="3"/>
        <v>5.2704018893148415E-2</v>
      </c>
      <c r="Q48" s="123">
        <f t="shared" si="4"/>
        <v>8.2415860837356725</v>
      </c>
      <c r="R48" s="114">
        <f t="shared" si="5"/>
        <v>3.9528014169861306E-2</v>
      </c>
      <c r="S48" s="123">
        <f t="shared" si="6"/>
        <v>4.1678795819671421</v>
      </c>
      <c r="T48" s="114">
        <f t="shared" si="7"/>
        <v>2.6352009446574207E-2</v>
      </c>
      <c r="U48" s="123">
        <f t="shared" si="8"/>
        <v>15.982470657670449</v>
      </c>
      <c r="V48" s="115">
        <f t="shared" si="9"/>
        <v>5.2704018893148415E-2</v>
      </c>
      <c r="W48" s="123">
        <f t="shared" si="10"/>
        <v>15.982470657670449</v>
      </c>
      <c r="X48" s="115">
        <f t="shared" si="11"/>
        <v>5.2704018893148415E-2</v>
      </c>
      <c r="Y48" s="123">
        <f t="shared" si="12"/>
        <v>3.1548753905054694</v>
      </c>
      <c r="Z48" s="115">
        <f t="shared" si="13"/>
        <v>2.1081607557259362E-2</v>
      </c>
      <c r="AA48" s="123">
        <f t="shared" si="14"/>
        <v>4.1678795819671421</v>
      </c>
      <c r="AB48" s="115">
        <f t="shared" si="15"/>
        <v>2.6352009446574207E-2</v>
      </c>
      <c r="AC48" s="1"/>
      <c r="AD48" s="1"/>
      <c r="AE48" s="1"/>
      <c r="AF48" s="1"/>
    </row>
    <row r="49" spans="1:32" ht="18" customHeight="1" x14ac:dyDescent="0.2">
      <c r="A49" s="1"/>
      <c r="B49" s="51">
        <f t="shared" si="1"/>
        <v>27</v>
      </c>
      <c r="C49" s="1"/>
      <c r="D49" s="92"/>
      <c r="E49" s="2"/>
      <c r="F49" s="2"/>
      <c r="G49" s="2"/>
      <c r="H49" s="2"/>
      <c r="I49" s="2"/>
      <c r="J49" s="2"/>
      <c r="K49" s="2"/>
      <c r="L49" s="129"/>
      <c r="M49" s="1"/>
      <c r="N49" s="100">
        <f t="shared" si="0"/>
        <v>11.501948482326744</v>
      </c>
      <c r="O49" s="123">
        <f t="shared" si="2"/>
        <v>16.824811093171505</v>
      </c>
      <c r="P49" s="114">
        <f t="shared" si="3"/>
        <v>5.0068817948490989E-2</v>
      </c>
      <c r="Q49" s="123">
        <f t="shared" si="4"/>
        <v>8.5673596152357074</v>
      </c>
      <c r="R49" s="114">
        <f t="shared" si="5"/>
        <v>3.755161346136824E-2</v>
      </c>
      <c r="S49" s="123">
        <f t="shared" si="6"/>
        <v>4.277711584083324</v>
      </c>
      <c r="T49" s="114">
        <f t="shared" si="7"/>
        <v>2.5034408974245494E-2</v>
      </c>
      <c r="U49" s="123">
        <f t="shared" si="8"/>
        <v>16.824811093171505</v>
      </c>
      <c r="V49" s="115">
        <f t="shared" si="9"/>
        <v>5.0068817948490989E-2</v>
      </c>
      <c r="W49" s="123">
        <f t="shared" si="10"/>
        <v>16.824811093171505</v>
      </c>
      <c r="X49" s="115">
        <f t="shared" si="11"/>
        <v>5.0068817948490989E-2</v>
      </c>
      <c r="Y49" s="123">
        <f t="shared" si="12"/>
        <v>3.2213852353801609</v>
      </c>
      <c r="Z49" s="115">
        <f t="shared" si="13"/>
        <v>2.0027527179396393E-2</v>
      </c>
      <c r="AA49" s="123">
        <f t="shared" si="14"/>
        <v>4.277711584083324</v>
      </c>
      <c r="AB49" s="115">
        <f t="shared" si="15"/>
        <v>2.5034408974245494E-2</v>
      </c>
      <c r="AC49" s="1"/>
      <c r="AD49" s="1"/>
      <c r="AE49" s="1"/>
      <c r="AF49" s="1"/>
    </row>
    <row r="50" spans="1:32" ht="18" customHeight="1" x14ac:dyDescent="0.2">
      <c r="A50" s="1"/>
      <c r="B50" s="51">
        <f t="shared" si="1"/>
        <v>28</v>
      </c>
      <c r="C50" s="1"/>
      <c r="D50" s="92"/>
      <c r="E50" s="2"/>
      <c r="F50" s="2"/>
      <c r="G50" s="2"/>
      <c r="H50" s="2"/>
      <c r="I50" s="2"/>
      <c r="J50" s="2"/>
      <c r="K50" s="2"/>
      <c r="L50" s="129"/>
      <c r="M50" s="1"/>
      <c r="N50" s="100">
        <f t="shared" si="0"/>
        <v>12.030663555348436</v>
      </c>
      <c r="O50" s="123">
        <f t="shared" si="2"/>
        <v>17.66720949681326</v>
      </c>
      <c r="P50" s="114">
        <f t="shared" si="3"/>
        <v>4.7565377051066435E-2</v>
      </c>
      <c r="Q50" s="123">
        <f t="shared" si="4"/>
        <v>8.8890777918915749</v>
      </c>
      <c r="R50" s="114">
        <f t="shared" si="5"/>
        <v>3.567403278829983E-2</v>
      </c>
      <c r="S50" s="123">
        <f t="shared" si="6"/>
        <v>4.3848015653531336</v>
      </c>
      <c r="T50" s="114">
        <f t="shared" si="7"/>
        <v>2.3782688525533217E-2</v>
      </c>
      <c r="U50" s="123">
        <f t="shared" si="8"/>
        <v>17.66720949681326</v>
      </c>
      <c r="V50" s="115">
        <f t="shared" si="9"/>
        <v>4.7565377051066435E-2</v>
      </c>
      <c r="W50" s="123">
        <f t="shared" si="10"/>
        <v>17.66720949681326</v>
      </c>
      <c r="X50" s="115">
        <f t="shared" si="11"/>
        <v>4.7565377051066435E-2</v>
      </c>
      <c r="Y50" s="123">
        <f t="shared" si="12"/>
        <v>3.2859016157370431</v>
      </c>
      <c r="Z50" s="115">
        <f t="shared" si="13"/>
        <v>1.9026150820426573E-2</v>
      </c>
      <c r="AA50" s="123">
        <f t="shared" si="14"/>
        <v>4.3848015653531336</v>
      </c>
      <c r="AB50" s="115">
        <f t="shared" si="15"/>
        <v>2.3782688525533217E-2</v>
      </c>
      <c r="AC50" s="1"/>
      <c r="AD50" s="1"/>
      <c r="AE50" s="1"/>
      <c r="AF50" s="1"/>
    </row>
    <row r="51" spans="1:32" ht="18" customHeight="1" x14ac:dyDescent="0.2">
      <c r="A51" s="1"/>
      <c r="B51" s="51">
        <f t="shared" si="1"/>
        <v>29</v>
      </c>
      <c r="C51" s="1"/>
      <c r="D51" s="92"/>
      <c r="E51" s="2"/>
      <c r="F51" s="2"/>
      <c r="G51" s="2"/>
      <c r="H51" s="2"/>
      <c r="I51" s="2"/>
      <c r="J51" s="2"/>
      <c r="K51" s="2"/>
      <c r="L51" s="129"/>
      <c r="M51" s="1"/>
      <c r="N51" s="100">
        <f t="shared" si="0"/>
        <v>12.556887993685841</v>
      </c>
      <c r="O51" s="123">
        <f t="shared" si="2"/>
        <v>18.507556977969365</v>
      </c>
      <c r="P51" s="114">
        <f t="shared" si="3"/>
        <v>4.5187108198513112E-2</v>
      </c>
      <c r="Q51" s="123">
        <f t="shared" si="4"/>
        <v>9.2061870444972627</v>
      </c>
      <c r="R51" s="114">
        <f t="shared" si="5"/>
        <v>3.3890331148884838E-2</v>
      </c>
      <c r="S51" s="123">
        <f t="shared" si="6"/>
        <v>4.4890839352281979</v>
      </c>
      <c r="T51" s="114">
        <f t="shared" si="7"/>
        <v>2.2593554099256556E-2</v>
      </c>
      <c r="U51" s="123">
        <f t="shared" si="8"/>
        <v>18.507556977969365</v>
      </c>
      <c r="V51" s="115">
        <f t="shared" si="9"/>
        <v>4.5187108198513112E-2</v>
      </c>
      <c r="W51" s="123">
        <f t="shared" si="10"/>
        <v>18.507556977969365</v>
      </c>
      <c r="X51" s="115">
        <f t="shared" si="11"/>
        <v>4.5187108198513112E-2</v>
      </c>
      <c r="Y51" s="123">
        <f t="shared" si="12"/>
        <v>3.3484196754591395</v>
      </c>
      <c r="Z51" s="115">
        <f t="shared" si="13"/>
        <v>1.8074843279405242E-2</v>
      </c>
      <c r="AA51" s="123">
        <f t="shared" si="14"/>
        <v>4.4890839352281979</v>
      </c>
      <c r="AB51" s="115">
        <f t="shared" si="15"/>
        <v>2.2593554099256556E-2</v>
      </c>
      <c r="AC51" s="1"/>
      <c r="AD51" s="1"/>
      <c r="AE51" s="1"/>
      <c r="AF51" s="1"/>
    </row>
    <row r="52" spans="1:32" ht="18" customHeight="1" x14ac:dyDescent="0.2">
      <c r="A52" s="1"/>
      <c r="B52" s="51">
        <f t="shared" si="1"/>
        <v>30</v>
      </c>
      <c r="C52" s="1"/>
      <c r="D52" s="92"/>
      <c r="E52" s="128">
        <f>E$22*O52/$N52</f>
        <v>0.36973727324621353</v>
      </c>
      <c r="F52" s="128">
        <f>F$22*Q52/$N52</f>
        <v>7.2772007257998927E-2</v>
      </c>
      <c r="G52" s="128">
        <f>G$22*S52/$N52</f>
        <v>1.754853502750893E-2</v>
      </c>
      <c r="H52" s="128">
        <f>H$22*U52/$N52</f>
        <v>0.14789490929848542</v>
      </c>
      <c r="I52" s="128">
        <f>I$22*W52/$N52</f>
        <v>0.29578981859697084</v>
      </c>
      <c r="J52" s="128">
        <f>J$22*Y52/$N52</f>
        <v>2.6063316462786663E-2</v>
      </c>
      <c r="K52" s="128">
        <f>K$22*AA52/$N52</f>
        <v>7.0194140110035719E-2</v>
      </c>
      <c r="L52" s="122">
        <f>SUM(E52:K52)</f>
        <v>1</v>
      </c>
      <c r="M52" s="122"/>
      <c r="N52" s="100">
        <f t="shared" si="0"/>
        <v>13.079463011524437</v>
      </c>
      <c r="O52" s="123">
        <f t="shared" si="2"/>
        <v>19.343859957623014</v>
      </c>
      <c r="P52" s="114">
        <f t="shared" si="3"/>
        <v>4.2927752788587452E-2</v>
      </c>
      <c r="Q52" s="123">
        <f t="shared" si="4"/>
        <v>9.5181877720538477</v>
      </c>
      <c r="R52" s="114">
        <f t="shared" si="5"/>
        <v>3.2195814591440594E-2</v>
      </c>
      <c r="S52" s="123">
        <f t="shared" si="6"/>
        <v>4.59050829597488</v>
      </c>
      <c r="T52" s="114">
        <f t="shared" si="7"/>
        <v>2.1463876394293726E-2</v>
      </c>
      <c r="U52" s="123">
        <f t="shared" si="8"/>
        <v>19.343859957623014</v>
      </c>
      <c r="V52" s="115">
        <f t="shared" si="9"/>
        <v>4.2927752788587452E-2</v>
      </c>
      <c r="W52" s="123">
        <f t="shared" si="10"/>
        <v>19.343859957623014</v>
      </c>
      <c r="X52" s="115">
        <f t="shared" si="11"/>
        <v>4.2927752788587452E-2</v>
      </c>
      <c r="Y52" s="123">
        <f t="shared" si="12"/>
        <v>3.4089418363267407</v>
      </c>
      <c r="Z52" s="115">
        <f t="shared" si="13"/>
        <v>1.7171101115434979E-2</v>
      </c>
      <c r="AA52" s="123">
        <f t="shared" si="14"/>
        <v>4.59050829597488</v>
      </c>
      <c r="AB52" s="115">
        <f t="shared" si="15"/>
        <v>2.1463876394293726E-2</v>
      </c>
      <c r="AC52" s="1"/>
      <c r="AD52" s="1"/>
      <c r="AE52" s="1"/>
      <c r="AF52" s="1"/>
    </row>
    <row r="53" spans="1:32" ht="18" customHeight="1" x14ac:dyDescent="0.2">
      <c r="A53" s="1"/>
      <c r="B53" s="51">
        <f t="shared" si="1"/>
        <v>31</v>
      </c>
      <c r="C53" s="1"/>
      <c r="D53" s="92"/>
      <c r="E53" s="2"/>
      <c r="F53" s="2"/>
      <c r="G53" s="2"/>
      <c r="H53" s="2"/>
      <c r="I53" s="2"/>
      <c r="J53" s="2"/>
      <c r="K53" s="2"/>
      <c r="L53" s="129"/>
      <c r="M53" s="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1"/>
      <c r="AD53" s="1"/>
      <c r="AE53" s="1"/>
      <c r="AF5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MJ55"/>
  <sheetViews>
    <sheetView workbookViewId="0">
      <selection activeCell="A54" sqref="A54:A55"/>
    </sheetView>
  </sheetViews>
  <sheetFormatPr baseColWidth="10" defaultColWidth="8.83203125" defaultRowHeight="15" x14ac:dyDescent="0.2"/>
  <cols>
    <col min="1" max="1" width="17.5" style="40" bestFit="1" customWidth="1"/>
    <col min="2" max="2" width="13.5" style="65" bestFit="1" customWidth="1"/>
    <col min="3" max="3" width="8" style="40" bestFit="1" customWidth="1"/>
    <col min="4" max="4" width="11.6640625" style="99" bestFit="1" customWidth="1"/>
    <col min="5" max="9" width="7.83203125" style="40" bestFit="1" customWidth="1"/>
    <col min="10" max="1007" width="13" style="40" bestFit="1" customWidth="1"/>
    <col min="1008" max="1024" width="11.5" style="40" bestFit="1" customWidth="1"/>
  </cols>
  <sheetData>
    <row r="1" spans="1:1024" ht="18" customHeight="1" x14ac:dyDescent="0.2">
      <c r="A1" s="1"/>
      <c r="B1" s="43"/>
      <c r="C1" s="1"/>
      <c r="D1" s="9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x14ac:dyDescent="0.2">
      <c r="A2" s="1" t="s">
        <v>141</v>
      </c>
      <c r="B2" s="43"/>
      <c r="C2" s="1"/>
      <c r="D2" s="9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ht="18" customHeight="1" x14ac:dyDescent="0.2">
      <c r="A3" s="1" t="s">
        <v>142</v>
      </c>
      <c r="B3" s="43" t="s">
        <v>143</v>
      </c>
      <c r="C3" s="1"/>
      <c r="D3" s="9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ht="18" customHeight="1" x14ac:dyDescent="0.2">
      <c r="A4" s="1" t="s">
        <v>144</v>
      </c>
      <c r="B4" s="86" t="s">
        <v>162</v>
      </c>
      <c r="C4" s="1"/>
      <c r="D4" s="9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ht="18" customHeight="1" x14ac:dyDescent="0.2">
      <c r="A5" s="1" t="s">
        <v>146</v>
      </c>
      <c r="B5" s="43" t="s">
        <v>163</v>
      </c>
      <c r="C5" s="1"/>
      <c r="D5" s="9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ht="18" customHeight="1" x14ac:dyDescent="0.2">
      <c r="A6" s="1" t="s">
        <v>148</v>
      </c>
      <c r="B6" s="43"/>
      <c r="C6" s="1"/>
      <c r="D6" s="9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ht="18" customHeight="1" x14ac:dyDescent="0.2">
      <c r="A7" s="1" t="s">
        <v>150</v>
      </c>
      <c r="B7" s="43"/>
      <c r="C7" s="1"/>
      <c r="D7" s="9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8" customHeight="1" x14ac:dyDescent="0.2">
      <c r="A8" s="1" t="s">
        <v>152</v>
      </c>
      <c r="B8" s="43"/>
      <c r="C8" s="1"/>
      <c r="D8" s="9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" customHeight="1" x14ac:dyDescent="0.2">
      <c r="A9" s="1" t="s">
        <v>154</v>
      </c>
      <c r="B9" s="43"/>
      <c r="C9" s="1"/>
      <c r="D9" s="9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pans="1:1024" ht="18" customHeight="1" x14ac:dyDescent="0.2">
      <c r="A10" s="1" t="s">
        <v>155</v>
      </c>
      <c r="B10" s="56"/>
      <c r="C10" s="1"/>
      <c r="D10" s="9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pans="1:1024" ht="18" customHeight="1" x14ac:dyDescent="0.2">
      <c r="A11" s="1" t="s">
        <v>156</v>
      </c>
      <c r="B11" s="43"/>
      <c r="C11" s="1"/>
      <c r="D11" s="9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2" spans="1:1024" ht="18" customHeight="1" x14ac:dyDescent="0.2">
      <c r="A12" s="1"/>
      <c r="B12" s="43"/>
      <c r="C12" s="1"/>
      <c r="D12" s="9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spans="1:1024" ht="18" customHeight="1" x14ac:dyDescent="0.2">
      <c r="A13" s="1"/>
      <c r="B13" s="43"/>
      <c r="C13" s="1"/>
      <c r="D13" s="9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ht="18" customHeight="1" x14ac:dyDescent="0.2">
      <c r="A14" s="1"/>
      <c r="B14" s="43"/>
      <c r="C14" s="1"/>
      <c r="D14" s="9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ht="18" customHeight="1" x14ac:dyDescent="0.2">
      <c r="A15" s="1"/>
      <c r="B15" s="43"/>
      <c r="C15" s="1"/>
      <c r="D15" s="9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4" ht="18" customHeight="1" x14ac:dyDescent="0.2">
      <c r="A16" s="1"/>
      <c r="B16" s="43"/>
      <c r="C16" s="1"/>
      <c r="D16" s="9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 ht="43" customHeight="1" x14ac:dyDescent="0.2">
      <c r="A17" s="1"/>
      <c r="B17" s="93" t="s">
        <v>157</v>
      </c>
      <c r="C17" s="94"/>
      <c r="D17" s="95" t="s">
        <v>159</v>
      </c>
      <c r="E17" s="94"/>
      <c r="F17" s="94"/>
      <c r="G17" s="94"/>
      <c r="H17" s="94"/>
      <c r="I17" s="9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</row>
    <row r="18" spans="1:1024" ht="34.75" customHeight="1" x14ac:dyDescent="0.2">
      <c r="A18" s="88" t="s">
        <v>1</v>
      </c>
      <c r="B18" s="43"/>
      <c r="C18" s="1"/>
      <c r="D18" s="92"/>
      <c r="E18" s="94"/>
      <c r="F18" s="94"/>
      <c r="G18" s="94"/>
      <c r="H18" s="9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spans="1:1024" ht="18" customHeight="1" x14ac:dyDescent="0.2">
      <c r="A19" s="88" t="s">
        <v>161</v>
      </c>
      <c r="B19" s="43"/>
      <c r="C19" s="1"/>
      <c r="D19" s="9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ht="44" customHeight="1" x14ac:dyDescent="0.2">
      <c r="A20" s="88" t="s">
        <v>164</v>
      </c>
      <c r="B20" s="43"/>
      <c r="C20" s="1"/>
      <c r="D20" s="92"/>
      <c r="E20" s="4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ht="18" customHeight="1" x14ac:dyDescent="0.2">
      <c r="A21" s="88"/>
      <c r="B21" s="43"/>
      <c r="C21" s="1"/>
      <c r="D21" s="9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ht="18" customHeight="1" x14ac:dyDescent="0.2">
      <c r="A22" s="88"/>
      <c r="B22" s="43"/>
      <c r="C22" s="1"/>
      <c r="D22" s="9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 ht="18" customHeight="1" x14ac:dyDescent="0.2">
      <c r="A23" s="1"/>
      <c r="B23" s="51">
        <v>0</v>
      </c>
      <c r="C23" s="1"/>
      <c r="D23" s="87">
        <v>42917</v>
      </c>
      <c r="E23" s="96"/>
      <c r="F23" s="96"/>
      <c r="G23" s="97"/>
      <c r="H23" s="9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ht="18" customHeight="1" x14ac:dyDescent="0.2">
      <c r="A24" s="1"/>
      <c r="B24" s="51">
        <f t="shared" ref="B24:B44" si="0">1+B23</f>
        <v>1</v>
      </c>
      <c r="C24" s="1"/>
      <c r="D24" s="87">
        <v>43101</v>
      </c>
      <c r="E24" s="96"/>
      <c r="F24" s="96"/>
      <c r="G24" s="9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ht="18" customHeight="1" x14ac:dyDescent="0.2">
      <c r="A25" s="1"/>
      <c r="B25" s="51">
        <f t="shared" si="0"/>
        <v>2</v>
      </c>
      <c r="C25" s="1"/>
      <c r="D25" s="87">
        <v>43282</v>
      </c>
      <c r="E25" s="96"/>
      <c r="F25" s="96"/>
      <c r="G25" s="9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ht="18" customHeight="1" x14ac:dyDescent="0.2">
      <c r="A26" s="1"/>
      <c r="B26" s="51">
        <f t="shared" si="0"/>
        <v>3</v>
      </c>
      <c r="C26" s="1"/>
      <c r="D26" s="87">
        <v>43466</v>
      </c>
      <c r="E26" s="96"/>
      <c r="F26" s="96"/>
      <c r="G26" s="9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ht="18" customHeight="1" x14ac:dyDescent="0.2">
      <c r="A27" s="1"/>
      <c r="B27" s="51">
        <f t="shared" si="0"/>
        <v>4</v>
      </c>
      <c r="C27" s="1"/>
      <c r="D27" s="87">
        <v>43647</v>
      </c>
      <c r="E27" s="96"/>
      <c r="F27" s="96"/>
      <c r="G27" s="9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pans="1:1024" ht="18" customHeight="1" x14ac:dyDescent="0.2">
      <c r="A28" s="1"/>
      <c r="B28" s="51">
        <f t="shared" si="0"/>
        <v>5</v>
      </c>
      <c r="C28" s="1"/>
      <c r="D28" s="87">
        <v>43831</v>
      </c>
      <c r="E28" s="96"/>
      <c r="F28" s="96"/>
      <c r="G28" s="9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 ht="18" customHeight="1" x14ac:dyDescent="0.2">
      <c r="A29" s="1"/>
      <c r="B29" s="51">
        <f t="shared" si="0"/>
        <v>6</v>
      </c>
      <c r="C29" s="1"/>
      <c r="D29" s="87">
        <v>44013</v>
      </c>
      <c r="E29" s="96"/>
      <c r="F29" s="96"/>
      <c r="G29" s="9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 ht="18" customHeight="1" x14ac:dyDescent="0.2">
      <c r="A30" s="1"/>
      <c r="B30" s="51">
        <f t="shared" si="0"/>
        <v>7</v>
      </c>
      <c r="C30" s="1"/>
      <c r="D30" s="87">
        <v>44197</v>
      </c>
      <c r="E30" s="96"/>
      <c r="F30" s="96"/>
      <c r="G30" s="9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 ht="18" customHeight="1" x14ac:dyDescent="0.2">
      <c r="A31" s="1"/>
      <c r="B31" s="51">
        <f t="shared" si="0"/>
        <v>8</v>
      </c>
      <c r="C31" s="1"/>
      <c r="D31" s="87">
        <v>44378</v>
      </c>
      <c r="E31" s="96"/>
      <c r="F31" s="96"/>
      <c r="G31" s="9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r="32" spans="1:1024" ht="18" customHeight="1" x14ac:dyDescent="0.2">
      <c r="A32" s="1"/>
      <c r="B32" s="51">
        <f t="shared" si="0"/>
        <v>9</v>
      </c>
      <c r="C32" s="1"/>
      <c r="D32" s="87">
        <v>44562</v>
      </c>
      <c r="E32" s="96"/>
      <c r="F32" s="96"/>
      <c r="G32" s="97"/>
      <c r="H32" s="9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r="33" spans="1:1024" ht="18" customHeight="1" x14ac:dyDescent="0.2">
      <c r="A33" s="1"/>
      <c r="B33" s="51">
        <f t="shared" si="0"/>
        <v>10</v>
      </c>
      <c r="C33" s="1"/>
      <c r="D33" s="87">
        <v>44743</v>
      </c>
      <c r="E33" s="96"/>
      <c r="F33" s="96"/>
      <c r="G33" s="9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</row>
    <row r="34" spans="1:1024" ht="18" customHeight="1" x14ac:dyDescent="0.2">
      <c r="A34" s="1"/>
      <c r="B34" s="51">
        <f t="shared" si="0"/>
        <v>11</v>
      </c>
      <c r="C34" s="1"/>
      <c r="D34" s="87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</row>
    <row r="35" spans="1:1024" ht="18" customHeight="1" x14ac:dyDescent="0.2">
      <c r="A35" s="1"/>
      <c r="B35" s="51">
        <f t="shared" si="0"/>
        <v>12</v>
      </c>
      <c r="C35" s="1"/>
      <c r="D35" s="87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</row>
    <row r="36" spans="1:1024" ht="18" customHeight="1" x14ac:dyDescent="0.2">
      <c r="A36" s="1"/>
      <c r="B36" s="51">
        <f t="shared" si="0"/>
        <v>13</v>
      </c>
      <c r="C36" s="1"/>
      <c r="D36" s="8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</row>
    <row r="37" spans="1:1024" ht="18" customHeight="1" x14ac:dyDescent="0.2">
      <c r="A37" s="1"/>
      <c r="B37" s="51">
        <f t="shared" si="0"/>
        <v>14</v>
      </c>
      <c r="C37" s="1"/>
      <c r="D37" s="8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</row>
    <row r="38" spans="1:1024" ht="18" customHeight="1" x14ac:dyDescent="0.2">
      <c r="A38" s="1"/>
      <c r="B38" s="51">
        <f t="shared" si="0"/>
        <v>15</v>
      </c>
      <c r="C38" s="1"/>
      <c r="D38" s="87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</row>
    <row r="39" spans="1:1024" ht="18" customHeight="1" x14ac:dyDescent="0.2">
      <c r="A39" s="1"/>
      <c r="B39" s="51">
        <f t="shared" si="0"/>
        <v>16</v>
      </c>
      <c r="C39" s="1"/>
      <c r="D39" s="87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</row>
    <row r="40" spans="1:1024" ht="18" customHeight="1" x14ac:dyDescent="0.2">
      <c r="A40" s="1"/>
      <c r="B40" s="51">
        <f t="shared" si="0"/>
        <v>17</v>
      </c>
      <c r="C40" s="1"/>
      <c r="D40" s="8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</row>
    <row r="41" spans="1:1024" ht="18" customHeight="1" x14ac:dyDescent="0.2">
      <c r="A41" s="1"/>
      <c r="B41" s="51">
        <f t="shared" si="0"/>
        <v>18</v>
      </c>
      <c r="C41" s="1"/>
      <c r="D41" s="8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</row>
    <row r="42" spans="1:1024" ht="18" customHeight="1" x14ac:dyDescent="0.2">
      <c r="A42" s="1"/>
      <c r="B42" s="51">
        <f t="shared" si="0"/>
        <v>19</v>
      </c>
      <c r="C42" s="1"/>
      <c r="D42" s="87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</row>
    <row r="43" spans="1:1024" ht="18" customHeight="1" x14ac:dyDescent="0.2">
      <c r="A43" s="1"/>
      <c r="B43" s="51">
        <f t="shared" si="0"/>
        <v>20</v>
      </c>
      <c r="C43" s="1"/>
      <c r="D43" s="8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</row>
    <row r="44" spans="1:1024" ht="18" customHeight="1" x14ac:dyDescent="0.2">
      <c r="A44" s="1"/>
      <c r="B44" s="51">
        <f t="shared" si="0"/>
        <v>21</v>
      </c>
      <c r="C44" s="1"/>
      <c r="D44" s="87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</row>
    <row r="45" spans="1:1024" ht="18" customHeight="1" x14ac:dyDescent="0.2">
      <c r="A45" s="1"/>
      <c r="B45" s="43"/>
      <c r="C45" s="1"/>
      <c r="D45" s="9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</row>
    <row r="46" spans="1:1024" ht="18" customHeight="1" x14ac:dyDescent="0.2">
      <c r="A46" s="1"/>
      <c r="B46" s="43"/>
      <c r="C46" s="1"/>
      <c r="D46" s="9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</row>
    <row r="47" spans="1:1024" ht="18" customHeight="1" x14ac:dyDescent="0.2">
      <c r="A47" s="1"/>
      <c r="B47" s="43"/>
      <c r="C47" s="1"/>
      <c r="D47" s="9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</row>
    <row r="48" spans="1:1024" ht="18" customHeight="1" x14ac:dyDescent="0.2">
      <c r="A48" s="1"/>
      <c r="B48" s="43"/>
      <c r="C48" s="1"/>
      <c r="D48" s="9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</row>
    <row r="49" spans="1:1024" ht="18" customHeight="1" x14ac:dyDescent="0.2">
      <c r="A49" s="1"/>
      <c r="B49" s="43"/>
      <c r="C49" s="1"/>
      <c r="D49" s="9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</row>
    <row r="50" spans="1:1024" ht="18" customHeight="1" x14ac:dyDescent="0.2">
      <c r="A50" s="1"/>
      <c r="B50" s="43"/>
      <c r="C50" s="1"/>
      <c r="D50" s="9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</row>
    <row r="51" spans="1:1024" ht="18" customHeight="1" x14ac:dyDescent="0.2">
      <c r="A51" s="1"/>
      <c r="B51" s="43"/>
      <c r="C51" s="1"/>
      <c r="D51" s="9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</row>
    <row r="52" spans="1:1024" ht="18" customHeight="1" x14ac:dyDescent="0.2">
      <c r="A52" s="1"/>
      <c r="B52" s="43"/>
      <c r="C52" s="1"/>
      <c r="D52" s="9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</row>
    <row r="53" spans="1:1024" ht="18" customHeight="1" x14ac:dyDescent="0.2">
      <c r="A53" s="1"/>
      <c r="B53" s="43"/>
      <c r="C53" s="1"/>
      <c r="D53" s="9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</row>
    <row r="54" spans="1:1024" ht="18" customHeight="1" x14ac:dyDescent="0.2">
      <c r="A54" s="46"/>
      <c r="B54" s="43"/>
      <c r="C54" s="94"/>
      <c r="D54" s="95"/>
      <c r="E54" s="94"/>
      <c r="F54" s="94"/>
      <c r="G54" s="94"/>
      <c r="H54" s="94"/>
      <c r="I54" s="9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</row>
    <row r="55" spans="1:1024" ht="18" customHeight="1" x14ac:dyDescent="0.2">
      <c r="A55" s="1"/>
      <c r="B55" s="56"/>
      <c r="C55" s="1"/>
      <c r="D55" s="9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41"/>
  <sheetViews>
    <sheetView topLeftCell="A15" workbookViewId="0">
      <selection activeCell="D5" sqref="D5"/>
    </sheetView>
  </sheetViews>
  <sheetFormatPr baseColWidth="10" defaultColWidth="8.83203125" defaultRowHeight="15" x14ac:dyDescent="0.2"/>
  <cols>
    <col min="1" max="1" width="17.5" style="40" bestFit="1" customWidth="1"/>
    <col min="2" max="2" width="13.5" style="89" bestFit="1" customWidth="1"/>
    <col min="3" max="3" width="8" style="90" bestFit="1" customWidth="1"/>
    <col min="4" max="4" width="11.6640625" style="91" bestFit="1" customWidth="1"/>
    <col min="5" max="5" width="13" style="40" bestFit="1" customWidth="1"/>
  </cols>
  <sheetData>
    <row r="1" spans="1:5" ht="18" customHeight="1" x14ac:dyDescent="0.2">
      <c r="A1" s="1"/>
      <c r="B1" s="83"/>
      <c r="C1" s="84"/>
      <c r="D1" s="85"/>
      <c r="E1" s="1"/>
    </row>
    <row r="2" spans="1:5" ht="18" customHeight="1" x14ac:dyDescent="0.2">
      <c r="A2" s="1" t="s">
        <v>141</v>
      </c>
      <c r="B2" s="83"/>
      <c r="C2" s="84"/>
      <c r="D2" s="85"/>
      <c r="E2" s="1"/>
    </row>
    <row r="3" spans="1:5" ht="18" customHeight="1" x14ac:dyDescent="0.2">
      <c r="A3" s="1" t="s">
        <v>142</v>
      </c>
      <c r="B3" s="83" t="s">
        <v>143</v>
      </c>
      <c r="C3" s="84"/>
      <c r="D3" s="85"/>
      <c r="E3" s="1"/>
    </row>
    <row r="4" spans="1:5" ht="18" customHeight="1" x14ac:dyDescent="0.2">
      <c r="A4" s="1" t="s">
        <v>144</v>
      </c>
      <c r="B4" s="86" t="s">
        <v>145</v>
      </c>
      <c r="C4" s="84"/>
      <c r="D4" s="85"/>
      <c r="E4" s="1"/>
    </row>
    <row r="5" spans="1:5" ht="18" customHeight="1" x14ac:dyDescent="0.2">
      <c r="A5" s="1" t="s">
        <v>146</v>
      </c>
      <c r="B5" s="83" t="s">
        <v>147</v>
      </c>
      <c r="C5" s="84"/>
      <c r="D5" s="87"/>
      <c r="E5" s="1"/>
    </row>
    <row r="6" spans="1:5" ht="18" customHeight="1" x14ac:dyDescent="0.2">
      <c r="A6" s="1" t="s">
        <v>148</v>
      </c>
      <c r="B6" s="83" t="s">
        <v>149</v>
      </c>
      <c r="C6" s="84"/>
      <c r="D6" s="85"/>
      <c r="E6" s="1"/>
    </row>
    <row r="7" spans="1:5" ht="18" customHeight="1" x14ac:dyDescent="0.2">
      <c r="A7" s="1" t="s">
        <v>150</v>
      </c>
      <c r="B7" s="83" t="s">
        <v>151</v>
      </c>
      <c r="C7" s="84"/>
      <c r="D7" s="85"/>
      <c r="E7" s="1"/>
    </row>
    <row r="8" spans="1:5" ht="18" customHeight="1" x14ac:dyDescent="0.2">
      <c r="A8" s="1" t="s">
        <v>152</v>
      </c>
      <c r="B8" s="83" t="s">
        <v>153</v>
      </c>
      <c r="C8" s="84"/>
      <c r="D8" s="85"/>
      <c r="E8" s="1"/>
    </row>
    <row r="9" spans="1:5" ht="18" customHeight="1" x14ac:dyDescent="0.2">
      <c r="A9" s="1" t="s">
        <v>154</v>
      </c>
      <c r="B9" s="83"/>
      <c r="C9" s="84"/>
      <c r="D9" s="85"/>
      <c r="E9" s="1"/>
    </row>
    <row r="10" spans="1:5" ht="18" customHeight="1" x14ac:dyDescent="0.2">
      <c r="A10" s="1" t="s">
        <v>155</v>
      </c>
      <c r="B10" s="83"/>
      <c r="C10" s="84"/>
      <c r="D10" s="85"/>
      <c r="E10" s="1"/>
    </row>
    <row r="11" spans="1:5" ht="18" customHeight="1" x14ac:dyDescent="0.2">
      <c r="A11" s="1" t="s">
        <v>156</v>
      </c>
      <c r="B11" s="83"/>
      <c r="C11" s="84"/>
      <c r="D11" s="85"/>
      <c r="E11" s="1"/>
    </row>
    <row r="12" spans="1:5" ht="18" customHeight="1" x14ac:dyDescent="0.2">
      <c r="A12" s="1"/>
      <c r="B12" s="83"/>
      <c r="C12" s="84"/>
      <c r="D12" s="85"/>
      <c r="E12" s="1"/>
    </row>
    <row r="13" spans="1:5" ht="18" customHeight="1" x14ac:dyDescent="0.2">
      <c r="A13" s="1"/>
      <c r="B13" s="83"/>
      <c r="C13" s="84"/>
      <c r="D13" s="85"/>
      <c r="E13" s="1"/>
    </row>
    <row r="14" spans="1:5" ht="18" customHeight="1" x14ac:dyDescent="0.2">
      <c r="A14" s="1"/>
      <c r="B14" s="83"/>
      <c r="C14" s="84"/>
      <c r="D14" s="85"/>
      <c r="E14" s="1"/>
    </row>
    <row r="15" spans="1:5" ht="18" customHeight="1" x14ac:dyDescent="0.2">
      <c r="A15" s="1"/>
      <c r="B15" s="83"/>
      <c r="C15" s="84"/>
      <c r="D15" s="85"/>
      <c r="E15" s="1"/>
    </row>
    <row r="16" spans="1:5" ht="18" customHeight="1" x14ac:dyDescent="0.2">
      <c r="A16" s="1"/>
      <c r="B16" s="83"/>
      <c r="C16" s="84"/>
      <c r="D16" s="85"/>
      <c r="E16" s="1"/>
    </row>
    <row r="17" spans="1:5" ht="206.5" customHeight="1" x14ac:dyDescent="0.2">
      <c r="A17" s="1"/>
      <c r="B17" s="83" t="s">
        <v>157</v>
      </c>
      <c r="C17" s="50" t="s">
        <v>158</v>
      </c>
      <c r="D17" s="87" t="s">
        <v>159</v>
      </c>
      <c r="E17" s="1" t="s">
        <v>160</v>
      </c>
    </row>
    <row r="18" spans="1:5" ht="18" customHeight="1" x14ac:dyDescent="0.2">
      <c r="A18" s="88" t="s">
        <v>1</v>
      </c>
      <c r="B18" s="83"/>
      <c r="C18" s="84"/>
      <c r="D18" s="85"/>
      <c r="E18" s="1"/>
    </row>
    <row r="19" spans="1:5" ht="18" customHeight="1" x14ac:dyDescent="0.2">
      <c r="A19" s="88" t="s">
        <v>161</v>
      </c>
      <c r="B19" s="83"/>
      <c r="C19" s="84"/>
      <c r="D19" s="85"/>
      <c r="E19" s="1"/>
    </row>
    <row r="20" spans="1:5" ht="18" customHeight="1" x14ac:dyDescent="0.2">
      <c r="A20" s="1"/>
      <c r="B20" s="51">
        <v>1</v>
      </c>
      <c r="C20" s="50">
        <v>2020</v>
      </c>
      <c r="D20" s="87">
        <f t="shared" ref="D20:D41" si="0">DATEVALUE(CONCATENATE("01/01/",C20))</f>
        <v>43831</v>
      </c>
      <c r="E20" s="1"/>
    </row>
    <row r="21" spans="1:5" ht="18" customHeight="1" x14ac:dyDescent="0.2">
      <c r="A21" s="1"/>
      <c r="B21" s="51">
        <f t="shared" ref="B21:B41" si="1">1+B20</f>
        <v>2</v>
      </c>
      <c r="C21" s="50">
        <f t="shared" ref="C21:C41" si="2">C20+1</f>
        <v>2021</v>
      </c>
      <c r="D21" s="87">
        <f t="shared" si="0"/>
        <v>44197</v>
      </c>
      <c r="E21" s="1"/>
    </row>
    <row r="22" spans="1:5" ht="18" customHeight="1" x14ac:dyDescent="0.2">
      <c r="A22" s="1"/>
      <c r="B22" s="51">
        <f t="shared" si="1"/>
        <v>3</v>
      </c>
      <c r="C22" s="50">
        <f t="shared" si="2"/>
        <v>2022</v>
      </c>
      <c r="D22" s="87">
        <f t="shared" si="0"/>
        <v>44562</v>
      </c>
      <c r="E22" s="1"/>
    </row>
    <row r="23" spans="1:5" ht="18" customHeight="1" x14ac:dyDescent="0.2">
      <c r="A23" s="1"/>
      <c r="B23" s="51">
        <f t="shared" si="1"/>
        <v>4</v>
      </c>
      <c r="C23" s="50">
        <f t="shared" si="2"/>
        <v>2023</v>
      </c>
      <c r="D23" s="87">
        <f t="shared" si="0"/>
        <v>44927</v>
      </c>
      <c r="E23" s="1"/>
    </row>
    <row r="24" spans="1:5" ht="18" customHeight="1" x14ac:dyDescent="0.2">
      <c r="A24" s="1"/>
      <c r="B24" s="51">
        <f t="shared" si="1"/>
        <v>5</v>
      </c>
      <c r="C24" s="50">
        <f t="shared" si="2"/>
        <v>2024</v>
      </c>
      <c r="D24" s="87">
        <f t="shared" si="0"/>
        <v>45292</v>
      </c>
      <c r="E24" s="1"/>
    </row>
    <row r="25" spans="1:5" ht="18" customHeight="1" x14ac:dyDescent="0.2">
      <c r="A25" s="1"/>
      <c r="B25" s="51">
        <f t="shared" si="1"/>
        <v>6</v>
      </c>
      <c r="C25" s="50">
        <f t="shared" si="2"/>
        <v>2025</v>
      </c>
      <c r="D25" s="87">
        <f t="shared" si="0"/>
        <v>45658</v>
      </c>
      <c r="E25" s="1"/>
    </row>
    <row r="26" spans="1:5" ht="18" customHeight="1" x14ac:dyDescent="0.2">
      <c r="A26" s="1"/>
      <c r="B26" s="51">
        <f t="shared" si="1"/>
        <v>7</v>
      </c>
      <c r="C26" s="50">
        <f t="shared" si="2"/>
        <v>2026</v>
      </c>
      <c r="D26" s="87">
        <f t="shared" si="0"/>
        <v>46023</v>
      </c>
      <c r="E26" s="1"/>
    </row>
    <row r="27" spans="1:5" ht="18" customHeight="1" x14ac:dyDescent="0.2">
      <c r="A27" s="1"/>
      <c r="B27" s="51">
        <f t="shared" si="1"/>
        <v>8</v>
      </c>
      <c r="C27" s="50">
        <f t="shared" si="2"/>
        <v>2027</v>
      </c>
      <c r="D27" s="87">
        <f t="shared" si="0"/>
        <v>46388</v>
      </c>
      <c r="E27" s="1"/>
    </row>
    <row r="28" spans="1:5" ht="18" customHeight="1" x14ac:dyDescent="0.2">
      <c r="A28" s="1"/>
      <c r="B28" s="51">
        <f t="shared" si="1"/>
        <v>9</v>
      </c>
      <c r="C28" s="50">
        <f t="shared" si="2"/>
        <v>2028</v>
      </c>
      <c r="D28" s="87">
        <f t="shared" si="0"/>
        <v>46753</v>
      </c>
      <c r="E28" s="1"/>
    </row>
    <row r="29" spans="1:5" ht="18" customHeight="1" x14ac:dyDescent="0.2">
      <c r="A29" s="1"/>
      <c r="B29" s="51">
        <f t="shared" si="1"/>
        <v>10</v>
      </c>
      <c r="C29" s="50">
        <f t="shared" si="2"/>
        <v>2029</v>
      </c>
      <c r="D29" s="87">
        <f t="shared" si="0"/>
        <v>47119</v>
      </c>
      <c r="E29" s="1"/>
    </row>
    <row r="30" spans="1:5" ht="18" customHeight="1" x14ac:dyDescent="0.2">
      <c r="A30" s="1"/>
      <c r="B30" s="51">
        <f t="shared" si="1"/>
        <v>11</v>
      </c>
      <c r="C30" s="50">
        <f t="shared" si="2"/>
        <v>2030</v>
      </c>
      <c r="D30" s="87">
        <f t="shared" si="0"/>
        <v>47484</v>
      </c>
      <c r="E30" s="1"/>
    </row>
    <row r="31" spans="1:5" ht="18" customHeight="1" x14ac:dyDescent="0.2">
      <c r="A31" s="1"/>
      <c r="B31" s="51">
        <f t="shared" si="1"/>
        <v>12</v>
      </c>
      <c r="C31" s="50">
        <f t="shared" si="2"/>
        <v>2031</v>
      </c>
      <c r="D31" s="87">
        <f t="shared" si="0"/>
        <v>47849</v>
      </c>
      <c r="E31" s="1"/>
    </row>
    <row r="32" spans="1:5" ht="18" customHeight="1" x14ac:dyDescent="0.2">
      <c r="A32" s="1"/>
      <c r="B32" s="51">
        <f t="shared" si="1"/>
        <v>13</v>
      </c>
      <c r="C32" s="50">
        <f t="shared" si="2"/>
        <v>2032</v>
      </c>
      <c r="D32" s="87">
        <f t="shared" si="0"/>
        <v>48214</v>
      </c>
      <c r="E32" s="1"/>
    </row>
    <row r="33" spans="1:5" ht="18" customHeight="1" x14ac:dyDescent="0.2">
      <c r="A33" s="1"/>
      <c r="B33" s="51">
        <f t="shared" si="1"/>
        <v>14</v>
      </c>
      <c r="C33" s="50">
        <f t="shared" si="2"/>
        <v>2033</v>
      </c>
      <c r="D33" s="87">
        <f t="shared" si="0"/>
        <v>48580</v>
      </c>
      <c r="E33" s="1"/>
    </row>
    <row r="34" spans="1:5" ht="18" customHeight="1" x14ac:dyDescent="0.2">
      <c r="A34" s="1"/>
      <c r="B34" s="51">
        <f t="shared" si="1"/>
        <v>15</v>
      </c>
      <c r="C34" s="50">
        <f t="shared" si="2"/>
        <v>2034</v>
      </c>
      <c r="D34" s="87">
        <f t="shared" si="0"/>
        <v>48945</v>
      </c>
      <c r="E34" s="1"/>
    </row>
    <row r="35" spans="1:5" ht="18" customHeight="1" x14ac:dyDescent="0.2">
      <c r="A35" s="1"/>
      <c r="B35" s="51">
        <f t="shared" si="1"/>
        <v>16</v>
      </c>
      <c r="C35" s="50">
        <f t="shared" si="2"/>
        <v>2035</v>
      </c>
      <c r="D35" s="87">
        <f t="shared" si="0"/>
        <v>49310</v>
      </c>
      <c r="E35" s="1"/>
    </row>
    <row r="36" spans="1:5" ht="18" customHeight="1" x14ac:dyDescent="0.2">
      <c r="A36" s="1"/>
      <c r="B36" s="51">
        <f t="shared" si="1"/>
        <v>17</v>
      </c>
      <c r="C36" s="50">
        <f t="shared" si="2"/>
        <v>2036</v>
      </c>
      <c r="D36" s="87">
        <f t="shared" si="0"/>
        <v>49675</v>
      </c>
      <c r="E36" s="1"/>
    </row>
    <row r="37" spans="1:5" ht="18" customHeight="1" x14ac:dyDescent="0.2">
      <c r="A37" s="1"/>
      <c r="B37" s="51">
        <f t="shared" si="1"/>
        <v>18</v>
      </c>
      <c r="C37" s="50">
        <f t="shared" si="2"/>
        <v>2037</v>
      </c>
      <c r="D37" s="87">
        <f t="shared" si="0"/>
        <v>50041</v>
      </c>
      <c r="E37" s="1"/>
    </row>
    <row r="38" spans="1:5" ht="18" customHeight="1" x14ac:dyDescent="0.2">
      <c r="A38" s="1"/>
      <c r="B38" s="51">
        <f t="shared" si="1"/>
        <v>19</v>
      </c>
      <c r="C38" s="50">
        <f t="shared" si="2"/>
        <v>2038</v>
      </c>
      <c r="D38" s="87">
        <f t="shared" si="0"/>
        <v>50406</v>
      </c>
      <c r="E38" s="1"/>
    </row>
    <row r="39" spans="1:5" ht="18" customHeight="1" x14ac:dyDescent="0.2">
      <c r="A39" s="1"/>
      <c r="B39" s="51">
        <f t="shared" si="1"/>
        <v>20</v>
      </c>
      <c r="C39" s="50">
        <f t="shared" si="2"/>
        <v>2039</v>
      </c>
      <c r="D39" s="87">
        <f t="shared" si="0"/>
        <v>50771</v>
      </c>
      <c r="E39" s="1"/>
    </row>
    <row r="40" spans="1:5" ht="18" customHeight="1" x14ac:dyDescent="0.2">
      <c r="A40" s="1"/>
      <c r="B40" s="51">
        <f t="shared" si="1"/>
        <v>21</v>
      </c>
      <c r="C40" s="50">
        <f t="shared" si="2"/>
        <v>2040</v>
      </c>
      <c r="D40" s="87">
        <f t="shared" si="0"/>
        <v>51136</v>
      </c>
      <c r="E40" s="1"/>
    </row>
    <row r="41" spans="1:5" ht="18" customHeight="1" x14ac:dyDescent="0.2">
      <c r="A41" s="1"/>
      <c r="B41" s="51">
        <f t="shared" si="1"/>
        <v>22</v>
      </c>
      <c r="C41" s="50">
        <f t="shared" si="2"/>
        <v>2041</v>
      </c>
      <c r="D41" s="87">
        <f t="shared" si="0"/>
        <v>51502</v>
      </c>
      <c r="E4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G28"/>
  <sheetViews>
    <sheetView workbookViewId="0"/>
  </sheetViews>
  <sheetFormatPr baseColWidth="10" defaultColWidth="8.83203125" defaultRowHeight="15" x14ac:dyDescent="0.2"/>
  <cols>
    <col min="1" max="1" width="5.5" style="40" bestFit="1" customWidth="1"/>
    <col min="2" max="2" width="56.6640625" style="81" bestFit="1" customWidth="1"/>
    <col min="3" max="3" width="13.5" style="82" bestFit="1" customWidth="1"/>
    <col min="4" max="7" width="12.5" style="40" bestFit="1" customWidth="1"/>
  </cols>
  <sheetData>
    <row r="1" spans="1:7" ht="18" customHeight="1" x14ac:dyDescent="0.2">
      <c r="A1" s="5" t="s">
        <v>105</v>
      </c>
      <c r="B1" s="8"/>
      <c r="C1" s="12"/>
      <c r="D1" s="8"/>
      <c r="E1" s="1"/>
      <c r="F1" s="1"/>
      <c r="G1" s="1"/>
    </row>
    <row r="2" spans="1:7" ht="18" customHeight="1" x14ac:dyDescent="0.2">
      <c r="A2" s="68"/>
      <c r="B2" s="68" t="s">
        <v>106</v>
      </c>
      <c r="C2" s="69">
        <v>26.8</v>
      </c>
      <c r="D2" s="68" t="s">
        <v>107</v>
      </c>
      <c r="E2" s="1"/>
      <c r="F2" s="1"/>
      <c r="G2" s="1"/>
    </row>
    <row r="3" spans="1:7" ht="18" customHeight="1" x14ac:dyDescent="0.2">
      <c r="A3" s="68"/>
      <c r="B3" s="68" t="s">
        <v>108</v>
      </c>
      <c r="C3" s="70">
        <v>22400</v>
      </c>
      <c r="D3" s="68" t="s">
        <v>109</v>
      </c>
      <c r="E3" s="1"/>
      <c r="F3" s="1"/>
      <c r="G3" s="1"/>
    </row>
    <row r="4" spans="1:7" ht="18" customHeight="1" x14ac:dyDescent="0.2">
      <c r="A4" s="68"/>
      <c r="B4" s="68" t="s">
        <v>110</v>
      </c>
      <c r="C4" s="71">
        <v>0.2</v>
      </c>
      <c r="D4" s="68"/>
      <c r="E4" s="1"/>
      <c r="F4" s="1"/>
      <c r="G4" s="1"/>
    </row>
    <row r="5" spans="1:7" ht="18" customHeight="1" x14ac:dyDescent="0.2">
      <c r="A5" s="68"/>
      <c r="B5" s="68" t="s">
        <v>111</v>
      </c>
      <c r="C5" s="69">
        <v>4</v>
      </c>
      <c r="D5" s="68" t="s">
        <v>112</v>
      </c>
      <c r="E5" s="1"/>
      <c r="F5" s="1"/>
      <c r="G5" s="1"/>
    </row>
    <row r="6" spans="1:7" ht="18" customHeight="1" x14ac:dyDescent="0.2">
      <c r="A6" s="1"/>
      <c r="B6" s="72"/>
      <c r="C6" s="73"/>
      <c r="D6" s="1"/>
      <c r="E6" s="1"/>
      <c r="F6" s="1"/>
      <c r="G6" s="1"/>
    </row>
    <row r="7" spans="1:7" ht="18" customHeight="1" x14ac:dyDescent="0.2">
      <c r="A7" s="5" t="s">
        <v>113</v>
      </c>
      <c r="B7" s="8"/>
      <c r="C7" s="12"/>
      <c r="D7" s="8"/>
      <c r="E7" s="1"/>
      <c r="F7" s="1"/>
      <c r="G7" s="1"/>
    </row>
    <row r="8" spans="1:7" ht="18" customHeight="1" x14ac:dyDescent="0.2">
      <c r="A8" s="68"/>
      <c r="B8" s="68" t="s">
        <v>114</v>
      </c>
      <c r="C8" s="69">
        <v>9.1</v>
      </c>
      <c r="D8" s="68" t="s">
        <v>115</v>
      </c>
      <c r="E8" s="1"/>
      <c r="F8" s="1"/>
      <c r="G8" s="1"/>
    </row>
    <row r="9" spans="1:7" ht="18" customHeight="1" x14ac:dyDescent="0.25">
      <c r="A9" s="68"/>
      <c r="B9" s="68" t="s">
        <v>116</v>
      </c>
      <c r="C9" s="69">
        <v>16.3</v>
      </c>
      <c r="D9" s="68" t="s">
        <v>115</v>
      </c>
      <c r="E9" s="1"/>
      <c r="F9" s="1"/>
      <c r="G9" s="74"/>
    </row>
    <row r="10" spans="1:7" ht="18" customHeight="1" x14ac:dyDescent="0.2">
      <c r="A10" s="68"/>
      <c r="B10" s="68" t="s">
        <v>117</v>
      </c>
      <c r="C10" s="75">
        <v>0.3</v>
      </c>
      <c r="D10" s="68" t="s">
        <v>115</v>
      </c>
      <c r="E10" s="1"/>
      <c r="F10" s="1"/>
      <c r="G10" s="1"/>
    </row>
    <row r="11" spans="1:7" ht="18" customHeight="1" x14ac:dyDescent="0.2">
      <c r="A11" s="68"/>
      <c r="B11" s="68" t="s">
        <v>118</v>
      </c>
      <c r="C11" s="76">
        <f>C10*C9*C8</f>
        <v>44.498999999999995</v>
      </c>
      <c r="D11" s="68" t="s">
        <v>109</v>
      </c>
      <c r="E11" s="1"/>
      <c r="F11" s="1"/>
      <c r="G11" s="1"/>
    </row>
    <row r="12" spans="1:7" ht="18" customHeight="1" x14ac:dyDescent="0.2">
      <c r="A12" s="68"/>
      <c r="B12" s="68" t="s">
        <v>119</v>
      </c>
      <c r="C12" s="76">
        <f>C8*C9*2</f>
        <v>296.66000000000003</v>
      </c>
      <c r="D12" s="68" t="s">
        <v>120</v>
      </c>
      <c r="E12" s="1"/>
      <c r="F12" s="1"/>
      <c r="G12" s="1"/>
    </row>
    <row r="13" spans="1:7" ht="18" customHeight="1" x14ac:dyDescent="0.2">
      <c r="A13" s="1"/>
      <c r="B13" s="72"/>
      <c r="C13" s="73"/>
      <c r="D13" s="1"/>
      <c r="E13" s="1"/>
      <c r="F13" s="1"/>
      <c r="G13" s="1"/>
    </row>
    <row r="14" spans="1:7" ht="18" customHeight="1" x14ac:dyDescent="0.2">
      <c r="A14" s="5" t="s">
        <v>121</v>
      </c>
      <c r="B14" s="8"/>
      <c r="C14" s="12"/>
      <c r="D14" s="8"/>
      <c r="E14" s="1"/>
      <c r="F14" s="1"/>
      <c r="G14" s="1"/>
    </row>
    <row r="15" spans="1:7" ht="18" customHeight="1" x14ac:dyDescent="0.2">
      <c r="A15" s="68"/>
      <c r="B15" s="68" t="s">
        <v>122</v>
      </c>
      <c r="C15" s="75">
        <v>30</v>
      </c>
      <c r="D15" s="68" t="s">
        <v>123</v>
      </c>
      <c r="E15" s="1"/>
      <c r="F15" s="1"/>
      <c r="G15" s="1"/>
    </row>
    <row r="16" spans="1:7" ht="18" customHeight="1" x14ac:dyDescent="0.2">
      <c r="A16" s="68"/>
      <c r="B16" s="68" t="s">
        <v>124</v>
      </c>
      <c r="C16" s="76">
        <f>C15*C12/1000</f>
        <v>8.8998000000000008</v>
      </c>
      <c r="D16" s="68" t="s">
        <v>125</v>
      </c>
      <c r="E16" s="1"/>
      <c r="F16" s="1"/>
      <c r="G16" s="1"/>
    </row>
    <row r="17" spans="1:7" ht="18" customHeight="1" x14ac:dyDescent="0.2">
      <c r="A17" s="1"/>
      <c r="B17" s="72"/>
      <c r="C17" s="73"/>
      <c r="D17" s="1"/>
      <c r="E17" s="1"/>
      <c r="F17" s="1"/>
      <c r="G17" s="1"/>
    </row>
    <row r="18" spans="1:7" ht="18" customHeight="1" x14ac:dyDescent="0.2">
      <c r="A18" s="5" t="s">
        <v>126</v>
      </c>
      <c r="B18" s="8"/>
      <c r="C18" s="12"/>
      <c r="D18" s="8"/>
      <c r="E18" s="1"/>
      <c r="F18" s="1"/>
      <c r="G18" s="1"/>
    </row>
    <row r="19" spans="1:7" ht="18" customHeight="1" x14ac:dyDescent="0.2">
      <c r="A19" s="68"/>
      <c r="B19" s="68" t="s">
        <v>127</v>
      </c>
      <c r="C19" s="76">
        <f>C3/(C5*C2)</f>
        <v>208.955223880597</v>
      </c>
      <c r="D19" s="68" t="s">
        <v>128</v>
      </c>
      <c r="E19" s="1"/>
      <c r="F19" s="1"/>
      <c r="G19" s="1"/>
    </row>
    <row r="20" spans="1:7" ht="18" customHeight="1" x14ac:dyDescent="0.2">
      <c r="A20" s="68"/>
      <c r="B20" s="68" t="s">
        <v>129</v>
      </c>
      <c r="C20" s="76">
        <f>C19/C4</f>
        <v>1044.7761194029849</v>
      </c>
      <c r="D20" s="68" t="s">
        <v>128</v>
      </c>
      <c r="E20" s="1"/>
      <c r="F20" s="1"/>
      <c r="G20" s="1"/>
    </row>
    <row r="21" spans="1:7" ht="18" customHeight="1" x14ac:dyDescent="0.2">
      <c r="A21" s="68"/>
      <c r="B21" s="68" t="s">
        <v>130</v>
      </c>
      <c r="C21" s="76">
        <f>C20*C16</f>
        <v>9298.2985074626868</v>
      </c>
      <c r="D21" s="68" t="s">
        <v>131</v>
      </c>
      <c r="E21" s="1"/>
      <c r="F21" s="1"/>
      <c r="G21" s="1"/>
    </row>
    <row r="22" spans="1:7" ht="18" customHeight="1" x14ac:dyDescent="0.2">
      <c r="A22" s="68"/>
      <c r="B22" s="68" t="s">
        <v>132</v>
      </c>
      <c r="C22" s="76">
        <f>C21/C11</f>
        <v>208.95522388059703</v>
      </c>
      <c r="D22" s="68" t="s">
        <v>133</v>
      </c>
      <c r="E22" s="1"/>
      <c r="F22" s="1"/>
      <c r="G22" s="1"/>
    </row>
    <row r="23" spans="1:7" ht="18" customHeight="1" x14ac:dyDescent="0.2">
      <c r="A23" s="68"/>
      <c r="B23" s="68" t="s">
        <v>134</v>
      </c>
      <c r="C23" s="76">
        <f>C22*C8</f>
        <v>1901.4925373134329</v>
      </c>
      <c r="D23" s="68" t="s">
        <v>135</v>
      </c>
      <c r="E23" s="1"/>
      <c r="F23" s="1"/>
      <c r="G23" s="1"/>
    </row>
    <row r="24" spans="1:7" ht="18" customHeight="1" x14ac:dyDescent="0.2">
      <c r="A24" s="68"/>
      <c r="B24" s="68" t="s">
        <v>136</v>
      </c>
      <c r="C24" s="77">
        <f>C23/100000</f>
        <v>1.9014925373134327E-2</v>
      </c>
      <c r="D24" s="68" t="s">
        <v>137</v>
      </c>
      <c r="E24" s="1"/>
      <c r="F24" s="1"/>
      <c r="G24" s="1"/>
    </row>
    <row r="25" spans="1:7" ht="18" customHeight="1" x14ac:dyDescent="0.2">
      <c r="A25" s="1"/>
      <c r="B25" s="72"/>
      <c r="C25" s="73"/>
      <c r="D25" s="1"/>
      <c r="E25" s="1"/>
      <c r="F25" s="1"/>
      <c r="G25" s="1"/>
    </row>
    <row r="26" spans="1:7" ht="18" customHeight="1" x14ac:dyDescent="0.25">
      <c r="A26" s="1"/>
      <c r="B26" s="68" t="s">
        <v>138</v>
      </c>
      <c r="C26" s="78">
        <f>C21/(C9*C10)</f>
        <v>1901.4925373134331</v>
      </c>
      <c r="D26" s="68" t="s">
        <v>135</v>
      </c>
      <c r="E26" s="1"/>
      <c r="F26" s="1"/>
      <c r="G26" s="1"/>
    </row>
    <row r="27" spans="1:7" ht="18" customHeight="1" x14ac:dyDescent="0.25">
      <c r="A27" s="1"/>
      <c r="B27" s="79" t="s">
        <v>139</v>
      </c>
      <c r="C27" s="80">
        <f>C26/100000</f>
        <v>1.9014925373134331E-2</v>
      </c>
      <c r="D27" s="68" t="s">
        <v>137</v>
      </c>
      <c r="E27" s="1"/>
      <c r="F27" s="1"/>
      <c r="G27" s="1"/>
    </row>
    <row r="28" spans="1:7" ht="18" customHeight="1" x14ac:dyDescent="0.25">
      <c r="A28" s="1"/>
      <c r="B28" s="79" t="s">
        <v>139</v>
      </c>
      <c r="C28" s="78">
        <f>C26/3600</f>
        <v>0.52819237147595366</v>
      </c>
      <c r="D28" s="68" t="s">
        <v>140</v>
      </c>
      <c r="E28" s="1"/>
      <c r="F28" s="1"/>
      <c r="G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BatterySystem-LiFePO4-280Ah</vt:lpstr>
      <vt:lpstr>BatteryPack-LiFePO4-280Ah</vt:lpstr>
      <vt:lpstr>PackCasing-LiFePO4-280Ah</vt:lpstr>
      <vt:lpstr>Cell-LiFePO4-280Ah</vt:lpstr>
      <vt:lpstr>_Cell-SLA-200Ah</vt:lpstr>
      <vt:lpstr>_Mix--SLA</vt:lpstr>
      <vt:lpstr>_SolarPanels</vt:lpstr>
      <vt:lpstr>_Pack overhead</vt:lpstr>
      <vt:lpstr>AirConsumptionPerCell</vt:lpstr>
      <vt:lpstr>_AirConsumption</vt:lpstr>
      <vt:lpstr>_(ANX) Solar resources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2022-08-24T16:33:42Z</dcterms:created>
  <dcterms:modified xsi:type="dcterms:W3CDTF">2022-08-31T12:29:47Z</dcterms:modified>
</cp:coreProperties>
</file>