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ko\Desktop\"/>
    </mc:Choice>
  </mc:AlternateContent>
  <xr:revisionPtr revIDLastSave="0" documentId="8_{F7EE061D-1B4E-44CC-82EA-A6C9CC274F4A}" xr6:coauthVersionLast="47" xr6:coauthVersionMax="47" xr10:uidLastSave="{00000000-0000-0000-0000-000000000000}"/>
  <bookViews>
    <workbookView xWindow="-120" yWindow="-120" windowWidth="20730" windowHeight="11160" firstSheet="2" activeTab="2" xr2:uid="{EB6FFD6A-217B-430E-8274-2B168AF8172E}"/>
  </bookViews>
  <sheets>
    <sheet name="Control de vacantes" sheetId="1" r:id="rId1"/>
    <sheet name="Días de cobertura" sheetId="2" r:id="rId2"/>
    <sheet name="En tiempo" sheetId="3" r:id="rId3"/>
  </sheets>
  <definedNames>
    <definedName name="ADMINISTRATIVAS">"ADMINISTRATIVAS"</definedName>
    <definedName name="ALMAN">"ALMAN"</definedName>
    <definedName name="DIAS_META_ADMIN">21</definedName>
    <definedName name="DIAS_META_GERENCIA">40</definedName>
    <definedName name="DIAS_META_MEDIOS">28</definedName>
    <definedName name="DIAS_META_OPERATIVAS">14</definedName>
    <definedName name="EN_TIEMPO">"EN TIEMPO"</definedName>
    <definedName name="ESTATUS">"Contratado"</definedName>
    <definedName name="Estatuss">"CONTRATADO"</definedName>
    <definedName name="FUERA_DE_TIEMPO">"FUERA DE TIEMPO"</definedName>
    <definedName name="GERENCIA">"GERENCIA"</definedName>
    <definedName name="GL">"GL"</definedName>
    <definedName name="IAL">"IAL"</definedName>
    <definedName name="MANDOS_MEDIOS">"MEDIOS"</definedName>
    <definedName name="MANDOS_MEDIOS_GERENCIA">40</definedName>
    <definedName name="MANDOS_MEDIOSS">"MEDIO"</definedName>
    <definedName name="NA">"N/A"</definedName>
    <definedName name="OPERATIVAS">"OPERATIVAS"</definedName>
    <definedName name="OPERATIVO">"OPERATIVO"</definedName>
    <definedName name="TM">"TM"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1" l="1"/>
  <c r="N73" i="1"/>
  <c r="N145" i="1"/>
  <c r="N146" i="1" l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56" i="1"/>
  <c r="N147" i="1"/>
  <c r="N148" i="1"/>
  <c r="N149" i="1"/>
  <c r="N150" i="1"/>
  <c r="N151" i="1"/>
  <c r="N152" i="1"/>
  <c r="N153" i="1"/>
  <c r="N154" i="1"/>
  <c r="N155" i="1"/>
  <c r="N7" i="1"/>
  <c r="N10" i="1"/>
  <c r="N8" i="1"/>
  <c r="N5" i="1"/>
  <c r="N123" i="1"/>
  <c r="N135" i="1"/>
  <c r="N136" i="1"/>
  <c r="N143" i="1"/>
  <c r="N144" i="1"/>
  <c r="N103" i="1"/>
  <c r="N102" i="1"/>
  <c r="C63" i="3"/>
  <c r="D63" i="3"/>
  <c r="D8" i="3"/>
  <c r="E8" i="3"/>
  <c r="N6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8" i="1"/>
  <c r="N129" i="1"/>
  <c r="N130" i="1"/>
  <c r="N131" i="1"/>
  <c r="N132" i="1"/>
  <c r="N133" i="1"/>
  <c r="N134" i="1"/>
  <c r="N137" i="1"/>
  <c r="N138" i="1"/>
  <c r="N139" i="1"/>
  <c r="N140" i="1"/>
  <c r="N141" i="1"/>
  <c r="N142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H40" i="2" s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J133" i="2"/>
  <c r="T133" i="2"/>
  <c r="D133" i="2"/>
  <c r="E133" i="2"/>
  <c r="U133" i="2"/>
  <c r="S133" i="2"/>
  <c r="R133" i="2"/>
  <c r="Q133" i="2"/>
  <c r="P133" i="2"/>
  <c r="O133" i="2"/>
  <c r="N133" i="2"/>
  <c r="M133" i="2"/>
  <c r="L133" i="2"/>
  <c r="K133" i="2"/>
  <c r="I133" i="2"/>
  <c r="H133" i="2"/>
  <c r="G133" i="2"/>
  <c r="F133" i="2"/>
  <c r="U90" i="2"/>
  <c r="K90" i="2"/>
  <c r="I90" i="2"/>
  <c r="T42" i="2"/>
  <c r="U42" i="2"/>
  <c r="N42" i="2"/>
  <c r="T90" i="2"/>
  <c r="S90" i="2"/>
  <c r="R90" i="2"/>
  <c r="Q90" i="2"/>
  <c r="P90" i="2"/>
  <c r="O90" i="2"/>
  <c r="N90" i="2"/>
  <c r="M90" i="2"/>
  <c r="L90" i="2"/>
  <c r="J90" i="2"/>
  <c r="H90" i="2"/>
  <c r="G90" i="2"/>
  <c r="F90" i="2"/>
  <c r="E90" i="2"/>
  <c r="D90" i="2"/>
  <c r="D42" i="2"/>
  <c r="S42" i="2"/>
  <c r="R42" i="2"/>
  <c r="Q42" i="2"/>
  <c r="P42" i="2"/>
  <c r="O42" i="2"/>
  <c r="M42" i="2"/>
  <c r="L42" i="2"/>
  <c r="K42" i="2"/>
  <c r="J42" i="2"/>
  <c r="I42" i="2"/>
  <c r="H42" i="2"/>
  <c r="G42" i="2"/>
  <c r="E42" i="2"/>
  <c r="F42" i="2"/>
  <c r="K12" i="2"/>
  <c r="J12" i="2"/>
  <c r="I12" i="2"/>
  <c r="H12" i="2"/>
  <c r="E40" i="2"/>
  <c r="F12" i="2"/>
  <c r="U12" i="2"/>
  <c r="F8" i="2"/>
  <c r="T12" i="2"/>
  <c r="S12" i="2"/>
  <c r="R12" i="2"/>
  <c r="Q12" i="2"/>
  <c r="P12" i="2"/>
  <c r="O12" i="2"/>
  <c r="N12" i="2"/>
  <c r="M12" i="2"/>
  <c r="L12" i="2"/>
  <c r="G12" i="2"/>
  <c r="E12" i="2"/>
  <c r="D12" i="2"/>
  <c r="N10" i="2"/>
  <c r="T95" i="3"/>
  <c r="S95" i="3"/>
  <c r="R95" i="3"/>
  <c r="Q95" i="3"/>
  <c r="P95" i="3"/>
  <c r="O95" i="3"/>
  <c r="N95" i="3"/>
  <c r="M95" i="3"/>
  <c r="L95" i="3"/>
  <c r="K95" i="3"/>
  <c r="J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H94" i="3"/>
  <c r="G94" i="3"/>
  <c r="F94" i="3"/>
  <c r="E94" i="3"/>
  <c r="D94" i="3"/>
  <c r="C94" i="3"/>
  <c r="G127" i="2"/>
  <c r="D127" i="2"/>
  <c r="F6" i="2" l="1"/>
  <c r="M10" i="2"/>
  <c r="T96" i="3"/>
  <c r="T100" i="3" s="1"/>
  <c r="U94" i="3"/>
  <c r="D96" i="3"/>
  <c r="D100" i="3" s="1"/>
  <c r="I94" i="3"/>
  <c r="J96" i="3"/>
  <c r="J99" i="3" s="1"/>
  <c r="Q96" i="3"/>
  <c r="Q99" i="3" s="1"/>
  <c r="M96" i="3"/>
  <c r="M99" i="3" s="1"/>
  <c r="L96" i="3"/>
  <c r="L100" i="3" s="1"/>
  <c r="H96" i="3"/>
  <c r="H99" i="3" s="1"/>
  <c r="F96" i="3"/>
  <c r="F100" i="3" s="1"/>
  <c r="P96" i="3"/>
  <c r="P100" i="3" s="1"/>
  <c r="E96" i="3"/>
  <c r="E99" i="3" s="1"/>
  <c r="N96" i="3"/>
  <c r="N99" i="3" s="1"/>
  <c r="R96" i="3"/>
  <c r="R100" i="3" s="1"/>
  <c r="U95" i="3"/>
  <c r="I95" i="3"/>
  <c r="C96" i="3"/>
  <c r="C99" i="3" s="1"/>
  <c r="G96" i="3"/>
  <c r="G99" i="3" s="1"/>
  <c r="K96" i="3"/>
  <c r="K99" i="3" s="1"/>
  <c r="O96" i="3"/>
  <c r="O100" i="3" s="1"/>
  <c r="S96" i="3"/>
  <c r="S100" i="3" s="1"/>
  <c r="D99" i="3" l="1"/>
  <c r="D101" i="3" s="1"/>
  <c r="T99" i="3"/>
  <c r="T101" i="3" s="1"/>
  <c r="L99" i="3"/>
  <c r="L101" i="3" s="1"/>
  <c r="C100" i="3"/>
  <c r="C101" i="3" s="1"/>
  <c r="M100" i="3"/>
  <c r="M101" i="3" s="1"/>
  <c r="K100" i="3"/>
  <c r="K101" i="3" s="1"/>
  <c r="F99" i="3"/>
  <c r="F101" i="3" s="1"/>
  <c r="P99" i="3"/>
  <c r="P101" i="3" s="1"/>
  <c r="Q100" i="3"/>
  <c r="Q101" i="3" s="1"/>
  <c r="H100" i="3"/>
  <c r="H101" i="3" s="1"/>
  <c r="J100" i="3"/>
  <c r="J101" i="3" s="1"/>
  <c r="U96" i="3"/>
  <c r="U99" i="3" s="1"/>
  <c r="R99" i="3"/>
  <c r="R101" i="3" s="1"/>
  <c r="N100" i="3"/>
  <c r="N101" i="3" s="1"/>
  <c r="E100" i="3"/>
  <c r="E101" i="3" s="1"/>
  <c r="G100" i="3"/>
  <c r="G101" i="3" s="1"/>
  <c r="S99" i="3"/>
  <c r="S101" i="3" s="1"/>
  <c r="O99" i="3"/>
  <c r="O101" i="3" s="1"/>
  <c r="I96" i="3"/>
  <c r="I99" i="3" s="1"/>
  <c r="U100" i="3" l="1"/>
  <c r="U101" i="3" s="1"/>
  <c r="I100" i="3"/>
  <c r="I101" i="3" s="1"/>
  <c r="U131" i="2" l="1"/>
  <c r="T131" i="2"/>
  <c r="S131" i="2"/>
  <c r="R131" i="2"/>
  <c r="Q131" i="2"/>
  <c r="P131" i="2"/>
  <c r="O131" i="2"/>
  <c r="N131" i="2"/>
  <c r="M131" i="2"/>
  <c r="L131" i="2"/>
  <c r="K131" i="2"/>
  <c r="J131" i="2"/>
  <c r="I131" i="2"/>
  <c r="F131" i="2"/>
  <c r="E131" i="2"/>
  <c r="D131" i="2"/>
  <c r="U129" i="2"/>
  <c r="T129" i="2"/>
  <c r="S129" i="2"/>
  <c r="R129" i="2"/>
  <c r="Q129" i="2"/>
  <c r="P129" i="2"/>
  <c r="O129" i="2"/>
  <c r="N129" i="2"/>
  <c r="M129" i="2"/>
  <c r="I129" i="2"/>
  <c r="G129" i="2"/>
  <c r="F129" i="2"/>
  <c r="E129" i="2"/>
  <c r="D129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F127" i="2"/>
  <c r="E127" i="2"/>
  <c r="M88" i="2"/>
  <c r="M36" i="2"/>
  <c r="S40" i="3"/>
  <c r="M64" i="3"/>
  <c r="T64" i="3"/>
  <c r="S64" i="3"/>
  <c r="R64" i="3"/>
  <c r="Q64" i="3"/>
  <c r="P64" i="3"/>
  <c r="O64" i="3"/>
  <c r="N64" i="3"/>
  <c r="M63" i="3"/>
  <c r="T63" i="3"/>
  <c r="S63" i="3"/>
  <c r="R63" i="3"/>
  <c r="Q63" i="3"/>
  <c r="P63" i="3"/>
  <c r="O63" i="3"/>
  <c r="N63" i="3"/>
  <c r="T40" i="3"/>
  <c r="R40" i="3"/>
  <c r="Q40" i="3"/>
  <c r="P40" i="3"/>
  <c r="O40" i="3"/>
  <c r="N40" i="3"/>
  <c r="M40" i="3"/>
  <c r="L40" i="3"/>
  <c r="O39" i="3"/>
  <c r="N39" i="3"/>
  <c r="M39" i="3"/>
  <c r="T39" i="3"/>
  <c r="S39" i="3"/>
  <c r="R39" i="3"/>
  <c r="Q39" i="3"/>
  <c r="P39" i="3"/>
  <c r="L39" i="3"/>
  <c r="T8" i="3"/>
  <c r="M9" i="3"/>
  <c r="T9" i="3"/>
  <c r="S9" i="3"/>
  <c r="R9" i="3"/>
  <c r="Q9" i="3"/>
  <c r="P9" i="3"/>
  <c r="O9" i="3"/>
  <c r="N9" i="3"/>
  <c r="N8" i="3"/>
  <c r="M8" i="3"/>
  <c r="S8" i="3"/>
  <c r="S10" i="3" s="1"/>
  <c r="S13" i="3" s="1"/>
  <c r="R8" i="3"/>
  <c r="Q8" i="3"/>
  <c r="P8" i="3"/>
  <c r="O8" i="3"/>
  <c r="O10" i="3" s="1"/>
  <c r="O13" i="3" s="1"/>
  <c r="L8" i="3"/>
  <c r="U88" i="2"/>
  <c r="T88" i="2"/>
  <c r="S88" i="2"/>
  <c r="R88" i="2"/>
  <c r="Q88" i="2"/>
  <c r="P88" i="2"/>
  <c r="O88" i="2"/>
  <c r="N88" i="2"/>
  <c r="U86" i="2"/>
  <c r="T86" i="2"/>
  <c r="S86" i="2"/>
  <c r="R86" i="2"/>
  <c r="Q86" i="2"/>
  <c r="P86" i="2"/>
  <c r="O86" i="2"/>
  <c r="N86" i="2"/>
  <c r="M86" i="2"/>
  <c r="N84" i="2"/>
  <c r="U84" i="2"/>
  <c r="T84" i="2"/>
  <c r="S84" i="2"/>
  <c r="R84" i="2"/>
  <c r="Q84" i="2"/>
  <c r="P84" i="2"/>
  <c r="O84" i="2"/>
  <c r="U40" i="2"/>
  <c r="T40" i="2"/>
  <c r="S40" i="2"/>
  <c r="R40" i="2"/>
  <c r="Q40" i="2"/>
  <c r="P40" i="2"/>
  <c r="M40" i="2"/>
  <c r="O40" i="2"/>
  <c r="N40" i="2"/>
  <c r="U38" i="2"/>
  <c r="T38" i="2"/>
  <c r="S38" i="2"/>
  <c r="R38" i="2"/>
  <c r="Q38" i="2"/>
  <c r="P38" i="2"/>
  <c r="O38" i="2"/>
  <c r="N38" i="2"/>
  <c r="M38" i="2"/>
  <c r="U36" i="2"/>
  <c r="T36" i="2"/>
  <c r="S36" i="2"/>
  <c r="R36" i="2"/>
  <c r="Q36" i="2"/>
  <c r="P36" i="2"/>
  <c r="O36" i="2"/>
  <c r="N36" i="2"/>
  <c r="L10" i="2"/>
  <c r="U10" i="2"/>
  <c r="T10" i="2"/>
  <c r="S10" i="2"/>
  <c r="R10" i="2"/>
  <c r="Q10" i="2"/>
  <c r="P10" i="2"/>
  <c r="O10" i="2"/>
  <c r="U8" i="2"/>
  <c r="T8" i="2"/>
  <c r="S8" i="2"/>
  <c r="R8" i="2"/>
  <c r="Q8" i="2"/>
  <c r="P8" i="2"/>
  <c r="O8" i="2"/>
  <c r="N8" i="2"/>
  <c r="M8" i="2"/>
  <c r="L8" i="2"/>
  <c r="N6" i="2"/>
  <c r="T6" i="2"/>
  <c r="U6" i="2"/>
  <c r="O6" i="2"/>
  <c r="P6" i="2"/>
  <c r="Q6" i="2"/>
  <c r="R6" i="2"/>
  <c r="S6" i="2"/>
  <c r="F8" i="3"/>
  <c r="L64" i="3"/>
  <c r="K64" i="3"/>
  <c r="J64" i="3"/>
  <c r="H64" i="3"/>
  <c r="G64" i="3"/>
  <c r="F64" i="3"/>
  <c r="E64" i="3"/>
  <c r="D64" i="3"/>
  <c r="C64" i="3"/>
  <c r="L63" i="3"/>
  <c r="K63" i="3"/>
  <c r="J63" i="3"/>
  <c r="H63" i="3"/>
  <c r="G63" i="3"/>
  <c r="F63" i="3"/>
  <c r="E63" i="3"/>
  <c r="C40" i="3"/>
  <c r="K40" i="3"/>
  <c r="J40" i="3"/>
  <c r="H40" i="3"/>
  <c r="G40" i="3"/>
  <c r="F40" i="3"/>
  <c r="E40" i="3"/>
  <c r="D40" i="3"/>
  <c r="C39" i="3"/>
  <c r="K39" i="3"/>
  <c r="J39" i="3"/>
  <c r="H39" i="3"/>
  <c r="G39" i="3"/>
  <c r="F39" i="3"/>
  <c r="E39" i="3"/>
  <c r="D39" i="3"/>
  <c r="L9" i="3"/>
  <c r="K9" i="3"/>
  <c r="J9" i="3"/>
  <c r="H9" i="3"/>
  <c r="G9" i="3"/>
  <c r="F9" i="3"/>
  <c r="E9" i="3"/>
  <c r="D9" i="3"/>
  <c r="C9" i="3"/>
  <c r="K8" i="3"/>
  <c r="J8" i="3"/>
  <c r="H8" i="3"/>
  <c r="G8" i="3"/>
  <c r="C8" i="3"/>
  <c r="L88" i="2"/>
  <c r="K88" i="2"/>
  <c r="J88" i="2"/>
  <c r="H88" i="2"/>
  <c r="G88" i="2"/>
  <c r="F88" i="2"/>
  <c r="E88" i="2"/>
  <c r="D88" i="2"/>
  <c r="L86" i="2"/>
  <c r="K86" i="2"/>
  <c r="I86" i="2"/>
  <c r="G86" i="2"/>
  <c r="E86" i="2"/>
  <c r="D86" i="2"/>
  <c r="L84" i="2"/>
  <c r="K84" i="2"/>
  <c r="J84" i="2"/>
  <c r="I84" i="2"/>
  <c r="H84" i="2"/>
  <c r="G84" i="2"/>
  <c r="L40" i="2"/>
  <c r="J40" i="2"/>
  <c r="I40" i="2"/>
  <c r="G40" i="2"/>
  <c r="F40" i="2"/>
  <c r="D40" i="2"/>
  <c r="D36" i="2"/>
  <c r="K10" i="2"/>
  <c r="J10" i="2"/>
  <c r="I10" i="2"/>
  <c r="H10" i="2"/>
  <c r="G10" i="2"/>
  <c r="F10" i="2"/>
  <c r="E10" i="2"/>
  <c r="D10" i="2"/>
  <c r="L38" i="2"/>
  <c r="J38" i="2"/>
  <c r="H38" i="2"/>
  <c r="F38" i="2"/>
  <c r="E38" i="2"/>
  <c r="D38" i="2"/>
  <c r="I36" i="2"/>
  <c r="H36" i="2"/>
  <c r="G36" i="2"/>
  <c r="E36" i="2"/>
  <c r="K8" i="2"/>
  <c r="J8" i="2"/>
  <c r="E8" i="2"/>
  <c r="D8" i="2"/>
  <c r="D6" i="2"/>
  <c r="E6" i="2"/>
  <c r="M6" i="2" l="1"/>
  <c r="M84" i="2"/>
  <c r="Q65" i="3"/>
  <c r="Q68" i="3" s="1"/>
  <c r="N65" i="3"/>
  <c r="N68" i="3" s="1"/>
  <c r="Q41" i="3"/>
  <c r="Q44" i="3" s="1"/>
  <c r="C10" i="3"/>
  <c r="U63" i="3"/>
  <c r="M10" i="3"/>
  <c r="M14" i="3" s="1"/>
  <c r="U8" i="3"/>
  <c r="L10" i="3"/>
  <c r="L13" i="3" s="1"/>
  <c r="T10" i="3"/>
  <c r="T14" i="3" s="1"/>
  <c r="U64" i="3"/>
  <c r="M65" i="3"/>
  <c r="M68" i="3" s="1"/>
  <c r="S14" i="3"/>
  <c r="S15" i="3" s="1"/>
  <c r="O14" i="3"/>
  <c r="O15" i="3" s="1"/>
  <c r="U9" i="3"/>
  <c r="R10" i="3"/>
  <c r="R13" i="3" s="1"/>
  <c r="L41" i="3"/>
  <c r="L44" i="3" s="1"/>
  <c r="P65" i="3"/>
  <c r="P68" i="3" s="1"/>
  <c r="Q10" i="3"/>
  <c r="Q13" i="3" s="1"/>
  <c r="T41" i="3"/>
  <c r="T45" i="3" s="1"/>
  <c r="O65" i="3"/>
  <c r="O68" i="3" s="1"/>
  <c r="P10" i="3"/>
  <c r="P14" i="3" s="1"/>
  <c r="R41" i="3"/>
  <c r="R45" i="3" s="1"/>
  <c r="L65" i="3"/>
  <c r="L69" i="3" s="1"/>
  <c r="N10" i="3"/>
  <c r="N13" i="3" s="1"/>
  <c r="P41" i="3"/>
  <c r="P45" i="3" s="1"/>
  <c r="T65" i="3"/>
  <c r="T68" i="3" s="1"/>
  <c r="U40" i="3"/>
  <c r="O41" i="3"/>
  <c r="O44" i="3" s="1"/>
  <c r="S65" i="3"/>
  <c r="S68" i="3" s="1"/>
  <c r="N41" i="3"/>
  <c r="N44" i="3" s="1"/>
  <c r="R65" i="3"/>
  <c r="R68" i="3" s="1"/>
  <c r="U39" i="3"/>
  <c r="M41" i="3"/>
  <c r="M45" i="3" s="1"/>
  <c r="S41" i="3"/>
  <c r="S44" i="3" s="1"/>
  <c r="K10" i="3"/>
  <c r="K41" i="3"/>
  <c r="K44" i="3" s="1"/>
  <c r="I8" i="3"/>
  <c r="J86" i="2" l="1"/>
  <c r="Q69" i="3"/>
  <c r="Q70" i="3" s="1"/>
  <c r="N69" i="3"/>
  <c r="N70" i="3" s="1"/>
  <c r="Q45" i="3"/>
  <c r="Q46" i="3" s="1"/>
  <c r="M13" i="3"/>
  <c r="M15" i="3" s="1"/>
  <c r="L14" i="3"/>
  <c r="L15" i="3" s="1"/>
  <c r="Q14" i="3"/>
  <c r="Q15" i="3" s="1"/>
  <c r="M44" i="3"/>
  <c r="M46" i="3" s="1"/>
  <c r="N14" i="3"/>
  <c r="N15" i="3" s="1"/>
  <c r="T13" i="3"/>
  <c r="T15" i="3" s="1"/>
  <c r="M69" i="3"/>
  <c r="M70" i="3" s="1"/>
  <c r="T44" i="3"/>
  <c r="T46" i="3" s="1"/>
  <c r="L45" i="3"/>
  <c r="L46" i="3" s="1"/>
  <c r="P44" i="3"/>
  <c r="P46" i="3" s="1"/>
  <c r="P13" i="3"/>
  <c r="P15" i="3" s="1"/>
  <c r="L68" i="3"/>
  <c r="L70" i="3" s="1"/>
  <c r="T69" i="3"/>
  <c r="T70" i="3" s="1"/>
  <c r="R44" i="3"/>
  <c r="R46" i="3" s="1"/>
  <c r="K45" i="3"/>
  <c r="S69" i="3"/>
  <c r="S70" i="3" s="1"/>
  <c r="P69" i="3"/>
  <c r="P70" i="3" s="1"/>
  <c r="U10" i="3"/>
  <c r="U13" i="3" s="1"/>
  <c r="O69" i="3"/>
  <c r="O70" i="3" s="1"/>
  <c r="O45" i="3"/>
  <c r="O46" i="3" s="1"/>
  <c r="R69" i="3"/>
  <c r="R70" i="3" s="1"/>
  <c r="R14" i="3"/>
  <c r="R15" i="3" s="1"/>
  <c r="U41" i="3"/>
  <c r="U44" i="3" s="1"/>
  <c r="N45" i="3"/>
  <c r="N46" i="3" s="1"/>
  <c r="S45" i="3"/>
  <c r="S46" i="3" s="1"/>
  <c r="D65" i="3"/>
  <c r="D68" i="3" s="1"/>
  <c r="H65" i="3"/>
  <c r="H69" i="3" s="1"/>
  <c r="E65" i="3"/>
  <c r="E69" i="3" s="1"/>
  <c r="J65" i="3"/>
  <c r="I64" i="3"/>
  <c r="K65" i="3"/>
  <c r="K69" i="3" s="1"/>
  <c r="F65" i="3"/>
  <c r="F68" i="3" s="1"/>
  <c r="C65" i="3"/>
  <c r="C69" i="3" s="1"/>
  <c r="C41" i="3"/>
  <c r="C44" i="3" s="1"/>
  <c r="I40" i="3"/>
  <c r="I39" i="3"/>
  <c r="F10" i="3"/>
  <c r="F13" i="3" s="1"/>
  <c r="K14" i="3"/>
  <c r="D10" i="3"/>
  <c r="D14" i="3" s="1"/>
  <c r="E10" i="3"/>
  <c r="E14" i="3" s="1"/>
  <c r="I9" i="3"/>
  <c r="U14" i="3" l="1"/>
  <c r="U15" i="3" s="1"/>
  <c r="J68" i="3"/>
  <c r="J69" i="3"/>
  <c r="U45" i="3"/>
  <c r="U46" i="3" s="1"/>
  <c r="H68" i="3"/>
  <c r="H70" i="3" s="1"/>
  <c r="D69" i="3"/>
  <c r="D70" i="3" s="1"/>
  <c r="F69" i="3"/>
  <c r="F70" i="3" s="1"/>
  <c r="K68" i="3"/>
  <c r="K70" i="3" s="1"/>
  <c r="E68" i="3"/>
  <c r="E70" i="3" s="1"/>
  <c r="U65" i="3"/>
  <c r="C45" i="3"/>
  <c r="E13" i="3"/>
  <c r="E15" i="3" s="1"/>
  <c r="C68" i="3"/>
  <c r="C70" i="3" s="1"/>
  <c r="I41" i="3"/>
  <c r="I45" i="3" s="1"/>
  <c r="C14" i="3"/>
  <c r="C13" i="3"/>
  <c r="F14" i="3"/>
  <c r="F15" i="3" s="1"/>
  <c r="D13" i="3"/>
  <c r="D15" i="3" s="1"/>
  <c r="K13" i="3"/>
  <c r="K15" i="3" s="1"/>
  <c r="I10" i="3"/>
  <c r="I13" i="3" s="1"/>
  <c r="J70" i="3" l="1"/>
  <c r="U68" i="3"/>
  <c r="U69" i="3"/>
  <c r="C15" i="3"/>
  <c r="K46" i="3"/>
  <c r="I14" i="3"/>
  <c r="I15" i="3" s="1"/>
  <c r="I44" i="3"/>
  <c r="I46" i="3" s="1"/>
  <c r="U70" i="3" l="1"/>
  <c r="J41" i="3"/>
  <c r="G41" i="3"/>
  <c r="F41" i="3"/>
  <c r="E41" i="3"/>
  <c r="E45" i="3" s="1"/>
  <c r="J10" i="3"/>
  <c r="G10" i="3"/>
  <c r="G14" i="3" s="1"/>
  <c r="J44" i="3" l="1"/>
  <c r="J45" i="3"/>
  <c r="E44" i="3"/>
  <c r="G45" i="3"/>
  <c r="G44" i="3"/>
  <c r="F45" i="3"/>
  <c r="F44" i="3"/>
  <c r="J14" i="3"/>
  <c r="J13" i="3"/>
  <c r="G13" i="3"/>
  <c r="D41" i="3"/>
  <c r="H41" i="3"/>
  <c r="H10" i="3"/>
  <c r="H13" i="3" s="1"/>
  <c r="J46" i="3" l="1"/>
  <c r="H44" i="3"/>
  <c r="H45" i="3"/>
  <c r="F46" i="3"/>
  <c r="E46" i="3"/>
  <c r="D45" i="3"/>
  <c r="D44" i="3"/>
  <c r="C46" i="3"/>
  <c r="G46" i="3"/>
  <c r="J15" i="3"/>
  <c r="G15" i="3"/>
  <c r="H14" i="3"/>
  <c r="H46" i="3" l="1"/>
  <c r="D46" i="3"/>
  <c r="H15" i="3"/>
  <c r="F36" i="2" l="1"/>
  <c r="J36" i="2"/>
  <c r="I38" i="2"/>
  <c r="G131" i="2"/>
  <c r="H131" i="2"/>
  <c r="G8" i="2"/>
  <c r="I8" i="2"/>
  <c r="H129" i="2"/>
  <c r="J6" i="2"/>
  <c r="K40" i="2"/>
  <c r="K129" i="2"/>
  <c r="J129" i="2"/>
  <c r="K36" i="2"/>
  <c r="L129" i="2"/>
  <c r="F86" i="2" l="1"/>
  <c r="I88" i="2"/>
  <c r="E84" i="2"/>
  <c r="D84" i="2"/>
  <c r="H86" i="2"/>
  <c r="K38" i="2"/>
  <c r="L36" i="2"/>
  <c r="G6" i="2"/>
  <c r="H8" i="2"/>
  <c r="H6" i="2"/>
  <c r="F84" i="2"/>
  <c r="K6" i="2"/>
  <c r="I6" i="2"/>
  <c r="L6" i="2"/>
  <c r="G38" i="2"/>
  <c r="I63" i="3"/>
  <c r="I65" i="3" s="1"/>
  <c r="I69" i="3" s="1"/>
  <c r="G65" i="3"/>
  <c r="G68" i="3" s="1"/>
  <c r="G69" i="3" l="1"/>
  <c r="G70" i="3" s="1"/>
  <c r="I68" i="3" l="1"/>
  <c r="I7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8599A-1E2A-49D1-8F6B-1D9F7199D3AC}" keepAlive="1" name="Consulta - Tabla3" description="Conexión a la consulta 'Tabla3' en el libro." type="5" refreshedVersion="7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<sst xmlns="http://schemas.openxmlformats.org/spreadsheetml/2006/main" count="1950" uniqueCount="395">
  <si>
    <t>INDICADOR ATRACCIÓN DE TALENTO 2020 - 2021</t>
  </si>
  <si>
    <t>FECHA DE AUTORIZACIÓN</t>
  </si>
  <si>
    <t>MES</t>
  </si>
  <si>
    <t>PUESTO</t>
  </si>
  <si>
    <t>REEMPLAZA A:</t>
  </si>
  <si>
    <t xml:space="preserve">CATEGORIA </t>
  </si>
  <si>
    <t>RECLUTADOR</t>
  </si>
  <si>
    <t>TIPO DE VACANTE 
(MEDIO /ADMINISTRATIVAS  AUX. / OPERATIVO)</t>
  </si>
  <si>
    <t>EMPRESA</t>
  </si>
  <si>
    <t>TIPO DE CONTRATO</t>
  </si>
  <si>
    <t>FECHA DE SELECCIÓN</t>
  </si>
  <si>
    <t>MES DE SELECCIÓN</t>
  </si>
  <si>
    <t>DÍAS META</t>
  </si>
  <si>
    <t>DÍAS DE COBERTURA</t>
  </si>
  <si>
    <t>EN TIEMPO O FUERA DE TIEMPO</t>
  </si>
  <si>
    <t>ESTATUS</t>
  </si>
  <si>
    <t>FUENTE DE RECLUTAMIENTO</t>
  </si>
  <si>
    <t>NOMBRE DEL INGRESO</t>
  </si>
  <si>
    <t>DICIEMBRE 20</t>
  </si>
  <si>
    <t>COORDINADOR DE VENTAS M&amp;R</t>
  </si>
  <si>
    <t>ESTRATEGICA</t>
  </si>
  <si>
    <t>CYNTHIA RAMOS</t>
  </si>
  <si>
    <t>MEDIO</t>
  </si>
  <si>
    <t>ALMAN</t>
  </si>
  <si>
    <t>INDETERMINADO</t>
  </si>
  <si>
    <t>FUERA DE TIEMPO</t>
  </si>
  <si>
    <t>CONGELADA</t>
  </si>
  <si>
    <t>MARZO 21</t>
  </si>
  <si>
    <t>LLANTERO</t>
  </si>
  <si>
    <t>JONATHAN XAVIER</t>
  </si>
  <si>
    <t>SOPORTE</t>
  </si>
  <si>
    <t>EDSON VALDEZ</t>
  </si>
  <si>
    <t>OPERATIVO</t>
  </si>
  <si>
    <t>TM</t>
  </si>
  <si>
    <t>MARZO 22</t>
  </si>
  <si>
    <t>CONTRATADO</t>
  </si>
  <si>
    <t>ABRIL 21</t>
  </si>
  <si>
    <t>JEFE COMERCIAL Y ATENCION A CLIENTES</t>
  </si>
  <si>
    <t>JENNYER QUIÑONEZ</t>
  </si>
  <si>
    <t>NOVIEMBRE 2021</t>
  </si>
  <si>
    <t>MOVIMIENTO INTERNO</t>
  </si>
  <si>
    <t>ALETHIA GOMEZ</t>
  </si>
  <si>
    <t>JUNIO 21</t>
  </si>
  <si>
    <t xml:space="preserve">MARIO ALBERTO MARTINEZ </t>
  </si>
  <si>
    <t>VACANTE</t>
  </si>
  <si>
    <t>INSPECTOR DE EIR´S</t>
  </si>
  <si>
    <t>DANIEL MARTINEZ</t>
  </si>
  <si>
    <t>SEPTIEMBRE 2021</t>
  </si>
  <si>
    <t>FACEBOOK</t>
  </si>
  <si>
    <t>JORGE GUILLERMO FONSECA</t>
  </si>
  <si>
    <t>COORD. DE VENTAS</t>
  </si>
  <si>
    <t>ROCIO GARCIA</t>
  </si>
  <si>
    <t>JULIO 21</t>
  </si>
  <si>
    <t>AUX.OPERATIVO</t>
  </si>
  <si>
    <t>EVENTUAL</t>
  </si>
  <si>
    <t>IAL</t>
  </si>
  <si>
    <t>DETERMINADO</t>
  </si>
  <si>
    <t>JULIO 2021</t>
  </si>
  <si>
    <t>EN TIEMPO</t>
  </si>
  <si>
    <t>EJECUTIVO LOGISTICO</t>
  </si>
  <si>
    <t>GILBERTO GERARDO</t>
  </si>
  <si>
    <t>ADMINISTRATIVAS</t>
  </si>
  <si>
    <t>ANALISTA DE LLANTAS</t>
  </si>
  <si>
    <t>OCTUBRE 2021</t>
  </si>
  <si>
    <t>HECTOR GALICIA ALBERTO</t>
  </si>
  <si>
    <t>COMPU TRABAJO</t>
  </si>
  <si>
    <t>DOCUMENTADOR</t>
  </si>
  <si>
    <t>SOFIA ISABEL</t>
  </si>
  <si>
    <t>CRUZ LEONEL CALDERON ZEFERINO</t>
  </si>
  <si>
    <t>AGOSTO 21</t>
  </si>
  <si>
    <t>AUXILIAR OPERATIVO</t>
  </si>
  <si>
    <t xml:space="preserve">DAVID VIDAL </t>
  </si>
  <si>
    <t>AGOSTO 2021</t>
  </si>
  <si>
    <t>ORLANDO PALMA ANGELITO</t>
  </si>
  <si>
    <t>SEPTIEMBRE 21</t>
  </si>
  <si>
    <t>TEMPORAL</t>
  </si>
  <si>
    <t>JESUS ADRIAN PARRA GUTIERREZ</t>
  </si>
  <si>
    <t>COMPUTRABAJO</t>
  </si>
  <si>
    <t>EDWIN LUCANO</t>
  </si>
  <si>
    <t>DOMINGO OLIVEROS ZARAGOZA</t>
  </si>
  <si>
    <t>AUX. DE EIR´S</t>
  </si>
  <si>
    <t>HECTOR EDUARDO CEJA</t>
  </si>
  <si>
    <t>JOSE LUIS MARTINEZ PADILLA</t>
  </si>
  <si>
    <t>TECNICO MANIOBRISTA</t>
  </si>
  <si>
    <t>YONYN NERY HERNANDEZ</t>
  </si>
  <si>
    <t>CESAR OSWALDO</t>
  </si>
  <si>
    <t xml:space="preserve">PROGRAMADOR DE GARITA </t>
  </si>
  <si>
    <t>DANIEL PEÑA LOPEZ</t>
  </si>
  <si>
    <t>BOLSA DE EMPLEO</t>
  </si>
  <si>
    <t>SANDRA AZUCENA CRUZ</t>
  </si>
  <si>
    <t>ANALISTA DE PRICING</t>
  </si>
  <si>
    <t>JESSICA</t>
  </si>
  <si>
    <t>TANIA ENNIF</t>
  </si>
  <si>
    <t>AMARRADOR</t>
  </si>
  <si>
    <t>JOSE JOAQUIN CAMACHO</t>
  </si>
  <si>
    <t>ENERO 22</t>
  </si>
  <si>
    <t>ANTONIO LEAL</t>
  </si>
  <si>
    <t>SOLDADOR</t>
  </si>
  <si>
    <t>NUÑEZ GRADILLA GAZAEL</t>
  </si>
  <si>
    <t>DICIEMBRE 21</t>
  </si>
  <si>
    <t>PERSEO DE JESUS OSUNA</t>
  </si>
  <si>
    <t>SUPERVISOR SYSADMIN</t>
  </si>
  <si>
    <t>NUEVA CREACIÓN</t>
  </si>
  <si>
    <t>GL</t>
  </si>
  <si>
    <t>GUILLERMO JOSE MIJANGOS</t>
  </si>
  <si>
    <t>ADMINISTRATIVAS ADMINISTRATIVO</t>
  </si>
  <si>
    <t>SINAHI SELENE SEDANO</t>
  </si>
  <si>
    <t>MERCED ALEJANDRO  LOPEZ</t>
  </si>
  <si>
    <t>TECNICO MANIOBRISTA (1/4)</t>
  </si>
  <si>
    <t>RAUL SANTOYO</t>
  </si>
  <si>
    <t>TECNICO MANIOBRISTA (2/4)</t>
  </si>
  <si>
    <t>LUIS RODRIGO ABARCA</t>
  </si>
  <si>
    <t>JEFE DE PROYECTOS Y PLANEACIÓN ESTRATEGICA</t>
  </si>
  <si>
    <t xml:space="preserve">TEGICAMPOEC </t>
  </si>
  <si>
    <t>OCC</t>
  </si>
  <si>
    <t xml:space="preserve">DIEGO MONTAÑO </t>
  </si>
  <si>
    <t>TECNICO MANIOBRISTA (3/4)</t>
  </si>
  <si>
    <t>TECNICO MANIOBRISTA (4/4)</t>
  </si>
  <si>
    <t>SUPERVISOR DE ALMACEN</t>
  </si>
  <si>
    <t>ALAN GABREL RODRIGUEZ</t>
  </si>
  <si>
    <t>TARJADOR (1/2)</t>
  </si>
  <si>
    <t>LAURA NAYELY JASSO</t>
  </si>
  <si>
    <t>TARJADOR (2/2)</t>
  </si>
  <si>
    <t>JOEL GARCIA GONZALEZ</t>
  </si>
  <si>
    <t>JOSE MANUEL SANCHEZ</t>
  </si>
  <si>
    <t>OPERADOR SPF (1/3)</t>
  </si>
  <si>
    <t>LUIS ENRIQUE ALEGRIA</t>
  </si>
  <si>
    <t>JUAN JOSE OLIVARES</t>
  </si>
  <si>
    <t>OPERADOR SPF (2/3)</t>
  </si>
  <si>
    <t>GERARDO CAUDILLO</t>
  </si>
  <si>
    <t>JESUS ERNESTO SOSA</t>
  </si>
  <si>
    <t>OPERADOR SPF (3/3)</t>
  </si>
  <si>
    <t>JOSE MARIA GARCIA</t>
  </si>
  <si>
    <t>JOSE ANTONIO SERRANO</t>
  </si>
  <si>
    <t>TARJADOR</t>
  </si>
  <si>
    <t>LUIS ALEXIS MURILLO</t>
  </si>
  <si>
    <t xml:space="preserve">AUXILAIR DE RH </t>
  </si>
  <si>
    <t>YARHEM XOYOLOXI</t>
  </si>
  <si>
    <t>SUPERVISOR DE TRANSPORTE</t>
  </si>
  <si>
    <t>LUIS EDUARDO CHAVEZ M</t>
  </si>
  <si>
    <t>OCTUBRE 21</t>
  </si>
  <si>
    <t>AUX.DE TALLER MECANICO</t>
  </si>
  <si>
    <t>ANGELA ARACELI ORTEGA</t>
  </si>
  <si>
    <t>JORGE ARMANDO ACEVES</t>
  </si>
  <si>
    <t>JESUS MEZA AVILA</t>
  </si>
  <si>
    <t>EDGAR ENRIQUE RENE</t>
  </si>
  <si>
    <t xml:space="preserve">JOSE ALBERTO SANCHEZ </t>
  </si>
  <si>
    <t>ANALISTA ADMINISTRATIVA</t>
  </si>
  <si>
    <t>DIANA CALDERON</t>
  </si>
  <si>
    <t>YARA KRISTEL CHAVEZ</t>
  </si>
  <si>
    <t>AUXILIAR DE EIRS</t>
  </si>
  <si>
    <t>JOSE LUIS PADILLA</t>
  </si>
  <si>
    <t>EDWIN ORLANDO LANDECHE</t>
  </si>
  <si>
    <t>EJECUTIVO DE ATENCIÓN A CLIENTES</t>
  </si>
  <si>
    <t>LUIS ROBLES</t>
  </si>
  <si>
    <t>ITALIA TOPETE</t>
  </si>
  <si>
    <t>JOSUE COLULA</t>
  </si>
  <si>
    <t xml:space="preserve">JESUS MEZA AVILA </t>
  </si>
  <si>
    <t>ASIGNADOR DE EQUIPO</t>
  </si>
  <si>
    <t>ERNESTO SILVA</t>
  </si>
  <si>
    <t>LUIS DANIEL HERNANDEZ FACUINDEZ</t>
  </si>
  <si>
    <t xml:space="preserve">JEFE DE MANTENIMIENTO </t>
  </si>
  <si>
    <t>ALEJANDRO TORRES</t>
  </si>
  <si>
    <t>YAIR DUEÑAS</t>
  </si>
  <si>
    <t>INSTRUCTOR DE CAPACITACIÓN</t>
  </si>
  <si>
    <t xml:space="preserve">DIONISIO </t>
  </si>
  <si>
    <t xml:space="preserve">SUB GERENTE DE OPERACIONES </t>
  </si>
  <si>
    <t>TEGICAMPODEG</t>
  </si>
  <si>
    <t>RECOMENDACIÓN</t>
  </si>
  <si>
    <t>FELIX NICOLAS</t>
  </si>
  <si>
    <t>AUXILIAR DE TRAFICO</t>
  </si>
  <si>
    <t>TEMPOTRL</t>
  </si>
  <si>
    <t>ALAN GUILLERMO CASTRO</t>
  </si>
  <si>
    <t>SUB GERENTE DE PLANEACIÓN</t>
  </si>
  <si>
    <t>NUEVA CREACION</t>
  </si>
  <si>
    <t>SAIRA YANETH</t>
  </si>
  <si>
    <t>COORDINADOR DE LOGISTICA</t>
  </si>
  <si>
    <t>CARLOS VENTURA</t>
  </si>
  <si>
    <t>MARTIN PALOMERA</t>
  </si>
  <si>
    <t>NOVIEMBRE 21</t>
  </si>
  <si>
    <t>OPERADOR DE EQUIPO MAYOR</t>
  </si>
  <si>
    <t>MARZO 2022</t>
  </si>
  <si>
    <t>JEFE DE ALMACEN</t>
  </si>
  <si>
    <t>LUIS GRIJALVA</t>
  </si>
  <si>
    <t>JUAN JOSE AGUILAR PASTOR</t>
  </si>
  <si>
    <t>ANALISTA  DE ADMINISTRACIÓN DE PERSONAL</t>
  </si>
  <si>
    <t>FATIMA GARCIA HUERTA</t>
  </si>
  <si>
    <t>COORDINADOR DE ABASTECIMIENTO Y LICITACIONES</t>
  </si>
  <si>
    <t>PATTY MORALES REYES</t>
  </si>
  <si>
    <t>LUIS EDUARDO PEREZ</t>
  </si>
  <si>
    <t>CARLOS ENRIQUE SANDOVAL</t>
  </si>
  <si>
    <t>LIMPIEZA</t>
  </si>
  <si>
    <t>JOSEFINACRUZ</t>
  </si>
  <si>
    <t>ELSA GABRIELA</t>
  </si>
  <si>
    <t>CARLOS BERNAL MURILLO</t>
  </si>
  <si>
    <t>RECONTRATACION</t>
  </si>
  <si>
    <t>ROSA PATRICIA CRISTIN</t>
  </si>
  <si>
    <t>SUPERVISOR DE PATIO (temporal)</t>
  </si>
  <si>
    <t xml:space="preserve">NUEVA CREACIÓN </t>
  </si>
  <si>
    <t>MIGUEL ANGEL VIELMA</t>
  </si>
  <si>
    <t>INSPECTOR EIRS (temporal)</t>
  </si>
  <si>
    <t>FEBRERO 22</t>
  </si>
  <si>
    <t>OPERADOR DE EQUIPO MAYOR (temporal)</t>
  </si>
  <si>
    <t xml:space="preserve">OPERADOR DE EQUIPO MAYOR PATIO </t>
  </si>
  <si>
    <t>JOSE ALBERTO SANCHEZ ESPINOZA</t>
  </si>
  <si>
    <t>ALONSO NICOLAS COVARRUIVAS</t>
  </si>
  <si>
    <t>COORDINADOR LOGISTICO</t>
  </si>
  <si>
    <t>TEGICAMPOLOD</t>
  </si>
  <si>
    <t>AUTOELECTRICO</t>
  </si>
  <si>
    <t>TEMPOCTE</t>
  </si>
  <si>
    <t>LIZET PELAYO</t>
  </si>
  <si>
    <t>JEFE DE RRHH</t>
  </si>
  <si>
    <t>ABEL ORTIZ</t>
  </si>
  <si>
    <t>OPERADOR SPF(1/3)</t>
  </si>
  <si>
    <t>BENITO SOTO MAGANO</t>
  </si>
  <si>
    <t>MIGUEL RAMIREZ ROMERO</t>
  </si>
  <si>
    <t>OPERADOR SPF(2/3)</t>
  </si>
  <si>
    <t>OSCAR JOSE ALCAZAR</t>
  </si>
  <si>
    <t>JOSE ANTOIO VALERA</t>
  </si>
  <si>
    <t>OPERADOR SPF(3/3)</t>
  </si>
  <si>
    <t>FRANCISCO GONZALEZ CADRO</t>
  </si>
  <si>
    <t>JOSE MIGUEL CASILLAS MOJICA</t>
  </si>
  <si>
    <t>JULIO CESAR COSME</t>
  </si>
  <si>
    <t>JULIO CESAR GONZALEZ</t>
  </si>
  <si>
    <t>TEMPO AU</t>
  </si>
  <si>
    <t>COORDINADOR DE MAQ Y EQUIPO</t>
  </si>
  <si>
    <t>TEMPODED</t>
  </si>
  <si>
    <t>JOSUE EDUARDO COQUET</t>
  </si>
  <si>
    <t xml:space="preserve">FRANCISCO JAVIER MANSO </t>
  </si>
  <si>
    <t>AUXILIAR DE ALMACEN</t>
  </si>
  <si>
    <t>ALEXIS JIMENEZ</t>
  </si>
  <si>
    <t>MAYELI MATUS</t>
  </si>
  <si>
    <t>CONTADOT JR</t>
  </si>
  <si>
    <t>MARTIN AMEZCUA</t>
  </si>
  <si>
    <t>CORREO</t>
  </si>
  <si>
    <t>KARLA ELIZETH MENDOZA</t>
  </si>
  <si>
    <t>VICTOR MANUEL SALAS</t>
  </si>
  <si>
    <t>LUZ DEL CARMEN</t>
  </si>
  <si>
    <t>OPERADOR SPF (1/2)</t>
  </si>
  <si>
    <t>ROSA MARIA</t>
  </si>
  <si>
    <t>MARTINEZ SANCHEZ DIEGO ALEJANDRO</t>
  </si>
  <si>
    <t>OPERADOR SPF (2/2)</t>
  </si>
  <si>
    <t xml:space="preserve">LUIS ENRIQUE SOSA </t>
  </si>
  <si>
    <t>HUCHIM MANZANO MATILDE DE JESUS</t>
  </si>
  <si>
    <t>ANAISTA DE RECLUTAMIENTO Y SELECCIÓN</t>
  </si>
  <si>
    <t>TEMPONTM</t>
  </si>
  <si>
    <t>PRACTICANTE</t>
  </si>
  <si>
    <t>FRANCISCO EMMANUEL ORTIZ</t>
  </si>
  <si>
    <t xml:space="preserve">MONITORISTA </t>
  </si>
  <si>
    <t>BELLA LINDA QUINTANA</t>
  </si>
  <si>
    <t>SUPERVISOR DE PATRIMONIAL</t>
  </si>
  <si>
    <t>HILARIO DE LA CRUZ</t>
  </si>
  <si>
    <t>JOSE REYES COBARRUVIAS</t>
  </si>
  <si>
    <t>FRANCISCO JAVIER CAMPOS NAVARRO</t>
  </si>
  <si>
    <t>FEBRERO22</t>
  </si>
  <si>
    <t xml:space="preserve">SUPERVISOR DE ALMACEN </t>
  </si>
  <si>
    <t>TEMPOE R</t>
  </si>
  <si>
    <t>CHOFER MENSAJERO</t>
  </si>
  <si>
    <t>TEMPOJEE</t>
  </si>
  <si>
    <t>LUIS GARCIA</t>
  </si>
  <si>
    <t>COORDINADOR DE ALMACENES</t>
  </si>
  <si>
    <t xml:space="preserve">AUXILIAR DE RECLUTAMIENTO </t>
  </si>
  <si>
    <t xml:space="preserve">BLANCA LIZET PELAYO </t>
  </si>
  <si>
    <t>ALAN GUILLERMO</t>
  </si>
  <si>
    <t>LIONSO JOHAN ARCINIEGA</t>
  </si>
  <si>
    <t>TEMPOEIL</t>
  </si>
  <si>
    <t>LIQUIDADOR</t>
  </si>
  <si>
    <t>MARCELA NOGUEDA</t>
  </si>
  <si>
    <t>ANDREA JOSSELIN MELO</t>
  </si>
  <si>
    <t>AUXILIAR ADMINISTRATIVO</t>
  </si>
  <si>
    <t>ANA PAULINA MARTINEZ</t>
  </si>
  <si>
    <t>MARIA YARELI MARTINEZ</t>
  </si>
  <si>
    <t>SUB GERENTE ADMINISTRATIVO</t>
  </si>
  <si>
    <t xml:space="preserve">BENITO </t>
  </si>
  <si>
    <t>DICIEMBRE 2021</t>
  </si>
  <si>
    <t>TANIA MAGALLON</t>
  </si>
  <si>
    <t>ANALISTA DE REVALIDACIONES</t>
  </si>
  <si>
    <t>OSCAR ADAN JACOBO</t>
  </si>
  <si>
    <t>JONATHAN OSIRIS</t>
  </si>
  <si>
    <t>LUIS RODRIGO ABARCA CASTILLO</t>
  </si>
  <si>
    <t>EDUARDO TERAN NAVARRO</t>
  </si>
  <si>
    <t>OPEN KENEN</t>
  </si>
  <si>
    <t>LUIS ANGEL DÍAZ PAREDES</t>
  </si>
  <si>
    <t>COORDINADOR DE MEJORA CONTINUA</t>
  </si>
  <si>
    <t xml:space="preserve">EDUARDO </t>
  </si>
  <si>
    <t>AUXILIAR MECANICO</t>
  </si>
  <si>
    <t>JOSE CANDIDO CARVAJAL</t>
  </si>
  <si>
    <t>SUPERVISOR DE PROYECTOS</t>
  </si>
  <si>
    <t>REINGRESO</t>
  </si>
  <si>
    <t>EDWIN PEREZ</t>
  </si>
  <si>
    <t>ANALISTA DE ADMINISTRACIÓN</t>
  </si>
  <si>
    <t>HECTOR GALICIA</t>
  </si>
  <si>
    <t>ABRIL 2022</t>
  </si>
  <si>
    <t>ALAN DELGADILLO</t>
  </si>
  <si>
    <t>AMERICA ALVAREZ</t>
  </si>
  <si>
    <t xml:space="preserve">ESMERALDA LOPEZ </t>
  </si>
  <si>
    <t>JESUS LORENZO LUNA</t>
  </si>
  <si>
    <t>ULISES ALDACO</t>
  </si>
  <si>
    <t>COORDINADOR DE LIQUIDACIONES</t>
  </si>
  <si>
    <t>NANCY KARINA SERRANO OSORIO</t>
  </si>
  <si>
    <t>ISAC ARACELI RAMOS</t>
  </si>
  <si>
    <t>COORDINADOR DE CARGA CONTENERIZADA</t>
  </si>
  <si>
    <t>SILVIA MEDINA</t>
  </si>
  <si>
    <t>JORNALERO AMBIENTAL</t>
  </si>
  <si>
    <t>GERMAN GODINEZ</t>
  </si>
  <si>
    <t>JONATHAN PINEADA</t>
  </si>
  <si>
    <t>ISRAEL SANTOS PEREZ</t>
  </si>
  <si>
    <t>ERICK ALEXIS GRAHAM ARREDONDO</t>
  </si>
  <si>
    <t>LUIS GUSTAVO BENITO BENITO</t>
  </si>
  <si>
    <t>JAVIER JADAOB</t>
  </si>
  <si>
    <t>LUIS  ANTONIO GRIJALVA</t>
  </si>
  <si>
    <t>ALBERTO PONCE</t>
  </si>
  <si>
    <t>MECANICO</t>
  </si>
  <si>
    <t>JEFE DE VENTAS</t>
  </si>
  <si>
    <t>SILVESTRE MORFIN</t>
  </si>
  <si>
    <t>MAYO 2022</t>
  </si>
  <si>
    <t>SHARON VACA</t>
  </si>
  <si>
    <t>ABRIL 22</t>
  </si>
  <si>
    <t>JEFE DE CUMPLIMIENTO</t>
  </si>
  <si>
    <t>ADRIAN GARCIA</t>
  </si>
  <si>
    <t xml:space="preserve">JEFE DE REPARACIONES Y LAVADO </t>
  </si>
  <si>
    <t>GABRIEL SALAZAR</t>
  </si>
  <si>
    <t>ALEXIS NAVARRO</t>
  </si>
  <si>
    <t>VICTOR HUGO LARA</t>
  </si>
  <si>
    <t>COORDINADOR DE RFE</t>
  </si>
  <si>
    <t>PAOLA DÍAZ</t>
  </si>
  <si>
    <t>OPERADOR SPF</t>
  </si>
  <si>
    <t>LIMON PEREZ JOSE LUIS</t>
  </si>
  <si>
    <t>JOSE SALOME RIOS</t>
  </si>
  <si>
    <t>IYANNY BRIONES PUENTE</t>
  </si>
  <si>
    <t>MARISOL SALDAÑA</t>
  </si>
  <si>
    <t>PERSEO DE JESUS OZUNA</t>
  </si>
  <si>
    <t>SUPERVISOR DE REPARACIONES Y LAVADO</t>
  </si>
  <si>
    <t>ANALISTA DE FACTURACIÓN</t>
  </si>
  <si>
    <t>MANUEL MEZA</t>
  </si>
  <si>
    <t>OPERADOR SPF 1/4</t>
  </si>
  <si>
    <t>JOSE MARTIN COLLAZO</t>
  </si>
  <si>
    <t>OPERADOR SPF 2/4</t>
  </si>
  <si>
    <t xml:space="preserve">CARLOS MANUEL </t>
  </si>
  <si>
    <t>OPERADOR SPF 3/4</t>
  </si>
  <si>
    <t>VALDEZ BELTRAN EPIGMENIO</t>
  </si>
  <si>
    <t>OPERADOR SPF 4/4</t>
  </si>
  <si>
    <t>JESUS MOCTEZUMA RINCON</t>
  </si>
  <si>
    <t>COORDINADOR DE VENTAS</t>
  </si>
  <si>
    <t>NADIA CALORINA</t>
  </si>
  <si>
    <t>JUNIO 22</t>
  </si>
  <si>
    <t>N/A = veras esto mientras aun no haya datos para esa casilla encontrados.</t>
  </si>
  <si>
    <t>DÍAS PROMEDIO EN CUBRIR VACANTES ALMAN</t>
  </si>
  <si>
    <t>tipo vacante/dias meta</t>
  </si>
  <si>
    <t>ENERO 2022</t>
  </si>
  <si>
    <t>FEBRERO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</si>
  <si>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</si>
  <si>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</si>
  <si>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</si>
  <si>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</si>
  <si>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</si>
  <si>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</si>
  <si>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</si>
  <si>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META (14 DÍAS)</t>
  </si>
  <si>
    <t>META (21 DÍAS)</t>
  </si>
  <si>
    <t>MANDOS MEDIOS</t>
  </si>
  <si>
    <t>META (28 DÍAS)</t>
  </si>
  <si>
    <t>GERENCIAS</t>
  </si>
  <si>
    <t>META (40 DÍAS)</t>
  </si>
  <si>
    <t>DÍAS PROMEDIO EN CUBRIR VACANTES   TM</t>
  </si>
  <si>
    <t>OPERATIVAS</t>
  </si>
  <si>
    <t>DÍAS PROMEDIO EN CUBRIR VACANTES   IAL</t>
  </si>
  <si>
    <t>DÍAS PROMEDIO EN CUBRIR VACANTES   GL</t>
  </si>
  <si>
    <t>VACANTES CUBIERTAS EN TIEMPO Y FUERA DE TIEMPO ALMAN</t>
  </si>
  <si>
    <t>JUL 2021</t>
  </si>
  <si>
    <t>AGO 2021</t>
  </si>
  <si>
    <t>SEP 2021</t>
  </si>
  <si>
    <t>OCT 2021</t>
  </si>
  <si>
    <t>NOV 2021</t>
  </si>
  <si>
    <t>DIC 2021</t>
  </si>
  <si>
    <t>Acumulado 2020</t>
  </si>
  <si>
    <t>ENE 2022</t>
  </si>
  <si>
    <t>FEB 2022</t>
  </si>
  <si>
    <t>MAR 2022</t>
  </si>
  <si>
    <t>ABR 2022</t>
  </si>
  <si>
    <t>JUN 2022</t>
  </si>
  <si>
    <t>JUL 2022</t>
  </si>
  <si>
    <t>AGOS 2022</t>
  </si>
  <si>
    <t>SEPT 2022</t>
  </si>
  <si>
    <t>OCT 2022</t>
  </si>
  <si>
    <t>NOV 2022</t>
  </si>
  <si>
    <t>DIC 2022</t>
  </si>
  <si>
    <t>Acumulado 2022</t>
  </si>
  <si>
    <t>TOTAL</t>
  </si>
  <si>
    <t>META(80%)</t>
  </si>
  <si>
    <t>VACANTES CUBIERTAS EN TIEMPO Y FUERA DE TIEMPO TM</t>
  </si>
  <si>
    <t>VACANTES CUBIERTAS EN TIEMPO Y FUERA DE TIEMPO  TM</t>
  </si>
  <si>
    <t>VACANTES CUBIERTAS EN TIEMPO Y FUERA DE TIEMPO IAL</t>
  </si>
  <si>
    <t>VACANTES CUBIERTAS EN TIEMPO Y FUERA DE TIEMPO  IAL</t>
  </si>
  <si>
    <t>VACANTES CUBIERTAS EN TIEMPO Y FUERA DE TIEMPO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</si>
</sst>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44444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/>
      <top style="double">
        <color rgb="FF002060"/>
      </top>
      <bottom style="double">
        <color rgb="FF002060"/>
      </bottom>
      <diagonal/>
    </border>
    <border>
      <left/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FF8001"/>
      </left>
      <right style="double">
        <color rgb="FFFF8001"/>
      </right>
      <top style="double">
        <color rgb="FFFF8001"/>
      </top>
      <bottom style="thin">
        <color theme="5" tint="0.39997558519241921"/>
      </bottom>
      <diagonal/>
    </border>
    <border>
      <left style="double">
        <color rgb="FFFF8001"/>
      </left>
      <right style="double">
        <color rgb="FFFF8001"/>
      </right>
      <top style="double">
        <color rgb="FFFF8001"/>
      </top>
      <bottom style="double">
        <color rgb="FFFF8001"/>
      </bottom>
      <diagonal/>
    </border>
    <border>
      <left style="double">
        <color rgb="FFFF8001"/>
      </left>
      <right style="double">
        <color rgb="FFFF8001"/>
      </right>
      <top style="double">
        <color rgb="FFFF80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8001"/>
      </left>
      <right style="double">
        <color rgb="FFFF8001"/>
      </right>
      <top/>
      <bottom style="double">
        <color rgb="FFFF8001"/>
      </bottom>
      <diagonal/>
    </border>
    <border>
      <left style="double">
        <color rgb="FFFF8001"/>
      </left>
      <right style="double">
        <color rgb="FFFF800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FF8001"/>
      </left>
      <right style="double">
        <color rgb="FFFF800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double">
        <color rgb="FFFF8001"/>
      </left>
      <right style="double">
        <color rgb="FFFF8001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double">
        <color rgb="FFFF8001"/>
      </left>
      <right style="double">
        <color rgb="FFFF8001"/>
      </right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8" xfId="0" applyFont="1" applyBorder="1"/>
    <xf numFmtId="49" fontId="5" fillId="4" borderId="7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14" fontId="8" fillId="4" borderId="10" xfId="0" applyNumberFormat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14" fontId="7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5" fillId="0" borderId="11" xfId="0" applyFont="1" applyBorder="1"/>
    <xf numFmtId="0" fontId="11" fillId="0" borderId="0" xfId="0" applyFont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1" fontId="11" fillId="6" borderId="8" xfId="0" applyNumberFormat="1" applyFont="1" applyFill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/>
    </xf>
    <xf numFmtId="1" fontId="0" fillId="0" borderId="0" xfId="0" applyNumberFormat="1"/>
    <xf numFmtId="0" fontId="7" fillId="3" borderId="0" xfId="0" applyFont="1" applyFill="1"/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9" fontId="5" fillId="0" borderId="11" xfId="2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0" fillId="0" borderId="8" xfId="0" applyBorder="1"/>
    <xf numFmtId="9" fontId="0" fillId="0" borderId="8" xfId="0" applyNumberFormat="1" applyBorder="1"/>
    <xf numFmtId="0" fontId="1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9" fillId="0" borderId="0" xfId="0" applyFont="1"/>
    <xf numFmtId="0" fontId="5" fillId="0" borderId="13" xfId="0" applyFont="1" applyBorder="1"/>
    <xf numFmtId="0" fontId="11" fillId="5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1" fontId="5" fillId="4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49" fontId="5" fillId="4" borderId="19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Énfasis1" xfId="1" builtinId="29"/>
    <cellStyle name="Normal" xfId="0" builtinId="0"/>
    <cellStyle name="Porcentaje" xfId="2" builtinId="5"/>
  </cellStyles>
  <dxfs count="3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/>
        <bottom style="double">
          <color rgb="FFFF80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d/m/yyyy"/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/mm/yyyy;@"/>
      <alignment horizontal="center" vertical="center" textRotation="0" wrapText="0" indent="0" justifyLastLine="0" shrinkToFit="0" readingOrder="0"/>
      <border diagonalUp="0" diagonalDown="0">
        <left style="double">
          <color rgb="FFFF8001"/>
        </left>
        <right style="double">
          <color rgb="FFFF8001"/>
        </right>
        <top style="double">
          <color rgb="FFFF8001"/>
        </top>
        <bottom style="thin">
          <color theme="5" tint="0.39997558519241921"/>
        </bottom>
        <vertical/>
        <horizontal/>
      </border>
    </dxf>
    <dxf>
      <border outline="0">
        <right style="thin">
          <color theme="5" tint="0.39997558519241921"/>
        </right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s-MX" b="1">
                <a:solidFill>
                  <a:schemeClr val="tx1"/>
                </a:solidFill>
              </a:rPr>
              <a:t>OPERATIVAS ALMAN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99366145638195E-2"/>
          <c:y val="0.15686507936507937"/>
          <c:w val="0.93660063385436176"/>
          <c:h val="0.6167129108861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'Días de cobertura'!$C$6</c:f>
              <c:strCache>
                <c:ptCount val="1"/>
                <c:pt idx="0">
                  <c:v>OPERATIVO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cobertura'!$D$6:$U$6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28.125</c:v>
                </c:pt>
                <c:pt idx="3">
                  <c:v>9</c:v>
                </c:pt>
                <c:pt idx="4">
                  <c:v>38.25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1-4330-B0FA-E77270EA81FC}"/>
            </c:ext>
          </c:extLst>
        </c:ser>
        <c:ser>
          <c:idx val="3"/>
          <c:order val="3"/>
          <c:tx>
            <c:strRef>
              <c:f>'Días de cobertura'!$C$7</c:f>
              <c:strCache>
                <c:ptCount val="1"/>
                <c:pt idx="0">
                  <c:v>META (14 DÍAS)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cobertura'!$D$7:$U$7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11-4330-B0FA-E77270E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56054256"/>
        <c:axId val="1656057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'Días de cobertura'!$D$7:$L$7</c15:sqref>
                        </c15:formulaRef>
                      </c:ext>
                    </c:extLst>
                    <c:strCache>
                      <c:ptCount val="9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14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'Días de cobertura'!$D$5:$U$5</c15:sqref>
                        </c15:formulaRef>
                      </c:ext>
                    </c:extLst>
                    <c:strCache>
                      <c:ptCount val="18"/>
                      <c:pt idx="0">
                        <c:v>JULIO 2021</c:v>
                      </c:pt>
                      <c:pt idx="1">
                        <c:v>AGOSTO 2021</c:v>
                      </c:pt>
                      <c:pt idx="2">
                        <c:v>SEPTIEMBRE 2021</c:v>
                      </c:pt>
                      <c:pt idx="3">
                        <c:v>OCTUBRE 2021</c:v>
                      </c:pt>
                      <c:pt idx="4">
                        <c:v>NOVIEMBRE 2021</c:v>
                      </c:pt>
                      <c:pt idx="5">
                        <c:v>DICIEMBRE 2021</c:v>
                      </c:pt>
                      <c:pt idx="6">
                        <c:v>ENERO 2022</c:v>
                      </c:pt>
                      <c:pt idx="7">
                        <c:v>FEBRERO 2022</c:v>
                      </c:pt>
                      <c:pt idx="8">
                        <c:v>MARZO 2022</c:v>
                      </c:pt>
                      <c:pt idx="9">
                        <c:v>ABRIL 2022</c:v>
                      </c:pt>
                      <c:pt idx="10">
                        <c:v>MAYO 2022</c:v>
                      </c:pt>
                      <c:pt idx="11">
                        <c:v>JUNIO 2022</c:v>
                      </c:pt>
                      <c:pt idx="12">
                        <c:v>JULIO 2022</c:v>
                      </c:pt>
                      <c:pt idx="13">
                        <c:v>AGOSTO 2022</c:v>
                      </c:pt>
                      <c:pt idx="14">
                        <c:v>SEPTIEMBRE 2022</c:v>
                      </c:pt>
                      <c:pt idx="15">
                        <c:v>OCTUBRE 2022</c:v>
                      </c:pt>
                      <c:pt idx="16">
                        <c:v>NOVIEMBRE 2022</c:v>
                      </c:pt>
                      <c:pt idx="17">
                        <c:v>DICIEMBRE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'Días de cobertura'!$D$7:$L$7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B11-4330-B0FA-E77270EA81F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'Días de cobertura'!$D$7:$L$7</c15:sqref>
                        </c15:formulaRef>
                      </c:ext>
                    </c:extLst>
                    <c:strCache>
                      <c:ptCount val="9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14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'Días de cobertura'!$D$5:$U$5</c15:sqref>
                        </c15:formulaRef>
                      </c:ext>
                    </c:extLst>
                    <c:strCache>
                      <c:ptCount val="18"/>
                      <c:pt idx="0">
                        <c:v>JULIO 2021</c:v>
                      </c:pt>
                      <c:pt idx="1">
                        <c:v>AGOSTO 2021</c:v>
                      </c:pt>
                      <c:pt idx="2">
                        <c:v>SEPTIEMBRE 2021</c:v>
                      </c:pt>
                      <c:pt idx="3">
                        <c:v>OCTUBRE 2021</c:v>
                      </c:pt>
                      <c:pt idx="4">
                        <c:v>NOVIEMBRE 2021</c:v>
                      </c:pt>
                      <c:pt idx="5">
                        <c:v>DICIEMBRE 2021</c:v>
                      </c:pt>
                      <c:pt idx="6">
                        <c:v>ENERO 2022</c:v>
                      </c:pt>
                      <c:pt idx="7">
                        <c:v>FEBRERO 2022</c:v>
                      </c:pt>
                      <c:pt idx="8">
                        <c:v>MARZO 2022</c:v>
                      </c:pt>
                      <c:pt idx="9">
                        <c:v>ABRIL 2022</c:v>
                      </c:pt>
                      <c:pt idx="10">
                        <c:v>MAYO 2022</c:v>
                      </c:pt>
                      <c:pt idx="11">
                        <c:v>JUNIO 2022</c:v>
                      </c:pt>
                      <c:pt idx="12">
                        <c:v>JULIO 2022</c:v>
                      </c:pt>
                      <c:pt idx="13">
                        <c:v>AGOSTO 2022</c:v>
                      </c:pt>
                      <c:pt idx="14">
                        <c:v>SEPTIEMBRE 2022</c:v>
                      </c:pt>
                      <c:pt idx="15">
                        <c:v>OCTUBRE 2022</c:v>
                      </c:pt>
                      <c:pt idx="16">
                        <c:v>NOVIEMBRE 2022</c:v>
                      </c:pt>
                      <c:pt idx="17">
                        <c:v>DICIEMBRE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'Días de cobertura'!$C$7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11-4330-B0FA-E77270EA81FC}"/>
                  </c:ext>
                </c:extLst>
              </c15:ser>
            </c15:filteredBarSeries>
          </c:ext>
        </c:extLst>
      </c:barChart>
      <c:catAx>
        <c:axId val="16560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57584"/>
        <c:crosses val="autoZero"/>
        <c:auto val="1"/>
        <c:lblAlgn val="ctr"/>
        <c:lblOffset val="100"/>
        <c:noMultiLvlLbl val="0"/>
      </c:catAx>
      <c:valAx>
        <c:axId val="1656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OPERATIVAS 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OPERATIVAS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cobertura'!$D$126:$U$126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cobertura'!$D$127:$U$127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9-4864-AC52-8D0CA18DB7CD}"/>
            </c:ext>
          </c:extLst>
        </c:ser>
        <c:ser>
          <c:idx val="1"/>
          <c:order val="1"/>
          <c:tx>
            <c:v>DIAS META (14)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'Días de cobertura'!$D$128:$U$128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9-4864-AC52-8D0CA18DB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727728"/>
        <c:axId val="829727312"/>
      </c:barChart>
      <c:catAx>
        <c:axId val="8297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27312"/>
        <c:crosses val="autoZero"/>
        <c:auto val="1"/>
        <c:lblAlgn val="ctr"/>
        <c:lblOffset val="100"/>
        <c:noMultiLvlLbl val="0"/>
      </c:catAx>
      <c:valAx>
        <c:axId val="829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ADMINISTRATIVAS 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ADMINISTRATIVAS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cobertura'!$D$126:$U$126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cobertura'!$D$129:$U$129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969-8751-6522AE32E58F}"/>
            </c:ext>
          </c:extLst>
        </c:ser>
        <c:ser>
          <c:idx val="1"/>
          <c:order val="1"/>
          <c:tx>
            <c:v>DIAS META (21)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'Días de cobertura'!$D$130:$U$130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7-4969-8751-6522AE32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043408"/>
        <c:axId val="1003042576"/>
      </c:barChart>
      <c:catAx>
        <c:axId val="10030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2576"/>
        <c:crosses val="autoZero"/>
        <c:auto val="1"/>
        <c:lblAlgn val="ctr"/>
        <c:lblOffset val="100"/>
        <c:noMultiLvlLbl val="0"/>
      </c:catAx>
      <c:valAx>
        <c:axId val="10030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MANDOS MEDIOS 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MANDOS MEDIOS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cobertura'!$D$126:$U$126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cobertura'!$D$131:$U$131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66.5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3-4F8F-8AF2-A14802188992}"/>
            </c:ext>
          </c:extLst>
        </c:ser>
        <c:ser>
          <c:idx val="1"/>
          <c:order val="1"/>
          <c:tx>
            <c:v>DIAS META (28)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'Días de cobertura'!$D$132:$U$132</c:f>
              <c:numCache>
                <c:formatCode>General</c:formatCode>
                <c:ptCount val="1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3-4F8F-8AF2-A14802188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167568"/>
        <c:axId val="653170480"/>
      </c:barChart>
      <c:catAx>
        <c:axId val="6531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0480"/>
        <c:crosses val="autoZero"/>
        <c:auto val="1"/>
        <c:lblAlgn val="ctr"/>
        <c:lblOffset val="100"/>
        <c:noMultiLvlLbl val="0"/>
      </c:catAx>
      <c:valAx>
        <c:axId val="653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GERENCIAS 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cobertura'!$C$12</c:f>
              <c:strCache>
                <c:ptCount val="1"/>
                <c:pt idx="0">
                  <c:v>GERENCIAS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cobertura'!$D$12:$U$12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92A-9F87-AB1F17405EFC}"/>
            </c:ext>
          </c:extLst>
        </c:ser>
        <c:ser>
          <c:idx val="1"/>
          <c:order val="1"/>
          <c:tx>
            <c:strRef>
              <c:f>'Días de cobertura'!$D$5</c:f>
              <c:strCache>
                <c:ptCount val="1"/>
                <c:pt idx="0">
                  <c:v>JULIO 2021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cobertura'!$E$5:$L$5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4-492A-9F87-AB1F17405EFC}"/>
            </c:ext>
          </c:extLst>
        </c:ser>
        <c:ser>
          <c:idx val="3"/>
          <c:order val="3"/>
          <c:tx>
            <c:v>DIAS META (40)</c:v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'Días de cobertura'!$D$13:$U$13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4-492A-9F87-AB1F17405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501583"/>
        <c:axId val="22449742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5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'Días de cobertura'!$D$5:$U$5</c15:sqref>
                        </c15:formulaRef>
                      </c:ext>
                    </c:extLst>
                    <c:strCache>
                      <c:ptCount val="18"/>
                      <c:pt idx="0">
                        <c:v>JULIO 2021</c:v>
                      </c:pt>
                      <c:pt idx="1">
                        <c:v>AGOSTO 2021</c:v>
                      </c:pt>
                      <c:pt idx="2">
                        <c:v>SEPTIEMBRE 2021</c:v>
                      </c:pt>
                      <c:pt idx="3">
                        <c:v>OCTUBRE 2021</c:v>
                      </c:pt>
                      <c:pt idx="4">
                        <c:v>NOVIEMBRE 2021</c:v>
                      </c:pt>
                      <c:pt idx="5">
                        <c:v>DICIEMBRE 2021</c:v>
                      </c:pt>
                      <c:pt idx="6">
                        <c:v>ENERO 2022</c:v>
                      </c:pt>
                      <c:pt idx="7">
                        <c:v>FEBRERO 2022</c:v>
                      </c:pt>
                      <c:pt idx="8">
                        <c:v>MARZO 2022</c:v>
                      </c:pt>
                      <c:pt idx="9">
                        <c:v>ABRIL 2022</c:v>
                      </c:pt>
                      <c:pt idx="10">
                        <c:v>MAYO 2022</c:v>
                      </c:pt>
                      <c:pt idx="11">
                        <c:v>JUNIO 2022</c:v>
                      </c:pt>
                      <c:pt idx="12">
                        <c:v>JULIO 2022</c:v>
                      </c:pt>
                      <c:pt idx="13">
                        <c:v>AGOSTO 2022</c:v>
                      </c:pt>
                      <c:pt idx="14">
                        <c:v>SEPTIEMBRE 2022</c:v>
                      </c:pt>
                      <c:pt idx="15">
                        <c:v>OCTUBRE 2022</c:v>
                      </c:pt>
                      <c:pt idx="16">
                        <c:v>NOVIEMBRE 2022</c:v>
                      </c:pt>
                      <c:pt idx="17">
                        <c:v>DICIEMBRE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'Días de cobertura'!$D$11:$U$11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28</c:v>
                      </c:pt>
                      <c:pt idx="2">
                        <c:v>28</c:v>
                      </c:pt>
                      <c:pt idx="3">
                        <c:v>28</c:v>
                      </c:pt>
                      <c:pt idx="4">
                        <c:v>28</c:v>
                      </c:pt>
                      <c:pt idx="5">
                        <c:v>28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28</c:v>
                      </c:pt>
                      <c:pt idx="17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44-492A-9F87-AB1F17405EFC}"/>
                  </c:ext>
                </c:extLst>
              </c15:ser>
            </c15:filteredBarSeries>
          </c:ext>
        </c:extLst>
      </c:barChart>
      <c:catAx>
        <c:axId val="2245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97423"/>
        <c:crosses val="autoZero"/>
        <c:auto val="1"/>
        <c:lblAlgn val="ctr"/>
        <c:lblOffset val="100"/>
        <c:noMultiLvlLbl val="0"/>
      </c:catAx>
      <c:valAx>
        <c:axId val="2244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GERENCIA 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cobertura'!$C$42</c:f>
              <c:strCache>
                <c:ptCount val="1"/>
                <c:pt idx="0">
                  <c:v>GERENCIAS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cobertura'!$D$42:$U$42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6D4-9126-24D302DEC79B}"/>
            </c:ext>
          </c:extLst>
        </c:ser>
        <c:ser>
          <c:idx val="1"/>
          <c:order val="1"/>
          <c:tx>
            <c:strRef>
              <c:f>'Días de cobertura'!$C$43</c:f>
              <c:strCache>
                <c:ptCount val="1"/>
                <c:pt idx="0">
                  <c:v>META (40 DÍAS)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cobertura'!$D$43:$U$43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9-46D4-9126-24D302DEC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277423"/>
        <c:axId val="782277839"/>
      </c:barChart>
      <c:catAx>
        <c:axId val="7822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7839"/>
        <c:crosses val="autoZero"/>
        <c:auto val="1"/>
        <c:lblAlgn val="ctr"/>
        <c:lblOffset val="100"/>
        <c:noMultiLvlLbl val="0"/>
      </c:catAx>
      <c:valAx>
        <c:axId val="782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GERENCIA</a:t>
            </a:r>
            <a:r>
              <a:rPr lang="es-419" baseline="0"/>
              <a:t> IAL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cobertura'!$C$90</c:f>
              <c:strCache>
                <c:ptCount val="1"/>
                <c:pt idx="0">
                  <c:v>GERENCIAS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cobertura'!$D$90:$U$90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BAF-840E-56B2A4388159}"/>
            </c:ext>
          </c:extLst>
        </c:ser>
        <c:ser>
          <c:idx val="1"/>
          <c:order val="1"/>
          <c:tx>
            <c:strRef>
              <c:f>'Días de cobertura'!$C$91</c:f>
              <c:strCache>
                <c:ptCount val="1"/>
                <c:pt idx="0">
                  <c:v>META (40 DÍAS)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cobertura'!$D$91:$U$91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E-4BAF-840E-56B2A4388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5658336"/>
        <c:axId val="1555666240"/>
      </c:barChart>
      <c:catAx>
        <c:axId val="15556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66240"/>
        <c:crosses val="autoZero"/>
        <c:auto val="1"/>
        <c:lblAlgn val="ctr"/>
        <c:lblOffset val="100"/>
        <c:noMultiLvlLbl val="0"/>
      </c:catAx>
      <c:valAx>
        <c:axId val="1555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GERENCIA GL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cobertura'!$C$133</c:f>
              <c:strCache>
                <c:ptCount val="1"/>
                <c:pt idx="0">
                  <c:v>GERENCIAS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cobertura'!$D$126:$U$126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cobertura'!$D$133:$U$133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0-44BA-9456-1B01DE02993E}"/>
            </c:ext>
          </c:extLst>
        </c:ser>
        <c:ser>
          <c:idx val="1"/>
          <c:order val="1"/>
          <c:tx>
            <c:strRef>
              <c:f>'Días de cobertura'!$C$134</c:f>
              <c:strCache>
                <c:ptCount val="1"/>
                <c:pt idx="0">
                  <c:v>META (40 DÍAS)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'Días de cobertura'!$D$134:$U$134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0-44BA-9456-1B01DE029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043408"/>
        <c:axId val="1003042576"/>
      </c:barChart>
      <c:catAx>
        <c:axId val="10030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2576"/>
        <c:crosses val="autoZero"/>
        <c:auto val="1"/>
        <c:lblAlgn val="ctr"/>
        <c:lblOffset val="100"/>
        <c:noMultiLvlLbl val="0"/>
      </c:catAx>
      <c:valAx>
        <c:axId val="10030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63591084545118"/>
          <c:y val="0.17079173318181409"/>
          <c:w val="0.71676159230096237"/>
          <c:h val="0.66942074948964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'En tiempo'!$B$13</c:f>
              <c:strCache>
                <c:ptCount val="1"/>
                <c:pt idx="0">
                  <c:v>EN TIEMPO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 tiempo'!$C$12:$T$12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tiempo'!$C$13:$T$13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4B5-88BF-F431BDE054C9}"/>
            </c:ext>
          </c:extLst>
        </c:ser>
        <c:ser>
          <c:idx val="1"/>
          <c:order val="1"/>
          <c:tx>
            <c:strRef>
              <c:f>'En tiempo'!$B$14</c:f>
              <c:strCache>
                <c:ptCount val="1"/>
                <c:pt idx="0">
                  <c:v>FUERA DE TIEMPO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 tiempo'!$C$12:$T$12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tiempo'!$C$14:$T$14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9-44B5-88BF-F431BDE0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287945743"/>
        <c:axId val="1287936591"/>
      </c:barChart>
      <c:lineChart>
        <c:grouping val="standard"/>
        <c:varyColors val="0"/>
        <c:ser>
          <c:idx val="2"/>
          <c:order val="2"/>
          <c:tx>
            <c:strRef>
              <c:f>'En tiempo'!$B$16</c:f>
              <c:strCache>
                <c:ptCount val="1"/>
                <c:pt idx="0">
                  <c:v>META(80%)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'En tiempo'!$C$16:$T$16</c:f>
              <c:numCache>
                <c:formatCode>0%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6-42B3-924A-7F2617E8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54288"/>
        <c:axId val="1341333904"/>
      </c:lineChart>
      <c:catAx>
        <c:axId val="12879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6591"/>
        <c:crosses val="autoZero"/>
        <c:auto val="1"/>
        <c:lblAlgn val="ctr"/>
        <c:lblOffset val="100"/>
        <c:noMultiLvlLbl val="0"/>
      </c:catAx>
      <c:valAx>
        <c:axId val="1287936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7945743"/>
        <c:crosses val="autoZero"/>
        <c:crossBetween val="between"/>
      </c:valAx>
      <c:valAx>
        <c:axId val="13413339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54288"/>
        <c:crosses val="max"/>
        <c:crossBetween val="between"/>
      </c:valAx>
      <c:catAx>
        <c:axId val="134135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4133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5234096482611"/>
          <c:y val="1.7721495440893978E-2"/>
          <c:w val="0.56253956306213604"/>
          <c:h val="0.12200144441293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41897540585209E-2"/>
          <c:y val="0.17997739865850101"/>
          <c:w val="0.86648025205999579"/>
          <c:h val="0.5483883785360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'En tiempo'!$B$44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tiempo'!$C$43:$T$43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tiempo'!$C$44:$T$44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275-AF7B-E54C2C6BCB40}"/>
            </c:ext>
          </c:extLst>
        </c:ser>
        <c:ser>
          <c:idx val="1"/>
          <c:order val="1"/>
          <c:tx>
            <c:strRef>
              <c:f>'En tiempo'!$B$45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tiempo'!$C$43:$T$43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tiempo'!$C$45:$T$45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7-4275-AF7B-E54C2C6BC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8454720"/>
        <c:axId val="858457216"/>
      </c:barChart>
      <c:lineChart>
        <c:grouping val="stacked"/>
        <c:varyColors val="0"/>
        <c:ser>
          <c:idx val="2"/>
          <c:order val="2"/>
          <c:tx>
            <c:strRef>
              <c:f>'En tiempo'!$B$47</c:f>
              <c:strCache>
                <c:ptCount val="1"/>
                <c:pt idx="0">
                  <c:v>META(80%)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'En tiempo'!$C$47:$T$47</c:f>
              <c:numCache>
                <c:formatCode>0%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7-4275-AF7B-E54C2C6BC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8454720"/>
        <c:axId val="858457216"/>
      </c:lineChart>
      <c:catAx>
        <c:axId val="8584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7216"/>
        <c:crosses val="autoZero"/>
        <c:auto val="1"/>
        <c:lblAlgn val="ctr"/>
        <c:lblOffset val="100"/>
        <c:noMultiLvlLbl val="0"/>
      </c:catAx>
      <c:valAx>
        <c:axId val="858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 tiempo'!$B$68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tiempo'!$C$67:$T$67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tiempo'!$C$68:$T$68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4D8-B79D-C4FC4B7ADB5F}"/>
            </c:ext>
          </c:extLst>
        </c:ser>
        <c:ser>
          <c:idx val="1"/>
          <c:order val="1"/>
          <c:tx>
            <c:strRef>
              <c:f>'En tiempo'!$B$69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tiempo'!$C$67:$T$67</c:f>
              <c:strCache>
                <c:ptCount val="18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</c:strCache>
            </c:strRef>
          </c:cat>
          <c:val>
            <c:numRef>
              <c:f>'En tiempo'!$C$69:$T$69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4D8-B79D-C4FC4B7AD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8401872"/>
        <c:axId val="1336085968"/>
      </c:barChart>
      <c:lineChart>
        <c:grouping val="stacked"/>
        <c:varyColors val="0"/>
        <c:ser>
          <c:idx val="2"/>
          <c:order val="2"/>
          <c:tx>
            <c:strRef>
              <c:f>'En tiempo'!$B$71</c:f>
              <c:strCache>
                <c:ptCount val="1"/>
                <c:pt idx="0">
                  <c:v>META(80%)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'En tiempo'!$C$71:$T$71</c:f>
              <c:numCache>
                <c:formatCode>0%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4-44D8-B79D-C4FC4B7AD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401872"/>
        <c:axId val="1336085968"/>
      </c:lineChart>
      <c:catAx>
        <c:axId val="6384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5968"/>
        <c:crosses val="autoZero"/>
        <c:auto val="1"/>
        <c:lblAlgn val="ctr"/>
        <c:lblOffset val="100"/>
        <c:noMultiLvlLbl val="0"/>
      </c:catAx>
      <c:valAx>
        <c:axId val="1336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ADMINISTRATIVAS 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cobertura'!$C$8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cobertura'!$D$8:$U$8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5-41A4-A409-3F72CA4701DF}"/>
            </c:ext>
          </c:extLst>
        </c:ser>
        <c:ser>
          <c:idx val="1"/>
          <c:order val="1"/>
          <c:tx>
            <c:strRef>
              <c:f>'Días de cobertura'!$C$9</c:f>
              <c:strCache>
                <c:ptCount val="1"/>
                <c:pt idx="0">
                  <c:v>META (21 DÍAS)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cobertura'!$D$9:$U$9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5-41A4-A409-3F72CA470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808400"/>
        <c:axId val="498640640"/>
      </c:barChart>
      <c:catAx>
        <c:axId val="5618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0640"/>
        <c:crosses val="autoZero"/>
        <c:auto val="1"/>
        <c:lblAlgn val="ctr"/>
        <c:lblOffset val="100"/>
        <c:noMultiLvlLbl val="0"/>
      </c:catAx>
      <c:valAx>
        <c:axId val="498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EN TIEMPO/FUERA DE TIEMPO 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 tiempo'!$B$99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tiempo'!$C$98:$U$98</c:f>
              <c:strCache>
                <c:ptCount val="19"/>
                <c:pt idx="0">
                  <c:v>JUL 2021</c:v>
                </c:pt>
                <c:pt idx="1">
                  <c:v>AGO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DIC 2021</c:v>
                </c:pt>
                <c:pt idx="6">
                  <c:v>Acumulado 2020</c:v>
                </c:pt>
                <c:pt idx="7">
                  <c:v>ENE 2022</c:v>
                </c:pt>
                <c:pt idx="8">
                  <c:v>FEB 2022</c:v>
                </c:pt>
                <c:pt idx="9">
                  <c:v>MAR 2022</c:v>
                </c:pt>
                <c:pt idx="10">
                  <c:v>ABR 2022</c:v>
                </c:pt>
                <c:pt idx="11">
                  <c:v>JUN 2022</c:v>
                </c:pt>
                <c:pt idx="12">
                  <c:v>JUL 2022</c:v>
                </c:pt>
                <c:pt idx="13">
                  <c:v>AGOS 2022</c:v>
                </c:pt>
                <c:pt idx="14">
                  <c:v>SEPT 2022</c:v>
                </c:pt>
                <c:pt idx="15">
                  <c:v>OCT 2022</c:v>
                </c:pt>
                <c:pt idx="16">
                  <c:v>NOV 2022</c:v>
                </c:pt>
                <c:pt idx="17">
                  <c:v>DIC 2022</c:v>
                </c:pt>
                <c:pt idx="18">
                  <c:v>Acumulado 2022</c:v>
                </c:pt>
              </c:strCache>
            </c:strRef>
          </c:cat>
          <c:val>
            <c:numRef>
              <c:f>'En tiempo'!$C$99:$U$99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C-4923-83BA-5C19B7322B2B}"/>
            </c:ext>
          </c:extLst>
        </c:ser>
        <c:ser>
          <c:idx val="1"/>
          <c:order val="1"/>
          <c:tx>
            <c:v>EN TIEMPO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 tiempo'!$C$100:$U$100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C-4923-83BA-5C19B7322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3529856"/>
        <c:axId val="1073550656"/>
      </c:barChart>
      <c:lineChart>
        <c:grouping val="standard"/>
        <c:varyColors val="0"/>
        <c:ser>
          <c:idx val="2"/>
          <c:order val="2"/>
          <c:tx>
            <c:v>META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'En tiempo'!$C$102:$U$102</c:f>
              <c:numCache>
                <c:formatCode>0%</c:formatCode>
                <c:ptCount val="1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C-4923-83BA-5C19B732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29856"/>
        <c:axId val="1073550656"/>
      </c:lineChart>
      <c:catAx>
        <c:axId val="10735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0656"/>
        <c:crosses val="autoZero"/>
        <c:auto val="1"/>
        <c:lblAlgn val="ctr"/>
        <c:lblOffset val="100"/>
        <c:noMultiLvlLbl val="0"/>
      </c:catAx>
      <c:valAx>
        <c:axId val="1073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OPERATIVAS 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cobertura'!$C$36</c:f>
              <c:strCache>
                <c:ptCount val="1"/>
                <c:pt idx="0">
                  <c:v>OPERATIVAS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cobertura'!$D$36:$U$36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819-9CEF-EE6727EB9F1E}"/>
            </c:ext>
          </c:extLst>
        </c:ser>
        <c:ser>
          <c:idx val="1"/>
          <c:order val="1"/>
          <c:tx>
            <c:strRef>
              <c:f>'Días de cobertura'!$C$37</c:f>
              <c:strCache>
                <c:ptCount val="1"/>
                <c:pt idx="0">
                  <c:v>META (14 DÍAS)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cobertura'!$D$37:$U$37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819-9CEF-EE6727EB9F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277423"/>
        <c:axId val="782277839"/>
      </c:barChart>
      <c:catAx>
        <c:axId val="7822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7839"/>
        <c:crosses val="autoZero"/>
        <c:auto val="1"/>
        <c:lblAlgn val="ctr"/>
        <c:lblOffset val="100"/>
        <c:noMultiLvlLbl val="0"/>
      </c:catAx>
      <c:valAx>
        <c:axId val="782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</a:rPr>
              <a:t>ADMINISTRATIVAS 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cobertura'!$C$38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cobertura'!$D$38:$U$38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1B2-8A08-DA3B04C0B202}"/>
            </c:ext>
          </c:extLst>
        </c:ser>
        <c:ser>
          <c:idx val="2"/>
          <c:order val="2"/>
          <c:tx>
            <c:strRef>
              <c:f>'Días de cobertura'!$C$39</c:f>
              <c:strCache>
                <c:ptCount val="1"/>
                <c:pt idx="0">
                  <c:v>META (21 DÍAS)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cobertura'!$D$39:$U$39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B-41B2-8A08-DA3B04C0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239151"/>
        <c:axId val="7822416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'Días de cobertura'!$D$35</c15:sqref>
                        </c15:formulaRef>
                      </c:ext>
                    </c:extLst>
                    <c:strCache>
                      <c:ptCount val="1"/>
                      <c:pt idx="0">
                        <c:v>JULIO 2021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'Días de cobertura'!$D$35:$U$35</c15:sqref>
                        </c15:formulaRef>
                      </c:ext>
                    </c:extLst>
                    <c:strCache>
                      <c:ptCount val="18"/>
                      <c:pt idx="0">
                        <c:v>JULIO 2021</c:v>
                      </c:pt>
                      <c:pt idx="1">
                        <c:v>AGOSTO 2021</c:v>
                      </c:pt>
                      <c:pt idx="2">
                        <c:v>SEPTIEMBRE 2021</c:v>
                      </c:pt>
                      <c:pt idx="3">
                        <c:v>OCTUBRE 2021</c:v>
                      </c:pt>
                      <c:pt idx="4">
                        <c:v>NOVIEMBRE 2021</c:v>
                      </c:pt>
                      <c:pt idx="5">
                        <c:v>DICIEMBRE 2021</c:v>
                      </c:pt>
                      <c:pt idx="6">
                        <c:v>ENERO 2022</c:v>
                      </c:pt>
                      <c:pt idx="7">
                        <c:v>FEBRERO 2022</c:v>
                      </c:pt>
                      <c:pt idx="8">
                        <c:v>MARZO 2022</c:v>
                      </c:pt>
                      <c:pt idx="9">
                        <c:v>ABRIL 2022</c:v>
                      </c:pt>
                      <c:pt idx="10">
                        <c:v>MAYO 2022</c:v>
                      </c:pt>
                      <c:pt idx="11">
                        <c:v>JUNIO 2022</c:v>
                      </c:pt>
                      <c:pt idx="12">
                        <c:v>JULIO 2022</c:v>
                      </c:pt>
                      <c:pt idx="13">
                        <c:v>AGOSTO 2022</c:v>
                      </c:pt>
                      <c:pt idx="14">
                        <c:v>SEPTIEMBRE 2022</c:v>
                      </c:pt>
                      <c:pt idx="15">
                        <c:v>OCTUBRE 2022</c:v>
                      </c:pt>
                      <c:pt idx="16">
                        <c:v>NOVIEMBRE 2022</c:v>
                      </c:pt>
                      <c:pt idx="17">
                        <c:v>DICIEMBRE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'Días de cobertura'!$E$35:$L$35</c15:sqref>
                        </c15:formulaRef>
                      </c:ext>
                    </c:extLst>
                    <c:numCache>
                      <c:formatCode>@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2EB-41B2-8A08-DA3B04C0B202}"/>
                  </c:ext>
                </c:extLst>
              </c15:ser>
            </c15:filteredBarSeries>
          </c:ext>
        </c:extLst>
      </c:barChart>
      <c:catAx>
        <c:axId val="7822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41647"/>
        <c:crosses val="autoZero"/>
        <c:auto val="1"/>
        <c:lblAlgn val="ctr"/>
        <c:lblOffset val="100"/>
        <c:noMultiLvlLbl val="0"/>
      </c:catAx>
      <c:valAx>
        <c:axId val="7822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MANDOS</a:t>
            </a:r>
            <a:r>
              <a:rPr lang="en-US" b="1" baseline="0">
                <a:solidFill>
                  <a:schemeClr val="tx1"/>
                </a:solidFill>
              </a:rPr>
              <a:t> MEDIOS TM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cobertura'!$C$40</c:f>
              <c:strCache>
                <c:ptCount val="1"/>
                <c:pt idx="0">
                  <c:v>MANDOS MEDIOS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cobertura'!$D$40:$U$40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118.5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6-47DB-B287-34F4944857F6}"/>
            </c:ext>
          </c:extLst>
        </c:ser>
        <c:ser>
          <c:idx val="1"/>
          <c:order val="1"/>
          <c:tx>
            <c:strRef>
              <c:f>'Días de cobertura'!$C$41</c:f>
              <c:strCache>
                <c:ptCount val="1"/>
                <c:pt idx="0">
                  <c:v>META (28 DÍAS)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cobertura'!$D$35:$U$35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cobertura'!$D$41:$U$41</c:f>
              <c:numCache>
                <c:formatCode>General</c:formatCode>
                <c:ptCount val="1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6-47DB-B287-34F49448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60495"/>
        <c:axId val="632767567"/>
      </c:barChart>
      <c:catAx>
        <c:axId val="6327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7567"/>
        <c:crosses val="autoZero"/>
        <c:auto val="1"/>
        <c:lblAlgn val="ctr"/>
        <c:lblOffset val="100"/>
        <c:noMultiLvlLbl val="0"/>
      </c:catAx>
      <c:valAx>
        <c:axId val="6327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OPERATIVAS IAL</a:t>
            </a:r>
          </a:p>
        </c:rich>
      </c:tx>
      <c:layout>
        <c:manualLayout>
          <c:xMode val="edge"/>
          <c:yMode val="edge"/>
          <c:x val="0.42647248564608736"/>
          <c:y val="2.7777847959405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cobertura'!$C$84</c:f>
              <c:strCache>
                <c:ptCount val="1"/>
                <c:pt idx="0">
                  <c:v>OPERATIVAS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cobertura'!$D$84:$U$84</c:f>
              <c:numCache>
                <c:formatCode>0</c:formatCode>
                <c:ptCount val="18"/>
                <c:pt idx="0">
                  <c:v>16</c:v>
                </c:pt>
                <c:pt idx="1">
                  <c:v>20</c:v>
                </c:pt>
                <c:pt idx="2">
                  <c:v>21.333333333333332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8D7-8D33-CFE0E9C58BFE}"/>
            </c:ext>
          </c:extLst>
        </c:ser>
        <c:ser>
          <c:idx val="1"/>
          <c:order val="1"/>
          <c:tx>
            <c:strRef>
              <c:f>'Días de cobertura'!$C$85</c:f>
              <c:strCache>
                <c:ptCount val="1"/>
                <c:pt idx="0">
                  <c:v>META (14 DÍAS)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cobertura'!$D$85:$U$85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5-48D7-8D33-CFE0E9C58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5658336"/>
        <c:axId val="1555666240"/>
      </c:barChart>
      <c:catAx>
        <c:axId val="15556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66240"/>
        <c:crosses val="autoZero"/>
        <c:auto val="1"/>
        <c:lblAlgn val="ctr"/>
        <c:lblOffset val="100"/>
        <c:noMultiLvlLbl val="0"/>
      </c:catAx>
      <c:valAx>
        <c:axId val="1555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ADMINISTRATIVAS 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cobertura'!$C$86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cobertura'!$D$86:$U$86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0</c:v>
                </c:pt>
                <c:pt idx="4">
                  <c:v>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434F-9200-A7196777607A}"/>
            </c:ext>
          </c:extLst>
        </c:ser>
        <c:ser>
          <c:idx val="1"/>
          <c:order val="1"/>
          <c:tx>
            <c:strRef>
              <c:f>'Días de cobertura'!$C$87</c:f>
              <c:strCache>
                <c:ptCount val="1"/>
                <c:pt idx="0">
                  <c:v>META (21 DÍAS)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cobertura'!$D$87:$U$87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4-434F-9200-A71967776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587216"/>
        <c:axId val="1556575152"/>
      </c:barChart>
      <c:catAx>
        <c:axId val="15565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75152"/>
        <c:crosses val="autoZero"/>
        <c:auto val="1"/>
        <c:lblAlgn val="ctr"/>
        <c:lblOffset val="100"/>
        <c:noMultiLvlLbl val="0"/>
      </c:catAx>
      <c:valAx>
        <c:axId val="1556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MANDOS MEDIOS 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cobertura'!$C$88</c:f>
              <c:strCache>
                <c:ptCount val="1"/>
                <c:pt idx="0">
                  <c:v>MANDOS MEDIOS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cobertura'!$D$88:$U$88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8-42CF-9C75-46753BA64198}"/>
            </c:ext>
          </c:extLst>
        </c:ser>
        <c:ser>
          <c:idx val="1"/>
          <c:order val="1"/>
          <c:tx>
            <c:strRef>
              <c:f>'Días de cobertura'!$C$89</c:f>
              <c:strCache>
                <c:ptCount val="1"/>
                <c:pt idx="0">
                  <c:v>META (28 DÍAS)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cobertura'!$D$83:$U$83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cobertura'!$D$89:$U$89</c:f>
              <c:numCache>
                <c:formatCode>General</c:formatCode>
                <c:ptCount val="1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8-42CF-9C75-46753BA64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579728"/>
        <c:axId val="1556585552"/>
      </c:barChart>
      <c:catAx>
        <c:axId val="15565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85552"/>
        <c:crosses val="autoZero"/>
        <c:auto val="1"/>
        <c:lblAlgn val="ctr"/>
        <c:lblOffset val="100"/>
        <c:noMultiLvlLbl val="0"/>
      </c:catAx>
      <c:valAx>
        <c:axId val="15565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MANDOS MEDIOS 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'Días de cobertura'!$C$10</c:f>
              <c:strCache>
                <c:ptCount val="1"/>
                <c:pt idx="0">
                  <c:v>MANDOS MEDIOS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cobertura'!$D$10:$U$10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86.5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6-4FA9-8E91-EA7C9C277D75}"/>
            </c:ext>
          </c:extLst>
        </c:ser>
        <c:ser>
          <c:idx val="1"/>
          <c:order val="1"/>
          <c:tx>
            <c:strRef>
              <c:f>'Días de cobertura'!$D$5</c:f>
              <c:strCache>
                <c:ptCount val="1"/>
                <c:pt idx="0">
                  <c:v>JULIO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cobertura'!$E$5:$L$5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6-4FA9-8E91-EA7C9C277D75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'Días de cobertura'!$D$5:$U$5</c:f>
              <c:strCache>
                <c:ptCount val="18"/>
                <c:pt idx="0">
                  <c:v>JULIO 2021</c:v>
                </c:pt>
                <c:pt idx="1">
                  <c:v>AGOSTO 2021</c:v>
                </c:pt>
                <c:pt idx="2">
                  <c:v>SEPTIEMBRE 2021</c:v>
                </c:pt>
                <c:pt idx="3">
                  <c:v>OCTUBRE 2021</c:v>
                </c:pt>
                <c:pt idx="4">
                  <c:v>NOVIEMBRE 2021</c:v>
                </c:pt>
                <c:pt idx="5">
                  <c:v>DICIEMBRE 2021</c:v>
                </c:pt>
                <c:pt idx="6">
                  <c:v>ENERO 2022</c:v>
                </c:pt>
                <c:pt idx="7">
                  <c:v>FEBRERO 2022</c:v>
                </c:pt>
                <c:pt idx="8">
                  <c:v>MARZO 2022</c:v>
                </c:pt>
                <c:pt idx="9">
                  <c:v>ABRIL 2022</c:v>
                </c:pt>
                <c:pt idx="10">
                  <c:v>MAYO 2022</c:v>
                </c:pt>
                <c:pt idx="11">
                  <c:v>JUNIO 2022</c:v>
                </c:pt>
                <c:pt idx="12">
                  <c:v>JULIO 2022</c:v>
                </c:pt>
                <c:pt idx="13">
                  <c:v>AGOSTO 2022</c:v>
                </c:pt>
                <c:pt idx="14">
                  <c:v>SEPTIEMBRE 2022</c:v>
                </c:pt>
                <c:pt idx="15">
                  <c:v>OCTUBRE 2022</c:v>
                </c:pt>
                <c:pt idx="16">
                  <c:v>NOVIEMBRE 2022</c:v>
                </c:pt>
                <c:pt idx="17">
                  <c:v>DICIEMBRE 2022</c:v>
                </c:pt>
              </c:strCache>
            </c:strRef>
          </c:cat>
          <c:val>
            <c:numRef>
              <c:f>'Días de cobertura'!$D$11:$U$11</c:f>
              <c:numCache>
                <c:formatCode>General</c:formatCode>
                <c:ptCount val="1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6-4FA9-8E91-EA7C9C277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501583"/>
        <c:axId val="224497423"/>
      </c:barChart>
      <c:catAx>
        <c:axId val="2245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97423"/>
        <c:crosses val="autoZero"/>
        <c:auto val="1"/>
        <c:lblAlgn val="ctr"/>
        <c:lblOffset val="100"/>
        <c:noMultiLvlLbl val="0"/>
      </c:catAx>
      <c:valAx>
        <c:axId val="2244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857250</xdr:colOff>
      <xdr:row>0</xdr:row>
      <xdr:rowOff>515575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18B68A-0BDB-44EB-9348-654B4EA70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819150" cy="515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14</xdr:row>
      <xdr:rowOff>47112</xdr:rowOff>
    </xdr:from>
    <xdr:to>
      <xdr:col>15</xdr:col>
      <xdr:colOff>749711</xdr:colOff>
      <xdr:row>31</xdr:row>
      <xdr:rowOff>61451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CA44EB-CA8B-46C3-AD5C-7CCF7B63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994695</xdr:colOff>
      <xdr:row>13</xdr:row>
      <xdr:rowOff>114246</xdr:rowOff>
    </xdr:from>
    <xdr:to>
      <xdr:col>6</xdr:col>
      <xdr:colOff>839839</xdr:colOff>
      <xdr:row>30</xdr:row>
      <xdr:rowOff>51210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A4B8F7-042E-4018-92D0-29999672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27210</xdr:colOff>
      <xdr:row>43</xdr:row>
      <xdr:rowOff>188579</xdr:rowOff>
    </xdr:from>
    <xdr:to>
      <xdr:col>19</xdr:col>
      <xdr:colOff>913581</xdr:colOff>
      <xdr:row>61</xdr:row>
      <xdr:rowOff>178209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B04B89-BFAD-4B80-80D1-EBF08060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453775</xdr:colOff>
      <xdr:row>44</xdr:row>
      <xdr:rowOff>105308</xdr:rowOff>
    </xdr:from>
    <xdr:to>
      <xdr:col>8</xdr:col>
      <xdr:colOff>652836</xdr:colOff>
      <xdr:row>61</xdr:row>
      <xdr:rowOff>139128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A44BFE-29B9-4B13-B365-910B49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25684</xdr:colOff>
      <xdr:row>62</xdr:row>
      <xdr:rowOff>105308</xdr:rowOff>
    </xdr:from>
    <xdr:to>
      <xdr:col>14</xdr:col>
      <xdr:colOff>224746</xdr:colOff>
      <xdr:row>78</xdr:row>
      <xdr:rowOff>96318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F7631A-A54C-4C5F-A1A9-30ABEED8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655735</xdr:colOff>
      <xdr:row>91</xdr:row>
      <xdr:rowOff>37125</xdr:rowOff>
    </xdr:from>
    <xdr:to>
      <xdr:col>17</xdr:col>
      <xdr:colOff>955123</xdr:colOff>
      <xdr:row>105</xdr:row>
      <xdr:rowOff>83359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8101AA-67FD-4AAF-B84F-E701BF94E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715980</xdr:colOff>
      <xdr:row>91</xdr:row>
      <xdr:rowOff>14340</xdr:rowOff>
    </xdr:from>
    <xdr:to>
      <xdr:col>7</xdr:col>
      <xdr:colOff>86687</xdr:colOff>
      <xdr:row>105</xdr:row>
      <xdr:rowOff>60574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CAC340-783D-48B9-AB4B-BC9D3C78D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491233</xdr:colOff>
      <xdr:row>106</xdr:row>
      <xdr:rowOff>35746</xdr:rowOff>
    </xdr:from>
    <xdr:to>
      <xdr:col>10</xdr:col>
      <xdr:colOff>471968</xdr:colOff>
      <xdr:row>120</xdr:row>
      <xdr:rowOff>81979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E26EFA-E323-4668-8AD2-710A4DB61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117376</xdr:colOff>
      <xdr:row>14</xdr:row>
      <xdr:rowOff>23282</xdr:rowOff>
    </xdr:from>
    <xdr:to>
      <xdr:col>24</xdr:col>
      <xdr:colOff>624759</xdr:colOff>
      <xdr:row>30</xdr:row>
      <xdr:rowOff>174113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A631B96-5933-468B-A367-8D16B735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325695</xdr:colOff>
      <xdr:row>135</xdr:row>
      <xdr:rowOff>52026</xdr:rowOff>
    </xdr:from>
    <xdr:to>
      <xdr:col>8</xdr:col>
      <xdr:colOff>809113</xdr:colOff>
      <xdr:row>152</xdr:row>
      <xdr:rowOff>92176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FD6939-C05A-4C9C-8A03-734C1FE15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18434</xdr:colOff>
      <xdr:row>135</xdr:row>
      <xdr:rowOff>103239</xdr:rowOff>
    </xdr:from>
    <xdr:to>
      <xdr:col>16</xdr:col>
      <xdr:colOff>583790</xdr:colOff>
      <xdr:row>149</xdr:row>
      <xdr:rowOff>122084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F8E9007-5962-4F8D-8DB4-A989C2DC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366660</xdr:colOff>
      <xdr:row>154</xdr:row>
      <xdr:rowOff>164691</xdr:rowOff>
    </xdr:from>
    <xdr:to>
      <xdr:col>11</xdr:col>
      <xdr:colOff>71693</xdr:colOff>
      <xdr:row>168</xdr:row>
      <xdr:rowOff>183536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CAAFCA7-3FA9-4535-8257-221B1071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399435</xdr:colOff>
      <xdr:row>1</xdr:row>
      <xdr:rowOff>51209</xdr:rowOff>
    </xdr:from>
    <xdr:to>
      <xdr:col>30</xdr:col>
      <xdr:colOff>189881</xdr:colOff>
      <xdr:row>13</xdr:row>
      <xdr:rowOff>30725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AD3A23-2DC8-4E35-A9D8-5445B6D0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51210</xdr:colOff>
      <xdr:row>43</xdr:row>
      <xdr:rowOff>102419</xdr:rowOff>
    </xdr:from>
    <xdr:to>
      <xdr:col>29</xdr:col>
      <xdr:colOff>671291</xdr:colOff>
      <xdr:row>61</xdr:row>
      <xdr:rowOff>92049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F07A8EF-ED54-46FE-9919-6E3165A4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983226</xdr:colOff>
      <xdr:row>91</xdr:row>
      <xdr:rowOff>30727</xdr:rowOff>
    </xdr:from>
    <xdr:to>
      <xdr:col>25</xdr:col>
      <xdr:colOff>94550</xdr:colOff>
      <xdr:row>105</xdr:row>
      <xdr:rowOff>76961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53352D6-34E0-4E6B-8170-DBE6E516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747661</xdr:colOff>
      <xdr:row>135</xdr:row>
      <xdr:rowOff>10241</xdr:rowOff>
    </xdr:from>
    <xdr:to>
      <xdr:col>24</xdr:col>
      <xdr:colOff>145437</xdr:colOff>
      <xdr:row>149</xdr:row>
      <xdr:rowOff>29086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F9B3FA1-434F-4D91-8082-092EA90F0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16</xdr:row>
      <xdr:rowOff>147636</xdr:rowOff>
    </xdr:from>
    <xdr:to>
      <xdr:col>12</xdr:col>
      <xdr:colOff>142875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C5193B-58E9-4EFC-9ADB-ACCA748D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459144</xdr:colOff>
      <xdr:row>33</xdr:row>
      <xdr:rowOff>92177</xdr:rowOff>
    </xdr:from>
    <xdr:to>
      <xdr:col>29</xdr:col>
      <xdr:colOff>532581</xdr:colOff>
      <xdr:row>51</xdr:row>
      <xdr:rowOff>105491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1AE35-E4C4-4D41-B6A9-F7A5D2E9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71</xdr:row>
      <xdr:rowOff>123825</xdr:rowOff>
    </xdr:from>
    <xdr:to>
      <xdr:col>10</xdr:col>
      <xdr:colOff>361950</xdr:colOff>
      <xdr:row>86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523305-6E12-4B9E-A1F7-141152AC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1032386</xdr:colOff>
      <xdr:row>105</xdr:row>
      <xdr:rowOff>52029</xdr:rowOff>
    </xdr:from>
    <xdr:to>
      <xdr:col>8</xdr:col>
      <xdr:colOff>686208</xdr:colOff>
      <xdr:row>119</xdr:row>
      <xdr:rowOff>70874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F7B287-3511-4023-8C43-7A6A8639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1312B-69E6-4D88-AD3F-466A3D52C0D0}" name="Tabla1" displayName="Tabla1" ref="B4:R318" totalsRowShown="0" headerRowDxfId="313" tableBorderDxfId="312">
  <autoFilter ref="B4:R318" xr:uid="{5931312B-69E6-4D88-AD3F-466A3D52C0D0}"/>
  <tableColumns count="17">
    <tableColumn id="1" xr3:uid="{D63F4B8C-CD15-43AC-8866-AF01534F8656}" name="FECHA DE AUTORIZACIÓN" dataDxfId="311"/>
    <tableColumn id="2" xr3:uid="{49CBF577-479A-4B36-9DC0-7421EBAADAA8}" name="MES" dataDxfId="310"/>
    <tableColumn id="3" xr3:uid="{77F3725E-888A-4D73-82BC-6FAA827EF531}" name="PUESTO" dataDxfId="309"/>
    <tableColumn id="4" xr3:uid="{8DD42690-1177-4A77-BD0A-CCBE0073833E}" name="REEMPLAZA A:" dataDxfId="308"/>
    <tableColumn id="5" xr3:uid="{4E0DA283-C664-4F10-890A-D6C47E591313}" name="CATEGORIA " dataDxfId="307"/>
    <tableColumn id="6" xr3:uid="{9A83ADD6-B4CC-4F39-855B-CB791D05888F}" name="RECLUTADOR" dataDxfId="306"/>
    <tableColumn id="7" xr3:uid="{084F0D1B-3715-4674-AFBB-6F07D7E5CB26}" name="TIPO DE VACANTE _x000a_(MEDIO /ADMINISTRATIVAS  AUX. / OPERATIVO)" dataDxfId="305"/>
    <tableColumn id="8" xr3:uid="{D8938D8E-FE38-44AC-8262-3EF2B2D844EB}" name="EMPRESA" dataDxfId="304"/>
    <tableColumn id="9" xr3:uid="{AA5C83A4-6293-4103-92BC-574298C6AD65}" name="TIPO DE CONTRATO" dataDxfId="303"/>
    <tableColumn id="10" xr3:uid="{871AFD9E-895E-4859-9171-A3AB628ADD00}" name="FECHA DE SELECCIÓN" dataDxfId="302"/>
    <tableColumn id="11" xr3:uid="{B45B5849-EEA1-4DE6-B6FF-C9D9495FAEB3}" name="MES DE SELECCIÓN" dataDxfId="301"/>
    <tableColumn id="12" xr3:uid="{DA7C6A99-F280-48CC-BF94-9ABA6F2E19FD}" name="DÍAS META" dataDxfId="300"/>
    <tableColumn id="13" xr3:uid="{3F25DFB8-C279-4061-9CFF-117E9F14FAF3}" name="DÍAS DE COBERTURA" dataDxfId="299"/>
    <tableColumn id="14" xr3:uid="{B672DFC1-81F4-49D4-B28D-155F73B656FF}" name="EN TIEMPO O FUERA DE TIEMPO" dataDxfId="298"/>
    <tableColumn id="15" xr3:uid="{6064AE18-C2E1-421B-9077-13658DBA968C}" name="ESTATUS" dataDxfId="297"/>
    <tableColumn id="16" xr3:uid="{AEB3F454-99BD-4DC6-9F50-1D48AB76E1E7}" name="FUENTE DE RECLUTAMIENTO" dataDxfId="296"/>
    <tableColumn id="17" xr3:uid="{8D163422-192B-4E0E-90FF-B2DB843B77A0}" name="NOMBRE DEL INGRESO" dataDxfId="29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77ADFD-86E8-420B-8560-946BB48BD3B4}" name="Tabla2" displayName="Tabla2" ref="C5:U13" headerRowDxfId="106" dataDxfId="105" tableBorderDxfId="104">
  <autoFilter ref="C5:U13" xr:uid="{8C77ADFD-86E8-420B-8560-946BB48BD3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E1473AC-AAB4-46C6-96E3-ADEBE3814883}" name="tipo vacante/dias meta" totalsRowLabel="Total" dataDxfId="102" totalsRowDxfId="103"/>
    <tableColumn id="2" xr3:uid="{F24147BF-E3EC-471D-B322-A11C40871EA8}" name="JULIO 2021" dataDxfId="100" totalsRowDxfId="101"/>
    <tableColumn id="3" xr3:uid="{C00579B0-EA8D-4594-A24B-EA0E08D1A932}" name="AGOSTO 2021" dataDxfId="98" totalsRowDxfId="99"/>
    <tableColumn id="4" xr3:uid="{D3DD0516-63F3-4114-9858-F45F123978BA}" name="SEPTIEMBRE 2021" dataDxfId="96" totalsRowDxfId="97"/>
    <tableColumn id="5" xr3:uid="{F39D1463-4698-4991-B6E9-D2862C0869A3}" name="OCTUBRE 2021" dataDxfId="94" totalsRowDxfId="95"/>
    <tableColumn id="6" xr3:uid="{F3A555F8-8B4B-48C1-98AF-7C8F35E64A57}" name="NOVIEMBRE 2021" dataDxfId="92" totalsRowDxfId="93"/>
    <tableColumn id="7" xr3:uid="{D4196E7B-B1F6-4D11-B3A9-4681E824E700}" name="DICIEMBRE 2021" dataDxfId="90" totalsRowDxfId="91"/>
    <tableColumn id="8" xr3:uid="{A89C61DB-7887-405C-B250-74FCB3D57FB4}" name="ENERO 2022" dataDxfId="88" totalsRowDxfId="89"/>
    <tableColumn id="9" xr3:uid="{50F2FDF8-DCE2-4594-A93C-0DDC3FDF1594}" name="FEBRERO 2022" dataDxfId="86" totalsRowDxfId="87"/>
    <tableColumn id="10" xr3:uid="{1C6E3430-9810-429F-A1F7-0FF5444FF8C7}" name="MARZO 2022" dataDxfId="84" totalsRowDxfId="85"/>
    <tableColumn id="11" xr3:uid="{3A853049-A34A-4640-8586-A0121AF28EFA}" name="ABRIL 2022" totalsRowFunction="count" dataDxfId="82" totalsRowDxfId="83">
      <calculatedColumnFormula>IFERROR(AVERAGEIFS(Tabla1[DÍAS DE COBERTURA],Tabla1[MES DE SELECCIÓN],Tabla2[[#Headers],[ABRIL 2022]],Tabla1[DÍAS META],DIAS_META_OPERATIVAS,Tabla1[ESTATUS],Estatuss,Tabla1[EMPRESA],ALMAN,Tabla1[TIPO DE VACANTE 
(MEDIO /ADMINISTRATIVAS  AUX. / OPERATIVO)],OPERATIVO),NA)</calculatedColumnFormula>
    </tableColumn>
    <tableColumn id="12" xr3:uid="{669F5CBD-6CFB-46C5-9A17-4541B63D6A5A}" name="MAYO 2022" dataDxfId="80" totalsRowDxfId="81">
      <calculatedColumnFormula>IFERROR(AVERAGEIFS(Tabla1[DÍAS DE COBERTURA],Tabla1[MES DE SELECCIÓN],N5,Tabla1[DÍAS META],DIAS_META_OPERATIVAS,Tabla1[ESTATUS],Estatuss,Tabla1[EMPRESA],ALMAN,Tabla1[TIPO DE VACANTE 
(MEDIO /ADMINISTRATIVAS  AUX. / OPERATIVO)],OPERATIVO),NA)</calculatedColumnFormula>
    </tableColumn>
    <tableColumn id="13" xr3:uid="{B2104AE4-3AC0-4196-B28C-ACB7AA8D727B}" name="JUNIO 2022" dataDxfId="78" totalsRowDxfId="79">
      <calculatedColumnFormula>IFERROR(AVERAGEIFS(Tabla1[DÍAS DE COBERTURA],Tabla1[MES DE SELECCIÓN],O5,Tabla1[DÍAS META],DIAS_META_OPERATIVAS,Tabla1[ESTATUS],Estatuss,Tabla1[EMPRESA],ALMAN,Tabla1[TIPO DE VACANTE 
(MEDIO /ADMINISTRATIVAS  AUX. / OPERATIVO)],OPERATIVO),NA)</calculatedColumnFormula>
    </tableColumn>
    <tableColumn id="14" xr3:uid="{1AA0F382-9F0A-4A6A-AA3D-1FD60264DCA0}" name="JULIO 2022" dataDxfId="76" totalsRowDxfId="77">
      <calculatedColumnFormula>IFERROR(AVERAGEIFS(Tabla1[DÍAS DE COBERTURA],Tabla1[MES DE SELECCIÓN],P5,Tabla1[DÍAS META],DIAS_META_OPERATIVAS,Tabla1[ESTATUS],Estatuss,Tabla1[EMPRESA],ALMAN,Tabla1[TIPO DE VACANTE 
(MEDIO /ADMINISTRATIVAS  AUX. / OPERATIVO)],OPERATIVO),NA)</calculatedColumnFormula>
    </tableColumn>
    <tableColumn id="15" xr3:uid="{2182931E-E368-44C1-987C-7EBDDEAB8D31}" name="AGOSTO 2022" dataDxfId="74" totalsRowDxfId="75">
      <calculatedColumnFormula>IFERROR(AVERAGEIFS(Tabla1[DÍAS DE COBERTURA],Tabla1[MES DE SELECCIÓN],Q5,Tabla1[DÍAS META],DIAS_META_OPERATIVAS,Tabla1[ESTATUS],Estatuss,Tabla1[EMPRESA],ALMAN,Tabla1[TIPO DE VACANTE 
(MEDIO /ADMINISTRATIVAS  AUX. / OPERATIVO)],OPERATIVO),NA)</calculatedColumnFormula>
    </tableColumn>
    <tableColumn id="16" xr3:uid="{B94A4CBE-1C7A-42C6-82A3-D3A267007A61}" name="SEPTIEMBRE 2022" dataDxfId="72" totalsRowDxfId="73">
      <calculatedColumnFormula>IFERROR(AVERAGEIFS(Tabla1[DÍAS DE COBERTURA],Tabla1[MES DE SELECCIÓN],R5,Tabla1[DÍAS META],DIAS_META_OPERATIVAS,Tabla1[ESTATUS],Estatuss,Tabla1[EMPRESA],ALMAN,Tabla1[TIPO DE VACANTE 
(MEDIO /ADMINISTRATIVAS  AUX. / OPERATIVO)],OPERATIVO),NA)</calculatedColumnFormula>
    </tableColumn>
    <tableColumn id="17" xr3:uid="{1107D87C-5C39-4E93-B868-37600E8120E6}" name="OCTUBRE 2022" dataDxfId="70" totalsRowDxfId="71">
      <calculatedColumnFormula>IFERROR(AVERAGEIFS(Tabla1[DÍAS DE COBERTURA],Tabla1[MES DE SELECCIÓN],S5,Tabla1[DÍAS META],DIAS_META_OPERATIVAS,Tabla1[ESTATUS],Estatuss,Tabla1[EMPRESA],ALMAN,Tabla1[TIPO DE VACANTE 
(MEDIO /ADMINISTRATIVAS  AUX. / OPERATIVO)],OPERATIVO),NA)</calculatedColumnFormula>
    </tableColumn>
    <tableColumn id="18" xr3:uid="{26AD140D-83F0-4A66-B030-F5926EF91A9C}" name="NOVIEMBRE 2022" dataDxfId="68" totalsRowDxfId="69">
      <calculatedColumnFormula>IFERROR(AVERAGEIFS(Tabla1[DÍAS DE COBERTURA],Tabla1[MES DE SELECCIÓN],T5,Tabla1[DÍAS META],DIAS_META_OPERATIVAS,Tabla1[ESTATUS],Estatuss,Tabla1[EMPRESA],ALMAN,Tabla1[TIPO DE VACANTE 
(MEDIO /ADMINISTRATIVAS  AUX. / OPERATIVO)],OPERATIVO),NA)</calculatedColumnFormula>
    </tableColumn>
    <tableColumn id="19" xr3:uid="{11A2B214-A2AE-424C-806D-AFFDE23F1064}" name="DICIEMBRE 2022" dataDxfId="66" totalsRowDxfId="67">
      <calculatedColumnFormula>IFERROR(AVERAGEIFS(Tabla1[DÍAS DE COBERTURA],Tabla1[MES DE SELECCIÓN],U5,Tabla1[DÍAS META],DIAS_META_OPERATIVAS,Tabla1[ESTATUS],Estatuss,Tabla1[EMPRESA],ALMAN,Tabla1[TIPO DE VACANTE 
(MEDIO /ADMINISTRATIVAS  AUX. / OPERATIVO)],OPERATIVO),NA)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DB055-F775-4AD5-9FB5-CEAE5C6FBEA7}" name="Tabla3" displayName="Tabla3" ref="C35:U43" totalsRowShown="0" headerRowDxfId="65" dataDxfId="64" tableBorderDxfId="63">
  <autoFilter ref="C35:U43" xr:uid="{72ADB055-F775-4AD5-9FB5-CEAE5C6FBE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74B14C8-784E-4113-85CB-96EFAF468958}" name="tipo vacante/dias meta" dataDxfId="62"/>
    <tableColumn id="2" xr3:uid="{985F9D35-43F8-4531-910C-EFAF9773A2BD}" name="JULIO 2021" dataDxfId="61"/>
    <tableColumn id="3" xr3:uid="{255B3286-D75A-4433-89BB-0500EF355A25}" name="AGOSTO 2021" dataDxfId="60"/>
    <tableColumn id="4" xr3:uid="{CEAC2B5D-5F28-4AB0-B3AA-2E11D4D23682}" name="SEPTIEMBRE 2021" dataDxfId="59"/>
    <tableColumn id="5" xr3:uid="{AEB2398A-2FFE-47B1-8761-B4C02F08B7E8}" name="OCTUBRE 2021" dataDxfId="58"/>
    <tableColumn id="6" xr3:uid="{6D002965-2B86-42FC-871D-352EBFE25037}" name="NOVIEMBRE 2021" dataDxfId="57"/>
    <tableColumn id="7" xr3:uid="{013A57EC-C05D-42C3-BE62-9C82A4F3C533}" name="DICIEMBRE 2021" dataDxfId="56"/>
    <tableColumn id="8" xr3:uid="{B47A693F-D180-465C-B5EF-EB08CC0C31C6}" name="ENERO 2022" dataDxfId="55"/>
    <tableColumn id="9" xr3:uid="{7F84E7B2-4E17-4EF5-9E88-E5D062819CA6}" name="FEBRERO 2022" dataDxfId="54"/>
    <tableColumn id="10" xr3:uid="{D06C600E-2A28-4D33-BEEA-65F2B24DAE2B}" name="MARZO 2022" dataDxfId="53"/>
    <tableColumn id="11" xr3:uid="{2C1B5E06-F3D0-4CBF-9324-D39B17B2CD61}" name="ABRIL 2022" dataDxfId="52"/>
    <tableColumn id="12" xr3:uid="{70FC8E24-C99E-462A-999D-33745A85B55D}" name="MAYO 2022" dataDxfId="51"/>
    <tableColumn id="13" xr3:uid="{2806C02B-7800-42C0-B413-3D62C1C3996F}" name="JUNIO 2022" dataDxfId="50"/>
    <tableColumn id="14" xr3:uid="{3EC5DEEA-0621-40ED-84BB-082084A6F8BF}" name="JULIO 2022" dataDxfId="49"/>
    <tableColumn id="15" xr3:uid="{2A67CE06-DADB-477C-BE96-CBC781374C22}" name="AGOSTO 2022" dataDxfId="48"/>
    <tableColumn id="16" xr3:uid="{CE57DBEF-8366-4788-B30A-4282E236B998}" name="SEPTIEMBRE 2022" dataDxfId="47"/>
    <tableColumn id="17" xr3:uid="{BC1BC244-E74C-4DC7-865F-BC36638D8007}" name="OCTUBRE 2022" dataDxfId="46"/>
    <tableColumn id="18" xr3:uid="{3643E4A6-A941-4710-B862-3C863A57C95C}" name="NOVIEMBRE 2022" dataDxfId="45"/>
    <tableColumn id="19" xr3:uid="{2D67D2B6-AE7E-45C7-974B-1447F9570EBA}" name="DICIEMBRE 2022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8253D-BE27-44DA-BD44-A8A37F6BD548}" name="Tabla4" displayName="Tabla4" ref="C83:U91" totalsRowShown="0" headerRowDxfId="43" dataDxfId="42" tableBorderDxfId="41">
  <autoFilter ref="C83:U91" xr:uid="{E018253D-BE27-44DA-BD44-A8A37F6BD54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BA65D188-AB40-4C45-BC93-CF592D7F75C0}" name="tipo vacante/dias meta" dataDxfId="40"/>
    <tableColumn id="2" xr3:uid="{82A879A3-7768-4344-B817-8FAE3A617777}" name="JULIO 2021" dataDxfId="39"/>
    <tableColumn id="3" xr3:uid="{0469DFB7-DD93-4C65-B801-CBEF4E8A91A5}" name="AGOSTO 2021" dataDxfId="38"/>
    <tableColumn id="4" xr3:uid="{A4BA057C-5894-4113-A482-CBD1CB85C398}" name="SEPTIEMBRE 2021" dataDxfId="37"/>
    <tableColumn id="5" xr3:uid="{4327E9EC-A086-48CC-8899-E8C354A71AD7}" name="OCTUBRE 2021" dataDxfId="36"/>
    <tableColumn id="6" xr3:uid="{214375E0-F897-45A3-8F9B-73F07B42594F}" name="NOVIEMBRE 2021" dataDxfId="35"/>
    <tableColumn id="7" xr3:uid="{6183581A-0601-4114-8042-D3CB4E558B91}" name="DICIEMBRE 2021" dataDxfId="34"/>
    <tableColumn id="8" xr3:uid="{3B17A742-43ED-4F30-9543-649406E51012}" name="ENERO 2022" dataDxfId="33"/>
    <tableColumn id="9" xr3:uid="{4F313C9C-5155-4694-ACB6-40126A366B12}" name="FEBRERO 2022" dataDxfId="32"/>
    <tableColumn id="10" xr3:uid="{ACD70CC5-B2DB-45E6-9791-50485EEDA2EE}" name="MARZO 2022" dataDxfId="31"/>
    <tableColumn id="11" xr3:uid="{DD14DD41-827B-4496-81C0-033DC368BF2D}" name="ABRIL 2022" dataDxfId="30"/>
    <tableColumn id="12" xr3:uid="{3B2889B8-83C8-41FA-A835-CB58925FCB94}" name="MAYO 2022" dataDxfId="29"/>
    <tableColumn id="13" xr3:uid="{E478031F-E016-48F0-99FD-BDD33CF0446A}" name="JUNIO 2022" dataDxfId="28"/>
    <tableColumn id="14" xr3:uid="{7943AAEF-383E-468E-81E7-58B53F70B951}" name="JULIO 2022" dataDxfId="27"/>
    <tableColumn id="15" xr3:uid="{EA84AA01-1CD2-49F1-A7F4-34FAC0942102}" name="AGOSTO 2022" dataDxfId="26"/>
    <tableColumn id="16" xr3:uid="{44F202D3-AA9D-4467-93F5-310F52029AF3}" name="SEPTIEMBRE 2022" dataDxfId="25"/>
    <tableColumn id="17" xr3:uid="{9237FD4B-5051-409C-87C1-E340F840C2FC}" name="OCTUBRE 2022" dataDxfId="24"/>
    <tableColumn id="18" xr3:uid="{1B94BB93-D9D5-4352-A93B-C0C0C7272AC3}" name="NOVIEMBRE 2022" dataDxfId="23"/>
    <tableColumn id="19" xr3:uid="{B877A731-241A-476A-9D63-7119FAA3598D}" name="DICIEMBRE 2022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73F509-DF1F-44F3-91A2-100161C00361}" name="Tabla46" displayName="Tabla46" ref="C126:U134" totalsRowShown="0" headerRowDxfId="21" dataDxfId="20" tableBorderDxfId="19">
  <autoFilter ref="C126:U134" xr:uid="{5973F509-DF1F-44F3-91A2-100161C00361}"/>
  <tableColumns count="19">
    <tableColumn id="1" xr3:uid="{674F6C02-20B3-42F0-A399-D7D4D2AAE28B}" name="tipo vacante/dias meta" dataDxfId="18"/>
    <tableColumn id="2" xr3:uid="{DE83B8DD-57EE-438E-9E9F-FC783F3D4A68}" name="JULIO 2021" dataDxfId="17"/>
    <tableColumn id="3" xr3:uid="{BDF9AB93-E56E-4772-8ECC-ACAB3B079E5C}" name="AGOSTO 2021" dataDxfId="16"/>
    <tableColumn id="4" xr3:uid="{8D66A870-3A1A-4C07-AA1B-640E4D07CFEB}" name="SEPTIEMBRE 2021" dataDxfId="15"/>
    <tableColumn id="5" xr3:uid="{4D164C64-481F-490C-969B-8AAD34470726}" name="OCTUBRE 2021" dataDxfId="14"/>
    <tableColumn id="6" xr3:uid="{481D3CFE-BD4B-4915-9DDC-2E2125AD25CF}" name="NOVIEMBRE 2021" dataDxfId="13"/>
    <tableColumn id="7" xr3:uid="{85D11773-DE62-4807-8471-3BD7F36911C9}" name="DICIEMBRE 2021" dataDxfId="12"/>
    <tableColumn id="8" xr3:uid="{270B2138-7DA5-4097-934F-C78CF7185052}" name="ENERO 2022" dataDxfId="11"/>
    <tableColumn id="9" xr3:uid="{CFC9DCA6-FBAC-4862-ABB7-E33411B4C61B}" name="FEBRERO 2022" dataDxfId="10"/>
    <tableColumn id="10" xr3:uid="{65EFAEBC-C843-470C-B1C7-83BB15ACB94F}" name="MARZO 2022" dataDxfId="9"/>
    <tableColumn id="11" xr3:uid="{C23A15BF-B57C-4791-93F3-1AA130B976B1}" name="ABRIL 2022" dataDxfId="8"/>
    <tableColumn id="12" xr3:uid="{CF1DE892-3934-4E32-BC9D-95DC79C1C8AF}" name="MAYO 2022" dataDxfId="7"/>
    <tableColumn id="13" xr3:uid="{E868F465-91D6-49EE-B554-89F47F1F6E1F}" name="JUNIO 2022" dataDxfId="6"/>
    <tableColumn id="14" xr3:uid="{1E5ECB22-1E39-48AD-A0AC-1F8CEADC754D}" name="JULIO 2022" dataDxfId="5"/>
    <tableColumn id="15" xr3:uid="{FD97177B-06FA-4EDC-AB3E-03E8DAC263D8}" name="AGOSTO 2022" dataDxfId="4"/>
    <tableColumn id="16" xr3:uid="{59A6FD91-71D1-40DA-9BFB-A97ABA360CED}" name="SEPTIEMBRE 2022" dataDxfId="3"/>
    <tableColumn id="17" xr3:uid="{533204BE-B4A7-495E-A3AE-0A7309BF0F12}" name="OCTUBRE 2022" dataDxfId="2"/>
    <tableColumn id="18" xr3:uid="{3466CD1F-9B52-42A2-9379-3421D6CC75A9}" name="NOVIEMBRE 2022" dataDxfId="1"/>
    <tableColumn id="19" xr3:uid="{A0141F6C-5BB0-42D3-8033-A0072672BEA8}" name="DICIEMBRE 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901D-6E0B-4C98-81BA-3DF3649A0D76}">
  <dimension ref="B1:Y319"/>
  <sheetViews>
    <sheetView zoomScale="91" zoomScaleNormal="91" workbookViewId="0">
      <selection activeCell="N319" sqref="N319"/>
    </sheetView>
  </sheetViews>
  <sheetFormatPr defaultColWidth="11.42578125" defaultRowHeight="15"/>
  <cols>
    <col min="1" max="1" width="0.85546875" customWidth="1"/>
    <col min="2" max="2" width="22.85546875" customWidth="1"/>
    <col min="3" max="3" width="19.28515625" customWidth="1"/>
    <col min="4" max="4" width="40.7109375" customWidth="1"/>
    <col min="5" max="5" width="29.28515625" customWidth="1"/>
    <col min="6" max="6" width="17.85546875" customWidth="1"/>
    <col min="7" max="7" width="18.5703125" customWidth="1"/>
    <col min="8" max="8" width="45.28515625" bestFit="1" customWidth="1"/>
    <col min="10" max="10" width="18.28515625" customWidth="1"/>
    <col min="11" max="11" width="19.42578125" customWidth="1"/>
    <col min="12" max="12" width="24.140625" customWidth="1"/>
    <col min="13" max="13" width="18.85546875" customWidth="1"/>
    <col min="14" max="14" width="27.7109375" customWidth="1"/>
    <col min="15" max="15" width="22.42578125" bestFit="1" customWidth="1"/>
    <col min="16" max="16" width="25" customWidth="1"/>
    <col min="17" max="17" width="27.140625" bestFit="1" customWidth="1"/>
    <col min="18" max="18" width="33.5703125" bestFit="1" customWidth="1"/>
    <col min="19" max="19" width="15.140625" customWidth="1"/>
    <col min="20" max="20" width="14.7109375" customWidth="1"/>
    <col min="21" max="21" width="22.28515625" customWidth="1"/>
    <col min="22" max="22" width="25.42578125" customWidth="1"/>
    <col min="23" max="23" width="16.5703125" customWidth="1"/>
    <col min="24" max="24" width="19.140625" customWidth="1"/>
    <col min="25" max="25" width="23.42578125" customWidth="1"/>
  </cols>
  <sheetData>
    <row r="1" spans="2:20" s="1" customFormat="1" ht="45" customHeight="1" thickTop="1" thickBot="1"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4"/>
      <c r="M1" s="93"/>
      <c r="N1" s="93"/>
      <c r="O1" s="93"/>
      <c r="P1" s="93"/>
      <c r="Q1" s="93"/>
      <c r="R1" s="95"/>
      <c r="S1" s="95"/>
      <c r="T1" s="5"/>
    </row>
    <row r="2" spans="2:20" ht="15.75" thickTop="1"/>
    <row r="3" spans="2:20" ht="15.75" thickBot="1"/>
    <row r="4" spans="2:20" s="1" customFormat="1" ht="25.5" customHeight="1" thickTop="1" thickBot="1"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4" t="s">
        <v>6</v>
      </c>
      <c r="H4" s="41" t="s">
        <v>7</v>
      </c>
      <c r="I4" s="33" t="s">
        <v>8</v>
      </c>
      <c r="J4" s="33" t="s">
        <v>9</v>
      </c>
      <c r="K4" s="35" t="s">
        <v>10</v>
      </c>
      <c r="L4" s="3" t="s">
        <v>11</v>
      </c>
      <c r="M4" s="4" t="s">
        <v>12</v>
      </c>
      <c r="N4" s="2" t="s">
        <v>13</v>
      </c>
      <c r="O4" s="2" t="s">
        <v>14</v>
      </c>
      <c r="P4" s="3" t="s">
        <v>15</v>
      </c>
      <c r="Q4" s="2" t="s">
        <v>16</v>
      </c>
      <c r="R4" s="2" t="s">
        <v>17</v>
      </c>
    </row>
    <row r="5" spans="2:20" ht="16.5" thickTop="1" thickBot="1">
      <c r="B5" s="30">
        <v>44172</v>
      </c>
      <c r="C5" s="31" t="s">
        <v>18</v>
      </c>
      <c r="D5" s="28" t="s">
        <v>19</v>
      </c>
      <c r="E5" s="28"/>
      <c r="F5" s="28" t="s">
        <v>20</v>
      </c>
      <c r="G5" s="28" t="s">
        <v>21</v>
      </c>
      <c r="H5" s="28" t="s">
        <v>22</v>
      </c>
      <c r="I5" s="28" t="s">
        <v>23</v>
      </c>
      <c r="J5" s="28" t="s">
        <v>24</v>
      </c>
      <c r="K5" s="32">
        <v>44636</v>
      </c>
      <c r="L5" s="81"/>
      <c r="M5" s="82">
        <v>28</v>
      </c>
      <c r="N5" s="27">
        <f>Tabla1[[#This Row],[FECHA DE SELECCIÓN]]-Tabla1[[#This Row],[FECHA DE AUTORIZACIÓN]]</f>
        <v>464</v>
      </c>
      <c r="O5" s="85" t="s">
        <v>25</v>
      </c>
      <c r="P5" s="28" t="s">
        <v>26</v>
      </c>
      <c r="Q5" s="86"/>
      <c r="R5" s="87"/>
    </row>
    <row r="6" spans="2:20" ht="16.5" thickTop="1" thickBot="1">
      <c r="B6" s="15">
        <v>44284</v>
      </c>
      <c r="C6" s="10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17" t="s">
        <v>33</v>
      </c>
      <c r="J6" s="17" t="s">
        <v>24</v>
      </c>
      <c r="K6" s="18">
        <v>44627</v>
      </c>
      <c r="L6" s="25" t="s">
        <v>34</v>
      </c>
      <c r="M6" s="19">
        <v>14</v>
      </c>
      <c r="N6" s="27">
        <f>Tabla1[[#This Row],[FECHA DE SELECCIÓN]]-Tabla1[[#This Row],[FECHA DE AUTORIZACIÓN]]</f>
        <v>343</v>
      </c>
      <c r="O6" s="83" t="s">
        <v>25</v>
      </c>
      <c r="P6" s="16" t="s">
        <v>35</v>
      </c>
      <c r="Q6" s="21"/>
      <c r="R6" s="59" t="s">
        <v>29</v>
      </c>
    </row>
    <row r="7" spans="2:20" ht="16.5" thickTop="1" thickBot="1">
      <c r="B7" s="15">
        <v>44306</v>
      </c>
      <c r="C7" s="10" t="s">
        <v>36</v>
      </c>
      <c r="D7" s="17" t="s">
        <v>37</v>
      </c>
      <c r="E7" s="17" t="s">
        <v>38</v>
      </c>
      <c r="F7" s="17" t="s">
        <v>20</v>
      </c>
      <c r="G7" s="17" t="s">
        <v>21</v>
      </c>
      <c r="H7" s="17" t="s">
        <v>22</v>
      </c>
      <c r="I7" s="17" t="s">
        <v>33</v>
      </c>
      <c r="J7" s="17" t="s">
        <v>24</v>
      </c>
      <c r="K7" s="18">
        <v>44505</v>
      </c>
      <c r="L7" s="25" t="s">
        <v>39</v>
      </c>
      <c r="M7" s="19">
        <v>28</v>
      </c>
      <c r="N7" s="27">
        <f>Tabla1[[#This Row],[FECHA DE SELECCIÓN]]-Tabla1[[#This Row],[FECHA DE AUTORIZACIÓN]]</f>
        <v>199</v>
      </c>
      <c r="O7" s="83" t="s">
        <v>25</v>
      </c>
      <c r="P7" s="16" t="s">
        <v>35</v>
      </c>
      <c r="Q7" s="21" t="s">
        <v>40</v>
      </c>
      <c r="R7" s="59" t="s">
        <v>41</v>
      </c>
    </row>
    <row r="8" spans="2:20" ht="16.5" thickTop="1" thickBot="1">
      <c r="B8" s="15">
        <v>44351</v>
      </c>
      <c r="C8" s="10" t="s">
        <v>42</v>
      </c>
      <c r="D8" s="17" t="s">
        <v>28</v>
      </c>
      <c r="E8" s="17" t="s">
        <v>43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24</v>
      </c>
      <c r="K8" s="18">
        <v>44636</v>
      </c>
      <c r="L8" s="25"/>
      <c r="M8" s="19">
        <v>14</v>
      </c>
      <c r="N8" s="27">
        <f>Tabla1[[#This Row],[FECHA DE SELECCIÓN]]-Tabla1[[#This Row],[FECHA DE AUTORIZACIÓN]]</f>
        <v>285</v>
      </c>
      <c r="O8" s="83" t="s">
        <v>25</v>
      </c>
      <c r="P8" s="16" t="s">
        <v>44</v>
      </c>
      <c r="Q8" s="21"/>
      <c r="R8" s="59"/>
    </row>
    <row r="9" spans="2:20" ht="16.5" thickTop="1" thickBot="1">
      <c r="B9" s="6">
        <v>44369</v>
      </c>
      <c r="C9" s="10" t="s">
        <v>42</v>
      </c>
      <c r="D9" s="7" t="s">
        <v>45</v>
      </c>
      <c r="E9" s="7" t="s">
        <v>46</v>
      </c>
      <c r="F9" s="7" t="s">
        <v>30</v>
      </c>
      <c r="G9" s="7" t="s">
        <v>31</v>
      </c>
      <c r="H9" s="7" t="s">
        <v>32</v>
      </c>
      <c r="I9" s="7" t="s">
        <v>23</v>
      </c>
      <c r="J9" s="7" t="s">
        <v>24</v>
      </c>
      <c r="K9" s="8">
        <v>44446</v>
      </c>
      <c r="L9" s="25" t="s">
        <v>47</v>
      </c>
      <c r="M9" s="19">
        <v>14</v>
      </c>
      <c r="N9" s="27">
        <f>Tabla1[[#This Row],[FECHA DE SELECCIÓN]]-Tabla1[[#This Row],[FECHA DE AUTORIZACIÓN]]</f>
        <v>77</v>
      </c>
      <c r="O9" s="83" t="s">
        <v>25</v>
      </c>
      <c r="P9" s="16" t="s">
        <v>35</v>
      </c>
      <c r="Q9" s="21" t="s">
        <v>48</v>
      </c>
      <c r="R9" s="59" t="s">
        <v>49</v>
      </c>
    </row>
    <row r="10" spans="2:20" ht="16.5" thickTop="1" thickBot="1">
      <c r="B10" s="15">
        <v>44370</v>
      </c>
      <c r="C10" s="16" t="s">
        <v>42</v>
      </c>
      <c r="D10" s="17" t="s">
        <v>50</v>
      </c>
      <c r="E10" s="17" t="s">
        <v>51</v>
      </c>
      <c r="F10" s="17" t="s">
        <v>20</v>
      </c>
      <c r="G10" s="17" t="s">
        <v>21</v>
      </c>
      <c r="H10" s="17" t="s">
        <v>22</v>
      </c>
      <c r="I10" s="17" t="s">
        <v>23</v>
      </c>
      <c r="J10" s="17" t="s">
        <v>24</v>
      </c>
      <c r="K10" s="18">
        <v>44656</v>
      </c>
      <c r="L10" s="25"/>
      <c r="M10" s="19">
        <v>14</v>
      </c>
      <c r="N10" s="27">
        <f>Tabla1[[#This Row],[FECHA DE SELECCIÓN]]-Tabla1[[#This Row],[FECHA DE AUTORIZACIÓN]]</f>
        <v>286</v>
      </c>
      <c r="O10" s="83" t="s">
        <v>25</v>
      </c>
      <c r="P10" s="16" t="s">
        <v>44</v>
      </c>
      <c r="Q10" s="21"/>
      <c r="R10" s="59"/>
    </row>
    <row r="11" spans="2:20" ht="16.5" thickTop="1" thickBot="1">
      <c r="B11" s="15">
        <v>44385</v>
      </c>
      <c r="C11" s="16" t="s">
        <v>52</v>
      </c>
      <c r="D11" s="17" t="s">
        <v>53</v>
      </c>
      <c r="E11" s="17" t="s">
        <v>54</v>
      </c>
      <c r="F11" s="17" t="s">
        <v>30</v>
      </c>
      <c r="G11" s="17" t="s">
        <v>31</v>
      </c>
      <c r="H11" s="17" t="s">
        <v>32</v>
      </c>
      <c r="I11" s="17" t="s">
        <v>55</v>
      </c>
      <c r="J11" s="17" t="s">
        <v>56</v>
      </c>
      <c r="K11" s="18">
        <v>44401</v>
      </c>
      <c r="L11" s="25" t="s">
        <v>57</v>
      </c>
      <c r="M11" s="19">
        <v>14</v>
      </c>
      <c r="N11" s="27">
        <f>Tabla1[[#This Row],[FECHA DE SELECCIÓN]]-Tabla1[[#This Row],[FECHA DE AUTORIZACIÓN]]</f>
        <v>16</v>
      </c>
      <c r="O11" s="83" t="s">
        <v>58</v>
      </c>
      <c r="P11" s="16" t="s">
        <v>35</v>
      </c>
      <c r="Q11" s="21"/>
      <c r="R11" s="59"/>
    </row>
    <row r="12" spans="2:20" ht="16.5" thickTop="1" thickBot="1">
      <c r="B12" s="15">
        <v>44387</v>
      </c>
      <c r="C12" s="16" t="s">
        <v>52</v>
      </c>
      <c r="D12" s="17" t="s">
        <v>59</v>
      </c>
      <c r="E12" s="26" t="s">
        <v>60</v>
      </c>
      <c r="F12" s="17" t="s">
        <v>30</v>
      </c>
      <c r="G12" s="17" t="s">
        <v>21</v>
      </c>
      <c r="H12" s="17" t="s">
        <v>61</v>
      </c>
      <c r="I12" s="17" t="s">
        <v>55</v>
      </c>
      <c r="J12" s="17" t="s">
        <v>24</v>
      </c>
      <c r="K12" s="18">
        <v>44454</v>
      </c>
      <c r="L12" s="25" t="s">
        <v>47</v>
      </c>
      <c r="M12" s="19">
        <v>21</v>
      </c>
      <c r="N12" s="27">
        <f>Tabla1[[#This Row],[FECHA DE SELECCIÓN]]-Tabla1[[#This Row],[FECHA DE AUTORIZACIÓN]]</f>
        <v>67</v>
      </c>
      <c r="O12" s="83" t="s">
        <v>25</v>
      </c>
      <c r="P12" s="16" t="s">
        <v>35</v>
      </c>
      <c r="Q12" s="21"/>
      <c r="R12" s="59"/>
    </row>
    <row r="13" spans="2:20" ht="16.5" thickTop="1" thickBot="1">
      <c r="B13" s="15">
        <v>44393</v>
      </c>
      <c r="C13" s="16" t="s">
        <v>52</v>
      </c>
      <c r="D13" s="17" t="s">
        <v>62</v>
      </c>
      <c r="E13" s="26" t="s">
        <v>43</v>
      </c>
      <c r="F13" s="17" t="s">
        <v>30</v>
      </c>
      <c r="G13" s="17" t="s">
        <v>31</v>
      </c>
      <c r="H13" s="17" t="s">
        <v>61</v>
      </c>
      <c r="I13" s="17" t="s">
        <v>33</v>
      </c>
      <c r="J13" s="17" t="s">
        <v>24</v>
      </c>
      <c r="K13" s="18">
        <v>44480</v>
      </c>
      <c r="L13" s="25" t="s">
        <v>63</v>
      </c>
      <c r="M13" s="19">
        <v>21</v>
      </c>
      <c r="N13" s="27">
        <f>Tabla1[[#This Row],[FECHA DE SELECCIÓN]]-Tabla1[[#This Row],[FECHA DE AUTORIZACIÓN]]</f>
        <v>87</v>
      </c>
      <c r="O13" s="83" t="s">
        <v>25</v>
      </c>
      <c r="P13" s="16" t="s">
        <v>35</v>
      </c>
      <c r="Q13" s="21" t="s">
        <v>64</v>
      </c>
      <c r="R13" s="59" t="s">
        <v>65</v>
      </c>
    </row>
    <row r="14" spans="2:20" ht="16.5" thickTop="1" thickBot="1">
      <c r="B14" s="15">
        <v>44406</v>
      </c>
      <c r="C14" s="16" t="s">
        <v>52</v>
      </c>
      <c r="D14" s="17" t="s">
        <v>66</v>
      </c>
      <c r="E14" s="26" t="s">
        <v>67</v>
      </c>
      <c r="F14" s="17" t="s">
        <v>30</v>
      </c>
      <c r="G14" s="17" t="s">
        <v>31</v>
      </c>
      <c r="H14" s="17" t="s">
        <v>32</v>
      </c>
      <c r="I14" s="17" t="s">
        <v>33</v>
      </c>
      <c r="J14" s="17" t="s">
        <v>24</v>
      </c>
      <c r="K14" s="18">
        <v>44454</v>
      </c>
      <c r="L14" s="25" t="s">
        <v>47</v>
      </c>
      <c r="M14" s="19">
        <v>14</v>
      </c>
      <c r="N14" s="27">
        <f>Tabla1[[#This Row],[FECHA DE SELECCIÓN]]-Tabla1[[#This Row],[FECHA DE AUTORIZACIÓN]]</f>
        <v>48</v>
      </c>
      <c r="O14" s="83" t="s">
        <v>25</v>
      </c>
      <c r="P14" s="16" t="s">
        <v>35</v>
      </c>
      <c r="Q14" s="21" t="s">
        <v>68</v>
      </c>
      <c r="R14" s="59" t="s">
        <v>48</v>
      </c>
    </row>
    <row r="15" spans="2:20" ht="16.5" thickTop="1" thickBot="1">
      <c r="B15" s="15">
        <v>44412</v>
      </c>
      <c r="C15" s="16" t="s">
        <v>69</v>
      </c>
      <c r="D15" s="17" t="s">
        <v>70</v>
      </c>
      <c r="E15" s="26" t="s">
        <v>71</v>
      </c>
      <c r="F15" s="17" t="s">
        <v>20</v>
      </c>
      <c r="G15" s="17" t="s">
        <v>31</v>
      </c>
      <c r="H15" s="17" t="s">
        <v>32</v>
      </c>
      <c r="I15" s="17" t="s">
        <v>55</v>
      </c>
      <c r="J15" s="17" t="s">
        <v>24</v>
      </c>
      <c r="K15" s="18">
        <v>44432</v>
      </c>
      <c r="L15" s="25" t="s">
        <v>72</v>
      </c>
      <c r="M15" s="19">
        <v>14</v>
      </c>
      <c r="N15" s="27">
        <f>Tabla1[[#This Row],[FECHA DE SELECCIÓN]]-Tabla1[[#This Row],[FECHA DE AUTORIZACIÓN]]</f>
        <v>20</v>
      </c>
      <c r="O15" s="83" t="s">
        <v>25</v>
      </c>
      <c r="P15" s="16" t="s">
        <v>35</v>
      </c>
      <c r="Q15" s="21" t="s">
        <v>73</v>
      </c>
      <c r="R15" s="59" t="s">
        <v>48</v>
      </c>
    </row>
    <row r="16" spans="2:20" ht="16.5" thickTop="1" thickBot="1">
      <c r="B16" s="15">
        <v>44457</v>
      </c>
      <c r="C16" s="16" t="s">
        <v>74</v>
      </c>
      <c r="D16" s="17" t="s">
        <v>70</v>
      </c>
      <c r="E16" s="26" t="s">
        <v>75</v>
      </c>
      <c r="F16" s="17" t="s">
        <v>30</v>
      </c>
      <c r="G16" s="17" t="s">
        <v>31</v>
      </c>
      <c r="H16" s="17" t="s">
        <v>32</v>
      </c>
      <c r="I16" s="17" t="s">
        <v>55</v>
      </c>
      <c r="J16" s="17" t="s">
        <v>56</v>
      </c>
      <c r="K16" s="18">
        <v>44483</v>
      </c>
      <c r="L16" s="25" t="s">
        <v>47</v>
      </c>
      <c r="M16" s="19">
        <v>14</v>
      </c>
      <c r="N16" s="27">
        <f>Tabla1[[#This Row],[FECHA DE SELECCIÓN]]-Tabla1[[#This Row],[FECHA DE AUTORIZACIÓN]]</f>
        <v>26</v>
      </c>
      <c r="O16" s="83" t="s">
        <v>25</v>
      </c>
      <c r="P16" s="16" t="s">
        <v>35</v>
      </c>
      <c r="Q16" s="21" t="s">
        <v>48</v>
      </c>
      <c r="R16" s="59" t="s">
        <v>76</v>
      </c>
    </row>
    <row r="17" spans="2:18" ht="16.5" thickTop="1" thickBot="1">
      <c r="B17" s="15">
        <v>44457</v>
      </c>
      <c r="C17" s="16" t="s">
        <v>74</v>
      </c>
      <c r="D17" s="17" t="s">
        <v>70</v>
      </c>
      <c r="E17" s="26" t="s">
        <v>75</v>
      </c>
      <c r="F17" s="17" t="s">
        <v>30</v>
      </c>
      <c r="G17" s="17" t="s">
        <v>31</v>
      </c>
      <c r="H17" s="17" t="s">
        <v>32</v>
      </c>
      <c r="I17" s="17" t="s">
        <v>55</v>
      </c>
      <c r="J17" s="17" t="s">
        <v>56</v>
      </c>
      <c r="K17" s="18">
        <v>44489</v>
      </c>
      <c r="L17" s="25" t="s">
        <v>47</v>
      </c>
      <c r="M17" s="19">
        <v>14</v>
      </c>
      <c r="N17" s="27">
        <f>Tabla1[[#This Row],[FECHA DE SELECCIÓN]]-Tabla1[[#This Row],[FECHA DE AUTORIZACIÓN]]</f>
        <v>32</v>
      </c>
      <c r="O17" s="83" t="s">
        <v>25</v>
      </c>
      <c r="P17" s="16" t="s">
        <v>35</v>
      </c>
      <c r="Q17" s="21" t="s">
        <v>77</v>
      </c>
      <c r="R17" s="59" t="s">
        <v>78</v>
      </c>
    </row>
    <row r="18" spans="2:18" ht="16.5" thickTop="1" thickBot="1">
      <c r="B18" s="15">
        <v>44419</v>
      </c>
      <c r="C18" s="16" t="s">
        <v>69</v>
      </c>
      <c r="D18" s="17" t="s">
        <v>45</v>
      </c>
      <c r="E18" s="17" t="s">
        <v>79</v>
      </c>
      <c r="F18" s="17" t="s">
        <v>30</v>
      </c>
      <c r="G18" s="17" t="s">
        <v>31</v>
      </c>
      <c r="H18" s="17" t="s">
        <v>61</v>
      </c>
      <c r="I18" s="17" t="s">
        <v>23</v>
      </c>
      <c r="J18" s="17" t="s">
        <v>24</v>
      </c>
      <c r="K18" s="18">
        <v>44446</v>
      </c>
      <c r="L18" s="25" t="s">
        <v>47</v>
      </c>
      <c r="M18" s="19">
        <v>14</v>
      </c>
      <c r="N18" s="27">
        <f>Tabla1[[#This Row],[FECHA DE SELECCIÓN]]-Tabla1[[#This Row],[FECHA DE AUTORIZACIÓN]]</f>
        <v>27</v>
      </c>
      <c r="O18" s="83" t="s">
        <v>25</v>
      </c>
      <c r="P18" s="16" t="s">
        <v>35</v>
      </c>
      <c r="Q18" s="21"/>
      <c r="R18" s="59"/>
    </row>
    <row r="19" spans="2:18" ht="16.5" thickTop="1" thickBot="1">
      <c r="B19" s="15">
        <v>44419</v>
      </c>
      <c r="C19" s="16" t="s">
        <v>69</v>
      </c>
      <c r="D19" s="17" t="s">
        <v>80</v>
      </c>
      <c r="E19" s="17" t="s">
        <v>81</v>
      </c>
      <c r="F19" s="17" t="s">
        <v>30</v>
      </c>
      <c r="G19" s="17" t="s">
        <v>31</v>
      </c>
      <c r="H19" s="17" t="s">
        <v>32</v>
      </c>
      <c r="I19" s="17" t="s">
        <v>23</v>
      </c>
      <c r="J19" s="17" t="s">
        <v>24</v>
      </c>
      <c r="K19" s="18">
        <v>44446</v>
      </c>
      <c r="L19" s="25" t="s">
        <v>47</v>
      </c>
      <c r="M19" s="19">
        <v>14</v>
      </c>
      <c r="N19" s="27">
        <f>Tabla1[[#This Row],[FECHA DE SELECCIÓN]]-Tabla1[[#This Row],[FECHA DE AUTORIZACIÓN]]</f>
        <v>27</v>
      </c>
      <c r="O19" s="83" t="s">
        <v>25</v>
      </c>
      <c r="P19" s="16" t="s">
        <v>35</v>
      </c>
      <c r="Q19" s="21" t="s">
        <v>48</v>
      </c>
      <c r="R19" s="59" t="s">
        <v>82</v>
      </c>
    </row>
    <row r="20" spans="2:18" ht="16.5" thickTop="1" thickBot="1">
      <c r="B20" s="15">
        <v>44434</v>
      </c>
      <c r="C20" s="16" t="s">
        <v>69</v>
      </c>
      <c r="D20" s="17" t="s">
        <v>83</v>
      </c>
      <c r="E20" s="80" t="s">
        <v>84</v>
      </c>
      <c r="F20" s="17" t="s">
        <v>30</v>
      </c>
      <c r="G20" s="17" t="s">
        <v>31</v>
      </c>
      <c r="H20" s="17" t="s">
        <v>32</v>
      </c>
      <c r="I20" s="17" t="s">
        <v>23</v>
      </c>
      <c r="J20" s="17" t="s">
        <v>24</v>
      </c>
      <c r="K20" s="18">
        <v>44460</v>
      </c>
      <c r="L20" s="25" t="s">
        <v>47</v>
      </c>
      <c r="M20" s="19">
        <v>14</v>
      </c>
      <c r="N20" s="27">
        <f>Tabla1[[#This Row],[FECHA DE SELECCIÓN]]-Tabla1[[#This Row],[FECHA DE AUTORIZACIÓN]]</f>
        <v>26</v>
      </c>
      <c r="O20" s="83" t="s">
        <v>25</v>
      </c>
      <c r="P20" s="16" t="s">
        <v>35</v>
      </c>
      <c r="Q20" s="21" t="s">
        <v>48</v>
      </c>
      <c r="R20" s="59" t="s">
        <v>85</v>
      </c>
    </row>
    <row r="21" spans="2:18" ht="16.5" thickTop="1" thickBot="1">
      <c r="B21" s="15">
        <v>44438</v>
      </c>
      <c r="C21" s="16" t="s">
        <v>69</v>
      </c>
      <c r="D21" s="17" t="s">
        <v>86</v>
      </c>
      <c r="E21" s="17" t="s">
        <v>87</v>
      </c>
      <c r="F21" s="17" t="s">
        <v>30</v>
      </c>
      <c r="G21" s="17" t="s">
        <v>31</v>
      </c>
      <c r="H21" s="17" t="s">
        <v>32</v>
      </c>
      <c r="I21" s="17" t="s">
        <v>23</v>
      </c>
      <c r="J21" s="17" t="s">
        <v>24</v>
      </c>
      <c r="K21" s="18">
        <v>44460</v>
      </c>
      <c r="L21" s="25" t="s">
        <v>47</v>
      </c>
      <c r="M21" s="19">
        <v>14</v>
      </c>
      <c r="N21" s="27">
        <f>Tabla1[[#This Row],[FECHA DE SELECCIÓN]]-Tabla1[[#This Row],[FECHA DE AUTORIZACIÓN]]</f>
        <v>22</v>
      </c>
      <c r="O21" s="83" t="s">
        <v>25</v>
      </c>
      <c r="P21" s="16" t="s">
        <v>35</v>
      </c>
      <c r="Q21" s="21" t="s">
        <v>88</v>
      </c>
      <c r="R21" s="59" t="s">
        <v>89</v>
      </c>
    </row>
    <row r="22" spans="2:18" ht="16.5" thickTop="1" thickBot="1">
      <c r="B22" s="15">
        <v>44436</v>
      </c>
      <c r="C22" s="16" t="s">
        <v>69</v>
      </c>
      <c r="D22" s="17" t="s">
        <v>90</v>
      </c>
      <c r="E22" s="17" t="s">
        <v>91</v>
      </c>
      <c r="F22" s="17" t="s">
        <v>30</v>
      </c>
      <c r="G22" s="17" t="s">
        <v>21</v>
      </c>
      <c r="H22" s="17" t="s">
        <v>61</v>
      </c>
      <c r="I22" s="17" t="s">
        <v>55</v>
      </c>
      <c r="J22" s="17" t="s">
        <v>24</v>
      </c>
      <c r="K22" s="18">
        <v>44525</v>
      </c>
      <c r="L22" s="25" t="s">
        <v>39</v>
      </c>
      <c r="M22" s="19">
        <v>21</v>
      </c>
      <c r="N22" s="27">
        <f>Tabla1[[#This Row],[FECHA DE SELECCIÓN]]-Tabla1[[#This Row],[FECHA DE AUTORIZACIÓN]]</f>
        <v>89</v>
      </c>
      <c r="O22" s="83" t="s">
        <v>25</v>
      </c>
      <c r="P22" s="16" t="s">
        <v>35</v>
      </c>
      <c r="Q22" s="21" t="s">
        <v>77</v>
      </c>
      <c r="R22" s="59" t="s">
        <v>92</v>
      </c>
    </row>
    <row r="23" spans="2:18" ht="16.5" thickTop="1" thickBot="1">
      <c r="B23" s="15">
        <v>44426</v>
      </c>
      <c r="C23" s="16" t="s">
        <v>69</v>
      </c>
      <c r="D23" s="29" t="s">
        <v>93</v>
      </c>
      <c r="E23" s="17" t="s">
        <v>94</v>
      </c>
      <c r="F23" s="17" t="s">
        <v>30</v>
      </c>
      <c r="G23" s="17" t="s">
        <v>31</v>
      </c>
      <c r="H23" s="17" t="s">
        <v>32</v>
      </c>
      <c r="I23" s="17" t="s">
        <v>33</v>
      </c>
      <c r="J23" s="17" t="s">
        <v>24</v>
      </c>
      <c r="K23" s="18">
        <v>44578</v>
      </c>
      <c r="L23" s="25" t="s">
        <v>95</v>
      </c>
      <c r="M23" s="19">
        <v>14</v>
      </c>
      <c r="N23" s="27">
        <f>Tabla1[[#This Row],[FECHA DE SELECCIÓN]]-Tabla1[[#This Row],[FECHA DE AUTORIZACIÓN]]</f>
        <v>152</v>
      </c>
      <c r="O23" s="83" t="s">
        <v>25</v>
      </c>
      <c r="P23" s="16" t="s">
        <v>35</v>
      </c>
      <c r="Q23" s="21" t="s">
        <v>77</v>
      </c>
      <c r="R23" s="59" t="s">
        <v>96</v>
      </c>
    </row>
    <row r="24" spans="2:18" ht="16.5" thickTop="1" thickBot="1">
      <c r="B24" s="15">
        <v>44431</v>
      </c>
      <c r="C24" s="16" t="s">
        <v>69</v>
      </c>
      <c r="D24" s="17" t="s">
        <v>97</v>
      </c>
      <c r="E24" s="17" t="s">
        <v>98</v>
      </c>
      <c r="F24" s="17" t="s">
        <v>30</v>
      </c>
      <c r="G24" s="17" t="s">
        <v>31</v>
      </c>
      <c r="H24" s="17" t="s">
        <v>61</v>
      </c>
      <c r="I24" s="17" t="s">
        <v>33</v>
      </c>
      <c r="J24" s="17" t="s">
        <v>24</v>
      </c>
      <c r="K24" s="18">
        <v>44531</v>
      </c>
      <c r="L24" s="25" t="s">
        <v>99</v>
      </c>
      <c r="M24" s="19">
        <v>21</v>
      </c>
      <c r="N24" s="27">
        <f>Tabla1[[#This Row],[FECHA DE SELECCIÓN]]-Tabla1[[#This Row],[FECHA DE AUTORIZACIÓN]]</f>
        <v>100</v>
      </c>
      <c r="O24" s="83" t="s">
        <v>25</v>
      </c>
      <c r="P24" s="16" t="s">
        <v>35</v>
      </c>
      <c r="Q24" s="21" t="s">
        <v>48</v>
      </c>
      <c r="R24" s="59" t="s">
        <v>100</v>
      </c>
    </row>
    <row r="25" spans="2:18" ht="16.5" thickTop="1" thickBot="1">
      <c r="B25" s="9">
        <v>44439</v>
      </c>
      <c r="C25" s="10" t="s">
        <v>69</v>
      </c>
      <c r="D25" s="11" t="s">
        <v>101</v>
      </c>
      <c r="E25" s="11" t="s">
        <v>102</v>
      </c>
      <c r="F25" s="11" t="s">
        <v>20</v>
      </c>
      <c r="G25" s="11" t="s">
        <v>21</v>
      </c>
      <c r="H25" s="11" t="s">
        <v>22</v>
      </c>
      <c r="I25" s="11" t="s">
        <v>103</v>
      </c>
      <c r="J25" s="11" t="s">
        <v>24</v>
      </c>
      <c r="K25" s="12">
        <v>44474</v>
      </c>
      <c r="L25" s="25" t="s">
        <v>63</v>
      </c>
      <c r="M25" s="13">
        <v>28</v>
      </c>
      <c r="N25" s="27">
        <f>Tabla1[[#This Row],[FECHA DE SELECCIÓN]]-Tabla1[[#This Row],[FECHA DE AUTORIZACIÓN]]</f>
        <v>35</v>
      </c>
      <c r="O25" s="84" t="s">
        <v>25</v>
      </c>
      <c r="P25" s="26" t="s">
        <v>35</v>
      </c>
      <c r="Q25" s="14" t="s">
        <v>77</v>
      </c>
      <c r="R25" s="59" t="s">
        <v>104</v>
      </c>
    </row>
    <row r="26" spans="2:18" ht="16.5" thickTop="1" thickBot="1">
      <c r="B26" s="15">
        <v>44440</v>
      </c>
      <c r="C26" s="16" t="s">
        <v>74</v>
      </c>
      <c r="D26" s="17" t="s">
        <v>105</v>
      </c>
      <c r="E26" s="17" t="s">
        <v>106</v>
      </c>
      <c r="F26" s="17" t="s">
        <v>30</v>
      </c>
      <c r="G26" s="17" t="s">
        <v>21</v>
      </c>
      <c r="H26" s="17" t="s">
        <v>61</v>
      </c>
      <c r="I26" s="17" t="s">
        <v>23</v>
      </c>
      <c r="J26" s="17" t="s">
        <v>24</v>
      </c>
      <c r="K26" s="18">
        <v>44458</v>
      </c>
      <c r="L26" s="25"/>
      <c r="M26" s="19">
        <v>21</v>
      </c>
      <c r="N26" s="27">
        <f>Tabla1[[#This Row],[FECHA DE SELECCIÓN]]-Tabla1[[#This Row],[FECHA DE AUTORIZACIÓN]]</f>
        <v>18</v>
      </c>
      <c r="O26" s="83" t="s">
        <v>58</v>
      </c>
      <c r="P26" s="16" t="s">
        <v>35</v>
      </c>
      <c r="Q26" s="21"/>
      <c r="R26" s="59"/>
    </row>
    <row r="27" spans="2:18" ht="16.5" thickTop="1" thickBot="1">
      <c r="B27" s="15">
        <v>44450</v>
      </c>
      <c r="C27" s="16" t="s">
        <v>74</v>
      </c>
      <c r="D27" s="17" t="s">
        <v>70</v>
      </c>
      <c r="E27" s="17" t="s">
        <v>73</v>
      </c>
      <c r="F27" s="17" t="s">
        <v>30</v>
      </c>
      <c r="G27" s="17" t="s">
        <v>31</v>
      </c>
      <c r="H27" s="17" t="s">
        <v>32</v>
      </c>
      <c r="I27" s="17" t="s">
        <v>55</v>
      </c>
      <c r="J27" s="17" t="s">
        <v>24</v>
      </c>
      <c r="K27" s="18">
        <v>44456</v>
      </c>
      <c r="L27" s="25" t="s">
        <v>47</v>
      </c>
      <c r="M27" s="19">
        <v>14</v>
      </c>
      <c r="N27" s="27">
        <f>Tabla1[[#This Row],[FECHA DE SELECCIÓN]]-Tabla1[[#This Row],[FECHA DE AUTORIZACIÓN]]</f>
        <v>6</v>
      </c>
      <c r="O27" s="83" t="s">
        <v>58</v>
      </c>
      <c r="P27" s="16" t="s">
        <v>35</v>
      </c>
      <c r="Q27" s="21" t="s">
        <v>48</v>
      </c>
      <c r="R27" s="59" t="s">
        <v>107</v>
      </c>
    </row>
    <row r="28" spans="2:18" ht="16.5" thickTop="1" thickBot="1">
      <c r="B28" s="15">
        <v>44446</v>
      </c>
      <c r="C28" s="16" t="s">
        <v>74</v>
      </c>
      <c r="D28" s="17" t="s">
        <v>108</v>
      </c>
      <c r="E28" s="17" t="s">
        <v>75</v>
      </c>
      <c r="F28" s="17" t="s">
        <v>30</v>
      </c>
      <c r="G28" s="17" t="s">
        <v>31</v>
      </c>
      <c r="H28" s="17" t="s">
        <v>32</v>
      </c>
      <c r="I28" s="17" t="s">
        <v>23</v>
      </c>
      <c r="J28" s="17" t="s">
        <v>56</v>
      </c>
      <c r="K28" s="18">
        <v>44467</v>
      </c>
      <c r="L28" s="25" t="s">
        <v>47</v>
      </c>
      <c r="M28" s="19">
        <v>14</v>
      </c>
      <c r="N28" s="27">
        <f>Tabla1[[#This Row],[FECHA DE SELECCIÓN]]-Tabla1[[#This Row],[FECHA DE AUTORIZACIÓN]]</f>
        <v>21</v>
      </c>
      <c r="O28" s="83" t="s">
        <v>25</v>
      </c>
      <c r="P28" s="16" t="s">
        <v>35</v>
      </c>
      <c r="Q28" s="21" t="s">
        <v>48</v>
      </c>
      <c r="R28" s="59" t="s">
        <v>109</v>
      </c>
    </row>
    <row r="29" spans="2:18" ht="16.5" thickTop="1" thickBot="1">
      <c r="B29" s="15">
        <v>44446</v>
      </c>
      <c r="C29" s="16" t="s">
        <v>74</v>
      </c>
      <c r="D29" s="17" t="s">
        <v>110</v>
      </c>
      <c r="E29" s="17" t="s">
        <v>75</v>
      </c>
      <c r="F29" s="17" t="s">
        <v>30</v>
      </c>
      <c r="G29" s="17" t="s">
        <v>31</v>
      </c>
      <c r="H29" s="17" t="s">
        <v>32</v>
      </c>
      <c r="I29" s="17" t="s">
        <v>23</v>
      </c>
      <c r="J29" s="17" t="s">
        <v>56</v>
      </c>
      <c r="K29" s="18">
        <v>44511</v>
      </c>
      <c r="L29" s="25" t="s">
        <v>39</v>
      </c>
      <c r="M29" s="19">
        <v>14</v>
      </c>
      <c r="N29" s="27">
        <f>Tabla1[[#This Row],[FECHA DE SELECCIÓN]]-Tabla1[[#This Row],[FECHA DE AUTORIZACIÓN]]</f>
        <v>65</v>
      </c>
      <c r="O29" s="83" t="s">
        <v>25</v>
      </c>
      <c r="P29" s="16" t="s">
        <v>35</v>
      </c>
      <c r="Q29" s="21" t="s">
        <v>48</v>
      </c>
      <c r="R29" s="59" t="s">
        <v>111</v>
      </c>
    </row>
    <row r="30" spans="2:18" ht="16.5" thickTop="1" thickBot="1">
      <c r="B30" s="9">
        <v>44441</v>
      </c>
      <c r="C30" s="10" t="s">
        <v>74</v>
      </c>
      <c r="D30" s="11" t="s">
        <v>112</v>
      </c>
      <c r="E30" s="26" t="s">
        <v>113</v>
      </c>
      <c r="F30" s="11" t="s">
        <v>20</v>
      </c>
      <c r="G30" s="11" t="s">
        <v>21</v>
      </c>
      <c r="H30" s="11" t="s">
        <v>22</v>
      </c>
      <c r="I30" s="11" t="s">
        <v>103</v>
      </c>
      <c r="J30" s="11" t="s">
        <v>24</v>
      </c>
      <c r="K30" s="12">
        <v>44528</v>
      </c>
      <c r="L30" s="25" t="s">
        <v>39</v>
      </c>
      <c r="M30" s="13">
        <v>28</v>
      </c>
      <c r="N30" s="27">
        <f>Tabla1[[#This Row],[FECHA DE SELECCIÓN]]-Tabla1[[#This Row],[FECHA DE AUTORIZACIÓN]]</f>
        <v>87</v>
      </c>
      <c r="O30" s="84" t="s">
        <v>25</v>
      </c>
      <c r="P30" s="10" t="s">
        <v>35</v>
      </c>
      <c r="Q30" s="14" t="s">
        <v>114</v>
      </c>
      <c r="R30" s="59" t="s">
        <v>115</v>
      </c>
    </row>
    <row r="31" spans="2:18" ht="16.5" thickTop="1" thickBot="1">
      <c r="B31" s="15">
        <v>44446</v>
      </c>
      <c r="C31" s="16" t="s">
        <v>74</v>
      </c>
      <c r="D31" s="17" t="s">
        <v>116</v>
      </c>
      <c r="E31" s="17" t="s">
        <v>75</v>
      </c>
      <c r="F31" s="17" t="s">
        <v>30</v>
      </c>
      <c r="G31" s="17" t="s">
        <v>31</v>
      </c>
      <c r="H31" s="17" t="s">
        <v>32</v>
      </c>
      <c r="I31" s="17" t="s">
        <v>23</v>
      </c>
      <c r="J31" s="17" t="s">
        <v>56</v>
      </c>
      <c r="K31" s="18">
        <v>44636</v>
      </c>
      <c r="L31" s="25"/>
      <c r="M31" s="19">
        <v>14</v>
      </c>
      <c r="N31" s="27">
        <f>Tabla1[[#This Row],[FECHA DE SELECCIÓN]]-Tabla1[[#This Row],[FECHA DE AUTORIZACIÓN]]</f>
        <v>190</v>
      </c>
      <c r="O31" s="83" t="s">
        <v>25</v>
      </c>
      <c r="P31" s="16" t="s">
        <v>44</v>
      </c>
      <c r="Q31" s="21"/>
      <c r="R31" s="59"/>
    </row>
    <row r="32" spans="2:18" ht="16.5" thickTop="1" thickBot="1">
      <c r="B32" s="15">
        <v>44446</v>
      </c>
      <c r="C32" s="16" t="s">
        <v>74</v>
      </c>
      <c r="D32" s="17" t="s">
        <v>117</v>
      </c>
      <c r="E32" s="17" t="s">
        <v>75</v>
      </c>
      <c r="F32" s="17" t="s">
        <v>30</v>
      </c>
      <c r="G32" s="17" t="s">
        <v>31</v>
      </c>
      <c r="H32" s="17" t="s">
        <v>32</v>
      </c>
      <c r="I32" s="17" t="s">
        <v>23</v>
      </c>
      <c r="J32" s="17" t="s">
        <v>56</v>
      </c>
      <c r="K32" s="18">
        <v>44636</v>
      </c>
      <c r="L32" s="25"/>
      <c r="M32" s="19">
        <v>14</v>
      </c>
      <c r="N32" s="27">
        <f>Tabla1[[#This Row],[FECHA DE SELECCIÓN]]-Tabla1[[#This Row],[FECHA DE AUTORIZACIÓN]]</f>
        <v>190</v>
      </c>
      <c r="O32" s="83" t="s">
        <v>25</v>
      </c>
      <c r="P32" s="16" t="s">
        <v>44</v>
      </c>
      <c r="Q32" s="21"/>
      <c r="R32" s="59"/>
    </row>
    <row r="33" spans="2:18" ht="16.5" thickTop="1" thickBot="1">
      <c r="B33" s="15">
        <v>44446</v>
      </c>
      <c r="C33" s="16" t="s">
        <v>74</v>
      </c>
      <c r="D33" s="17" t="s">
        <v>118</v>
      </c>
      <c r="E33" s="17" t="s">
        <v>75</v>
      </c>
      <c r="F33" s="17" t="s">
        <v>30</v>
      </c>
      <c r="G33" s="17" t="s">
        <v>31</v>
      </c>
      <c r="H33" s="17" t="s">
        <v>61</v>
      </c>
      <c r="I33" s="17" t="s">
        <v>23</v>
      </c>
      <c r="J33" s="17" t="s">
        <v>56</v>
      </c>
      <c r="K33" s="18">
        <v>44498</v>
      </c>
      <c r="L33" s="25" t="s">
        <v>63</v>
      </c>
      <c r="M33" s="19">
        <v>21</v>
      </c>
      <c r="N33" s="27">
        <f>Tabla1[[#This Row],[FECHA DE SELECCIÓN]]-Tabla1[[#This Row],[FECHA DE AUTORIZACIÓN]]</f>
        <v>52</v>
      </c>
      <c r="O33" s="83" t="s">
        <v>25</v>
      </c>
      <c r="P33" s="16" t="s">
        <v>35</v>
      </c>
      <c r="Q33" s="21" t="s">
        <v>77</v>
      </c>
      <c r="R33" s="59" t="s">
        <v>119</v>
      </c>
    </row>
    <row r="34" spans="2:18" ht="16.5" thickTop="1" thickBot="1">
      <c r="B34" s="15">
        <v>44446</v>
      </c>
      <c r="C34" s="16" t="s">
        <v>74</v>
      </c>
      <c r="D34" s="17" t="s">
        <v>120</v>
      </c>
      <c r="E34" s="17" t="s">
        <v>75</v>
      </c>
      <c r="F34" s="17" t="s">
        <v>30</v>
      </c>
      <c r="G34" s="17" t="s">
        <v>31</v>
      </c>
      <c r="H34" s="17" t="s">
        <v>32</v>
      </c>
      <c r="I34" s="17" t="s">
        <v>23</v>
      </c>
      <c r="J34" s="17" t="s">
        <v>56</v>
      </c>
      <c r="K34" s="18">
        <v>44462</v>
      </c>
      <c r="L34" s="25" t="s">
        <v>47</v>
      </c>
      <c r="M34" s="19">
        <v>14</v>
      </c>
      <c r="N34" s="27">
        <f>Tabla1[[#This Row],[FECHA DE SELECCIÓN]]-Tabla1[[#This Row],[FECHA DE AUTORIZACIÓN]]</f>
        <v>16</v>
      </c>
      <c r="O34" s="83" t="s">
        <v>58</v>
      </c>
      <c r="P34" s="16" t="s">
        <v>35</v>
      </c>
      <c r="Q34" s="21" t="s">
        <v>48</v>
      </c>
      <c r="R34" s="59" t="s">
        <v>121</v>
      </c>
    </row>
    <row r="35" spans="2:18" ht="16.5" thickTop="1" thickBot="1">
      <c r="B35" s="15">
        <v>44446</v>
      </c>
      <c r="C35" s="16" t="s">
        <v>74</v>
      </c>
      <c r="D35" s="17" t="s">
        <v>122</v>
      </c>
      <c r="E35" s="17" t="s">
        <v>75</v>
      </c>
      <c r="F35" s="17" t="s">
        <v>30</v>
      </c>
      <c r="G35" s="17" t="s">
        <v>31</v>
      </c>
      <c r="H35" s="17" t="s">
        <v>32</v>
      </c>
      <c r="I35" s="17" t="s">
        <v>23</v>
      </c>
      <c r="J35" s="17" t="s">
        <v>56</v>
      </c>
      <c r="K35" s="18">
        <v>44462</v>
      </c>
      <c r="L35" s="25" t="s">
        <v>47</v>
      </c>
      <c r="M35" s="19">
        <v>14</v>
      </c>
      <c r="N35" s="27">
        <f>Tabla1[[#This Row],[FECHA DE SELECCIÓN]]-Tabla1[[#This Row],[FECHA DE AUTORIZACIÓN]]</f>
        <v>16</v>
      </c>
      <c r="O35" s="83" t="s">
        <v>58</v>
      </c>
      <c r="P35" s="16" t="s">
        <v>35</v>
      </c>
      <c r="Q35" s="21" t="s">
        <v>48</v>
      </c>
      <c r="R35" s="59"/>
    </row>
    <row r="36" spans="2:18" ht="16.5" thickTop="1" thickBot="1">
      <c r="B36" s="15">
        <v>44442</v>
      </c>
      <c r="C36" s="16" t="s">
        <v>74</v>
      </c>
      <c r="D36" s="17" t="s">
        <v>83</v>
      </c>
      <c r="E36" s="17" t="s">
        <v>123</v>
      </c>
      <c r="F36" s="17" t="s">
        <v>30</v>
      </c>
      <c r="G36" s="17" t="s">
        <v>31</v>
      </c>
      <c r="H36" s="17" t="s">
        <v>32</v>
      </c>
      <c r="I36" s="17" t="s">
        <v>23</v>
      </c>
      <c r="J36" s="17" t="s">
        <v>24</v>
      </c>
      <c r="K36" s="18">
        <v>44462</v>
      </c>
      <c r="L36" s="25" t="s">
        <v>47</v>
      </c>
      <c r="M36" s="19">
        <v>14</v>
      </c>
      <c r="N36" s="27">
        <f>Tabla1[[#This Row],[FECHA DE SELECCIÓN]]-Tabla1[[#This Row],[FECHA DE AUTORIZACIÓN]]</f>
        <v>20</v>
      </c>
      <c r="O36" s="83" t="s">
        <v>25</v>
      </c>
      <c r="P36" s="16" t="s">
        <v>35</v>
      </c>
      <c r="Q36" s="21" t="s">
        <v>48</v>
      </c>
      <c r="R36" s="59" t="s">
        <v>124</v>
      </c>
    </row>
    <row r="37" spans="2:18" ht="16.5" thickTop="1" thickBot="1">
      <c r="B37" s="15">
        <v>44441</v>
      </c>
      <c r="C37" s="16" t="s">
        <v>74</v>
      </c>
      <c r="D37" s="17" t="s">
        <v>125</v>
      </c>
      <c r="E37" s="26" t="s">
        <v>126</v>
      </c>
      <c r="F37" s="17" t="s">
        <v>30</v>
      </c>
      <c r="G37" s="17" t="s">
        <v>31</v>
      </c>
      <c r="H37" s="17" t="s">
        <v>32</v>
      </c>
      <c r="I37" s="17" t="s">
        <v>33</v>
      </c>
      <c r="J37" s="17" t="s">
        <v>24</v>
      </c>
      <c r="K37" s="18">
        <v>44485</v>
      </c>
      <c r="L37" s="25" t="s">
        <v>63</v>
      </c>
      <c r="M37" s="19">
        <v>21</v>
      </c>
      <c r="N37" s="27">
        <f>Tabla1[[#This Row],[FECHA DE SELECCIÓN]]-Tabla1[[#This Row],[FECHA DE AUTORIZACIÓN]]</f>
        <v>44</v>
      </c>
      <c r="O37" s="83" t="s">
        <v>25</v>
      </c>
      <c r="P37" s="16" t="s">
        <v>35</v>
      </c>
      <c r="Q37" s="21" t="s">
        <v>48</v>
      </c>
      <c r="R37" s="59" t="s">
        <v>127</v>
      </c>
    </row>
    <row r="38" spans="2:18" ht="16.5" thickTop="1" thickBot="1">
      <c r="B38" s="15">
        <v>44441</v>
      </c>
      <c r="C38" s="16" t="s">
        <v>74</v>
      </c>
      <c r="D38" s="17" t="s">
        <v>128</v>
      </c>
      <c r="E38" s="26" t="s">
        <v>129</v>
      </c>
      <c r="F38" s="17" t="s">
        <v>30</v>
      </c>
      <c r="G38" s="17" t="s">
        <v>31</v>
      </c>
      <c r="H38" s="17" t="s">
        <v>32</v>
      </c>
      <c r="I38" s="17" t="s">
        <v>33</v>
      </c>
      <c r="J38" s="17" t="s">
        <v>24</v>
      </c>
      <c r="K38" s="18">
        <v>44485</v>
      </c>
      <c r="L38" s="25" t="s">
        <v>63</v>
      </c>
      <c r="M38" s="19">
        <v>21</v>
      </c>
      <c r="N38" s="27">
        <f>Tabla1[[#This Row],[FECHA DE SELECCIÓN]]-Tabla1[[#This Row],[FECHA DE AUTORIZACIÓN]]</f>
        <v>44</v>
      </c>
      <c r="O38" s="83" t="s">
        <v>25</v>
      </c>
      <c r="P38" s="16" t="s">
        <v>35</v>
      </c>
      <c r="Q38" s="21" t="s">
        <v>48</v>
      </c>
      <c r="R38" s="59" t="s">
        <v>130</v>
      </c>
    </row>
    <row r="39" spans="2:18" ht="16.5" thickTop="1" thickBot="1">
      <c r="B39" s="15">
        <v>44441</v>
      </c>
      <c r="C39" s="16" t="s">
        <v>74</v>
      </c>
      <c r="D39" s="17" t="s">
        <v>131</v>
      </c>
      <c r="E39" s="26" t="s">
        <v>132</v>
      </c>
      <c r="F39" s="17" t="s">
        <v>30</v>
      </c>
      <c r="G39" s="17" t="s">
        <v>31</v>
      </c>
      <c r="H39" s="17" t="s">
        <v>32</v>
      </c>
      <c r="I39" s="17" t="s">
        <v>33</v>
      </c>
      <c r="J39" s="17" t="s">
        <v>24</v>
      </c>
      <c r="K39" s="18">
        <v>44580</v>
      </c>
      <c r="L39" s="25" t="s">
        <v>95</v>
      </c>
      <c r="M39" s="19">
        <v>21</v>
      </c>
      <c r="N39" s="27">
        <f>Tabla1[[#This Row],[FECHA DE SELECCIÓN]]-Tabla1[[#This Row],[FECHA DE AUTORIZACIÓN]]</f>
        <v>139</v>
      </c>
      <c r="O39" s="83" t="s">
        <v>25</v>
      </c>
      <c r="P39" s="16" t="s">
        <v>35</v>
      </c>
      <c r="Q39" s="21" t="s">
        <v>48</v>
      </c>
      <c r="R39" s="59" t="s">
        <v>133</v>
      </c>
    </row>
    <row r="40" spans="2:18" ht="16.5" thickTop="1" thickBot="1">
      <c r="B40" s="15">
        <v>44459</v>
      </c>
      <c r="C40" s="16" t="s">
        <v>74</v>
      </c>
      <c r="D40" s="17" t="s">
        <v>134</v>
      </c>
      <c r="E40" s="26" t="s">
        <v>135</v>
      </c>
      <c r="F40" s="17" t="s">
        <v>30</v>
      </c>
      <c r="G40" s="17" t="s">
        <v>31</v>
      </c>
      <c r="H40" s="17" t="s">
        <v>32</v>
      </c>
      <c r="I40" s="17" t="s">
        <v>23</v>
      </c>
      <c r="J40" s="17" t="s">
        <v>24</v>
      </c>
      <c r="K40" s="18">
        <v>44503</v>
      </c>
      <c r="L40" s="25" t="s">
        <v>39</v>
      </c>
      <c r="M40" s="19">
        <v>14</v>
      </c>
      <c r="N40" s="27">
        <f>Tabla1[[#This Row],[FECHA DE SELECCIÓN]]-Tabla1[[#This Row],[FECHA DE AUTORIZACIÓN]]</f>
        <v>44</v>
      </c>
      <c r="O40" s="83" t="s">
        <v>25</v>
      </c>
      <c r="P40" s="16" t="s">
        <v>35</v>
      </c>
      <c r="Q40" s="21"/>
      <c r="R40" s="59"/>
    </row>
    <row r="41" spans="2:18" ht="16.5" thickTop="1" thickBot="1">
      <c r="B41" s="15">
        <v>44455</v>
      </c>
      <c r="C41" s="16" t="s">
        <v>74</v>
      </c>
      <c r="D41" s="17" t="s">
        <v>136</v>
      </c>
      <c r="E41" s="17" t="s">
        <v>137</v>
      </c>
      <c r="F41" s="17" t="s">
        <v>30</v>
      </c>
      <c r="G41" s="17" t="s">
        <v>21</v>
      </c>
      <c r="H41" s="17" t="s">
        <v>61</v>
      </c>
      <c r="I41" s="17" t="s">
        <v>23</v>
      </c>
      <c r="J41" s="17" t="s">
        <v>24</v>
      </c>
      <c r="K41" s="18">
        <v>44510</v>
      </c>
      <c r="L41" s="25" t="s">
        <v>39</v>
      </c>
      <c r="M41" s="19">
        <v>21</v>
      </c>
      <c r="N41" s="27">
        <f>Tabla1[[#This Row],[FECHA DE SELECCIÓN]]-Tabla1[[#This Row],[FECHA DE AUTORIZACIÓN]]</f>
        <v>55</v>
      </c>
      <c r="O41" s="83" t="s">
        <v>25</v>
      </c>
      <c r="P41" s="16" t="s">
        <v>35</v>
      </c>
      <c r="Q41" s="21"/>
      <c r="R41" s="59"/>
    </row>
    <row r="42" spans="2:18" ht="16.5" thickTop="1" thickBot="1">
      <c r="B42" s="15">
        <v>44459</v>
      </c>
      <c r="C42" s="16" t="s">
        <v>74</v>
      </c>
      <c r="D42" s="17" t="s">
        <v>138</v>
      </c>
      <c r="E42" s="26"/>
      <c r="F42" s="17" t="s">
        <v>30</v>
      </c>
      <c r="G42" s="17" t="s">
        <v>21</v>
      </c>
      <c r="H42" s="17" t="s">
        <v>61</v>
      </c>
      <c r="I42" s="17" t="s">
        <v>33</v>
      </c>
      <c r="J42" s="17" t="s">
        <v>24</v>
      </c>
      <c r="K42" s="18">
        <v>44490</v>
      </c>
      <c r="L42" s="25" t="s">
        <v>63</v>
      </c>
      <c r="M42" s="19">
        <v>21</v>
      </c>
      <c r="N42" s="27">
        <f>Tabla1[[#This Row],[FECHA DE SELECCIÓN]]-Tabla1[[#This Row],[FECHA DE AUTORIZACIÓN]]</f>
        <v>31</v>
      </c>
      <c r="O42" s="83" t="s">
        <v>25</v>
      </c>
      <c r="P42" s="16" t="s">
        <v>35</v>
      </c>
      <c r="Q42" s="21" t="s">
        <v>77</v>
      </c>
      <c r="R42" s="59" t="s">
        <v>139</v>
      </c>
    </row>
    <row r="43" spans="2:18" ht="16.5" thickTop="1" thickBot="1">
      <c r="B43" s="15">
        <v>44477</v>
      </c>
      <c r="C43" s="16" t="s">
        <v>140</v>
      </c>
      <c r="D43" s="17" t="s">
        <v>141</v>
      </c>
      <c r="E43" s="26" t="s">
        <v>102</v>
      </c>
      <c r="F43" s="17" t="s">
        <v>30</v>
      </c>
      <c r="G43" s="17" t="s">
        <v>31</v>
      </c>
      <c r="H43" s="17" t="s">
        <v>32</v>
      </c>
      <c r="I43" s="17" t="s">
        <v>23</v>
      </c>
      <c r="J43" s="17" t="s">
        <v>24</v>
      </c>
      <c r="K43" s="18">
        <v>44517</v>
      </c>
      <c r="L43" s="25" t="s">
        <v>39</v>
      </c>
      <c r="M43" s="19">
        <v>14</v>
      </c>
      <c r="N43" s="27">
        <f>Tabla1[[#This Row],[FECHA DE SELECCIÓN]]-Tabla1[[#This Row],[FECHA DE AUTORIZACIÓN]]</f>
        <v>40</v>
      </c>
      <c r="O43" s="83" t="s">
        <v>25</v>
      </c>
      <c r="P43" s="16" t="s">
        <v>35</v>
      </c>
      <c r="Q43" s="21" t="s">
        <v>77</v>
      </c>
      <c r="R43" s="59" t="s">
        <v>142</v>
      </c>
    </row>
    <row r="44" spans="2:18" ht="16.5" thickTop="1" thickBot="1">
      <c r="B44" s="15">
        <v>44477</v>
      </c>
      <c r="C44" s="16" t="s">
        <v>140</v>
      </c>
      <c r="D44" s="17" t="s">
        <v>83</v>
      </c>
      <c r="E44" s="26" t="s">
        <v>143</v>
      </c>
      <c r="F44" s="17" t="s">
        <v>30</v>
      </c>
      <c r="G44" s="17" t="s">
        <v>31</v>
      </c>
      <c r="H44" s="17" t="s">
        <v>32</v>
      </c>
      <c r="I44" s="17" t="s">
        <v>23</v>
      </c>
      <c r="J44" s="17" t="s">
        <v>24</v>
      </c>
      <c r="K44" s="18">
        <v>44488</v>
      </c>
      <c r="L44" s="25" t="s">
        <v>63</v>
      </c>
      <c r="M44" s="19">
        <v>14</v>
      </c>
      <c r="N44" s="27">
        <f>Tabla1[[#This Row],[FECHA DE SELECCIÓN]]-Tabla1[[#This Row],[FECHA DE AUTORIZACIÓN]]</f>
        <v>11</v>
      </c>
      <c r="O44" s="83" t="s">
        <v>58</v>
      </c>
      <c r="P44" s="16" t="s">
        <v>35</v>
      </c>
      <c r="Q44" s="21" t="s">
        <v>48</v>
      </c>
      <c r="R44" s="59" t="s">
        <v>144</v>
      </c>
    </row>
    <row r="45" spans="2:18" ht="16.5" thickTop="1" thickBot="1">
      <c r="B45" s="15">
        <v>44474</v>
      </c>
      <c r="C45" s="16" t="s">
        <v>140</v>
      </c>
      <c r="D45" s="17" t="s">
        <v>118</v>
      </c>
      <c r="E45" s="26" t="s">
        <v>145</v>
      </c>
      <c r="F45" s="17" t="s">
        <v>30</v>
      </c>
      <c r="G45" s="17" t="s">
        <v>31</v>
      </c>
      <c r="H45" s="17" t="s">
        <v>61</v>
      </c>
      <c r="I45" s="17" t="s">
        <v>23</v>
      </c>
      <c r="J45" s="17" t="s">
        <v>24</v>
      </c>
      <c r="K45" s="18">
        <v>44503</v>
      </c>
      <c r="L45" s="25" t="s">
        <v>39</v>
      </c>
      <c r="M45" s="19">
        <v>21</v>
      </c>
      <c r="N45" s="27">
        <f>Tabla1[[#This Row],[FECHA DE SELECCIÓN]]-Tabla1[[#This Row],[FECHA DE AUTORIZACIÓN]]</f>
        <v>29</v>
      </c>
      <c r="O45" s="83" t="s">
        <v>25</v>
      </c>
      <c r="P45" s="16" t="s">
        <v>35</v>
      </c>
      <c r="Q45" s="21" t="s">
        <v>77</v>
      </c>
      <c r="R45" s="59" t="s">
        <v>146</v>
      </c>
    </row>
    <row r="46" spans="2:18" ht="16.5" thickTop="1" thickBot="1">
      <c r="B46" s="15">
        <v>44481</v>
      </c>
      <c r="C46" s="16" t="s">
        <v>140</v>
      </c>
      <c r="D46" s="17" t="s">
        <v>147</v>
      </c>
      <c r="E46" s="17" t="s">
        <v>148</v>
      </c>
      <c r="F46" s="17" t="s">
        <v>30</v>
      </c>
      <c r="G46" s="17" t="s">
        <v>21</v>
      </c>
      <c r="H46" s="17" t="s">
        <v>61</v>
      </c>
      <c r="I46" s="17" t="s">
        <v>23</v>
      </c>
      <c r="J46" s="17" t="s">
        <v>24</v>
      </c>
      <c r="K46" s="18">
        <v>44501</v>
      </c>
      <c r="L46" s="25" t="s">
        <v>39</v>
      </c>
      <c r="M46" s="19">
        <v>21</v>
      </c>
      <c r="N46" s="27">
        <f>Tabla1[[#This Row],[FECHA DE SELECCIÓN]]-Tabla1[[#This Row],[FECHA DE AUTORIZACIÓN]]</f>
        <v>20</v>
      </c>
      <c r="O46" s="83" t="s">
        <v>58</v>
      </c>
      <c r="P46" s="16" t="s">
        <v>35</v>
      </c>
      <c r="Q46" s="21" t="s">
        <v>48</v>
      </c>
      <c r="R46" s="59" t="s">
        <v>149</v>
      </c>
    </row>
    <row r="47" spans="2:18" ht="16.5" thickTop="1" thickBot="1">
      <c r="B47" s="15">
        <v>44481</v>
      </c>
      <c r="C47" s="16" t="s">
        <v>140</v>
      </c>
      <c r="D47" s="17" t="s">
        <v>150</v>
      </c>
      <c r="E47" s="26" t="s">
        <v>151</v>
      </c>
      <c r="F47" s="17" t="s">
        <v>30</v>
      </c>
      <c r="G47" s="17" t="s">
        <v>31</v>
      </c>
      <c r="H47" s="17" t="s">
        <v>32</v>
      </c>
      <c r="I47" s="17" t="s">
        <v>23</v>
      </c>
      <c r="J47" s="17" t="s">
        <v>24</v>
      </c>
      <c r="K47" s="18">
        <v>44560</v>
      </c>
      <c r="L47" s="25" t="s">
        <v>99</v>
      </c>
      <c r="M47" s="19">
        <v>14</v>
      </c>
      <c r="N47" s="27">
        <f>Tabla1[[#This Row],[FECHA DE SELECCIÓN]]-Tabla1[[#This Row],[FECHA DE AUTORIZACIÓN]]</f>
        <v>79</v>
      </c>
      <c r="O47" s="83" t="s">
        <v>25</v>
      </c>
      <c r="P47" s="16" t="s">
        <v>35</v>
      </c>
      <c r="Q47" s="21" t="s">
        <v>48</v>
      </c>
      <c r="R47" s="59" t="s">
        <v>152</v>
      </c>
    </row>
    <row r="48" spans="2:18" ht="16.5" thickTop="1" thickBot="1">
      <c r="B48" s="15">
        <v>44481</v>
      </c>
      <c r="C48" s="16" t="s">
        <v>140</v>
      </c>
      <c r="D48" s="17" t="s">
        <v>153</v>
      </c>
      <c r="E48" s="26" t="s">
        <v>154</v>
      </c>
      <c r="F48" s="17" t="s">
        <v>30</v>
      </c>
      <c r="G48" s="17" t="s">
        <v>21</v>
      </c>
      <c r="H48" s="17" t="s">
        <v>61</v>
      </c>
      <c r="I48" s="17" t="s">
        <v>23</v>
      </c>
      <c r="J48" s="17" t="s">
        <v>24</v>
      </c>
      <c r="K48" s="18">
        <v>44501</v>
      </c>
      <c r="L48" s="25" t="s">
        <v>39</v>
      </c>
      <c r="M48" s="19">
        <v>21</v>
      </c>
      <c r="N48" s="27">
        <f>Tabla1[[#This Row],[FECHA DE SELECCIÓN]]-Tabla1[[#This Row],[FECHA DE AUTORIZACIÓN]]</f>
        <v>20</v>
      </c>
      <c r="O48" s="83" t="s">
        <v>58</v>
      </c>
      <c r="P48" s="16" t="s">
        <v>35</v>
      </c>
      <c r="Q48" s="21" t="s">
        <v>48</v>
      </c>
      <c r="R48" s="59" t="s">
        <v>155</v>
      </c>
    </row>
    <row r="49" spans="2:18" ht="16.5" thickTop="1" thickBot="1">
      <c r="B49" s="15">
        <v>44481</v>
      </c>
      <c r="C49" s="16" t="s">
        <v>140</v>
      </c>
      <c r="D49" s="17" t="s">
        <v>83</v>
      </c>
      <c r="E49" s="26" t="s">
        <v>156</v>
      </c>
      <c r="F49" s="17" t="s">
        <v>30</v>
      </c>
      <c r="G49" s="17" t="s">
        <v>31</v>
      </c>
      <c r="H49" s="17" t="s">
        <v>32</v>
      </c>
      <c r="I49" s="17" t="s">
        <v>23</v>
      </c>
      <c r="J49" s="17" t="s">
        <v>24</v>
      </c>
      <c r="K49" s="18">
        <v>44488</v>
      </c>
      <c r="L49" s="25" t="s">
        <v>63</v>
      </c>
      <c r="M49" s="19">
        <v>14</v>
      </c>
      <c r="N49" s="27">
        <f>Tabla1[[#This Row],[FECHA DE SELECCIÓN]]-Tabla1[[#This Row],[FECHA DE AUTORIZACIÓN]]</f>
        <v>7</v>
      </c>
      <c r="O49" s="83" t="s">
        <v>58</v>
      </c>
      <c r="P49" s="16" t="s">
        <v>35</v>
      </c>
      <c r="Q49" s="21" t="s">
        <v>48</v>
      </c>
      <c r="R49" s="59" t="s">
        <v>157</v>
      </c>
    </row>
    <row r="50" spans="2:18" ht="16.5" thickTop="1" thickBot="1">
      <c r="B50" s="15">
        <v>44481</v>
      </c>
      <c r="C50" s="16" t="s">
        <v>140</v>
      </c>
      <c r="D50" s="17" t="s">
        <v>158</v>
      </c>
      <c r="E50" s="26" t="s">
        <v>159</v>
      </c>
      <c r="F50" s="17" t="s">
        <v>30</v>
      </c>
      <c r="G50" s="17" t="s">
        <v>31</v>
      </c>
      <c r="H50" s="17" t="s">
        <v>61</v>
      </c>
      <c r="I50" s="17" t="s">
        <v>23</v>
      </c>
      <c r="J50" s="17" t="s">
        <v>24</v>
      </c>
      <c r="K50" s="18">
        <v>44551</v>
      </c>
      <c r="L50" s="25" t="s">
        <v>99</v>
      </c>
      <c r="M50" s="19">
        <v>21</v>
      </c>
      <c r="N50" s="27">
        <f>Tabla1[[#This Row],[FECHA DE SELECCIÓN]]-Tabla1[[#This Row],[FECHA DE AUTORIZACIÓN]]</f>
        <v>70</v>
      </c>
      <c r="O50" s="83" t="s">
        <v>25</v>
      </c>
      <c r="P50" s="16" t="s">
        <v>35</v>
      </c>
      <c r="Q50" s="21" t="s">
        <v>77</v>
      </c>
      <c r="R50" s="59" t="s">
        <v>160</v>
      </c>
    </row>
    <row r="51" spans="2:18" ht="16.5" thickTop="1" thickBot="1">
      <c r="B51" s="15">
        <v>44481</v>
      </c>
      <c r="C51" s="16" t="s">
        <v>140</v>
      </c>
      <c r="D51" s="17" t="s">
        <v>161</v>
      </c>
      <c r="E51" s="17" t="s">
        <v>162</v>
      </c>
      <c r="F51" s="17" t="s">
        <v>30</v>
      </c>
      <c r="G51" s="17" t="s">
        <v>21</v>
      </c>
      <c r="H51" s="17" t="s">
        <v>22</v>
      </c>
      <c r="I51" s="17" t="s">
        <v>33</v>
      </c>
      <c r="J51" s="17" t="s">
        <v>24</v>
      </c>
      <c r="K51" s="18">
        <v>44519</v>
      </c>
      <c r="L51" s="25" t="s">
        <v>39</v>
      </c>
      <c r="M51" s="19">
        <v>28</v>
      </c>
      <c r="N51" s="27">
        <f>Tabla1[[#This Row],[FECHA DE SELECCIÓN]]-Tabla1[[#This Row],[FECHA DE AUTORIZACIÓN]]</f>
        <v>38</v>
      </c>
      <c r="O51" s="83" t="s">
        <v>25</v>
      </c>
      <c r="P51" s="16" t="s">
        <v>35</v>
      </c>
      <c r="Q51" s="21" t="s">
        <v>40</v>
      </c>
      <c r="R51" s="59" t="s">
        <v>163</v>
      </c>
    </row>
    <row r="52" spans="2:18" ht="16.5" thickTop="1" thickBot="1">
      <c r="B52" s="15">
        <v>44498</v>
      </c>
      <c r="C52" s="16" t="s">
        <v>140</v>
      </c>
      <c r="D52" s="17" t="s">
        <v>164</v>
      </c>
      <c r="E52" s="17" t="s">
        <v>165</v>
      </c>
      <c r="F52" s="17" t="s">
        <v>20</v>
      </c>
      <c r="G52" s="17" t="s">
        <v>21</v>
      </c>
      <c r="H52" s="17" t="s">
        <v>22</v>
      </c>
      <c r="I52" s="17" t="s">
        <v>33</v>
      </c>
      <c r="J52" s="17" t="s">
        <v>24</v>
      </c>
      <c r="K52" s="18">
        <v>44636</v>
      </c>
      <c r="L52" s="25"/>
      <c r="M52" s="19">
        <v>28</v>
      </c>
      <c r="N52" s="27">
        <f>Tabla1[[#This Row],[FECHA DE SELECCIÓN]]-Tabla1[[#This Row],[FECHA DE AUTORIZACIÓN]]</f>
        <v>138</v>
      </c>
      <c r="O52" s="83" t="s">
        <v>25</v>
      </c>
      <c r="P52" s="16" t="s">
        <v>44</v>
      </c>
      <c r="Q52" s="21"/>
      <c r="R52" s="59"/>
    </row>
    <row r="53" spans="2:18" ht="16.5" thickTop="1" thickBot="1">
      <c r="B53" s="15">
        <v>44487</v>
      </c>
      <c r="C53" s="16" t="s">
        <v>140</v>
      </c>
      <c r="D53" s="17" t="s">
        <v>166</v>
      </c>
      <c r="E53" s="26" t="s">
        <v>167</v>
      </c>
      <c r="F53" s="17" t="s">
        <v>20</v>
      </c>
      <c r="G53" s="17" t="s">
        <v>21</v>
      </c>
      <c r="H53" s="17" t="s">
        <v>22</v>
      </c>
      <c r="I53" s="17" t="s">
        <v>55</v>
      </c>
      <c r="J53" s="17" t="s">
        <v>24</v>
      </c>
      <c r="K53" s="18">
        <v>44523</v>
      </c>
      <c r="L53" s="25" t="s">
        <v>39</v>
      </c>
      <c r="M53" s="19">
        <v>40</v>
      </c>
      <c r="N53" s="27">
        <f>Tabla1[[#This Row],[FECHA DE SELECCIÓN]]-Tabla1[[#This Row],[FECHA DE AUTORIZACIÓN]]</f>
        <v>36</v>
      </c>
      <c r="O53" s="83" t="s">
        <v>58</v>
      </c>
      <c r="P53" s="16" t="s">
        <v>35</v>
      </c>
      <c r="Q53" s="21" t="s">
        <v>168</v>
      </c>
      <c r="R53" s="59" t="s">
        <v>169</v>
      </c>
    </row>
    <row r="54" spans="2:18" ht="16.5" thickTop="1" thickBot="1">
      <c r="B54" s="9">
        <v>44488</v>
      </c>
      <c r="C54" s="10" t="s">
        <v>140</v>
      </c>
      <c r="D54" s="11" t="s">
        <v>170</v>
      </c>
      <c r="E54" s="26" t="s">
        <v>171</v>
      </c>
      <c r="F54" s="11" t="s">
        <v>30</v>
      </c>
      <c r="G54" s="11" t="s">
        <v>21</v>
      </c>
      <c r="H54" s="11" t="s">
        <v>32</v>
      </c>
      <c r="I54" s="11" t="s">
        <v>23</v>
      </c>
      <c r="J54" s="11" t="s">
        <v>24</v>
      </c>
      <c r="K54" s="12">
        <v>44550</v>
      </c>
      <c r="L54" s="25" t="s">
        <v>99</v>
      </c>
      <c r="M54" s="13">
        <v>14</v>
      </c>
      <c r="N54" s="27">
        <f>Tabla1[[#This Row],[FECHA DE SELECCIÓN]]-Tabla1[[#This Row],[FECHA DE AUTORIZACIÓN]]</f>
        <v>62</v>
      </c>
      <c r="O54" s="84" t="s">
        <v>25</v>
      </c>
      <c r="P54" s="10" t="s">
        <v>35</v>
      </c>
      <c r="Q54" s="14" t="s">
        <v>77</v>
      </c>
      <c r="R54" s="59" t="s">
        <v>172</v>
      </c>
    </row>
    <row r="55" spans="2:18" ht="16.5" thickTop="1" thickBot="1">
      <c r="B55" s="15">
        <v>44487</v>
      </c>
      <c r="C55" s="16" t="s">
        <v>140</v>
      </c>
      <c r="D55" s="17" t="s">
        <v>173</v>
      </c>
      <c r="E55" s="26" t="s">
        <v>174</v>
      </c>
      <c r="F55" s="17" t="s">
        <v>20</v>
      </c>
      <c r="G55" s="17" t="s">
        <v>21</v>
      </c>
      <c r="H55" s="17" t="s">
        <v>22</v>
      </c>
      <c r="I55" s="17" t="s">
        <v>55</v>
      </c>
      <c r="J55" s="17" t="s">
        <v>24</v>
      </c>
      <c r="K55" s="18">
        <v>44501</v>
      </c>
      <c r="L55" s="25" t="s">
        <v>39</v>
      </c>
      <c r="M55" s="19">
        <v>40</v>
      </c>
      <c r="N55" s="27">
        <f>Tabla1[[#This Row],[FECHA DE SELECCIÓN]]-Tabla1[[#This Row],[FECHA DE AUTORIZACIÓN]]</f>
        <v>14</v>
      </c>
      <c r="O55" s="83" t="s">
        <v>58</v>
      </c>
      <c r="P55" s="16" t="s">
        <v>35</v>
      </c>
      <c r="Q55" s="21" t="s">
        <v>40</v>
      </c>
      <c r="R55" s="59" t="s">
        <v>175</v>
      </c>
    </row>
    <row r="56" spans="2:18" ht="16.5" thickTop="1" thickBot="1">
      <c r="B56" s="15">
        <v>44516</v>
      </c>
      <c r="C56" s="16" t="s">
        <v>140</v>
      </c>
      <c r="D56" s="17" t="s">
        <v>176</v>
      </c>
      <c r="E56" s="26" t="s">
        <v>177</v>
      </c>
      <c r="F56" s="17" t="s">
        <v>20</v>
      </c>
      <c r="G56" s="17" t="s">
        <v>21</v>
      </c>
      <c r="H56" s="17" t="s">
        <v>22</v>
      </c>
      <c r="I56" s="17" t="s">
        <v>55</v>
      </c>
      <c r="J56" s="17" t="s">
        <v>24</v>
      </c>
      <c r="K56" s="18">
        <v>44525</v>
      </c>
      <c r="L56" s="25" t="s">
        <v>99</v>
      </c>
      <c r="M56" s="19">
        <v>28</v>
      </c>
      <c r="N56" s="27">
        <f>Tabla1[[#This Row],[FECHA DE SELECCIÓN]]-Tabla1[[#This Row],[FECHA DE AUTORIZACIÓN]]</f>
        <v>9</v>
      </c>
      <c r="O56" s="83" t="s">
        <v>58</v>
      </c>
      <c r="P56" s="16" t="s">
        <v>35</v>
      </c>
      <c r="Q56" s="21" t="s">
        <v>40</v>
      </c>
      <c r="R56" s="59" t="s">
        <v>178</v>
      </c>
    </row>
    <row r="57" spans="2:18" ht="16.5" thickTop="1" thickBot="1">
      <c r="B57" s="15">
        <v>44511</v>
      </c>
      <c r="C57" s="16" t="s">
        <v>179</v>
      </c>
      <c r="D57" s="17" t="s">
        <v>180</v>
      </c>
      <c r="E57" s="26"/>
      <c r="F57" s="17" t="s">
        <v>30</v>
      </c>
      <c r="G57" s="17" t="s">
        <v>31</v>
      </c>
      <c r="H57" s="17" t="s">
        <v>32</v>
      </c>
      <c r="I57" s="17" t="s">
        <v>23</v>
      </c>
      <c r="J57" s="17" t="s">
        <v>24</v>
      </c>
      <c r="K57" s="18">
        <v>44531</v>
      </c>
      <c r="L57" s="25" t="s">
        <v>99</v>
      </c>
      <c r="M57" s="19">
        <v>28</v>
      </c>
      <c r="N57" s="27">
        <f>Tabla1[[#This Row],[FECHA DE SELECCIÓN]]-Tabla1[[#This Row],[FECHA DE AUTORIZACIÓN]]</f>
        <v>20</v>
      </c>
      <c r="O57" s="83" t="s">
        <v>58</v>
      </c>
      <c r="P57" s="16" t="s">
        <v>35</v>
      </c>
      <c r="Q57" s="21"/>
      <c r="R57" s="59"/>
    </row>
    <row r="58" spans="2:18" ht="16.5" thickTop="1" thickBot="1">
      <c r="B58" s="15">
        <v>44636</v>
      </c>
      <c r="C58" s="16" t="s">
        <v>181</v>
      </c>
      <c r="D58" s="17" t="s">
        <v>182</v>
      </c>
      <c r="E58" s="17" t="s">
        <v>183</v>
      </c>
      <c r="F58" s="17" t="s">
        <v>30</v>
      </c>
      <c r="G58" s="17" t="s">
        <v>21</v>
      </c>
      <c r="H58" s="17" t="s">
        <v>22</v>
      </c>
      <c r="I58" s="17" t="s">
        <v>23</v>
      </c>
      <c r="J58" s="17" t="s">
        <v>24</v>
      </c>
      <c r="K58" s="18">
        <v>44655</v>
      </c>
      <c r="L58" s="25"/>
      <c r="M58" s="19">
        <v>28</v>
      </c>
      <c r="N58" s="27">
        <f>Tabla1[[#This Row],[FECHA DE SELECCIÓN]]-Tabla1[[#This Row],[FECHA DE AUTORIZACIÓN]]</f>
        <v>19</v>
      </c>
      <c r="O58" s="83" t="s">
        <v>25</v>
      </c>
      <c r="P58" s="16" t="s">
        <v>44</v>
      </c>
      <c r="Q58" s="21"/>
      <c r="R58" s="59"/>
    </row>
    <row r="59" spans="2:18" ht="16.5" thickTop="1" thickBot="1">
      <c r="B59" s="15">
        <v>44511</v>
      </c>
      <c r="C59" s="16" t="s">
        <v>179</v>
      </c>
      <c r="D59" s="17" t="s">
        <v>180</v>
      </c>
      <c r="E59" s="26" t="s">
        <v>102</v>
      </c>
      <c r="F59" s="17" t="s">
        <v>30</v>
      </c>
      <c r="G59" s="17" t="s">
        <v>31</v>
      </c>
      <c r="H59" s="17" t="s">
        <v>32</v>
      </c>
      <c r="I59" s="17" t="s">
        <v>23</v>
      </c>
      <c r="J59" s="17" t="s">
        <v>24</v>
      </c>
      <c r="K59" s="18">
        <v>44516</v>
      </c>
      <c r="L59" s="25" t="s">
        <v>39</v>
      </c>
      <c r="M59" s="19">
        <v>28</v>
      </c>
      <c r="N59" s="27">
        <f>Tabla1[[#This Row],[FECHA DE SELECCIÓN]]-Tabla1[[#This Row],[FECHA DE AUTORIZACIÓN]]</f>
        <v>5</v>
      </c>
      <c r="O59" s="83" t="s">
        <v>58</v>
      </c>
      <c r="P59" s="16" t="s">
        <v>35</v>
      </c>
      <c r="Q59" s="21" t="s">
        <v>48</v>
      </c>
      <c r="R59" s="59" t="s">
        <v>184</v>
      </c>
    </row>
    <row r="60" spans="2:18" ht="16.5" thickTop="1" thickBot="1">
      <c r="B60" s="15">
        <v>44513</v>
      </c>
      <c r="C60" s="16" t="s">
        <v>179</v>
      </c>
      <c r="D60" s="17" t="s">
        <v>185</v>
      </c>
      <c r="E60" s="17" t="s">
        <v>102</v>
      </c>
      <c r="F60" s="17" t="s">
        <v>30</v>
      </c>
      <c r="G60" s="17" t="s">
        <v>21</v>
      </c>
      <c r="H60" s="17" t="s">
        <v>61</v>
      </c>
      <c r="I60" s="17" t="s">
        <v>103</v>
      </c>
      <c r="J60" s="17" t="s">
        <v>24</v>
      </c>
      <c r="K60" s="18">
        <v>44522</v>
      </c>
      <c r="L60" s="25" t="s">
        <v>39</v>
      </c>
      <c r="M60" s="19">
        <v>21</v>
      </c>
      <c r="N60" s="27">
        <f>Tabla1[[#This Row],[FECHA DE SELECCIÓN]]-Tabla1[[#This Row],[FECHA DE AUTORIZACIÓN]]</f>
        <v>9</v>
      </c>
      <c r="O60" s="83" t="s">
        <v>58</v>
      </c>
      <c r="P60" s="16" t="s">
        <v>35</v>
      </c>
      <c r="Q60" s="21" t="s">
        <v>77</v>
      </c>
      <c r="R60" s="59" t="s">
        <v>186</v>
      </c>
    </row>
    <row r="61" spans="2:18" ht="16.5" thickTop="1" thickBot="1">
      <c r="B61" s="15">
        <v>44511</v>
      </c>
      <c r="C61" s="16" t="s">
        <v>179</v>
      </c>
      <c r="D61" s="17" t="s">
        <v>187</v>
      </c>
      <c r="E61" s="17" t="s">
        <v>102</v>
      </c>
      <c r="F61" s="17" t="s">
        <v>20</v>
      </c>
      <c r="G61" s="17" t="s">
        <v>21</v>
      </c>
      <c r="H61" s="17" t="s">
        <v>22</v>
      </c>
      <c r="I61" s="17" t="s">
        <v>103</v>
      </c>
      <c r="J61" s="17" t="s">
        <v>24</v>
      </c>
      <c r="K61" s="18">
        <v>44557</v>
      </c>
      <c r="L61" s="25" t="s">
        <v>39</v>
      </c>
      <c r="M61" s="19">
        <v>28</v>
      </c>
      <c r="N61" s="27">
        <f>Tabla1[[#This Row],[FECHA DE SELECCIÓN]]-Tabla1[[#This Row],[FECHA DE AUTORIZACIÓN]]</f>
        <v>46</v>
      </c>
      <c r="O61" s="83" t="s">
        <v>25</v>
      </c>
      <c r="P61" s="16" t="s">
        <v>35</v>
      </c>
      <c r="Q61" s="21" t="s">
        <v>77</v>
      </c>
      <c r="R61" s="59" t="s">
        <v>188</v>
      </c>
    </row>
    <row r="62" spans="2:18" ht="16.5" thickTop="1" thickBot="1">
      <c r="B62" s="15">
        <v>44503</v>
      </c>
      <c r="C62" s="16" t="s">
        <v>179</v>
      </c>
      <c r="D62" s="17" t="s">
        <v>180</v>
      </c>
      <c r="E62" s="26"/>
      <c r="F62" s="17" t="s">
        <v>30</v>
      </c>
      <c r="G62" s="17" t="s">
        <v>31</v>
      </c>
      <c r="H62" s="17" t="s">
        <v>32</v>
      </c>
      <c r="I62" s="17" t="s">
        <v>23</v>
      </c>
      <c r="J62" s="17" t="s">
        <v>24</v>
      </c>
      <c r="K62" s="18">
        <v>44580</v>
      </c>
      <c r="L62" s="25"/>
      <c r="M62" s="19">
        <v>21</v>
      </c>
      <c r="N62" s="27">
        <f>Tabla1[[#This Row],[FECHA DE SELECCIÓN]]-Tabla1[[#This Row],[FECHA DE AUTORIZACIÓN]]</f>
        <v>77</v>
      </c>
      <c r="O62" s="83" t="s">
        <v>25</v>
      </c>
      <c r="P62" s="16" t="s">
        <v>26</v>
      </c>
      <c r="Q62" s="21"/>
      <c r="R62" s="59"/>
    </row>
    <row r="63" spans="2:18" ht="16.5" thickTop="1" thickBot="1">
      <c r="B63" s="15">
        <v>44519</v>
      </c>
      <c r="C63" s="16" t="s">
        <v>179</v>
      </c>
      <c r="D63" s="17" t="s">
        <v>83</v>
      </c>
      <c r="E63" s="26"/>
      <c r="F63" s="17" t="s">
        <v>30</v>
      </c>
      <c r="G63" s="17" t="s">
        <v>31</v>
      </c>
      <c r="H63" s="17" t="s">
        <v>32</v>
      </c>
      <c r="I63" s="17" t="s">
        <v>23</v>
      </c>
      <c r="J63" s="17" t="s">
        <v>24</v>
      </c>
      <c r="K63" s="18">
        <v>44531</v>
      </c>
      <c r="L63" s="25" t="s">
        <v>99</v>
      </c>
      <c r="M63" s="19">
        <v>14</v>
      </c>
      <c r="N63" s="27">
        <f>Tabla1[[#This Row],[FECHA DE SELECCIÓN]]-Tabla1[[#This Row],[FECHA DE AUTORIZACIÓN]]</f>
        <v>12</v>
      </c>
      <c r="O63" s="83" t="s">
        <v>58</v>
      </c>
      <c r="P63" s="16" t="s">
        <v>35</v>
      </c>
      <c r="Q63" s="21"/>
      <c r="R63" s="59"/>
    </row>
    <row r="64" spans="2:18" ht="16.5" thickTop="1" thickBot="1">
      <c r="B64" s="15">
        <v>44519</v>
      </c>
      <c r="C64" s="16" t="s">
        <v>179</v>
      </c>
      <c r="D64" s="17" t="s">
        <v>134</v>
      </c>
      <c r="E64" s="26" t="s">
        <v>189</v>
      </c>
      <c r="F64" s="17" t="s">
        <v>30</v>
      </c>
      <c r="G64" s="17" t="s">
        <v>31</v>
      </c>
      <c r="H64" s="17" t="s">
        <v>32</v>
      </c>
      <c r="I64" s="17" t="s">
        <v>23</v>
      </c>
      <c r="J64" s="17" t="s">
        <v>24</v>
      </c>
      <c r="K64" s="18">
        <v>44523</v>
      </c>
      <c r="L64" s="25" t="s">
        <v>39</v>
      </c>
      <c r="M64" s="19">
        <v>14</v>
      </c>
      <c r="N64" s="27">
        <f>Tabla1[[#This Row],[FECHA DE SELECCIÓN]]-Tabla1[[#This Row],[FECHA DE AUTORIZACIÓN]]</f>
        <v>4</v>
      </c>
      <c r="O64" s="83" t="s">
        <v>58</v>
      </c>
      <c r="P64" s="16" t="s">
        <v>35</v>
      </c>
      <c r="Q64" s="21" t="s">
        <v>48</v>
      </c>
      <c r="R64" s="59" t="s">
        <v>190</v>
      </c>
    </row>
    <row r="65" spans="2:25" ht="16.5" thickTop="1" thickBot="1">
      <c r="B65" s="9">
        <v>44547</v>
      </c>
      <c r="C65" s="10" t="s">
        <v>99</v>
      </c>
      <c r="D65" s="17" t="s">
        <v>191</v>
      </c>
      <c r="E65" s="26" t="s">
        <v>192</v>
      </c>
      <c r="F65" s="11" t="s">
        <v>30</v>
      </c>
      <c r="G65" s="17" t="s">
        <v>31</v>
      </c>
      <c r="H65" s="17" t="s">
        <v>32</v>
      </c>
      <c r="I65" s="17" t="s">
        <v>23</v>
      </c>
      <c r="J65" s="11" t="s">
        <v>24</v>
      </c>
      <c r="K65" s="12">
        <v>44579</v>
      </c>
      <c r="L65" s="25" t="s">
        <v>95</v>
      </c>
      <c r="M65" s="19">
        <v>14</v>
      </c>
      <c r="N65" s="27">
        <f>Tabla1[[#This Row],[FECHA DE SELECCIÓN]]-Tabla1[[#This Row],[FECHA DE AUTORIZACIÓN]]</f>
        <v>32</v>
      </c>
      <c r="O65" s="83" t="s">
        <v>25</v>
      </c>
      <c r="P65" s="16" t="s">
        <v>35</v>
      </c>
      <c r="Q65" s="14" t="s">
        <v>48</v>
      </c>
      <c r="R65" s="59" t="s">
        <v>193</v>
      </c>
    </row>
    <row r="66" spans="2:25" ht="16.5" thickTop="1" thickBot="1">
      <c r="B66" s="9">
        <v>44552</v>
      </c>
      <c r="C66" s="10" t="s">
        <v>99</v>
      </c>
      <c r="D66" s="17" t="s">
        <v>134</v>
      </c>
      <c r="E66" s="26" t="s">
        <v>194</v>
      </c>
      <c r="F66" s="11" t="s">
        <v>30</v>
      </c>
      <c r="G66" s="17" t="s">
        <v>31</v>
      </c>
      <c r="H66" s="17" t="s">
        <v>32</v>
      </c>
      <c r="I66" s="17" t="s">
        <v>23</v>
      </c>
      <c r="J66" s="11" t="s">
        <v>24</v>
      </c>
      <c r="K66" s="12">
        <v>44572</v>
      </c>
      <c r="L66" s="25" t="s">
        <v>95</v>
      </c>
      <c r="M66" s="19">
        <v>21</v>
      </c>
      <c r="N66" s="27">
        <f>Tabla1[[#This Row],[FECHA DE SELECCIÓN]]-Tabla1[[#This Row],[FECHA DE AUTORIZACIÓN]]</f>
        <v>20</v>
      </c>
      <c r="O66" s="83" t="s">
        <v>58</v>
      </c>
      <c r="P66" s="16" t="s">
        <v>35</v>
      </c>
      <c r="Q66" s="14" t="s">
        <v>195</v>
      </c>
      <c r="R66" s="59" t="s">
        <v>196</v>
      </c>
    </row>
    <row r="67" spans="2:25" ht="16.5" thickTop="1" thickBot="1">
      <c r="B67" s="9">
        <v>44557</v>
      </c>
      <c r="C67" s="10" t="s">
        <v>99</v>
      </c>
      <c r="D67" s="17" t="s">
        <v>197</v>
      </c>
      <c r="E67" s="26" t="s">
        <v>198</v>
      </c>
      <c r="F67" s="11" t="s">
        <v>30</v>
      </c>
      <c r="G67" s="17" t="s">
        <v>31</v>
      </c>
      <c r="H67" s="17" t="s">
        <v>22</v>
      </c>
      <c r="I67" s="17" t="s">
        <v>23</v>
      </c>
      <c r="J67" s="11" t="s">
        <v>56</v>
      </c>
      <c r="K67" s="12">
        <v>44574</v>
      </c>
      <c r="L67" s="25" t="s">
        <v>95</v>
      </c>
      <c r="M67" s="13">
        <v>21</v>
      </c>
      <c r="N67" s="27">
        <f>Tabla1[[#This Row],[FECHA DE SELECCIÓN]]-Tabla1[[#This Row],[FECHA DE AUTORIZACIÓN]]</f>
        <v>17</v>
      </c>
      <c r="O67" s="83" t="s">
        <v>58</v>
      </c>
      <c r="P67" s="16" t="s">
        <v>35</v>
      </c>
      <c r="Q67" s="14" t="s">
        <v>77</v>
      </c>
      <c r="R67" s="59" t="s">
        <v>199</v>
      </c>
    </row>
    <row r="68" spans="2:25" ht="16.5" thickTop="1" thickBot="1">
      <c r="B68" s="9">
        <v>44557</v>
      </c>
      <c r="C68" s="10" t="s">
        <v>99</v>
      </c>
      <c r="D68" s="17" t="s">
        <v>200</v>
      </c>
      <c r="E68" s="26" t="s">
        <v>174</v>
      </c>
      <c r="F68" s="11" t="s">
        <v>30</v>
      </c>
      <c r="G68" s="17" t="s">
        <v>31</v>
      </c>
      <c r="H68" s="17" t="s">
        <v>32</v>
      </c>
      <c r="I68" s="17" t="s">
        <v>23</v>
      </c>
      <c r="J68" s="11" t="s">
        <v>56</v>
      </c>
      <c r="K68" s="12">
        <v>44595</v>
      </c>
      <c r="L68" s="25" t="s">
        <v>201</v>
      </c>
      <c r="M68" s="13">
        <v>14</v>
      </c>
      <c r="N68" s="27">
        <f>Tabla1[[#This Row],[FECHA DE SELECCIÓN]]-Tabla1[[#This Row],[FECHA DE AUTORIZACIÓN]]</f>
        <v>38</v>
      </c>
      <c r="O68" s="83" t="s">
        <v>25</v>
      </c>
      <c r="P68" s="16" t="s">
        <v>35</v>
      </c>
      <c r="Q68" s="14"/>
      <c r="R68" s="59"/>
    </row>
    <row r="69" spans="2:25" ht="16.5" thickTop="1" thickBot="1">
      <c r="B69" s="9">
        <v>44557</v>
      </c>
      <c r="C69" s="10" t="s">
        <v>99</v>
      </c>
      <c r="D69" s="17" t="s">
        <v>202</v>
      </c>
      <c r="E69" s="11" t="s">
        <v>102</v>
      </c>
      <c r="F69" s="11" t="s">
        <v>30</v>
      </c>
      <c r="G69" s="17" t="s">
        <v>31</v>
      </c>
      <c r="H69" s="17" t="s">
        <v>32</v>
      </c>
      <c r="I69" s="17" t="s">
        <v>23</v>
      </c>
      <c r="J69" s="11" t="s">
        <v>56</v>
      </c>
      <c r="K69" s="12">
        <v>44610</v>
      </c>
      <c r="L69" s="25" t="s">
        <v>201</v>
      </c>
      <c r="M69" s="13">
        <v>21</v>
      </c>
      <c r="N69" s="27">
        <f>Tabla1[[#This Row],[FECHA DE SELECCIÓN]]-Tabla1[[#This Row],[FECHA DE AUTORIZACIÓN]]</f>
        <v>53</v>
      </c>
      <c r="O69" s="83" t="s">
        <v>25</v>
      </c>
      <c r="P69" s="16" t="s">
        <v>35</v>
      </c>
      <c r="Q69" s="14"/>
      <c r="R69" s="59"/>
    </row>
    <row r="70" spans="2:25" ht="16.5" thickTop="1" thickBot="1">
      <c r="B70" s="9">
        <v>44203</v>
      </c>
      <c r="C70" s="10" t="s">
        <v>99</v>
      </c>
      <c r="D70" s="17" t="s">
        <v>203</v>
      </c>
      <c r="E70" s="26"/>
      <c r="F70" s="11" t="s">
        <v>30</v>
      </c>
      <c r="G70" s="17" t="s">
        <v>31</v>
      </c>
      <c r="H70" s="17" t="s">
        <v>32</v>
      </c>
      <c r="I70" s="17" t="s">
        <v>23</v>
      </c>
      <c r="J70" s="11" t="s">
        <v>24</v>
      </c>
      <c r="K70" s="12">
        <v>44636</v>
      </c>
      <c r="L70" s="25"/>
      <c r="M70" s="13">
        <v>21</v>
      </c>
      <c r="N70" s="27">
        <f>Tabla1[[#This Row],[FECHA DE SELECCIÓN]]-Tabla1[[#This Row],[FECHA DE AUTORIZACIÓN]]</f>
        <v>433</v>
      </c>
      <c r="O70" s="83" t="s">
        <v>25</v>
      </c>
      <c r="P70" s="10" t="s">
        <v>26</v>
      </c>
      <c r="Q70" s="14"/>
      <c r="R70" s="59"/>
      <c r="T70" s="96"/>
      <c r="U70" s="96"/>
      <c r="V70" s="96"/>
      <c r="W70" s="96"/>
      <c r="X70" s="96"/>
      <c r="Y70" s="96"/>
    </row>
    <row r="71" spans="2:25" ht="16.5" thickTop="1" thickBot="1">
      <c r="B71" s="15">
        <v>44572</v>
      </c>
      <c r="C71" s="10" t="s">
        <v>95</v>
      </c>
      <c r="D71" s="17" t="s">
        <v>118</v>
      </c>
      <c r="E71" s="26" t="s">
        <v>204</v>
      </c>
      <c r="F71" s="17" t="s">
        <v>30</v>
      </c>
      <c r="G71" s="17" t="s">
        <v>31</v>
      </c>
      <c r="H71" s="17" t="s">
        <v>22</v>
      </c>
      <c r="I71" s="17" t="s">
        <v>23</v>
      </c>
      <c r="J71" s="17" t="s">
        <v>24</v>
      </c>
      <c r="K71" s="18">
        <v>44579</v>
      </c>
      <c r="L71" s="25" t="s">
        <v>95</v>
      </c>
      <c r="M71" s="19">
        <v>21</v>
      </c>
      <c r="N71" s="27">
        <f>Tabla1[[#This Row],[FECHA DE SELECCIÓN]]-Tabla1[[#This Row],[FECHA DE AUTORIZACIÓN]]</f>
        <v>7</v>
      </c>
      <c r="O71" s="83" t="s">
        <v>58</v>
      </c>
      <c r="P71" s="16" t="s">
        <v>35</v>
      </c>
      <c r="Q71" s="21" t="s">
        <v>40</v>
      </c>
      <c r="R71" s="59" t="s">
        <v>205</v>
      </c>
      <c r="T71" s="66"/>
      <c r="U71" s="67"/>
      <c r="V71" s="67"/>
      <c r="W71" s="67"/>
      <c r="X71" s="67"/>
      <c r="Y71" s="66"/>
    </row>
    <row r="72" spans="2:25" ht="16.5" thickTop="1" thickBot="1">
      <c r="B72" s="9">
        <v>44536</v>
      </c>
      <c r="C72" s="10" t="s">
        <v>99</v>
      </c>
      <c r="D72" s="17" t="s">
        <v>206</v>
      </c>
      <c r="E72" s="26" t="s">
        <v>207</v>
      </c>
      <c r="F72" s="11" t="s">
        <v>20</v>
      </c>
      <c r="G72" s="11" t="s">
        <v>21</v>
      </c>
      <c r="H72" s="11" t="s">
        <v>22</v>
      </c>
      <c r="I72" s="11" t="s">
        <v>33</v>
      </c>
      <c r="J72" s="17" t="s">
        <v>24</v>
      </c>
      <c r="K72" s="12">
        <v>44636</v>
      </c>
      <c r="L72" s="25"/>
      <c r="M72" s="13">
        <v>28</v>
      </c>
      <c r="N72" s="27">
        <f>Tabla1[[#This Row],[FECHA DE SELECCIÓN]]-Tabla1[[#This Row],[FECHA DE AUTORIZACIÓN]]</f>
        <v>100</v>
      </c>
      <c r="O72" s="83" t="s">
        <v>25</v>
      </c>
      <c r="P72" s="10" t="s">
        <v>44</v>
      </c>
      <c r="Q72" s="14"/>
      <c r="R72" s="59"/>
      <c r="T72" s="66"/>
      <c r="U72" s="67"/>
      <c r="V72" s="67"/>
      <c r="W72" s="67"/>
      <c r="X72" s="67"/>
      <c r="Y72" s="66"/>
    </row>
    <row r="73" spans="2:25" ht="16.5" thickTop="1" thickBot="1">
      <c r="B73" s="9">
        <v>44552</v>
      </c>
      <c r="C73" s="10" t="s">
        <v>99</v>
      </c>
      <c r="D73" s="17" t="s">
        <v>208</v>
      </c>
      <c r="E73" s="26" t="s">
        <v>209</v>
      </c>
      <c r="F73" s="11" t="s">
        <v>30</v>
      </c>
      <c r="G73" s="11" t="s">
        <v>210</v>
      </c>
      <c r="H73" s="11" t="s">
        <v>32</v>
      </c>
      <c r="I73" s="11" t="s">
        <v>33</v>
      </c>
      <c r="J73" s="17" t="s">
        <v>24</v>
      </c>
      <c r="K73" s="12">
        <v>44636</v>
      </c>
      <c r="L73" s="25"/>
      <c r="M73" s="13">
        <v>21</v>
      </c>
      <c r="N73" s="27">
        <f>Tabla1[[#This Row],[FECHA DE SELECCIÓN]]-Tabla1[[#This Row],[FECHA DE AUTORIZACIÓN]]</f>
        <v>84</v>
      </c>
      <c r="O73" s="83" t="s">
        <v>25</v>
      </c>
      <c r="P73" s="10" t="s">
        <v>44</v>
      </c>
      <c r="Q73" s="14"/>
      <c r="R73" s="59"/>
      <c r="T73" s="66"/>
      <c r="U73" s="67"/>
      <c r="V73" s="67"/>
      <c r="W73" s="67"/>
      <c r="X73" s="68"/>
    </row>
    <row r="74" spans="2:25" ht="16.5" thickTop="1" thickBot="1">
      <c r="B74" s="9">
        <v>44552</v>
      </c>
      <c r="C74" s="10" t="s">
        <v>99</v>
      </c>
      <c r="D74" s="17" t="s">
        <v>211</v>
      </c>
      <c r="E74" s="11" t="s">
        <v>212</v>
      </c>
      <c r="F74" s="11" t="s">
        <v>20</v>
      </c>
      <c r="G74" s="11" t="s">
        <v>21</v>
      </c>
      <c r="H74" s="11" t="s">
        <v>22</v>
      </c>
      <c r="I74" s="11" t="s">
        <v>33</v>
      </c>
      <c r="J74" s="17" t="s">
        <v>24</v>
      </c>
      <c r="K74" s="12">
        <v>44617</v>
      </c>
      <c r="L74" s="25" t="s">
        <v>201</v>
      </c>
      <c r="M74" s="13">
        <v>28</v>
      </c>
      <c r="N74" s="27">
        <f>Tabla1[[#This Row],[FECHA DE SELECCIÓN]]-Tabla1[[#This Row],[FECHA DE AUTORIZACIÓN]]</f>
        <v>65</v>
      </c>
      <c r="O74" s="83" t="s">
        <v>25</v>
      </c>
      <c r="P74" s="10" t="s">
        <v>35</v>
      </c>
      <c r="Q74" s="14"/>
      <c r="R74" s="59"/>
      <c r="T74" s="66"/>
      <c r="V74" s="67"/>
      <c r="W74" s="67"/>
    </row>
    <row r="75" spans="2:25" ht="16.5" thickTop="1" thickBot="1">
      <c r="B75" s="9">
        <v>44552</v>
      </c>
      <c r="C75" s="10" t="s">
        <v>99</v>
      </c>
      <c r="D75" s="17" t="s">
        <v>213</v>
      </c>
      <c r="E75" s="11" t="s">
        <v>214</v>
      </c>
      <c r="F75" s="11" t="s">
        <v>30</v>
      </c>
      <c r="G75" s="11" t="s">
        <v>210</v>
      </c>
      <c r="H75" s="11" t="s">
        <v>32</v>
      </c>
      <c r="I75" s="11" t="s">
        <v>33</v>
      </c>
      <c r="J75" s="17" t="s">
        <v>24</v>
      </c>
      <c r="K75" s="12">
        <v>44620</v>
      </c>
      <c r="L75" s="25" t="s">
        <v>201</v>
      </c>
      <c r="M75" s="13">
        <v>21</v>
      </c>
      <c r="N75" s="27">
        <f>Tabla1[[#This Row],[FECHA DE SELECCIÓN]]-Tabla1[[#This Row],[FECHA DE AUTORIZACIÓN]]</f>
        <v>68</v>
      </c>
      <c r="O75" s="83" t="s">
        <v>25</v>
      </c>
      <c r="P75" s="10" t="s">
        <v>35</v>
      </c>
      <c r="Q75" s="14" t="s">
        <v>48</v>
      </c>
      <c r="R75" s="59" t="s">
        <v>215</v>
      </c>
      <c r="T75" s="66"/>
    </row>
    <row r="76" spans="2:25" ht="16.5" thickTop="1" thickBot="1">
      <c r="B76" s="9">
        <v>44552</v>
      </c>
      <c r="C76" s="10" t="s">
        <v>99</v>
      </c>
      <c r="D76" s="17" t="s">
        <v>216</v>
      </c>
      <c r="E76" s="26" t="s">
        <v>217</v>
      </c>
      <c r="F76" s="11" t="s">
        <v>30</v>
      </c>
      <c r="G76" s="11" t="s">
        <v>210</v>
      </c>
      <c r="H76" s="11" t="s">
        <v>32</v>
      </c>
      <c r="I76" s="11" t="s">
        <v>33</v>
      </c>
      <c r="J76" s="17" t="s">
        <v>24</v>
      </c>
      <c r="K76" s="12">
        <v>44615</v>
      </c>
      <c r="L76" s="25" t="s">
        <v>201</v>
      </c>
      <c r="M76" s="13">
        <v>21</v>
      </c>
      <c r="N76" s="27">
        <f>Tabla1[[#This Row],[FECHA DE SELECCIÓN]]-Tabla1[[#This Row],[FECHA DE AUTORIZACIÓN]]</f>
        <v>63</v>
      </c>
      <c r="O76" s="83" t="s">
        <v>25</v>
      </c>
      <c r="P76" s="10" t="s">
        <v>35</v>
      </c>
      <c r="Q76" s="14" t="s">
        <v>48</v>
      </c>
      <c r="R76" s="59" t="s">
        <v>218</v>
      </c>
      <c r="T76" s="66"/>
    </row>
    <row r="77" spans="2:25" ht="16.5" thickTop="1" thickBot="1">
      <c r="B77" s="9">
        <v>44552</v>
      </c>
      <c r="C77" s="10" t="s">
        <v>99</v>
      </c>
      <c r="D77" s="17" t="s">
        <v>219</v>
      </c>
      <c r="E77" s="26" t="s">
        <v>220</v>
      </c>
      <c r="F77" s="11" t="s">
        <v>30</v>
      </c>
      <c r="G77" s="11" t="s">
        <v>210</v>
      </c>
      <c r="H77" s="11" t="s">
        <v>32</v>
      </c>
      <c r="I77" s="11" t="s">
        <v>33</v>
      </c>
      <c r="J77" s="17" t="s">
        <v>24</v>
      </c>
      <c r="K77" s="12">
        <v>44608</v>
      </c>
      <c r="L77" s="25" t="s">
        <v>201</v>
      </c>
      <c r="M77" s="13">
        <v>21</v>
      </c>
      <c r="N77" s="27">
        <f>Tabla1[[#This Row],[FECHA DE SELECCIÓN]]-Tabla1[[#This Row],[FECHA DE AUTORIZACIÓN]]</f>
        <v>56</v>
      </c>
      <c r="O77" s="83" t="s">
        <v>25</v>
      </c>
      <c r="P77" s="10" t="s">
        <v>35</v>
      </c>
      <c r="Q77" s="14" t="s">
        <v>48</v>
      </c>
      <c r="R77" s="59" t="s">
        <v>221</v>
      </c>
      <c r="T77" s="66"/>
    </row>
    <row r="78" spans="2:25" ht="16.5" thickTop="1" thickBot="1">
      <c r="B78" s="9">
        <v>44552</v>
      </c>
      <c r="C78" s="10" t="s">
        <v>99</v>
      </c>
      <c r="D78" s="17" t="s">
        <v>66</v>
      </c>
      <c r="E78" s="26" t="s">
        <v>222</v>
      </c>
      <c r="F78" s="11" t="s">
        <v>30</v>
      </c>
      <c r="G78" s="11" t="s">
        <v>210</v>
      </c>
      <c r="H78" s="11" t="s">
        <v>32</v>
      </c>
      <c r="I78" s="11" t="s">
        <v>33</v>
      </c>
      <c r="J78" s="17" t="s">
        <v>24</v>
      </c>
      <c r="K78" s="12">
        <v>44634</v>
      </c>
      <c r="L78" s="25" t="s">
        <v>34</v>
      </c>
      <c r="M78" s="13">
        <v>21</v>
      </c>
      <c r="N78" s="27">
        <f>Tabla1[[#This Row],[FECHA DE SELECCIÓN]]-Tabla1[[#This Row],[FECHA DE AUTORIZACIÓN]]</f>
        <v>82</v>
      </c>
      <c r="O78" s="83" t="s">
        <v>25</v>
      </c>
      <c r="P78" s="10" t="s">
        <v>35</v>
      </c>
      <c r="Q78" s="14" t="s">
        <v>77</v>
      </c>
      <c r="R78" s="59" t="s">
        <v>223</v>
      </c>
      <c r="T78" s="66"/>
    </row>
    <row r="79" spans="2:25" ht="16.5" thickTop="1" thickBot="1">
      <c r="B79" s="9">
        <v>44552</v>
      </c>
      <c r="C79" s="10" t="s">
        <v>99</v>
      </c>
      <c r="D79" s="17" t="s">
        <v>153</v>
      </c>
      <c r="E79" s="26" t="s">
        <v>224</v>
      </c>
      <c r="F79" s="11" t="s">
        <v>30</v>
      </c>
      <c r="G79" s="11" t="s">
        <v>210</v>
      </c>
      <c r="H79" s="11" t="s">
        <v>22</v>
      </c>
      <c r="I79" s="11" t="s">
        <v>33</v>
      </c>
      <c r="J79" s="17" t="s">
        <v>24</v>
      </c>
      <c r="K79" s="12">
        <v>44636</v>
      </c>
      <c r="L79" s="25"/>
      <c r="M79" s="13">
        <v>21</v>
      </c>
      <c r="N79" s="27">
        <f>Tabla1[[#This Row],[FECHA DE SELECCIÓN]]-Tabla1[[#This Row],[FECHA DE AUTORIZACIÓN]]</f>
        <v>84</v>
      </c>
      <c r="O79" s="83" t="s">
        <v>25</v>
      </c>
      <c r="P79" s="10" t="s">
        <v>44</v>
      </c>
      <c r="Q79" s="14"/>
      <c r="R79" s="59"/>
      <c r="T79" s="66"/>
    </row>
    <row r="80" spans="2:25" ht="16.5" thickTop="1" thickBot="1">
      <c r="B80" s="15">
        <v>44564</v>
      </c>
      <c r="C80" s="16" t="s">
        <v>95</v>
      </c>
      <c r="D80" s="17" t="s">
        <v>225</v>
      </c>
      <c r="E80" s="26" t="s">
        <v>226</v>
      </c>
      <c r="F80" s="17" t="s">
        <v>30</v>
      </c>
      <c r="G80" s="17" t="s">
        <v>210</v>
      </c>
      <c r="H80" s="11" t="s">
        <v>22</v>
      </c>
      <c r="I80" s="17" t="s">
        <v>33</v>
      </c>
      <c r="J80" s="17" t="s">
        <v>24</v>
      </c>
      <c r="K80" s="18">
        <v>44636</v>
      </c>
      <c r="L80" s="25"/>
      <c r="M80" s="19">
        <v>21</v>
      </c>
      <c r="N80" s="27">
        <f>Tabla1[[#This Row],[FECHA DE SELECCIÓN]]-Tabla1[[#This Row],[FECHA DE AUTORIZACIÓN]]</f>
        <v>72</v>
      </c>
      <c r="O80" s="83" t="s">
        <v>25</v>
      </c>
      <c r="P80" s="16" t="s">
        <v>26</v>
      </c>
      <c r="Q80" s="21"/>
      <c r="R80" s="59"/>
    </row>
    <row r="81" spans="2:18" ht="16.5" thickTop="1" thickBot="1">
      <c r="B81" s="9">
        <v>44579</v>
      </c>
      <c r="C81" s="16" t="s">
        <v>95</v>
      </c>
      <c r="D81" s="17" t="s">
        <v>83</v>
      </c>
      <c r="E81" s="11" t="s">
        <v>227</v>
      </c>
      <c r="F81" s="17" t="s">
        <v>30</v>
      </c>
      <c r="G81" s="11" t="s">
        <v>31</v>
      </c>
      <c r="H81" s="11" t="s">
        <v>32</v>
      </c>
      <c r="I81" s="11" t="s">
        <v>23</v>
      </c>
      <c r="J81" s="17" t="s">
        <v>24</v>
      </c>
      <c r="K81" s="12">
        <v>44616</v>
      </c>
      <c r="L81" s="25" t="s">
        <v>201</v>
      </c>
      <c r="M81" s="13">
        <v>14</v>
      </c>
      <c r="N81" s="27">
        <f>Tabla1[[#This Row],[FECHA DE SELECCIÓN]]-Tabla1[[#This Row],[FECHA DE AUTORIZACIÓN]]</f>
        <v>37</v>
      </c>
      <c r="O81" s="83" t="s">
        <v>25</v>
      </c>
      <c r="P81" s="16" t="s">
        <v>35</v>
      </c>
      <c r="Q81" s="14" t="s">
        <v>48</v>
      </c>
      <c r="R81" s="59" t="s">
        <v>228</v>
      </c>
    </row>
    <row r="82" spans="2:18" ht="16.5" thickTop="1" thickBot="1">
      <c r="B82" s="9">
        <v>44579</v>
      </c>
      <c r="C82" s="16" t="s">
        <v>95</v>
      </c>
      <c r="D82" s="17" t="s">
        <v>229</v>
      </c>
      <c r="E82" s="11" t="s">
        <v>230</v>
      </c>
      <c r="F82" s="17" t="s">
        <v>30</v>
      </c>
      <c r="G82" s="11" t="s">
        <v>31</v>
      </c>
      <c r="H82" s="11" t="s">
        <v>32</v>
      </c>
      <c r="I82" s="11" t="s">
        <v>23</v>
      </c>
      <c r="J82" s="17" t="s">
        <v>24</v>
      </c>
      <c r="K82" s="12">
        <v>44610</v>
      </c>
      <c r="L82" s="25" t="s">
        <v>201</v>
      </c>
      <c r="M82" s="13">
        <v>14</v>
      </c>
      <c r="N82" s="27">
        <f>Tabla1[[#This Row],[FECHA DE SELECCIÓN]]-Tabla1[[#This Row],[FECHA DE AUTORIZACIÓN]]</f>
        <v>31</v>
      </c>
      <c r="O82" s="83" t="s">
        <v>25</v>
      </c>
      <c r="P82" s="16" t="s">
        <v>35</v>
      </c>
      <c r="Q82" s="14" t="s">
        <v>168</v>
      </c>
      <c r="R82" s="59" t="s">
        <v>231</v>
      </c>
    </row>
    <row r="83" spans="2:18" ht="16.5" thickTop="1" thickBot="1">
      <c r="B83" s="9">
        <v>44566</v>
      </c>
      <c r="C83" s="10" t="s">
        <v>95</v>
      </c>
      <c r="D83" s="11" t="s">
        <v>232</v>
      </c>
      <c r="E83" s="11" t="s">
        <v>233</v>
      </c>
      <c r="F83" s="11" t="s">
        <v>30</v>
      </c>
      <c r="G83" s="11" t="s">
        <v>31</v>
      </c>
      <c r="H83" s="11" t="s">
        <v>61</v>
      </c>
      <c r="I83" s="11" t="s">
        <v>103</v>
      </c>
      <c r="J83" s="11" t="s">
        <v>24</v>
      </c>
      <c r="K83" s="12">
        <v>44587</v>
      </c>
      <c r="L83" s="25" t="s">
        <v>201</v>
      </c>
      <c r="M83" s="13">
        <v>21</v>
      </c>
      <c r="N83" s="27">
        <f>Tabla1[[#This Row],[FECHA DE SELECCIÓN]]-Tabla1[[#This Row],[FECHA DE AUTORIZACIÓN]]</f>
        <v>21</v>
      </c>
      <c r="O83" s="84" t="s">
        <v>58</v>
      </c>
      <c r="P83" s="10" t="s">
        <v>35</v>
      </c>
      <c r="Q83" s="14" t="s">
        <v>234</v>
      </c>
      <c r="R83" s="59" t="s">
        <v>235</v>
      </c>
    </row>
    <row r="84" spans="2:18" ht="16.5" thickTop="1" thickBot="1">
      <c r="B84" s="15">
        <v>44580</v>
      </c>
      <c r="C84" s="16" t="s">
        <v>95</v>
      </c>
      <c r="D84" s="17" t="s">
        <v>134</v>
      </c>
      <c r="E84" s="17" t="s">
        <v>236</v>
      </c>
      <c r="F84" s="17" t="s">
        <v>30</v>
      </c>
      <c r="G84" s="17" t="s">
        <v>31</v>
      </c>
      <c r="H84" s="17" t="s">
        <v>32</v>
      </c>
      <c r="I84" s="17" t="s">
        <v>23</v>
      </c>
      <c r="J84" s="17" t="s">
        <v>24</v>
      </c>
      <c r="K84" s="18">
        <v>44608</v>
      </c>
      <c r="L84" s="25" t="s">
        <v>201</v>
      </c>
      <c r="M84" s="19">
        <v>14</v>
      </c>
      <c r="N84" s="27">
        <f>Tabla1[[#This Row],[FECHA DE SELECCIÓN]]-Tabla1[[#This Row],[FECHA DE AUTORIZACIÓN]]</f>
        <v>28</v>
      </c>
      <c r="O84" s="83" t="s">
        <v>25</v>
      </c>
      <c r="P84" s="16" t="s">
        <v>35</v>
      </c>
      <c r="Q84" s="21" t="s">
        <v>48</v>
      </c>
      <c r="R84" s="59" t="s">
        <v>237</v>
      </c>
    </row>
    <row r="85" spans="2:18" ht="16.5" thickTop="1" thickBot="1">
      <c r="B85" s="9">
        <v>44579</v>
      </c>
      <c r="C85" s="16" t="s">
        <v>95</v>
      </c>
      <c r="D85" s="17" t="s">
        <v>238</v>
      </c>
      <c r="E85" s="11" t="s">
        <v>239</v>
      </c>
      <c r="F85" s="17" t="s">
        <v>30</v>
      </c>
      <c r="G85" s="11" t="s">
        <v>210</v>
      </c>
      <c r="H85" s="17" t="s">
        <v>32</v>
      </c>
      <c r="I85" s="11" t="s">
        <v>33</v>
      </c>
      <c r="J85" s="17" t="s">
        <v>24</v>
      </c>
      <c r="K85" s="12">
        <v>44635</v>
      </c>
      <c r="L85" s="25" t="s">
        <v>34</v>
      </c>
      <c r="M85" s="13">
        <v>21</v>
      </c>
      <c r="N85" s="27">
        <f>Tabla1[[#This Row],[FECHA DE SELECCIÓN]]-Tabla1[[#This Row],[FECHA DE AUTORIZACIÓN]]</f>
        <v>56</v>
      </c>
      <c r="O85" s="83" t="s">
        <v>25</v>
      </c>
      <c r="P85" s="16" t="s">
        <v>35</v>
      </c>
      <c r="Q85" s="14" t="s">
        <v>48</v>
      </c>
      <c r="R85" s="59" t="s">
        <v>240</v>
      </c>
    </row>
    <row r="86" spans="2:18" ht="16.5" thickTop="1" thickBot="1">
      <c r="B86" s="9">
        <v>44579</v>
      </c>
      <c r="C86" s="16" t="s">
        <v>95</v>
      </c>
      <c r="D86" s="17" t="s">
        <v>241</v>
      </c>
      <c r="E86" s="11" t="s">
        <v>242</v>
      </c>
      <c r="F86" s="17" t="s">
        <v>30</v>
      </c>
      <c r="G86" s="11" t="s">
        <v>210</v>
      </c>
      <c r="H86" s="17" t="s">
        <v>32</v>
      </c>
      <c r="I86" s="11" t="s">
        <v>33</v>
      </c>
      <c r="J86" s="17" t="s">
        <v>24</v>
      </c>
      <c r="K86" s="12">
        <v>44638</v>
      </c>
      <c r="L86" s="25" t="s">
        <v>34</v>
      </c>
      <c r="M86" s="13">
        <v>21</v>
      </c>
      <c r="N86" s="27">
        <f>Tabla1[[#This Row],[FECHA DE SELECCIÓN]]-Tabla1[[#This Row],[FECHA DE AUTORIZACIÓN]]</f>
        <v>59</v>
      </c>
      <c r="O86" s="83" t="s">
        <v>25</v>
      </c>
      <c r="P86" s="16" t="s">
        <v>35</v>
      </c>
      <c r="Q86" s="14" t="s">
        <v>48</v>
      </c>
      <c r="R86" s="59" t="s">
        <v>243</v>
      </c>
    </row>
    <row r="87" spans="2:18" ht="16.5" thickTop="1" thickBot="1">
      <c r="B87" s="9">
        <v>44571</v>
      </c>
      <c r="C87" s="10" t="s">
        <v>95</v>
      </c>
      <c r="D87" s="11" t="s">
        <v>244</v>
      </c>
      <c r="E87" s="11" t="s">
        <v>102</v>
      </c>
      <c r="F87" s="11" t="s">
        <v>30</v>
      </c>
      <c r="G87" s="11" t="s">
        <v>21</v>
      </c>
      <c r="H87" s="11" t="s">
        <v>61</v>
      </c>
      <c r="I87" s="11" t="s">
        <v>103</v>
      </c>
      <c r="J87" s="11" t="s">
        <v>24</v>
      </c>
      <c r="K87" s="12">
        <v>44577</v>
      </c>
      <c r="L87" s="25" t="s">
        <v>95</v>
      </c>
      <c r="M87" s="13">
        <v>21</v>
      </c>
      <c r="N87" s="27">
        <f>Tabla1[[#This Row],[FECHA DE SELECCIÓN]]-Tabla1[[#This Row],[FECHA DE AUTORIZACIÓN]]</f>
        <v>6</v>
      </c>
      <c r="O87" s="84" t="s">
        <v>58</v>
      </c>
      <c r="P87" s="10" t="s">
        <v>35</v>
      </c>
      <c r="Q87" s="14" t="s">
        <v>40</v>
      </c>
      <c r="R87" s="59" t="s">
        <v>31</v>
      </c>
    </row>
    <row r="88" spans="2:18" ht="24.75" customHeight="1" thickTop="1" thickBot="1">
      <c r="B88" s="9">
        <v>44579</v>
      </c>
      <c r="C88" s="16" t="s">
        <v>95</v>
      </c>
      <c r="D88" s="17" t="s">
        <v>66</v>
      </c>
      <c r="E88" s="26" t="s">
        <v>245</v>
      </c>
      <c r="F88" s="17" t="s">
        <v>30</v>
      </c>
      <c r="G88" s="11" t="s">
        <v>210</v>
      </c>
      <c r="H88" s="17" t="s">
        <v>32</v>
      </c>
      <c r="I88" s="11" t="s">
        <v>33</v>
      </c>
      <c r="J88" s="17" t="s">
        <v>24</v>
      </c>
      <c r="K88" s="12">
        <v>44642</v>
      </c>
      <c r="L88" s="25" t="s">
        <v>34</v>
      </c>
      <c r="M88" s="13">
        <v>14</v>
      </c>
      <c r="N88" s="27">
        <f>Tabla1[[#This Row],[FECHA DE SELECCIÓN]]-Tabla1[[#This Row],[FECHA DE AUTORIZACIÓN]]</f>
        <v>63</v>
      </c>
      <c r="O88" s="83" t="s">
        <v>25</v>
      </c>
      <c r="P88" s="16" t="s">
        <v>35</v>
      </c>
      <c r="Q88" s="14" t="s">
        <v>246</v>
      </c>
      <c r="R88" s="59" t="s">
        <v>247</v>
      </c>
    </row>
    <row r="89" spans="2:18" ht="16.5" thickTop="1" thickBot="1">
      <c r="B89" s="9">
        <v>44578</v>
      </c>
      <c r="C89" s="16" t="s">
        <v>95</v>
      </c>
      <c r="D89" s="17" t="s">
        <v>248</v>
      </c>
      <c r="E89" s="11" t="s">
        <v>102</v>
      </c>
      <c r="F89" s="17" t="s">
        <v>30</v>
      </c>
      <c r="G89" s="11" t="s">
        <v>210</v>
      </c>
      <c r="H89" s="17" t="s">
        <v>32</v>
      </c>
      <c r="I89" s="11" t="s">
        <v>33</v>
      </c>
      <c r="J89" s="17" t="s">
        <v>24</v>
      </c>
      <c r="K89" s="12">
        <v>44613</v>
      </c>
      <c r="L89" s="25" t="s">
        <v>201</v>
      </c>
      <c r="M89" s="13">
        <v>14</v>
      </c>
      <c r="N89" s="27">
        <f>Tabla1[[#This Row],[FECHA DE SELECCIÓN]]-Tabla1[[#This Row],[FECHA DE AUTORIZACIÓN]]</f>
        <v>35</v>
      </c>
      <c r="O89" s="83" t="s">
        <v>25</v>
      </c>
      <c r="P89" s="16" t="s">
        <v>35</v>
      </c>
      <c r="Q89" s="14" t="s">
        <v>48</v>
      </c>
      <c r="R89" s="59" t="s">
        <v>249</v>
      </c>
    </row>
    <row r="90" spans="2:18" ht="16.5" thickTop="1" thickBot="1">
      <c r="B90" s="15">
        <v>44565</v>
      </c>
      <c r="C90" s="16" t="s">
        <v>95</v>
      </c>
      <c r="D90" s="17" t="s">
        <v>250</v>
      </c>
      <c r="E90" s="17" t="s">
        <v>102</v>
      </c>
      <c r="F90" s="17" t="s">
        <v>30</v>
      </c>
      <c r="G90" s="17" t="s">
        <v>21</v>
      </c>
      <c r="H90" s="17" t="s">
        <v>22</v>
      </c>
      <c r="I90" s="17" t="s">
        <v>33</v>
      </c>
      <c r="J90" s="17" t="s">
        <v>24</v>
      </c>
      <c r="K90" s="18">
        <v>44617</v>
      </c>
      <c r="L90" s="25" t="s">
        <v>201</v>
      </c>
      <c r="M90" s="19">
        <v>21</v>
      </c>
      <c r="N90" s="27">
        <f>Tabla1[[#This Row],[FECHA DE SELECCIÓN]]-Tabla1[[#This Row],[FECHA DE AUTORIZACIÓN]]</f>
        <v>52</v>
      </c>
      <c r="O90" s="83" t="s">
        <v>25</v>
      </c>
      <c r="P90" s="16" t="s">
        <v>35</v>
      </c>
      <c r="Q90" s="21" t="s">
        <v>77</v>
      </c>
      <c r="R90" s="59" t="s">
        <v>251</v>
      </c>
    </row>
    <row r="91" spans="2:18" ht="16.5" thickTop="1" thickBot="1">
      <c r="B91" s="9">
        <v>44589</v>
      </c>
      <c r="C91" s="10" t="s">
        <v>95</v>
      </c>
      <c r="D91" s="11" t="s">
        <v>83</v>
      </c>
      <c r="E91" s="11" t="s">
        <v>252</v>
      </c>
      <c r="F91" s="11" t="s">
        <v>30</v>
      </c>
      <c r="G91" s="11" t="s">
        <v>31</v>
      </c>
      <c r="H91" s="11" t="s">
        <v>32</v>
      </c>
      <c r="I91" s="11" t="s">
        <v>23</v>
      </c>
      <c r="J91" s="11" t="s">
        <v>24</v>
      </c>
      <c r="K91" s="12">
        <v>44622</v>
      </c>
      <c r="L91" s="25" t="s">
        <v>34</v>
      </c>
      <c r="M91" s="13">
        <v>14</v>
      </c>
      <c r="N91" s="27">
        <f>Tabla1[[#This Row],[FECHA DE SELECCIÓN]]-Tabla1[[#This Row],[FECHA DE AUTORIZACIÓN]]</f>
        <v>33</v>
      </c>
      <c r="O91" s="84" t="s">
        <v>25</v>
      </c>
      <c r="P91" s="10" t="s">
        <v>35</v>
      </c>
      <c r="Q91" s="14" t="s">
        <v>77</v>
      </c>
      <c r="R91" s="59" t="s">
        <v>253</v>
      </c>
    </row>
    <row r="92" spans="2:18" ht="16.5" thickTop="1" thickBot="1">
      <c r="B92" s="9">
        <v>44596</v>
      </c>
      <c r="C92" s="10" t="s">
        <v>254</v>
      </c>
      <c r="D92" s="17" t="s">
        <v>255</v>
      </c>
      <c r="E92" s="26" t="s">
        <v>256</v>
      </c>
      <c r="F92" s="17" t="s">
        <v>30</v>
      </c>
      <c r="G92" s="11" t="s">
        <v>21</v>
      </c>
      <c r="H92" s="17" t="s">
        <v>22</v>
      </c>
      <c r="I92" s="11" t="s">
        <v>23</v>
      </c>
      <c r="J92" s="17" t="s">
        <v>24</v>
      </c>
      <c r="K92" s="12">
        <v>44636</v>
      </c>
      <c r="L92" s="25"/>
      <c r="M92" s="13">
        <v>21</v>
      </c>
      <c r="N92" s="27">
        <f>Tabla1[[#This Row],[FECHA DE SELECCIÓN]]-Tabla1[[#This Row],[FECHA DE AUTORIZACIÓN]]</f>
        <v>40</v>
      </c>
      <c r="O92" s="83" t="s">
        <v>25</v>
      </c>
      <c r="P92" s="16" t="s">
        <v>44</v>
      </c>
      <c r="Q92" s="14"/>
      <c r="R92" s="59"/>
    </row>
    <row r="93" spans="2:18" ht="16.5" thickTop="1" thickBot="1">
      <c r="B93" s="9">
        <v>44601</v>
      </c>
      <c r="C93" s="10" t="s">
        <v>254</v>
      </c>
      <c r="D93" s="17" t="s">
        <v>257</v>
      </c>
      <c r="E93" s="26" t="s">
        <v>258</v>
      </c>
      <c r="F93" s="17" t="s">
        <v>30</v>
      </c>
      <c r="G93" s="11" t="s">
        <v>31</v>
      </c>
      <c r="H93" s="17" t="s">
        <v>32</v>
      </c>
      <c r="I93" s="11" t="s">
        <v>23</v>
      </c>
      <c r="J93" s="17" t="s">
        <v>24</v>
      </c>
      <c r="K93" s="12">
        <v>44602</v>
      </c>
      <c r="L93" s="25" t="s">
        <v>34</v>
      </c>
      <c r="M93" s="13">
        <v>14</v>
      </c>
      <c r="N93" s="27">
        <f>Tabla1[[#This Row],[FECHA DE SELECCIÓN]]-Tabla1[[#This Row],[FECHA DE AUTORIZACIÓN]]</f>
        <v>1</v>
      </c>
      <c r="O93" s="83" t="s">
        <v>58</v>
      </c>
      <c r="P93" s="16" t="s">
        <v>35</v>
      </c>
      <c r="Q93" s="14" t="s">
        <v>40</v>
      </c>
      <c r="R93" s="59" t="s">
        <v>259</v>
      </c>
    </row>
    <row r="94" spans="2:18" ht="16.5" thickTop="1" thickBot="1">
      <c r="B94" s="15">
        <v>44601</v>
      </c>
      <c r="C94" s="10" t="s">
        <v>254</v>
      </c>
      <c r="D94" s="17" t="s">
        <v>260</v>
      </c>
      <c r="E94" s="26" t="s">
        <v>226</v>
      </c>
      <c r="F94" s="17" t="s">
        <v>30</v>
      </c>
      <c r="G94" s="17" t="s">
        <v>31</v>
      </c>
      <c r="H94" s="17" t="s">
        <v>32</v>
      </c>
      <c r="I94" s="17" t="s">
        <v>23</v>
      </c>
      <c r="J94" s="17" t="s">
        <v>24</v>
      </c>
      <c r="K94" s="18">
        <v>44636</v>
      </c>
      <c r="L94" s="25"/>
      <c r="M94" s="19">
        <v>21</v>
      </c>
      <c r="N94" s="27">
        <f>Tabla1[[#This Row],[FECHA DE SELECCIÓN]]-Tabla1[[#This Row],[FECHA DE AUTORIZACIÓN]]</f>
        <v>35</v>
      </c>
      <c r="O94" s="83" t="s">
        <v>25</v>
      </c>
      <c r="P94" s="16" t="s">
        <v>44</v>
      </c>
      <c r="Q94" s="21"/>
      <c r="R94" s="59"/>
    </row>
    <row r="95" spans="2:18" ht="16.5" thickTop="1" thickBot="1">
      <c r="B95" s="15">
        <v>44627</v>
      </c>
      <c r="C95" s="10" t="s">
        <v>254</v>
      </c>
      <c r="D95" s="17" t="s">
        <v>261</v>
      </c>
      <c r="E95" s="17" t="s">
        <v>31</v>
      </c>
      <c r="F95" s="17" t="s">
        <v>30</v>
      </c>
      <c r="G95" s="17" t="s">
        <v>21</v>
      </c>
      <c r="H95" s="17" t="s">
        <v>22</v>
      </c>
      <c r="I95" s="17" t="s">
        <v>103</v>
      </c>
      <c r="J95" s="17" t="s">
        <v>24</v>
      </c>
      <c r="K95" s="18">
        <v>44630</v>
      </c>
      <c r="L95" s="25" t="s">
        <v>34</v>
      </c>
      <c r="M95" s="19">
        <v>21</v>
      </c>
      <c r="N95" s="27">
        <f>Tabla1[[#This Row],[FECHA DE SELECCIÓN]]-Tabla1[[#This Row],[FECHA DE AUTORIZACIÓN]]</f>
        <v>3</v>
      </c>
      <c r="O95" s="83" t="s">
        <v>58</v>
      </c>
      <c r="P95" s="16" t="s">
        <v>35</v>
      </c>
      <c r="Q95" s="21" t="s">
        <v>77</v>
      </c>
      <c r="R95" s="59" t="s">
        <v>262</v>
      </c>
    </row>
    <row r="96" spans="2:18" ht="16.5" thickTop="1" thickBot="1">
      <c r="B96" s="15">
        <v>44608</v>
      </c>
      <c r="C96" s="10" t="s">
        <v>254</v>
      </c>
      <c r="D96" s="17" t="s">
        <v>170</v>
      </c>
      <c r="E96" s="26" t="s">
        <v>263</v>
      </c>
      <c r="F96" s="17" t="s">
        <v>30</v>
      </c>
      <c r="G96" s="17" t="s">
        <v>31</v>
      </c>
      <c r="H96" s="17" t="s">
        <v>32</v>
      </c>
      <c r="I96" s="17" t="s">
        <v>23</v>
      </c>
      <c r="J96" s="17" t="s">
        <v>24</v>
      </c>
      <c r="K96" s="18">
        <v>44621</v>
      </c>
      <c r="L96" s="25" t="s">
        <v>34</v>
      </c>
      <c r="M96" s="19">
        <v>14</v>
      </c>
      <c r="N96" s="27">
        <f>Tabla1[[#This Row],[FECHA DE SELECCIÓN]]-Tabla1[[#This Row],[FECHA DE AUTORIZACIÓN]]</f>
        <v>13</v>
      </c>
      <c r="O96" s="83" t="s">
        <v>58</v>
      </c>
      <c r="P96" s="16" t="s">
        <v>35</v>
      </c>
      <c r="Q96" s="21" t="s">
        <v>48</v>
      </c>
      <c r="R96" s="59" t="s">
        <v>264</v>
      </c>
    </row>
    <row r="97" spans="2:18" ht="16.5" thickTop="1" thickBot="1">
      <c r="B97" s="15">
        <v>44636</v>
      </c>
      <c r="C97" s="10" t="s">
        <v>254</v>
      </c>
      <c r="D97" s="17" t="s">
        <v>150</v>
      </c>
      <c r="E97" s="26" t="s">
        <v>265</v>
      </c>
      <c r="F97" s="17" t="s">
        <v>30</v>
      </c>
      <c r="G97" s="17" t="s">
        <v>31</v>
      </c>
      <c r="H97" s="17" t="s">
        <v>32</v>
      </c>
      <c r="I97" s="17" t="s">
        <v>23</v>
      </c>
      <c r="J97" s="17" t="s">
        <v>24</v>
      </c>
      <c r="K97" s="18">
        <v>44636</v>
      </c>
      <c r="L97" s="25"/>
      <c r="M97" s="19">
        <v>14</v>
      </c>
      <c r="N97" s="27">
        <f>Tabla1[[#This Row],[FECHA DE SELECCIÓN]]-Tabla1[[#This Row],[FECHA DE AUTORIZACIÓN]]</f>
        <v>0</v>
      </c>
      <c r="O97" s="83" t="s">
        <v>58</v>
      </c>
      <c r="P97" s="16" t="s">
        <v>44</v>
      </c>
      <c r="Q97" s="21"/>
      <c r="R97" s="59"/>
    </row>
    <row r="98" spans="2:18" ht="16.5" thickTop="1" thickBot="1">
      <c r="B98" s="15">
        <v>44609</v>
      </c>
      <c r="C98" s="10" t="s">
        <v>254</v>
      </c>
      <c r="D98" s="17" t="s">
        <v>266</v>
      </c>
      <c r="E98" s="17" t="s">
        <v>267</v>
      </c>
      <c r="F98" s="17" t="s">
        <v>30</v>
      </c>
      <c r="G98" s="17" t="s">
        <v>21</v>
      </c>
      <c r="H98" s="17" t="s">
        <v>61</v>
      </c>
      <c r="I98" s="17" t="s">
        <v>33</v>
      </c>
      <c r="J98" s="17" t="s">
        <v>24</v>
      </c>
      <c r="K98" s="18">
        <v>44614</v>
      </c>
      <c r="L98" s="25" t="s">
        <v>201</v>
      </c>
      <c r="M98" s="19">
        <v>21</v>
      </c>
      <c r="N98" s="27">
        <f>Tabla1[[#This Row],[FECHA DE SELECCIÓN]]-Tabla1[[#This Row],[FECHA DE AUTORIZACIÓN]]</f>
        <v>5</v>
      </c>
      <c r="O98" s="83" t="s">
        <v>58</v>
      </c>
      <c r="P98" s="16" t="s">
        <v>35</v>
      </c>
      <c r="Q98" s="21" t="s">
        <v>77</v>
      </c>
      <c r="R98" s="59" t="s">
        <v>268</v>
      </c>
    </row>
    <row r="99" spans="2:18" ht="16.5" thickTop="1" thickBot="1">
      <c r="B99" s="15">
        <v>44609</v>
      </c>
      <c r="C99" s="10" t="s">
        <v>254</v>
      </c>
      <c r="D99" s="17" t="s">
        <v>269</v>
      </c>
      <c r="E99" s="17" t="s">
        <v>270</v>
      </c>
      <c r="F99" s="17" t="s">
        <v>30</v>
      </c>
      <c r="G99" s="17" t="s">
        <v>21</v>
      </c>
      <c r="H99" s="17" t="s">
        <v>61</v>
      </c>
      <c r="I99" s="17" t="s">
        <v>33</v>
      </c>
      <c r="J99" s="17" t="s">
        <v>24</v>
      </c>
      <c r="K99" s="18">
        <v>44617</v>
      </c>
      <c r="L99" s="25" t="s">
        <v>201</v>
      </c>
      <c r="M99" s="19">
        <v>21</v>
      </c>
      <c r="N99" s="27">
        <f>Tabla1[[#This Row],[FECHA DE SELECCIÓN]]-Tabla1[[#This Row],[FECHA DE AUTORIZACIÓN]]</f>
        <v>8</v>
      </c>
      <c r="O99" s="83" t="s">
        <v>58</v>
      </c>
      <c r="P99" s="16" t="s">
        <v>35</v>
      </c>
      <c r="Q99" s="21" t="s">
        <v>246</v>
      </c>
      <c r="R99" s="59" t="s">
        <v>271</v>
      </c>
    </row>
    <row r="100" spans="2:18" ht="16.5" thickTop="1" thickBot="1">
      <c r="B100" s="15">
        <v>44629</v>
      </c>
      <c r="C100" s="16" t="s">
        <v>34</v>
      </c>
      <c r="D100" s="17" t="s">
        <v>272</v>
      </c>
      <c r="E100" s="17" t="s">
        <v>273</v>
      </c>
      <c r="F100" s="17" t="s">
        <v>20</v>
      </c>
      <c r="G100" s="17" t="s">
        <v>21</v>
      </c>
      <c r="H100" s="17" t="s">
        <v>22</v>
      </c>
      <c r="I100" s="17" t="s">
        <v>23</v>
      </c>
      <c r="J100" s="17" t="s">
        <v>24</v>
      </c>
      <c r="K100" s="18">
        <v>44636</v>
      </c>
      <c r="L100" s="25"/>
      <c r="M100" s="19">
        <v>40</v>
      </c>
      <c r="N100" s="27">
        <f>Tabla1[[#This Row],[FECHA DE SELECCIÓN]]-Tabla1[[#This Row],[FECHA DE AUTORIZACIÓN]]</f>
        <v>7</v>
      </c>
      <c r="O100" s="83" t="s">
        <v>58</v>
      </c>
      <c r="P100" s="16" t="s">
        <v>44</v>
      </c>
      <c r="Q100" s="21"/>
      <c r="R100" s="59"/>
    </row>
    <row r="101" spans="2:18" ht="16.5" thickTop="1" thickBot="1">
      <c r="B101" s="15">
        <v>44545</v>
      </c>
      <c r="C101" s="10" t="s">
        <v>274</v>
      </c>
      <c r="D101" s="7" t="s">
        <v>90</v>
      </c>
      <c r="E101" s="7" t="s">
        <v>275</v>
      </c>
      <c r="F101" s="7" t="s">
        <v>30</v>
      </c>
      <c r="G101" s="7" t="s">
        <v>21</v>
      </c>
      <c r="H101" s="7" t="s">
        <v>61</v>
      </c>
      <c r="I101" s="7" t="s">
        <v>55</v>
      </c>
      <c r="J101" s="7" t="s">
        <v>24</v>
      </c>
      <c r="K101" s="8">
        <v>44579</v>
      </c>
      <c r="L101" s="25" t="s">
        <v>95</v>
      </c>
      <c r="M101" s="56">
        <v>21</v>
      </c>
      <c r="N101" s="27">
        <f>Tabla1[[#This Row],[FECHA DE SELECCIÓN]]-Tabla1[[#This Row],[FECHA DE AUTORIZACIÓN]]</f>
        <v>34</v>
      </c>
      <c r="O101" s="57" t="s">
        <v>25</v>
      </c>
      <c r="P101" s="7" t="s">
        <v>35</v>
      </c>
      <c r="Q101" s="58"/>
      <c r="R101" s="59"/>
    </row>
    <row r="102" spans="2:18" ht="16.5" thickTop="1" thickBot="1">
      <c r="B102" s="15">
        <v>44575</v>
      </c>
      <c r="C102" s="16" t="s">
        <v>95</v>
      </c>
      <c r="D102" s="17" t="s">
        <v>276</v>
      </c>
      <c r="E102" s="17" t="s">
        <v>178</v>
      </c>
      <c r="F102" s="17" t="s">
        <v>30</v>
      </c>
      <c r="G102" s="17" t="s">
        <v>21</v>
      </c>
      <c r="H102" s="17" t="s">
        <v>61</v>
      </c>
      <c r="I102" s="17" t="s">
        <v>55</v>
      </c>
      <c r="J102" s="17" t="s">
        <v>24</v>
      </c>
      <c r="K102" s="18">
        <v>44585</v>
      </c>
      <c r="L102" s="25" t="s">
        <v>95</v>
      </c>
      <c r="M102" s="60">
        <v>21</v>
      </c>
      <c r="N102" s="27">
        <f>Tabla1[[#This Row],[FECHA DE SELECCIÓN]]-Tabla1[[#This Row],[FECHA DE AUTORIZACIÓN]]</f>
        <v>10</v>
      </c>
      <c r="O102" s="20" t="s">
        <v>58</v>
      </c>
      <c r="P102" s="17" t="s">
        <v>35</v>
      </c>
      <c r="Q102" s="21"/>
      <c r="R102" s="59"/>
    </row>
    <row r="103" spans="2:18" ht="16.5" thickTop="1" thickBot="1">
      <c r="B103" s="6">
        <v>44530</v>
      </c>
      <c r="C103" s="10" t="s">
        <v>179</v>
      </c>
      <c r="D103" s="7" t="s">
        <v>83</v>
      </c>
      <c r="E103" s="7" t="s">
        <v>277</v>
      </c>
      <c r="F103" s="7" t="s">
        <v>30</v>
      </c>
      <c r="G103" s="7" t="s">
        <v>31</v>
      </c>
      <c r="H103" s="7" t="s">
        <v>32</v>
      </c>
      <c r="I103" s="7" t="s">
        <v>23</v>
      </c>
      <c r="J103" s="7" t="s">
        <v>24</v>
      </c>
      <c r="K103" s="8">
        <v>44608</v>
      </c>
      <c r="L103" s="25" t="s">
        <v>201</v>
      </c>
      <c r="M103" s="56">
        <v>14</v>
      </c>
      <c r="N103" s="27">
        <f>Tabla1[[#This Row],[FECHA DE SELECCIÓN]]-Tabla1[[#This Row],[FECHA DE AUTORIZACIÓN]]</f>
        <v>78</v>
      </c>
      <c r="O103" s="57" t="s">
        <v>25</v>
      </c>
      <c r="P103" s="7" t="s">
        <v>35</v>
      </c>
      <c r="Q103" s="58" t="s">
        <v>48</v>
      </c>
      <c r="R103" s="59" t="s">
        <v>278</v>
      </c>
    </row>
    <row r="104" spans="2:18" ht="16.5" thickTop="1" thickBot="1">
      <c r="B104" s="6"/>
      <c r="C104" s="10"/>
      <c r="D104" s="7"/>
      <c r="E104" s="7"/>
      <c r="F104" s="7"/>
      <c r="G104" s="7"/>
      <c r="H104" s="7"/>
      <c r="I104" s="7"/>
      <c r="J104" s="7"/>
      <c r="K104" s="8"/>
      <c r="L104" s="25"/>
      <c r="M104" s="56"/>
      <c r="N104" s="27">
        <f>Tabla1[[#This Row],[FECHA DE SELECCIÓN]]-Tabla1[[#This Row],[FECHA DE AUTORIZACIÓN]]</f>
        <v>0</v>
      </c>
      <c r="O104" s="57"/>
      <c r="P104" s="7"/>
      <c r="Q104" s="58"/>
      <c r="R104" s="59"/>
    </row>
    <row r="105" spans="2:18" ht="16.5" thickTop="1" thickBot="1">
      <c r="B105" s="6"/>
      <c r="C105" s="10"/>
      <c r="D105" s="7"/>
      <c r="E105" s="7"/>
      <c r="F105" s="7"/>
      <c r="G105" s="7"/>
      <c r="H105" s="7"/>
      <c r="I105" s="7"/>
      <c r="J105" s="7"/>
      <c r="K105" s="8"/>
      <c r="L105" s="25"/>
      <c r="M105" s="56"/>
      <c r="N105" s="27">
        <f>Tabla1[[#This Row],[FECHA DE SELECCIÓN]]-Tabla1[[#This Row],[FECHA DE AUTORIZACIÓN]]</f>
        <v>0</v>
      </c>
      <c r="O105" s="57"/>
      <c r="P105" s="7"/>
      <c r="Q105" s="58"/>
      <c r="R105" s="59"/>
    </row>
    <row r="106" spans="2:18" ht="15" customHeight="1" thickTop="1" thickBot="1">
      <c r="B106" s="6"/>
      <c r="C106" s="16"/>
      <c r="D106" s="17"/>
      <c r="E106" s="17"/>
      <c r="F106" s="17"/>
      <c r="G106" s="17"/>
      <c r="H106" s="17"/>
      <c r="I106" s="17"/>
      <c r="J106" s="17"/>
      <c r="K106" s="18"/>
      <c r="L106" s="25"/>
      <c r="M106" s="60"/>
      <c r="N106" s="27">
        <f>Tabla1[[#This Row],[FECHA DE SELECCIÓN]]-Tabla1[[#This Row],[FECHA DE AUTORIZACIÓN]]</f>
        <v>0</v>
      </c>
      <c r="O106" s="20"/>
      <c r="P106" s="17"/>
      <c r="Q106" s="21"/>
      <c r="R106" s="59"/>
    </row>
    <row r="107" spans="2:18" ht="16.5" thickTop="1" thickBot="1">
      <c r="B107" s="15">
        <v>44630</v>
      </c>
      <c r="C107" s="16" t="s">
        <v>34</v>
      </c>
      <c r="D107" s="7" t="s">
        <v>83</v>
      </c>
      <c r="E107" s="17" t="s">
        <v>279</v>
      </c>
      <c r="F107" s="7" t="s">
        <v>30</v>
      </c>
      <c r="G107" s="7" t="s">
        <v>31</v>
      </c>
      <c r="H107" s="7" t="s">
        <v>32</v>
      </c>
      <c r="I107" s="7" t="s">
        <v>23</v>
      </c>
      <c r="J107" s="7" t="s">
        <v>24</v>
      </c>
      <c r="K107" s="18"/>
      <c r="L107" s="25"/>
      <c r="M107" s="56">
        <v>14</v>
      </c>
      <c r="N107" s="27">
        <f>Tabla1[[#This Row],[FECHA DE SELECCIÓN]]-Tabla1[[#This Row],[FECHA DE AUTORIZACIÓN]]</f>
        <v>-44630</v>
      </c>
      <c r="O107" s="20" t="s">
        <v>25</v>
      </c>
      <c r="P107" s="20" t="s">
        <v>44</v>
      </c>
      <c r="Q107" s="21"/>
      <c r="R107" s="61"/>
    </row>
    <row r="108" spans="2:18" ht="16.5" thickTop="1" thickBot="1">
      <c r="B108" s="15">
        <v>44630</v>
      </c>
      <c r="C108" s="16" t="s">
        <v>34</v>
      </c>
      <c r="D108" s="7" t="s">
        <v>83</v>
      </c>
      <c r="E108" s="7" t="s">
        <v>280</v>
      </c>
      <c r="F108" s="7" t="s">
        <v>30</v>
      </c>
      <c r="G108" s="7" t="s">
        <v>31</v>
      </c>
      <c r="H108" s="7" t="s">
        <v>32</v>
      </c>
      <c r="I108" s="7" t="s">
        <v>23</v>
      </c>
      <c r="J108" s="7" t="s">
        <v>24</v>
      </c>
      <c r="K108" s="8">
        <v>44672</v>
      </c>
      <c r="L108" s="69"/>
      <c r="M108" s="56">
        <v>14</v>
      </c>
      <c r="N108" s="27">
        <f>Tabla1[[#This Row],[FECHA DE SELECCIÓN]]-Tabla1[[#This Row],[FECHA DE AUTORIZACIÓN]]</f>
        <v>42</v>
      </c>
      <c r="O108" s="57" t="s">
        <v>25</v>
      </c>
      <c r="P108" s="7" t="s">
        <v>35</v>
      </c>
      <c r="Q108" s="58" t="s">
        <v>281</v>
      </c>
      <c r="R108" s="59" t="s">
        <v>282</v>
      </c>
    </row>
    <row r="109" spans="2:18" ht="16.5" thickTop="1" thickBot="1">
      <c r="B109" s="15">
        <v>44636</v>
      </c>
      <c r="C109" s="16" t="s">
        <v>34</v>
      </c>
      <c r="D109" s="19" t="s">
        <v>283</v>
      </c>
      <c r="E109" s="17" t="s">
        <v>284</v>
      </c>
      <c r="F109" s="17" t="s">
        <v>20</v>
      </c>
      <c r="G109" s="17" t="s">
        <v>21</v>
      </c>
      <c r="H109" s="17" t="s">
        <v>22</v>
      </c>
      <c r="I109" s="17" t="s">
        <v>33</v>
      </c>
      <c r="J109" s="17" t="s">
        <v>24</v>
      </c>
      <c r="K109" s="18"/>
      <c r="L109" s="25"/>
      <c r="M109" s="60">
        <v>28</v>
      </c>
      <c r="N109" s="27">
        <f>Tabla1[[#This Row],[FECHA DE SELECCIÓN]]-Tabla1[[#This Row],[FECHA DE AUTORIZACIÓN]]</f>
        <v>-44636</v>
      </c>
      <c r="O109" s="20" t="s">
        <v>25</v>
      </c>
      <c r="P109" s="20" t="s">
        <v>44</v>
      </c>
      <c r="Q109" s="21"/>
      <c r="R109" s="61"/>
    </row>
    <row r="110" spans="2:18" ht="16.5" thickTop="1" thickBot="1">
      <c r="B110" s="15">
        <v>44579</v>
      </c>
      <c r="C110" s="16" t="s">
        <v>95</v>
      </c>
      <c r="D110" s="19" t="s">
        <v>153</v>
      </c>
      <c r="E110" s="17"/>
      <c r="F110" s="17" t="s">
        <v>20</v>
      </c>
      <c r="G110" s="17" t="s">
        <v>210</v>
      </c>
      <c r="H110" s="17" t="s">
        <v>22</v>
      </c>
      <c r="I110" s="17" t="s">
        <v>33</v>
      </c>
      <c r="J110" s="17" t="s">
        <v>24</v>
      </c>
      <c r="K110" s="18"/>
      <c r="L110" s="25"/>
      <c r="M110" s="60">
        <v>21</v>
      </c>
      <c r="N110" s="27">
        <f>Tabla1[[#This Row],[FECHA DE SELECCIÓN]]-Tabla1[[#This Row],[FECHA DE AUTORIZACIÓN]]</f>
        <v>-44579</v>
      </c>
      <c r="O110" s="20" t="s">
        <v>25</v>
      </c>
      <c r="P110" s="20" t="s">
        <v>44</v>
      </c>
      <c r="Q110" s="21"/>
      <c r="R110" s="61"/>
    </row>
    <row r="111" spans="2:18" ht="16.5" thickTop="1" thickBot="1">
      <c r="B111" s="15">
        <v>44623</v>
      </c>
      <c r="C111" s="16" t="s">
        <v>181</v>
      </c>
      <c r="D111" s="17" t="s">
        <v>285</v>
      </c>
      <c r="E111" s="17" t="s">
        <v>286</v>
      </c>
      <c r="F111" s="17" t="s">
        <v>30</v>
      </c>
      <c r="G111" s="17" t="s">
        <v>210</v>
      </c>
      <c r="H111" s="17" t="s">
        <v>32</v>
      </c>
      <c r="I111" s="17" t="s">
        <v>33</v>
      </c>
      <c r="J111" s="17" t="s">
        <v>24</v>
      </c>
      <c r="K111" s="18"/>
      <c r="L111" s="25"/>
      <c r="M111" s="60">
        <v>14</v>
      </c>
      <c r="N111" s="27">
        <f>Tabla1[[#This Row],[FECHA DE SELECCIÓN]]-Tabla1[[#This Row],[FECHA DE AUTORIZACIÓN]]</f>
        <v>-44623</v>
      </c>
      <c r="O111" s="20" t="s">
        <v>25</v>
      </c>
      <c r="P111" s="20" t="s">
        <v>44</v>
      </c>
      <c r="Q111" s="21"/>
      <c r="R111" s="61"/>
    </row>
    <row r="112" spans="2:18" ht="16.5" thickTop="1" thickBot="1">
      <c r="B112" s="15">
        <v>44628</v>
      </c>
      <c r="C112" s="16" t="s">
        <v>181</v>
      </c>
      <c r="D112" s="17" t="s">
        <v>287</v>
      </c>
      <c r="E112" s="17" t="s">
        <v>102</v>
      </c>
      <c r="F112" s="17" t="s">
        <v>30</v>
      </c>
      <c r="G112" s="17" t="s">
        <v>21</v>
      </c>
      <c r="H112" s="17" t="s">
        <v>22</v>
      </c>
      <c r="I112" s="17" t="s">
        <v>103</v>
      </c>
      <c r="J112" s="17" t="s">
        <v>24</v>
      </c>
      <c r="K112" s="18">
        <v>44631</v>
      </c>
      <c r="L112" s="25" t="s">
        <v>34</v>
      </c>
      <c r="M112" s="60">
        <v>21</v>
      </c>
      <c r="N112" s="27">
        <f>Tabla1[[#This Row],[FECHA DE SELECCIÓN]]-Tabla1[[#This Row],[FECHA DE AUTORIZACIÓN]]</f>
        <v>3</v>
      </c>
      <c r="O112" s="20" t="s">
        <v>58</v>
      </c>
      <c r="P112" s="17" t="s">
        <v>35</v>
      </c>
      <c r="Q112" s="21" t="s">
        <v>288</v>
      </c>
      <c r="R112" s="61" t="s">
        <v>289</v>
      </c>
    </row>
    <row r="113" spans="2:18" ht="16.5" thickTop="1" thickBot="1">
      <c r="B113" s="15">
        <v>44628</v>
      </c>
      <c r="C113" s="16" t="s">
        <v>181</v>
      </c>
      <c r="D113" s="17" t="s">
        <v>290</v>
      </c>
      <c r="E113" s="17" t="s">
        <v>198</v>
      </c>
      <c r="F113" s="17" t="s">
        <v>30</v>
      </c>
      <c r="G113" s="17" t="s">
        <v>21</v>
      </c>
      <c r="H113" s="17" t="s">
        <v>22</v>
      </c>
      <c r="I113" s="17" t="s">
        <v>103</v>
      </c>
      <c r="J113" s="17" t="s">
        <v>24</v>
      </c>
      <c r="K113" s="18"/>
      <c r="L113" s="25"/>
      <c r="M113" s="60">
        <v>21</v>
      </c>
      <c r="N113" s="27">
        <f>Tabla1[[#This Row],[FECHA DE SELECCIÓN]]-Tabla1[[#This Row],[FECHA DE AUTORIZACIÓN]]</f>
        <v>-44628</v>
      </c>
      <c r="O113" s="20" t="s">
        <v>25</v>
      </c>
      <c r="P113" s="17" t="s">
        <v>44</v>
      </c>
      <c r="Q113" s="21"/>
      <c r="R113" s="61"/>
    </row>
    <row r="114" spans="2:18" ht="16.5" thickTop="1" thickBot="1">
      <c r="B114" s="15">
        <v>44637</v>
      </c>
      <c r="C114" s="16" t="s">
        <v>181</v>
      </c>
      <c r="D114" s="17" t="s">
        <v>62</v>
      </c>
      <c r="E114" s="17" t="s">
        <v>291</v>
      </c>
      <c r="F114" s="17" t="s">
        <v>30</v>
      </c>
      <c r="G114" s="17" t="s">
        <v>210</v>
      </c>
      <c r="H114" s="17" t="s">
        <v>61</v>
      </c>
      <c r="I114" s="17" t="s">
        <v>33</v>
      </c>
      <c r="J114" s="17" t="s">
        <v>24</v>
      </c>
      <c r="K114" s="18">
        <v>44658</v>
      </c>
      <c r="L114" s="25" t="s">
        <v>292</v>
      </c>
      <c r="M114" s="60">
        <v>21</v>
      </c>
      <c r="N114" s="27">
        <f>Tabla1[[#This Row],[FECHA DE SELECCIÓN]]-Tabla1[[#This Row],[FECHA DE AUTORIZACIÓN]]</f>
        <v>21</v>
      </c>
      <c r="O114" s="20" t="s">
        <v>58</v>
      </c>
      <c r="P114" s="17" t="s">
        <v>35</v>
      </c>
      <c r="Q114" s="21" t="s">
        <v>88</v>
      </c>
      <c r="R114" s="61" t="s">
        <v>293</v>
      </c>
    </row>
    <row r="115" spans="2:18" ht="16.5" thickTop="1" thickBot="1">
      <c r="B115" s="15">
        <v>44655</v>
      </c>
      <c r="C115" s="16" t="s">
        <v>36</v>
      </c>
      <c r="D115" s="17" t="s">
        <v>248</v>
      </c>
      <c r="E115" s="17" t="s">
        <v>294</v>
      </c>
      <c r="F115" s="17" t="s">
        <v>30</v>
      </c>
      <c r="G115" s="17" t="s">
        <v>210</v>
      </c>
      <c r="H115" s="17" t="s">
        <v>32</v>
      </c>
      <c r="I115" s="17" t="s">
        <v>33</v>
      </c>
      <c r="J115" s="17" t="s">
        <v>24</v>
      </c>
      <c r="K115" s="18">
        <v>44657</v>
      </c>
      <c r="L115" s="25" t="s">
        <v>292</v>
      </c>
      <c r="M115" s="60">
        <v>14</v>
      </c>
      <c r="N115" s="27">
        <f>Tabla1[[#This Row],[FECHA DE SELECCIÓN]]-Tabla1[[#This Row],[FECHA DE AUTORIZACIÓN]]</f>
        <v>2</v>
      </c>
      <c r="O115" s="20" t="s">
        <v>58</v>
      </c>
      <c r="P115" s="17" t="s">
        <v>35</v>
      </c>
      <c r="Q115" s="21" t="s">
        <v>48</v>
      </c>
      <c r="R115" s="61" t="s">
        <v>295</v>
      </c>
    </row>
    <row r="116" spans="2:18" ht="16.5" thickTop="1" thickBot="1">
      <c r="B116" s="15">
        <v>44627</v>
      </c>
      <c r="C116" s="16" t="s">
        <v>181</v>
      </c>
      <c r="D116" s="17" t="s">
        <v>180</v>
      </c>
      <c r="E116" s="17" t="s">
        <v>296</v>
      </c>
      <c r="F116" s="17" t="s">
        <v>30</v>
      </c>
      <c r="G116" s="17" t="s">
        <v>210</v>
      </c>
      <c r="H116" s="17" t="s">
        <v>32</v>
      </c>
      <c r="I116" s="17" t="s">
        <v>33</v>
      </c>
      <c r="J116" s="17" t="s">
        <v>24</v>
      </c>
      <c r="K116" s="18">
        <v>44633</v>
      </c>
      <c r="L116" s="25" t="s">
        <v>34</v>
      </c>
      <c r="M116" s="60">
        <v>14</v>
      </c>
      <c r="N116" s="27">
        <f>Tabla1[[#This Row],[FECHA DE SELECCIÓN]]-Tabla1[[#This Row],[FECHA DE AUTORIZACIÓN]]</f>
        <v>6</v>
      </c>
      <c r="O116" s="20" t="s">
        <v>58</v>
      </c>
      <c r="P116" s="17" t="s">
        <v>35</v>
      </c>
      <c r="Q116" s="21" t="s">
        <v>48</v>
      </c>
      <c r="R116" s="61" t="s">
        <v>297</v>
      </c>
    </row>
    <row r="117" spans="2:18" ht="16.5" thickTop="1" thickBot="1">
      <c r="B117" s="15">
        <v>44645</v>
      </c>
      <c r="C117" s="16" t="s">
        <v>181</v>
      </c>
      <c r="D117" s="17" t="s">
        <v>298</v>
      </c>
      <c r="E117" s="62" t="s">
        <v>299</v>
      </c>
      <c r="F117" s="17" t="s">
        <v>20</v>
      </c>
      <c r="G117" s="17" t="s">
        <v>21</v>
      </c>
      <c r="H117" s="17" t="s">
        <v>22</v>
      </c>
      <c r="I117" s="17" t="s">
        <v>33</v>
      </c>
      <c r="J117" s="17" t="s">
        <v>24</v>
      </c>
      <c r="K117" s="18">
        <v>44652</v>
      </c>
      <c r="L117" s="25" t="s">
        <v>292</v>
      </c>
      <c r="M117" s="60">
        <v>28</v>
      </c>
      <c r="N117" s="27">
        <f>Tabla1[[#This Row],[FECHA DE SELECCIÓN]]-Tabla1[[#This Row],[FECHA DE AUTORIZACIÓN]]</f>
        <v>7</v>
      </c>
      <c r="O117" s="20" t="s">
        <v>58</v>
      </c>
      <c r="P117" s="17" t="s">
        <v>35</v>
      </c>
      <c r="Q117" s="21" t="s">
        <v>40</v>
      </c>
      <c r="R117" s="61" t="s">
        <v>300</v>
      </c>
    </row>
    <row r="118" spans="2:18" ht="16.5" thickTop="1" thickBot="1">
      <c r="B118" s="15">
        <v>44639</v>
      </c>
      <c r="C118" s="16" t="s">
        <v>181</v>
      </c>
      <c r="D118" s="17" t="s">
        <v>301</v>
      </c>
      <c r="E118" s="17" t="s">
        <v>263</v>
      </c>
      <c r="F118" s="17" t="s">
        <v>20</v>
      </c>
      <c r="G118" s="17" t="s">
        <v>21</v>
      </c>
      <c r="H118" s="17" t="s">
        <v>22</v>
      </c>
      <c r="I118" s="17" t="s">
        <v>55</v>
      </c>
      <c r="J118" s="17" t="s">
        <v>24</v>
      </c>
      <c r="K118" s="18">
        <v>44655</v>
      </c>
      <c r="L118" s="25" t="s">
        <v>292</v>
      </c>
      <c r="M118" s="60">
        <v>28</v>
      </c>
      <c r="N118" s="27">
        <f>Tabla1[[#This Row],[FECHA DE SELECCIÓN]]-Tabla1[[#This Row],[FECHA DE AUTORIZACIÓN]]</f>
        <v>16</v>
      </c>
      <c r="O118" s="20" t="s">
        <v>58</v>
      </c>
      <c r="P118" s="17" t="s">
        <v>35</v>
      </c>
      <c r="Q118" s="21" t="s">
        <v>114</v>
      </c>
      <c r="R118" s="61" t="s">
        <v>302</v>
      </c>
    </row>
    <row r="119" spans="2:18" ht="16.5" thickTop="1" thickBot="1">
      <c r="B119" s="15">
        <v>44644</v>
      </c>
      <c r="C119" s="16" t="s">
        <v>181</v>
      </c>
      <c r="D119" s="17" t="s">
        <v>303</v>
      </c>
      <c r="E119" s="17" t="s">
        <v>304</v>
      </c>
      <c r="F119" s="17" t="s">
        <v>30</v>
      </c>
      <c r="G119" s="17" t="s">
        <v>210</v>
      </c>
      <c r="H119" s="17" t="s">
        <v>32</v>
      </c>
      <c r="I119" s="17" t="s">
        <v>23</v>
      </c>
      <c r="J119" s="17" t="s">
        <v>24</v>
      </c>
      <c r="K119" s="18">
        <v>44662</v>
      </c>
      <c r="L119" s="25" t="s">
        <v>292</v>
      </c>
      <c r="M119" s="60">
        <v>14</v>
      </c>
      <c r="N119" s="27">
        <f>Tabla1[[#This Row],[FECHA DE SELECCIÓN]]-Tabla1[[#This Row],[FECHA DE AUTORIZACIÓN]]</f>
        <v>18</v>
      </c>
      <c r="O119" s="20" t="s">
        <v>25</v>
      </c>
      <c r="P119" s="17" t="s">
        <v>35</v>
      </c>
      <c r="Q119" s="21" t="s">
        <v>48</v>
      </c>
      <c r="R119" s="61" t="s">
        <v>305</v>
      </c>
    </row>
    <row r="120" spans="2:18" ht="16.5" thickTop="1" thickBot="1">
      <c r="B120" s="15">
        <v>44644</v>
      </c>
      <c r="C120" s="16" t="s">
        <v>181</v>
      </c>
      <c r="D120" s="17" t="s">
        <v>303</v>
      </c>
      <c r="E120" s="17" t="s">
        <v>306</v>
      </c>
      <c r="F120" s="17" t="s">
        <v>30</v>
      </c>
      <c r="G120" s="17" t="s">
        <v>31</v>
      </c>
      <c r="H120" s="17" t="s">
        <v>32</v>
      </c>
      <c r="I120" s="17" t="s">
        <v>23</v>
      </c>
      <c r="J120" s="17" t="s">
        <v>24</v>
      </c>
      <c r="K120" s="18">
        <v>44674</v>
      </c>
      <c r="L120" s="25" t="s">
        <v>292</v>
      </c>
      <c r="M120" s="60">
        <v>14</v>
      </c>
      <c r="N120" s="27">
        <f>Tabla1[[#This Row],[FECHA DE SELECCIÓN]]-Tabla1[[#This Row],[FECHA DE AUTORIZACIÓN]]</f>
        <v>30</v>
      </c>
      <c r="O120" s="20" t="s">
        <v>25</v>
      </c>
      <c r="P120" s="17" t="s">
        <v>35</v>
      </c>
      <c r="Q120" s="21" t="s">
        <v>48</v>
      </c>
      <c r="R120" s="62" t="s">
        <v>307</v>
      </c>
    </row>
    <row r="121" spans="2:18" ht="16.5" thickTop="1" thickBot="1">
      <c r="B121" s="15">
        <v>44636</v>
      </c>
      <c r="C121" s="16" t="s">
        <v>181</v>
      </c>
      <c r="D121" s="17" t="s">
        <v>70</v>
      </c>
      <c r="E121" s="17" t="s">
        <v>308</v>
      </c>
      <c r="F121" s="17" t="s">
        <v>30</v>
      </c>
      <c r="G121" s="17" t="s">
        <v>210</v>
      </c>
      <c r="H121" s="17" t="s">
        <v>32</v>
      </c>
      <c r="I121" s="17" t="s">
        <v>55</v>
      </c>
      <c r="J121" s="17" t="s">
        <v>24</v>
      </c>
      <c r="K121" s="18">
        <v>44652</v>
      </c>
      <c r="L121" s="25" t="s">
        <v>292</v>
      </c>
      <c r="M121" s="60">
        <v>14</v>
      </c>
      <c r="N121" s="27">
        <f>Tabla1[[#This Row],[FECHA DE SELECCIÓN]]-Tabla1[[#This Row],[FECHA DE AUTORIZACIÓN]]</f>
        <v>16</v>
      </c>
      <c r="O121" s="20" t="s">
        <v>25</v>
      </c>
      <c r="P121" s="17" t="s">
        <v>35</v>
      </c>
      <c r="Q121" s="21" t="s">
        <v>48</v>
      </c>
      <c r="R121" s="61" t="s">
        <v>309</v>
      </c>
    </row>
    <row r="122" spans="2:18" ht="16.5" thickTop="1" thickBot="1">
      <c r="B122" s="15">
        <v>44633</v>
      </c>
      <c r="C122" s="16" t="s">
        <v>181</v>
      </c>
      <c r="D122" s="17" t="s">
        <v>182</v>
      </c>
      <c r="E122" s="17" t="s">
        <v>310</v>
      </c>
      <c r="F122" s="17" t="s">
        <v>20</v>
      </c>
      <c r="G122" s="17" t="s">
        <v>21</v>
      </c>
      <c r="H122" s="17" t="s">
        <v>22</v>
      </c>
      <c r="I122" s="17" t="s">
        <v>23</v>
      </c>
      <c r="J122" s="17" t="s">
        <v>24</v>
      </c>
      <c r="K122" s="18">
        <v>44669</v>
      </c>
      <c r="L122" s="25" t="s">
        <v>292</v>
      </c>
      <c r="M122" s="60">
        <v>28</v>
      </c>
      <c r="N122" s="27">
        <f>Tabla1[[#This Row],[FECHA DE SELECCIÓN]]-Tabla1[[#This Row],[FECHA DE AUTORIZACIÓN]]</f>
        <v>36</v>
      </c>
      <c r="O122" s="20" t="s">
        <v>25</v>
      </c>
      <c r="P122" s="17" t="s">
        <v>35</v>
      </c>
      <c r="Q122" s="21" t="s">
        <v>114</v>
      </c>
      <c r="R122" s="61" t="s">
        <v>311</v>
      </c>
    </row>
    <row r="123" spans="2:18" ht="16.5" thickTop="1" thickBot="1">
      <c r="B123" s="15">
        <v>44651</v>
      </c>
      <c r="C123" s="16" t="s">
        <v>181</v>
      </c>
      <c r="D123" s="17" t="s">
        <v>312</v>
      </c>
      <c r="E123" s="17"/>
      <c r="F123" s="17" t="s">
        <v>30</v>
      </c>
      <c r="G123" s="17" t="s">
        <v>210</v>
      </c>
      <c r="H123" s="17" t="s">
        <v>32</v>
      </c>
      <c r="I123" s="17" t="s">
        <v>23</v>
      </c>
      <c r="J123" s="17" t="s">
        <v>24</v>
      </c>
      <c r="K123" s="18"/>
      <c r="L123" s="16"/>
      <c r="M123" s="60">
        <v>14</v>
      </c>
      <c r="N123" s="27">
        <f>Tabla1[[#This Row],[FECHA DE SELECCIÓN]]-Tabla1[[#This Row],[FECHA DE AUTORIZACIÓN]]</f>
        <v>-44651</v>
      </c>
      <c r="O123" s="20" t="s">
        <v>25</v>
      </c>
      <c r="P123" s="17" t="s">
        <v>44</v>
      </c>
      <c r="Q123" s="21"/>
      <c r="R123" s="61"/>
    </row>
    <row r="124" spans="2:18" ht="16.5" thickTop="1" thickBot="1">
      <c r="B124" s="6">
        <v>44651</v>
      </c>
      <c r="C124" s="16" t="s">
        <v>181</v>
      </c>
      <c r="D124" s="7" t="s">
        <v>134</v>
      </c>
      <c r="E124" s="7"/>
      <c r="F124" s="7" t="s">
        <v>30</v>
      </c>
      <c r="G124" s="7" t="s">
        <v>31</v>
      </c>
      <c r="H124" s="7" t="s">
        <v>32</v>
      </c>
      <c r="I124" s="7" t="s">
        <v>23</v>
      </c>
      <c r="J124" s="7" t="s">
        <v>24</v>
      </c>
      <c r="K124" s="8"/>
      <c r="L124" s="70"/>
      <c r="M124" s="56">
        <v>14</v>
      </c>
      <c r="N124" s="27">
        <f>Tabla1[[#This Row],[FECHA DE SELECCIÓN]]-Tabla1[[#This Row],[FECHA DE AUTORIZACIÓN]]</f>
        <v>-44651</v>
      </c>
      <c r="O124" s="57"/>
      <c r="P124" s="7" t="s">
        <v>44</v>
      </c>
      <c r="Q124" s="58"/>
      <c r="R124" s="59"/>
    </row>
    <row r="125" spans="2:18" ht="16.5" thickTop="1" thickBot="1">
      <c r="B125" s="15">
        <v>44657</v>
      </c>
      <c r="C125" s="16" t="s">
        <v>36</v>
      </c>
      <c r="D125" s="17" t="s">
        <v>313</v>
      </c>
      <c r="E125" s="17" t="s">
        <v>314</v>
      </c>
      <c r="F125" s="17" t="s">
        <v>20</v>
      </c>
      <c r="G125" s="17" t="s">
        <v>21</v>
      </c>
      <c r="H125" s="17" t="s">
        <v>22</v>
      </c>
      <c r="I125" s="7" t="s">
        <v>23</v>
      </c>
      <c r="J125" s="7" t="s">
        <v>24</v>
      </c>
      <c r="K125" s="18">
        <v>44683</v>
      </c>
      <c r="L125" s="16" t="s">
        <v>315</v>
      </c>
      <c r="M125" s="60">
        <v>28</v>
      </c>
      <c r="N125" s="27">
        <f>Tabla1[[#This Row],[FECHA DE SELECCIÓN]]-Tabla1[[#This Row],[FECHA DE AUTORIZACIÓN]]</f>
        <v>26</v>
      </c>
      <c r="O125" s="20" t="s">
        <v>58</v>
      </c>
      <c r="P125" s="17" t="s">
        <v>35</v>
      </c>
      <c r="Q125" s="21" t="s">
        <v>114</v>
      </c>
      <c r="R125" s="61" t="s">
        <v>316</v>
      </c>
    </row>
    <row r="126" spans="2:18" ht="16.5" thickTop="1" thickBot="1">
      <c r="B126" s="15">
        <v>44657</v>
      </c>
      <c r="C126" s="16" t="s">
        <v>317</v>
      </c>
      <c r="D126" s="17" t="s">
        <v>318</v>
      </c>
      <c r="E126" s="17" t="s">
        <v>319</v>
      </c>
      <c r="F126" s="17" t="s">
        <v>20</v>
      </c>
      <c r="G126" s="17" t="s">
        <v>21</v>
      </c>
      <c r="H126" s="17" t="s">
        <v>22</v>
      </c>
      <c r="I126" s="7" t="s">
        <v>23</v>
      </c>
      <c r="J126" s="7" t="s">
        <v>24</v>
      </c>
      <c r="K126" s="18"/>
      <c r="L126" s="16"/>
      <c r="M126" s="60">
        <v>28</v>
      </c>
      <c r="N126" s="27">
        <f>Tabla1[[#This Row],[FECHA DE SELECCIÓN]]-Tabla1[[#This Row],[FECHA DE AUTORIZACIÓN]]</f>
        <v>-44657</v>
      </c>
      <c r="O126" s="20"/>
      <c r="P126" s="17" t="s">
        <v>44</v>
      </c>
      <c r="Q126" s="21"/>
      <c r="R126" s="61"/>
    </row>
    <row r="127" spans="2:18" ht="16.5" thickTop="1" thickBot="1">
      <c r="B127" s="15">
        <v>44657</v>
      </c>
      <c r="C127" s="16" t="s">
        <v>317</v>
      </c>
      <c r="D127" s="17" t="s">
        <v>320</v>
      </c>
      <c r="E127" s="17" t="s">
        <v>321</v>
      </c>
      <c r="F127" s="17" t="s">
        <v>20</v>
      </c>
      <c r="G127" s="17" t="s">
        <v>21</v>
      </c>
      <c r="H127" s="17" t="s">
        <v>22</v>
      </c>
      <c r="I127" s="7" t="s">
        <v>23</v>
      </c>
      <c r="J127" s="7" t="s">
        <v>24</v>
      </c>
      <c r="K127" s="18">
        <v>44667</v>
      </c>
      <c r="L127" s="16" t="s">
        <v>292</v>
      </c>
      <c r="M127" s="60">
        <v>28</v>
      </c>
      <c r="N127" s="27">
        <f>Tabla1[[#This Row],[FECHA DE SELECCIÓN]]-Tabla1[[#This Row],[FECHA DE AUTORIZACIÓN]]</f>
        <v>10</v>
      </c>
      <c r="O127" s="20" t="s">
        <v>58</v>
      </c>
      <c r="P127" s="17" t="s">
        <v>35</v>
      </c>
      <c r="Q127" s="21" t="s">
        <v>40</v>
      </c>
      <c r="R127" s="61" t="s">
        <v>322</v>
      </c>
    </row>
    <row r="128" spans="2:18" ht="16.5" thickTop="1" thickBot="1">
      <c r="B128" s="15">
        <v>44657</v>
      </c>
      <c r="C128" s="16" t="s">
        <v>317</v>
      </c>
      <c r="D128" s="17" t="s">
        <v>118</v>
      </c>
      <c r="E128" s="17"/>
      <c r="F128" s="17" t="s">
        <v>30</v>
      </c>
      <c r="G128" s="17" t="s">
        <v>31</v>
      </c>
      <c r="H128" s="17" t="s">
        <v>61</v>
      </c>
      <c r="I128" s="7" t="s">
        <v>23</v>
      </c>
      <c r="J128" s="7" t="s">
        <v>24</v>
      </c>
      <c r="K128" s="18">
        <v>44658</v>
      </c>
      <c r="L128" s="16" t="s">
        <v>292</v>
      </c>
      <c r="M128" s="60">
        <v>21</v>
      </c>
      <c r="N128" s="27">
        <f>Tabla1[[#This Row],[FECHA DE SELECCIÓN]]-Tabla1[[#This Row],[FECHA DE AUTORIZACIÓN]]</f>
        <v>1</v>
      </c>
      <c r="O128" s="20" t="s">
        <v>58</v>
      </c>
      <c r="P128" s="17" t="s">
        <v>35</v>
      </c>
      <c r="Q128" s="21" t="s">
        <v>40</v>
      </c>
      <c r="R128" s="61" t="s">
        <v>323</v>
      </c>
    </row>
    <row r="129" spans="2:18" ht="16.5" thickTop="1" thickBot="1">
      <c r="B129" s="15">
        <v>44658</v>
      </c>
      <c r="C129" s="16" t="s">
        <v>317</v>
      </c>
      <c r="D129" s="17" t="s">
        <v>324</v>
      </c>
      <c r="E129" s="17" t="s">
        <v>102</v>
      </c>
      <c r="F129" s="17" t="s">
        <v>20</v>
      </c>
      <c r="G129" s="17" t="s">
        <v>31</v>
      </c>
      <c r="H129" s="17" t="s">
        <v>22</v>
      </c>
      <c r="I129" s="7" t="s">
        <v>23</v>
      </c>
      <c r="J129" s="17" t="s">
        <v>24</v>
      </c>
      <c r="K129" s="18">
        <v>44659</v>
      </c>
      <c r="L129" s="16" t="s">
        <v>292</v>
      </c>
      <c r="M129" s="60">
        <v>28</v>
      </c>
      <c r="N129" s="27">
        <f>Tabla1[[#This Row],[FECHA DE SELECCIÓN]]-Tabla1[[#This Row],[FECHA DE AUTORIZACIÓN]]</f>
        <v>1</v>
      </c>
      <c r="O129" s="20" t="s">
        <v>58</v>
      </c>
      <c r="P129" s="17" t="s">
        <v>35</v>
      </c>
      <c r="Q129" s="21" t="s">
        <v>77</v>
      </c>
      <c r="R129" s="61" t="s">
        <v>325</v>
      </c>
    </row>
    <row r="130" spans="2:18" ht="16.5" thickTop="1" thickBot="1">
      <c r="B130" s="15">
        <v>44652</v>
      </c>
      <c r="C130" s="16" t="s">
        <v>36</v>
      </c>
      <c r="D130" s="17" t="s">
        <v>326</v>
      </c>
      <c r="E130" s="62" t="s">
        <v>327</v>
      </c>
      <c r="F130" s="17" t="s">
        <v>30</v>
      </c>
      <c r="G130" s="17" t="s">
        <v>210</v>
      </c>
      <c r="H130" s="17" t="s">
        <v>61</v>
      </c>
      <c r="I130" s="17" t="s">
        <v>33</v>
      </c>
      <c r="J130" s="17" t="s">
        <v>24</v>
      </c>
      <c r="K130" s="18">
        <v>44663</v>
      </c>
      <c r="L130" s="16" t="s">
        <v>292</v>
      </c>
      <c r="M130" s="60">
        <v>21</v>
      </c>
      <c r="N130" s="27">
        <f>Tabla1[[#This Row],[FECHA DE SELECCIÓN]]-Tabla1[[#This Row],[FECHA DE AUTORIZACIÓN]]</f>
        <v>11</v>
      </c>
      <c r="O130" s="20" t="s">
        <v>58</v>
      </c>
      <c r="P130" s="17" t="s">
        <v>35</v>
      </c>
      <c r="Q130" s="21" t="s">
        <v>48</v>
      </c>
      <c r="R130" s="61" t="s">
        <v>328</v>
      </c>
    </row>
    <row r="131" spans="2:18" ht="16.5" thickTop="1" thickBot="1">
      <c r="B131" s="6">
        <v>44652</v>
      </c>
      <c r="C131" s="16" t="s">
        <v>317</v>
      </c>
      <c r="D131" s="7" t="s">
        <v>326</v>
      </c>
      <c r="E131" s="7"/>
      <c r="F131" s="7" t="s">
        <v>30</v>
      </c>
      <c r="G131" s="7" t="s">
        <v>210</v>
      </c>
      <c r="H131" s="7" t="s">
        <v>32</v>
      </c>
      <c r="I131" s="7" t="s">
        <v>33</v>
      </c>
      <c r="J131" s="7" t="s">
        <v>24</v>
      </c>
      <c r="K131" s="8"/>
      <c r="L131" s="16"/>
      <c r="M131" s="56">
        <v>21</v>
      </c>
      <c r="N131" s="27">
        <f>Tabla1[[#This Row],[FECHA DE SELECCIÓN]]-Tabla1[[#This Row],[FECHA DE AUTORIZACIÓN]]</f>
        <v>-44652</v>
      </c>
      <c r="O131" s="57"/>
      <c r="P131" s="7" t="s">
        <v>44</v>
      </c>
      <c r="Q131" s="58"/>
      <c r="R131" s="59"/>
    </row>
    <row r="132" spans="2:18" ht="16.5" thickTop="1" thickBot="1">
      <c r="B132" s="15">
        <v>44649</v>
      </c>
      <c r="C132" s="16" t="s">
        <v>181</v>
      </c>
      <c r="D132" s="17" t="s">
        <v>70</v>
      </c>
      <c r="E132" s="62" t="s">
        <v>329</v>
      </c>
      <c r="F132" s="17" t="s">
        <v>30</v>
      </c>
      <c r="G132" s="17" t="s">
        <v>210</v>
      </c>
      <c r="H132" s="17" t="s">
        <v>32</v>
      </c>
      <c r="I132" s="17" t="s">
        <v>55</v>
      </c>
      <c r="J132" s="17" t="s">
        <v>24</v>
      </c>
      <c r="K132" s="18">
        <v>44663</v>
      </c>
      <c r="L132" s="16" t="s">
        <v>292</v>
      </c>
      <c r="M132" s="60">
        <v>14</v>
      </c>
      <c r="N132" s="27">
        <f>Tabla1[[#This Row],[FECHA DE SELECCIÓN]]-Tabla1[[#This Row],[FECHA DE AUTORIZACIÓN]]</f>
        <v>14</v>
      </c>
      <c r="O132" s="20" t="s">
        <v>58</v>
      </c>
      <c r="P132" s="17" t="s">
        <v>35</v>
      </c>
      <c r="Q132" s="21" t="s">
        <v>48</v>
      </c>
      <c r="R132" s="61" t="s">
        <v>330</v>
      </c>
    </row>
    <row r="133" spans="2:18" ht="16.5" thickTop="1" thickBot="1">
      <c r="B133" s="15">
        <v>44663</v>
      </c>
      <c r="C133" s="16" t="s">
        <v>317</v>
      </c>
      <c r="D133" s="17" t="s">
        <v>97</v>
      </c>
      <c r="E133" s="17" t="s">
        <v>331</v>
      </c>
      <c r="F133" s="17" t="s">
        <v>30</v>
      </c>
      <c r="G133" s="17" t="s">
        <v>210</v>
      </c>
      <c r="H133" s="17" t="s">
        <v>32</v>
      </c>
      <c r="I133" s="17" t="s">
        <v>33</v>
      </c>
      <c r="J133" s="17" t="s">
        <v>24</v>
      </c>
      <c r="K133" s="18"/>
      <c r="L133" s="19"/>
      <c r="M133" s="60">
        <v>14</v>
      </c>
      <c r="N133" s="27">
        <f>Tabla1[[#This Row],[FECHA DE SELECCIÓN]]-Tabla1[[#This Row],[FECHA DE AUTORIZACIÓN]]</f>
        <v>-44663</v>
      </c>
      <c r="O133" s="20"/>
      <c r="P133" s="17" t="s">
        <v>44</v>
      </c>
      <c r="Q133" s="21"/>
      <c r="R133" s="61"/>
    </row>
    <row r="134" spans="2:18" ht="16.5" thickTop="1" thickBot="1">
      <c r="B134" s="15">
        <v>44667</v>
      </c>
      <c r="C134" s="16" t="s">
        <v>317</v>
      </c>
      <c r="D134" s="17" t="s">
        <v>45</v>
      </c>
      <c r="E134" s="17"/>
      <c r="F134" s="17" t="s">
        <v>30</v>
      </c>
      <c r="G134" s="17" t="s">
        <v>31</v>
      </c>
      <c r="H134" s="17" t="s">
        <v>32</v>
      </c>
      <c r="I134" s="17" t="s">
        <v>23</v>
      </c>
      <c r="J134" s="17" t="s">
        <v>24</v>
      </c>
      <c r="K134" s="18"/>
      <c r="L134" s="19"/>
      <c r="M134" s="60">
        <v>14</v>
      </c>
      <c r="N134" s="27">
        <f>Tabla1[[#This Row],[FECHA DE SELECCIÓN]]-Tabla1[[#This Row],[FECHA DE AUTORIZACIÓN]]</f>
        <v>-44667</v>
      </c>
      <c r="O134" s="20"/>
      <c r="P134" s="17" t="s">
        <v>44</v>
      </c>
      <c r="Q134" s="21"/>
      <c r="R134" s="61"/>
    </row>
    <row r="135" spans="2:18" ht="16.5" thickTop="1" thickBot="1">
      <c r="B135" s="15">
        <v>44668</v>
      </c>
      <c r="C135" s="16" t="s">
        <v>317</v>
      </c>
      <c r="D135" s="17" t="s">
        <v>180</v>
      </c>
      <c r="E135" s="17"/>
      <c r="F135" s="17" t="s">
        <v>30</v>
      </c>
      <c r="G135" s="17" t="s">
        <v>210</v>
      </c>
      <c r="H135" s="17" t="s">
        <v>32</v>
      </c>
      <c r="I135" s="17" t="s">
        <v>23</v>
      </c>
      <c r="J135" s="17" t="s">
        <v>24</v>
      </c>
      <c r="K135" s="18"/>
      <c r="L135" s="19"/>
      <c r="M135" s="60">
        <v>21</v>
      </c>
      <c r="N135" s="27">
        <f>Tabla1[[#This Row],[FECHA DE SELECCIÓN]]-Tabla1[[#This Row],[FECHA DE AUTORIZACIÓN]]</f>
        <v>-44668</v>
      </c>
      <c r="O135" s="20"/>
      <c r="P135" s="17" t="s">
        <v>44</v>
      </c>
      <c r="Q135" s="21"/>
      <c r="R135" s="61"/>
    </row>
    <row r="136" spans="2:18" ht="16.5" thickTop="1" thickBot="1">
      <c r="B136" s="15"/>
      <c r="C136" s="16" t="s">
        <v>317</v>
      </c>
      <c r="D136" s="17" t="s">
        <v>138</v>
      </c>
      <c r="E136" s="17"/>
      <c r="F136" s="17" t="s">
        <v>30</v>
      </c>
      <c r="G136" s="17" t="s">
        <v>210</v>
      </c>
      <c r="H136" s="17" t="s">
        <v>32</v>
      </c>
      <c r="I136" s="17" t="s">
        <v>23</v>
      </c>
      <c r="J136" s="17" t="s">
        <v>24</v>
      </c>
      <c r="K136" s="18"/>
      <c r="L136" s="19"/>
      <c r="M136" s="60">
        <v>21</v>
      </c>
      <c r="N136" s="27">
        <f>Tabla1[[#This Row],[FECHA DE SELECCIÓN]]-Tabla1[[#This Row],[FECHA DE AUTORIZACIÓN]]</f>
        <v>0</v>
      </c>
      <c r="O136" s="20"/>
      <c r="P136" s="17" t="s">
        <v>44</v>
      </c>
      <c r="Q136" s="21"/>
      <c r="R136" s="61"/>
    </row>
    <row r="137" spans="2:18" ht="16.5" thickTop="1" thickBot="1">
      <c r="B137" s="15"/>
      <c r="C137" s="16" t="s">
        <v>317</v>
      </c>
      <c r="D137" s="17" t="s">
        <v>229</v>
      </c>
      <c r="E137" s="17"/>
      <c r="F137" s="17" t="s">
        <v>30</v>
      </c>
      <c r="G137" s="17" t="s">
        <v>31</v>
      </c>
      <c r="H137" s="17" t="s">
        <v>32</v>
      </c>
      <c r="I137" s="17" t="s">
        <v>23</v>
      </c>
      <c r="J137" s="17" t="s">
        <v>24</v>
      </c>
      <c r="K137" s="18"/>
      <c r="L137" s="19"/>
      <c r="M137" s="56">
        <v>14</v>
      </c>
      <c r="N137" s="27">
        <f>Tabla1[[#This Row],[FECHA DE SELECCIÓN]]-Tabla1[[#This Row],[FECHA DE AUTORIZACIÓN]]</f>
        <v>0</v>
      </c>
      <c r="O137" s="20"/>
      <c r="P137" s="17" t="s">
        <v>44</v>
      </c>
      <c r="Q137" s="21"/>
      <c r="R137" s="59"/>
    </row>
    <row r="138" spans="2:18" ht="16.5" thickTop="1" thickBot="1">
      <c r="B138" s="71"/>
      <c r="C138" s="16" t="s">
        <v>317</v>
      </c>
      <c r="D138" s="72" t="s">
        <v>332</v>
      </c>
      <c r="E138" s="72"/>
      <c r="F138" s="17" t="s">
        <v>30</v>
      </c>
      <c r="G138" s="72" t="s">
        <v>31</v>
      </c>
      <c r="H138" s="72" t="s">
        <v>32</v>
      </c>
      <c r="I138" s="72" t="s">
        <v>23</v>
      </c>
      <c r="J138" s="72" t="s">
        <v>24</v>
      </c>
      <c r="K138" s="73"/>
      <c r="L138" s="74"/>
      <c r="M138" s="56">
        <v>21</v>
      </c>
      <c r="N138" s="27">
        <f>Tabla1[[#This Row],[FECHA DE SELECCIÓN]]-Tabla1[[#This Row],[FECHA DE AUTORIZACIÓN]]</f>
        <v>0</v>
      </c>
      <c r="O138" s="75"/>
      <c r="P138" s="72" t="s">
        <v>44</v>
      </c>
      <c r="Q138" s="76"/>
      <c r="R138" s="59"/>
    </row>
    <row r="139" spans="2:18" ht="16.5" thickTop="1" thickBot="1">
      <c r="B139" s="15">
        <v>44677</v>
      </c>
      <c r="C139" s="16" t="s">
        <v>317</v>
      </c>
      <c r="D139" s="17" t="s">
        <v>333</v>
      </c>
      <c r="E139" s="17" t="s">
        <v>334</v>
      </c>
      <c r="F139" s="17" t="s">
        <v>20</v>
      </c>
      <c r="G139" s="17" t="s">
        <v>21</v>
      </c>
      <c r="H139" s="17" t="s">
        <v>22</v>
      </c>
      <c r="I139" s="17" t="s">
        <v>103</v>
      </c>
      <c r="J139" s="17" t="s">
        <v>24</v>
      </c>
      <c r="K139" s="18"/>
      <c r="L139" s="19"/>
      <c r="M139" s="60">
        <v>21</v>
      </c>
      <c r="N139" s="27">
        <f>Tabla1[[#This Row],[FECHA DE SELECCIÓN]]-Tabla1[[#This Row],[FECHA DE AUTORIZACIÓN]]</f>
        <v>-44677</v>
      </c>
      <c r="O139" s="20"/>
      <c r="P139" s="17" t="s">
        <v>44</v>
      </c>
      <c r="Q139" s="21"/>
      <c r="R139" s="61"/>
    </row>
    <row r="140" spans="2:18" ht="16.5" thickTop="1" thickBot="1">
      <c r="B140" s="15">
        <v>44651</v>
      </c>
      <c r="C140" s="16" t="s">
        <v>181</v>
      </c>
      <c r="D140" s="17" t="s">
        <v>335</v>
      </c>
      <c r="E140" s="17" t="s">
        <v>336</v>
      </c>
      <c r="F140" s="17" t="s">
        <v>30</v>
      </c>
      <c r="G140" s="17" t="s">
        <v>210</v>
      </c>
      <c r="H140" s="17" t="s">
        <v>61</v>
      </c>
      <c r="I140" s="17" t="s">
        <v>33</v>
      </c>
      <c r="J140" s="17" t="s">
        <v>24</v>
      </c>
      <c r="K140" s="18">
        <v>44652</v>
      </c>
      <c r="L140" s="16" t="s">
        <v>292</v>
      </c>
      <c r="M140" s="60">
        <v>21</v>
      </c>
      <c r="N140" s="27">
        <f>Tabla1[[#This Row],[FECHA DE SELECCIÓN]]-Tabla1[[#This Row],[FECHA DE AUTORIZACIÓN]]</f>
        <v>1</v>
      </c>
      <c r="O140" s="20" t="s">
        <v>58</v>
      </c>
      <c r="P140" s="17" t="s">
        <v>35</v>
      </c>
      <c r="Q140" s="21"/>
      <c r="R140" s="61"/>
    </row>
    <row r="141" spans="2:18" ht="16.5" thickTop="1" thickBot="1">
      <c r="B141" s="15">
        <v>44651</v>
      </c>
      <c r="C141" s="16" t="s">
        <v>181</v>
      </c>
      <c r="D141" s="17" t="s">
        <v>337</v>
      </c>
      <c r="E141" s="17" t="s">
        <v>338</v>
      </c>
      <c r="F141" s="17" t="s">
        <v>30</v>
      </c>
      <c r="G141" s="17" t="s">
        <v>210</v>
      </c>
      <c r="H141" s="17" t="s">
        <v>61</v>
      </c>
      <c r="I141" s="17" t="s">
        <v>33</v>
      </c>
      <c r="J141" s="17" t="s">
        <v>24</v>
      </c>
      <c r="K141" s="18">
        <v>44652</v>
      </c>
      <c r="L141" s="16" t="s">
        <v>292</v>
      </c>
      <c r="M141" s="60">
        <v>21</v>
      </c>
      <c r="N141" s="27">
        <f>Tabla1[[#This Row],[FECHA DE SELECCIÓN]]-Tabla1[[#This Row],[FECHA DE AUTORIZACIÓN]]</f>
        <v>1</v>
      </c>
      <c r="O141" s="20" t="s">
        <v>58</v>
      </c>
      <c r="P141" s="17" t="s">
        <v>35</v>
      </c>
      <c r="Q141" s="21"/>
      <c r="R141" s="61"/>
    </row>
    <row r="142" spans="2:18" ht="16.5" thickTop="1" thickBot="1">
      <c r="B142" s="15">
        <v>44651</v>
      </c>
      <c r="C142" s="16" t="s">
        <v>181</v>
      </c>
      <c r="D142" s="17" t="s">
        <v>339</v>
      </c>
      <c r="E142" s="17" t="s">
        <v>340</v>
      </c>
      <c r="F142" s="17" t="s">
        <v>30</v>
      </c>
      <c r="G142" s="17" t="s">
        <v>210</v>
      </c>
      <c r="H142" s="17" t="s">
        <v>61</v>
      </c>
      <c r="I142" s="17" t="s">
        <v>33</v>
      </c>
      <c r="J142" s="17" t="s">
        <v>24</v>
      </c>
      <c r="K142" s="18">
        <v>44652</v>
      </c>
      <c r="L142" s="16" t="s">
        <v>292</v>
      </c>
      <c r="M142" s="60">
        <v>21</v>
      </c>
      <c r="N142" s="27">
        <f>Tabla1[[#This Row],[FECHA DE SELECCIÓN]]-Tabla1[[#This Row],[FECHA DE AUTORIZACIÓN]]</f>
        <v>1</v>
      </c>
      <c r="O142" s="20" t="s">
        <v>58</v>
      </c>
      <c r="P142" s="17" t="s">
        <v>35</v>
      </c>
      <c r="Q142" s="21"/>
      <c r="R142" s="59"/>
    </row>
    <row r="143" spans="2:18" ht="16.5" thickTop="1" thickBot="1">
      <c r="B143" s="6">
        <v>44651</v>
      </c>
      <c r="C143" s="16" t="s">
        <v>181</v>
      </c>
      <c r="D143" s="17" t="s">
        <v>341</v>
      </c>
      <c r="E143" s="72" t="s">
        <v>342</v>
      </c>
      <c r="F143" s="17" t="s">
        <v>30</v>
      </c>
      <c r="G143" s="17" t="s">
        <v>210</v>
      </c>
      <c r="H143" s="17" t="s">
        <v>61</v>
      </c>
      <c r="I143" s="17" t="s">
        <v>33</v>
      </c>
      <c r="J143" s="17" t="s">
        <v>24</v>
      </c>
      <c r="K143" s="18">
        <v>44652</v>
      </c>
      <c r="L143" s="16" t="s">
        <v>292</v>
      </c>
      <c r="M143" s="60">
        <v>21</v>
      </c>
      <c r="N143" s="27">
        <f>Tabla1[[#This Row],[FECHA DE SELECCIÓN]]-Tabla1[[#This Row],[FECHA DE AUTORIZACIÓN]]</f>
        <v>1</v>
      </c>
      <c r="O143" s="20" t="s">
        <v>58</v>
      </c>
      <c r="P143" s="17" t="s">
        <v>35</v>
      </c>
      <c r="Q143" s="76"/>
      <c r="R143" s="59"/>
    </row>
    <row r="144" spans="2:18" ht="16.5" thickTop="1" thickBot="1">
      <c r="B144" s="15">
        <v>44370</v>
      </c>
      <c r="C144" s="16" t="s">
        <v>42</v>
      </c>
      <c r="D144" s="17" t="s">
        <v>343</v>
      </c>
      <c r="E144" s="17" t="s">
        <v>51</v>
      </c>
      <c r="F144" s="17" t="s">
        <v>20</v>
      </c>
      <c r="G144" s="17" t="s">
        <v>21</v>
      </c>
      <c r="H144" s="17" t="s">
        <v>22</v>
      </c>
      <c r="I144" s="17" t="s">
        <v>23</v>
      </c>
      <c r="J144" s="17" t="s">
        <v>24</v>
      </c>
      <c r="K144" s="18">
        <v>44669</v>
      </c>
      <c r="L144" s="16" t="s">
        <v>292</v>
      </c>
      <c r="M144" s="60">
        <v>28</v>
      </c>
      <c r="N144" s="27">
        <f>Tabla1[[#This Row],[FECHA DE SELECCIÓN]]-Tabla1[[#This Row],[FECHA DE AUTORIZACIÓN]]</f>
        <v>299</v>
      </c>
      <c r="O144" s="20" t="s">
        <v>25</v>
      </c>
      <c r="P144" s="17" t="s">
        <v>35</v>
      </c>
      <c r="Q144" s="21" t="s">
        <v>40</v>
      </c>
      <c r="R144" s="61" t="s">
        <v>344</v>
      </c>
    </row>
    <row r="145" spans="2:18" ht="16.5" thickTop="1" thickBot="1">
      <c r="B145" s="15">
        <v>44371</v>
      </c>
      <c r="C145" s="16" t="s">
        <v>345</v>
      </c>
      <c r="D145" s="17" t="s">
        <v>343</v>
      </c>
      <c r="E145" s="17" t="s">
        <v>51</v>
      </c>
      <c r="F145" s="17" t="s">
        <v>20</v>
      </c>
      <c r="G145" s="17" t="s">
        <v>21</v>
      </c>
      <c r="H145" s="17" t="s">
        <v>22</v>
      </c>
      <c r="I145" s="17" t="s">
        <v>103</v>
      </c>
      <c r="J145" s="17" t="s">
        <v>24</v>
      </c>
      <c r="K145" s="18">
        <v>44700</v>
      </c>
      <c r="L145" s="16" t="s">
        <v>95</v>
      </c>
      <c r="M145" s="60">
        <v>28</v>
      </c>
      <c r="N145" s="27">
        <f>Tabla1[[#This Row],[FECHA DE SELECCIÓN]]-Tabla1[[#This Row],[FECHA DE AUTORIZACIÓN]]</f>
        <v>329</v>
      </c>
      <c r="O145" s="20" t="s">
        <v>25</v>
      </c>
      <c r="P145" s="17" t="s">
        <v>35</v>
      </c>
      <c r="Q145" s="21" t="s">
        <v>40</v>
      </c>
      <c r="R145" s="61" t="s">
        <v>344</v>
      </c>
    </row>
    <row r="146" spans="2:18" ht="16.5" thickTop="1" thickBot="1">
      <c r="B146" s="15"/>
      <c r="C146" s="16"/>
      <c r="D146" s="17"/>
      <c r="E146" s="17"/>
      <c r="F146" s="17"/>
      <c r="G146" s="17"/>
      <c r="H146" s="17"/>
      <c r="I146" s="17"/>
      <c r="J146" s="17"/>
      <c r="K146" s="18"/>
      <c r="L146" s="16"/>
      <c r="M146" s="60">
        <v>28</v>
      </c>
      <c r="N146" s="27">
        <f>Tabla1[[#This Row],[FECHA DE SELECCIÓN]]-Tabla1[[#This Row],[FECHA DE AUTORIZACIÓN]]</f>
        <v>0</v>
      </c>
      <c r="O146" s="20"/>
      <c r="P146" s="17"/>
      <c r="Q146" s="21"/>
      <c r="R146" s="61"/>
    </row>
    <row r="147" spans="2:18" ht="16.5" thickTop="1" thickBot="1">
      <c r="B147" s="15"/>
      <c r="C147" s="16"/>
      <c r="D147" s="17"/>
      <c r="E147" s="17"/>
      <c r="F147" s="17"/>
      <c r="G147" s="17"/>
      <c r="H147" s="17"/>
      <c r="I147" s="17"/>
      <c r="J147" s="17"/>
      <c r="K147" s="18"/>
      <c r="L147" s="16"/>
      <c r="M147" s="60"/>
      <c r="N147" s="27">
        <f>Tabla1[[#This Row],[FECHA DE SELECCIÓN]]-Tabla1[[#This Row],[FECHA DE AUTORIZACIÓN]]</f>
        <v>0</v>
      </c>
      <c r="O147" s="20"/>
      <c r="P147" s="17"/>
      <c r="Q147" s="21"/>
      <c r="R147" s="59"/>
    </row>
    <row r="148" spans="2:18" ht="16.5" thickTop="1" thickBot="1">
      <c r="B148" s="88"/>
      <c r="C148" s="89"/>
      <c r="D148" s="80"/>
      <c r="E148" s="80"/>
      <c r="F148" s="80"/>
      <c r="G148" s="80"/>
      <c r="H148" s="80"/>
      <c r="I148" s="80"/>
      <c r="J148" s="80"/>
      <c r="K148" s="90"/>
      <c r="L148" s="89"/>
      <c r="M148" s="80"/>
      <c r="N148" s="27">
        <f>Tabla1[[#This Row],[FECHA DE SELECCIÓN]]-Tabla1[[#This Row],[FECHA DE AUTORIZACIÓN]]</f>
        <v>0</v>
      </c>
      <c r="O148" s="83"/>
      <c r="P148" s="80"/>
      <c r="Q148" s="91"/>
      <c r="R148" s="59"/>
    </row>
    <row r="149" spans="2:18" ht="16.5" thickTop="1" thickBot="1">
      <c r="B149" s="88"/>
      <c r="C149" s="89"/>
      <c r="D149" s="80"/>
      <c r="E149" s="80"/>
      <c r="F149" s="80"/>
      <c r="G149" s="80"/>
      <c r="H149" s="80"/>
      <c r="I149" s="80"/>
      <c r="J149" s="80"/>
      <c r="K149" s="90"/>
      <c r="L149" s="89"/>
      <c r="M149" s="80"/>
      <c r="N149" s="27">
        <f>Tabla1[[#This Row],[FECHA DE SELECCIÓN]]-Tabla1[[#This Row],[FECHA DE AUTORIZACIÓN]]</f>
        <v>0</v>
      </c>
      <c r="O149" s="83"/>
      <c r="P149" s="80"/>
      <c r="Q149" s="91"/>
      <c r="R149" s="59"/>
    </row>
    <row r="150" spans="2:18" ht="16.5" thickTop="1" thickBot="1">
      <c r="B150" s="88"/>
      <c r="C150" s="89"/>
      <c r="D150" s="80"/>
      <c r="E150" s="80"/>
      <c r="F150" s="80"/>
      <c r="G150" s="80"/>
      <c r="H150" s="80"/>
      <c r="I150" s="80"/>
      <c r="J150" s="80"/>
      <c r="K150" s="90"/>
      <c r="L150" s="89"/>
      <c r="M150" s="80"/>
      <c r="N150" s="27">
        <f>Tabla1[[#This Row],[FECHA DE SELECCIÓN]]-Tabla1[[#This Row],[FECHA DE AUTORIZACIÓN]]</f>
        <v>0</v>
      </c>
      <c r="O150" s="83"/>
      <c r="P150" s="80"/>
      <c r="Q150" s="91"/>
      <c r="R150" s="59"/>
    </row>
    <row r="151" spans="2:18" ht="16.5" thickTop="1" thickBot="1">
      <c r="B151" s="88"/>
      <c r="C151" s="89"/>
      <c r="D151" s="80"/>
      <c r="E151" s="80"/>
      <c r="F151" s="80"/>
      <c r="G151" s="80"/>
      <c r="H151" s="80"/>
      <c r="I151" s="80"/>
      <c r="J151" s="80"/>
      <c r="K151" s="90"/>
      <c r="L151" s="89"/>
      <c r="M151" s="80"/>
      <c r="N151" s="27">
        <f>Tabla1[[#This Row],[FECHA DE SELECCIÓN]]-Tabla1[[#This Row],[FECHA DE AUTORIZACIÓN]]</f>
        <v>0</v>
      </c>
      <c r="O151" s="83"/>
      <c r="P151" s="80"/>
      <c r="Q151" s="91"/>
      <c r="R151" s="59"/>
    </row>
    <row r="152" spans="2:18" ht="16.5" thickTop="1" thickBot="1">
      <c r="B152" s="88"/>
      <c r="C152" s="89"/>
      <c r="D152" s="80"/>
      <c r="E152" s="80"/>
      <c r="F152" s="80"/>
      <c r="G152" s="80"/>
      <c r="H152" s="80"/>
      <c r="I152" s="80"/>
      <c r="J152" s="80"/>
      <c r="K152" s="90"/>
      <c r="L152" s="89"/>
      <c r="M152" s="80"/>
      <c r="N152" s="27">
        <f>Tabla1[[#This Row],[FECHA DE SELECCIÓN]]-Tabla1[[#This Row],[FECHA DE AUTORIZACIÓN]]</f>
        <v>0</v>
      </c>
      <c r="O152" s="83"/>
      <c r="P152" s="80"/>
      <c r="Q152" s="91"/>
      <c r="R152" s="59"/>
    </row>
    <row r="153" spans="2:18" ht="16.5" thickTop="1" thickBot="1">
      <c r="B153" s="88"/>
      <c r="C153" s="89"/>
      <c r="D153" s="80"/>
      <c r="E153" s="80"/>
      <c r="F153" s="80"/>
      <c r="G153" s="80"/>
      <c r="H153" s="80"/>
      <c r="I153" s="80"/>
      <c r="J153" s="80"/>
      <c r="K153" s="90"/>
      <c r="L153" s="89"/>
      <c r="M153" s="80"/>
      <c r="N153" s="27">
        <f>Tabla1[[#This Row],[FECHA DE SELECCIÓN]]-Tabla1[[#This Row],[FECHA DE AUTORIZACIÓN]]</f>
        <v>0</v>
      </c>
      <c r="O153" s="83"/>
      <c r="P153" s="80"/>
      <c r="Q153" s="91"/>
      <c r="R153" s="59"/>
    </row>
    <row r="154" spans="2:18" ht="16.5" thickTop="1" thickBot="1">
      <c r="B154" s="88"/>
      <c r="C154" s="89"/>
      <c r="D154" s="80"/>
      <c r="E154" s="80"/>
      <c r="F154" s="80"/>
      <c r="G154" s="80"/>
      <c r="H154" s="80"/>
      <c r="I154" s="80"/>
      <c r="J154" s="80"/>
      <c r="K154" s="90"/>
      <c r="L154" s="89"/>
      <c r="M154" s="80"/>
      <c r="N154" s="27">
        <f>Tabla1[[#This Row],[FECHA DE SELECCIÓN]]-Tabla1[[#This Row],[FECHA DE AUTORIZACIÓN]]</f>
        <v>0</v>
      </c>
      <c r="O154" s="83"/>
      <c r="P154" s="80"/>
      <c r="Q154" s="91"/>
      <c r="R154" s="59"/>
    </row>
    <row r="155" spans="2:18" ht="16.5" thickTop="1" thickBot="1">
      <c r="B155" s="88"/>
      <c r="C155" s="89"/>
      <c r="D155" s="80"/>
      <c r="E155" s="80"/>
      <c r="F155" s="80"/>
      <c r="G155" s="80"/>
      <c r="H155" s="80"/>
      <c r="I155" s="80"/>
      <c r="J155" s="80"/>
      <c r="K155" s="90"/>
      <c r="L155" s="89"/>
      <c r="M155" s="80"/>
      <c r="N155" s="27">
        <f>Tabla1[[#This Row],[FECHA DE SELECCIÓN]]-Tabla1[[#This Row],[FECHA DE AUTORIZACIÓN]]</f>
        <v>0</v>
      </c>
      <c r="O155" s="83"/>
      <c r="P155" s="80"/>
      <c r="Q155" s="91"/>
      <c r="R155" s="59"/>
    </row>
    <row r="156" spans="2:18" ht="16.5" thickTop="1" thickBot="1">
      <c r="B156" s="71"/>
      <c r="C156" s="89"/>
      <c r="D156" s="80"/>
      <c r="E156" s="80"/>
      <c r="F156" s="80"/>
      <c r="G156" s="80"/>
      <c r="H156" s="80"/>
      <c r="I156" s="80"/>
      <c r="J156" s="80"/>
      <c r="K156" s="90"/>
      <c r="L156" s="89"/>
      <c r="M156" s="80"/>
      <c r="N156" s="27">
        <f>Tabla1[[#This Row],[FECHA DE SELECCIÓN]]-Tabla1[[#This Row],[FECHA DE AUTORIZACIÓN]]</f>
        <v>0</v>
      </c>
      <c r="O156" s="83"/>
      <c r="P156" s="80"/>
      <c r="Q156" s="91"/>
      <c r="R156" s="59"/>
    </row>
    <row r="157" spans="2:18" ht="16.5" thickTop="1" thickBot="1">
      <c r="B157" s="71"/>
      <c r="C157" s="89"/>
      <c r="D157" s="80"/>
      <c r="E157" s="80"/>
      <c r="F157" s="80"/>
      <c r="G157" s="80"/>
      <c r="H157" s="80"/>
      <c r="I157" s="80"/>
      <c r="J157" s="80"/>
      <c r="K157" s="90"/>
      <c r="L157" s="89"/>
      <c r="M157" s="80"/>
      <c r="N157" s="27">
        <f>Tabla1[[#This Row],[FECHA DE SELECCIÓN]]-Tabla1[[#This Row],[FECHA DE AUTORIZACIÓN]]</f>
        <v>0</v>
      </c>
      <c r="O157" s="83"/>
      <c r="P157" s="80"/>
      <c r="Q157" s="91"/>
      <c r="R157" s="59"/>
    </row>
    <row r="158" spans="2:18" ht="16.5" thickTop="1" thickBot="1">
      <c r="B158" s="71"/>
      <c r="C158" s="89"/>
      <c r="D158" s="80"/>
      <c r="E158" s="80"/>
      <c r="F158" s="80"/>
      <c r="G158" s="80"/>
      <c r="H158" s="80"/>
      <c r="I158" s="80"/>
      <c r="J158" s="80"/>
      <c r="K158" s="90"/>
      <c r="L158" s="89"/>
      <c r="M158" s="80"/>
      <c r="N158" s="27">
        <f>Tabla1[[#This Row],[FECHA DE SELECCIÓN]]-Tabla1[[#This Row],[FECHA DE AUTORIZACIÓN]]</f>
        <v>0</v>
      </c>
      <c r="O158" s="83"/>
      <c r="P158" s="80"/>
      <c r="Q158" s="91"/>
      <c r="R158" s="59"/>
    </row>
    <row r="159" spans="2:18" ht="16.5" thickTop="1" thickBot="1">
      <c r="B159" s="71"/>
      <c r="C159" s="89"/>
      <c r="D159" s="80"/>
      <c r="E159" s="80"/>
      <c r="F159" s="80"/>
      <c r="G159" s="80"/>
      <c r="H159" s="80"/>
      <c r="I159" s="80"/>
      <c r="J159" s="80"/>
      <c r="K159" s="90"/>
      <c r="L159" s="89"/>
      <c r="M159" s="80"/>
      <c r="N159" s="27">
        <f>Tabla1[[#This Row],[FECHA DE SELECCIÓN]]-Tabla1[[#This Row],[FECHA DE AUTORIZACIÓN]]</f>
        <v>0</v>
      </c>
      <c r="O159" s="83"/>
      <c r="P159" s="80"/>
      <c r="Q159" s="91"/>
      <c r="R159" s="59"/>
    </row>
    <row r="160" spans="2:18" ht="16.5" thickTop="1" thickBot="1">
      <c r="B160" s="71"/>
      <c r="C160" s="89"/>
      <c r="D160" s="80"/>
      <c r="E160" s="80"/>
      <c r="F160" s="80"/>
      <c r="G160" s="80"/>
      <c r="H160" s="80"/>
      <c r="I160" s="80"/>
      <c r="J160" s="80"/>
      <c r="K160" s="90"/>
      <c r="L160" s="89"/>
      <c r="M160" s="80"/>
      <c r="N160" s="27">
        <f>Tabla1[[#This Row],[FECHA DE SELECCIÓN]]-Tabla1[[#This Row],[FECHA DE AUTORIZACIÓN]]</f>
        <v>0</v>
      </c>
      <c r="O160" s="83"/>
      <c r="P160" s="80"/>
      <c r="Q160" s="91"/>
      <c r="R160" s="59"/>
    </row>
    <row r="161" spans="2:18" ht="16.5" thickTop="1" thickBot="1">
      <c r="B161" s="71"/>
      <c r="C161" s="89"/>
      <c r="D161" s="80"/>
      <c r="E161" s="80"/>
      <c r="F161" s="80"/>
      <c r="G161" s="80"/>
      <c r="H161" s="80"/>
      <c r="I161" s="80"/>
      <c r="J161" s="80"/>
      <c r="K161" s="90"/>
      <c r="L161" s="89"/>
      <c r="M161" s="80"/>
      <c r="N161" s="27">
        <f>Tabla1[[#This Row],[FECHA DE SELECCIÓN]]-Tabla1[[#This Row],[FECHA DE AUTORIZACIÓN]]</f>
        <v>0</v>
      </c>
      <c r="O161" s="83"/>
      <c r="P161" s="80"/>
      <c r="Q161" s="91"/>
      <c r="R161" s="59"/>
    </row>
    <row r="162" spans="2:18" ht="16.5" thickTop="1" thickBot="1">
      <c r="B162" s="71"/>
      <c r="C162" s="89"/>
      <c r="D162" s="80"/>
      <c r="E162" s="80"/>
      <c r="F162" s="80"/>
      <c r="G162" s="80"/>
      <c r="H162" s="80"/>
      <c r="I162" s="80"/>
      <c r="J162" s="80"/>
      <c r="K162" s="90"/>
      <c r="L162" s="89"/>
      <c r="M162" s="80"/>
      <c r="N162" s="27">
        <f>Tabla1[[#This Row],[FECHA DE SELECCIÓN]]-Tabla1[[#This Row],[FECHA DE AUTORIZACIÓN]]</f>
        <v>0</v>
      </c>
      <c r="O162" s="83"/>
      <c r="P162" s="80"/>
      <c r="Q162" s="91"/>
      <c r="R162" s="59"/>
    </row>
    <row r="163" spans="2:18" ht="16.5" thickTop="1" thickBot="1">
      <c r="B163" s="71"/>
      <c r="C163" s="89"/>
      <c r="D163" s="80"/>
      <c r="E163" s="80"/>
      <c r="F163" s="80"/>
      <c r="G163" s="80"/>
      <c r="H163" s="80"/>
      <c r="I163" s="80"/>
      <c r="J163" s="80"/>
      <c r="K163" s="90"/>
      <c r="L163" s="89"/>
      <c r="M163" s="80"/>
      <c r="N163" s="27">
        <f>Tabla1[[#This Row],[FECHA DE SELECCIÓN]]-Tabla1[[#This Row],[FECHA DE AUTORIZACIÓN]]</f>
        <v>0</v>
      </c>
      <c r="O163" s="83"/>
      <c r="P163" s="80"/>
      <c r="Q163" s="91"/>
      <c r="R163" s="59"/>
    </row>
    <row r="164" spans="2:18" ht="16.5" thickTop="1" thickBot="1">
      <c r="B164" s="71"/>
      <c r="C164" s="89"/>
      <c r="D164" s="80"/>
      <c r="E164" s="80"/>
      <c r="F164" s="80"/>
      <c r="G164" s="80"/>
      <c r="H164" s="80"/>
      <c r="I164" s="80"/>
      <c r="J164" s="80"/>
      <c r="K164" s="90"/>
      <c r="L164" s="89"/>
      <c r="M164" s="80"/>
      <c r="N164" s="27">
        <f>Tabla1[[#This Row],[FECHA DE SELECCIÓN]]-Tabla1[[#This Row],[FECHA DE AUTORIZACIÓN]]</f>
        <v>0</v>
      </c>
      <c r="O164" s="83"/>
      <c r="P164" s="80"/>
      <c r="Q164" s="91"/>
      <c r="R164" s="59"/>
    </row>
    <row r="165" spans="2:18" ht="16.5" thickTop="1" thickBot="1">
      <c r="B165" s="71"/>
      <c r="C165" s="89"/>
      <c r="D165" s="80"/>
      <c r="E165" s="80"/>
      <c r="F165" s="80"/>
      <c r="G165" s="80"/>
      <c r="H165" s="80"/>
      <c r="I165" s="80"/>
      <c r="J165" s="80"/>
      <c r="K165" s="90"/>
      <c r="L165" s="89"/>
      <c r="M165" s="80"/>
      <c r="N165" s="27">
        <f>Tabla1[[#This Row],[FECHA DE SELECCIÓN]]-Tabla1[[#This Row],[FECHA DE AUTORIZACIÓN]]</f>
        <v>0</v>
      </c>
      <c r="O165" s="83"/>
      <c r="P165" s="80"/>
      <c r="Q165" s="91"/>
      <c r="R165" s="59"/>
    </row>
    <row r="166" spans="2:18" ht="16.5" thickTop="1" thickBot="1">
      <c r="B166" s="71"/>
      <c r="C166" s="89"/>
      <c r="D166" s="80"/>
      <c r="E166" s="80"/>
      <c r="F166" s="80"/>
      <c r="G166" s="80"/>
      <c r="H166" s="80"/>
      <c r="I166" s="80"/>
      <c r="J166" s="80"/>
      <c r="K166" s="90"/>
      <c r="L166" s="89"/>
      <c r="M166" s="80"/>
      <c r="N166" s="27">
        <f>Tabla1[[#This Row],[FECHA DE SELECCIÓN]]-Tabla1[[#This Row],[FECHA DE AUTORIZACIÓN]]</f>
        <v>0</v>
      </c>
      <c r="O166" s="83"/>
      <c r="P166" s="80"/>
      <c r="Q166" s="91"/>
      <c r="R166" s="59"/>
    </row>
    <row r="167" spans="2:18" ht="16.5" thickTop="1" thickBot="1">
      <c r="B167" s="71"/>
      <c r="C167" s="89"/>
      <c r="D167" s="80"/>
      <c r="E167" s="80"/>
      <c r="F167" s="80"/>
      <c r="G167" s="80"/>
      <c r="H167" s="80"/>
      <c r="I167" s="80"/>
      <c r="J167" s="80"/>
      <c r="K167" s="90"/>
      <c r="L167" s="89"/>
      <c r="M167" s="80"/>
      <c r="N167" s="27">
        <f>Tabla1[[#This Row],[FECHA DE SELECCIÓN]]-Tabla1[[#This Row],[FECHA DE AUTORIZACIÓN]]</f>
        <v>0</v>
      </c>
      <c r="O167" s="83"/>
      <c r="P167" s="80"/>
      <c r="Q167" s="91"/>
      <c r="R167" s="59"/>
    </row>
    <row r="168" spans="2:18" ht="16.5" thickTop="1" thickBot="1">
      <c r="B168" s="71"/>
      <c r="C168" s="89"/>
      <c r="D168" s="80"/>
      <c r="E168" s="80"/>
      <c r="F168" s="80"/>
      <c r="G168" s="80"/>
      <c r="H168" s="80"/>
      <c r="I168" s="80"/>
      <c r="J168" s="80"/>
      <c r="K168" s="90"/>
      <c r="L168" s="89"/>
      <c r="M168" s="80"/>
      <c r="N168" s="27">
        <f>Tabla1[[#This Row],[FECHA DE SELECCIÓN]]-Tabla1[[#This Row],[FECHA DE AUTORIZACIÓN]]</f>
        <v>0</v>
      </c>
      <c r="O168" s="83"/>
      <c r="P168" s="80"/>
      <c r="Q168" s="91"/>
      <c r="R168" s="59"/>
    </row>
    <row r="169" spans="2:18" ht="16.5" thickTop="1" thickBot="1">
      <c r="B169" s="71"/>
      <c r="C169" s="89"/>
      <c r="D169" s="80"/>
      <c r="E169" s="80"/>
      <c r="F169" s="80"/>
      <c r="G169" s="80"/>
      <c r="H169" s="80"/>
      <c r="I169" s="80"/>
      <c r="J169" s="80"/>
      <c r="K169" s="90"/>
      <c r="L169" s="89"/>
      <c r="M169" s="80"/>
      <c r="N169" s="27">
        <f>Tabla1[[#This Row],[FECHA DE SELECCIÓN]]-Tabla1[[#This Row],[FECHA DE AUTORIZACIÓN]]</f>
        <v>0</v>
      </c>
      <c r="O169" s="83"/>
      <c r="P169" s="80"/>
      <c r="Q169" s="91"/>
      <c r="R169" s="59"/>
    </row>
    <row r="170" spans="2:18" ht="16.5" thickTop="1" thickBot="1">
      <c r="B170" s="71"/>
      <c r="C170" s="89"/>
      <c r="D170" s="80"/>
      <c r="E170" s="80"/>
      <c r="F170" s="80"/>
      <c r="G170" s="80"/>
      <c r="H170" s="80"/>
      <c r="I170" s="80"/>
      <c r="J170" s="80"/>
      <c r="K170" s="90"/>
      <c r="L170" s="89"/>
      <c r="M170" s="80"/>
      <c r="N170" s="27">
        <f>Tabla1[[#This Row],[FECHA DE SELECCIÓN]]-Tabla1[[#This Row],[FECHA DE AUTORIZACIÓN]]</f>
        <v>0</v>
      </c>
      <c r="O170" s="83"/>
      <c r="P170" s="80"/>
      <c r="Q170" s="91"/>
      <c r="R170" s="59"/>
    </row>
    <row r="171" spans="2:18" ht="16.5" thickTop="1" thickBot="1">
      <c r="B171" s="71"/>
      <c r="C171" s="89"/>
      <c r="D171" s="80"/>
      <c r="E171" s="80"/>
      <c r="F171" s="80"/>
      <c r="G171" s="80"/>
      <c r="H171" s="80"/>
      <c r="I171" s="80"/>
      <c r="J171" s="80"/>
      <c r="K171" s="90"/>
      <c r="L171" s="89"/>
      <c r="M171" s="80"/>
      <c r="N171" s="27">
        <f>Tabla1[[#This Row],[FECHA DE SELECCIÓN]]-Tabla1[[#This Row],[FECHA DE AUTORIZACIÓN]]</f>
        <v>0</v>
      </c>
      <c r="O171" s="83"/>
      <c r="P171" s="80"/>
      <c r="Q171" s="91"/>
      <c r="R171" s="59"/>
    </row>
    <row r="172" spans="2:18" ht="16.5" thickTop="1" thickBot="1">
      <c r="B172" s="71"/>
      <c r="C172" s="89"/>
      <c r="D172" s="80"/>
      <c r="E172" s="80"/>
      <c r="F172" s="80"/>
      <c r="G172" s="80"/>
      <c r="H172" s="80"/>
      <c r="I172" s="80"/>
      <c r="J172" s="80"/>
      <c r="K172" s="90"/>
      <c r="L172" s="89"/>
      <c r="M172" s="80"/>
      <c r="N172" s="27">
        <f>Tabla1[[#This Row],[FECHA DE SELECCIÓN]]-Tabla1[[#This Row],[FECHA DE AUTORIZACIÓN]]</f>
        <v>0</v>
      </c>
      <c r="O172" s="83"/>
      <c r="P172" s="80"/>
      <c r="Q172" s="91"/>
      <c r="R172" s="59"/>
    </row>
    <row r="173" spans="2:18" ht="16.5" thickTop="1" thickBot="1">
      <c r="B173" s="71"/>
      <c r="C173" s="89"/>
      <c r="D173" s="80"/>
      <c r="E173" s="80"/>
      <c r="F173" s="80"/>
      <c r="G173" s="80"/>
      <c r="H173" s="80"/>
      <c r="I173" s="80"/>
      <c r="J173" s="80"/>
      <c r="K173" s="90"/>
      <c r="L173" s="89"/>
      <c r="M173" s="80"/>
      <c r="N173" s="27">
        <f>Tabla1[[#This Row],[FECHA DE SELECCIÓN]]-Tabla1[[#This Row],[FECHA DE AUTORIZACIÓN]]</f>
        <v>0</v>
      </c>
      <c r="O173" s="83"/>
      <c r="P173" s="80"/>
      <c r="Q173" s="91"/>
      <c r="R173" s="59"/>
    </row>
    <row r="174" spans="2:18" ht="16.5" thickTop="1" thickBot="1">
      <c r="B174" s="71"/>
      <c r="C174" s="89"/>
      <c r="D174" s="80"/>
      <c r="E174" s="80"/>
      <c r="F174" s="80"/>
      <c r="G174" s="80"/>
      <c r="H174" s="80"/>
      <c r="I174" s="80"/>
      <c r="J174" s="80"/>
      <c r="K174" s="90"/>
      <c r="L174" s="89"/>
      <c r="M174" s="80"/>
      <c r="N174" s="27">
        <f>Tabla1[[#This Row],[FECHA DE SELECCIÓN]]-Tabla1[[#This Row],[FECHA DE AUTORIZACIÓN]]</f>
        <v>0</v>
      </c>
      <c r="O174" s="83"/>
      <c r="P174" s="80"/>
      <c r="Q174" s="91"/>
      <c r="R174" s="59"/>
    </row>
    <row r="175" spans="2:18" ht="16.5" thickTop="1" thickBot="1">
      <c r="B175" s="71"/>
      <c r="C175" s="89"/>
      <c r="D175" s="80"/>
      <c r="E175" s="80"/>
      <c r="F175" s="80"/>
      <c r="G175" s="80"/>
      <c r="H175" s="80"/>
      <c r="I175" s="80"/>
      <c r="J175" s="80"/>
      <c r="K175" s="90"/>
      <c r="L175" s="89"/>
      <c r="M175" s="80"/>
      <c r="N175" s="27">
        <f>Tabla1[[#This Row],[FECHA DE SELECCIÓN]]-Tabla1[[#This Row],[FECHA DE AUTORIZACIÓN]]</f>
        <v>0</v>
      </c>
      <c r="O175" s="83"/>
      <c r="P175" s="80"/>
      <c r="Q175" s="91"/>
      <c r="R175" s="59"/>
    </row>
    <row r="176" spans="2:18" ht="16.5" thickTop="1" thickBot="1">
      <c r="B176" s="71"/>
      <c r="C176" s="89"/>
      <c r="D176" s="80"/>
      <c r="E176" s="80"/>
      <c r="F176" s="80"/>
      <c r="G176" s="80"/>
      <c r="H176" s="80"/>
      <c r="I176" s="80"/>
      <c r="J176" s="80"/>
      <c r="K176" s="90"/>
      <c r="L176" s="89"/>
      <c r="M176" s="80"/>
      <c r="N176" s="27">
        <f>Tabla1[[#This Row],[FECHA DE SELECCIÓN]]-Tabla1[[#This Row],[FECHA DE AUTORIZACIÓN]]</f>
        <v>0</v>
      </c>
      <c r="O176" s="83"/>
      <c r="P176" s="80"/>
      <c r="Q176" s="91"/>
      <c r="R176" s="59"/>
    </row>
    <row r="177" spans="2:18" ht="16.5" thickTop="1" thickBot="1">
      <c r="B177" s="71"/>
      <c r="C177" s="89"/>
      <c r="D177" s="80"/>
      <c r="E177" s="80"/>
      <c r="F177" s="80"/>
      <c r="G177" s="80"/>
      <c r="H177" s="80"/>
      <c r="I177" s="80"/>
      <c r="J177" s="80"/>
      <c r="K177" s="90"/>
      <c r="L177" s="89"/>
      <c r="M177" s="80"/>
      <c r="N177" s="27">
        <f>Tabla1[[#This Row],[FECHA DE SELECCIÓN]]-Tabla1[[#This Row],[FECHA DE AUTORIZACIÓN]]</f>
        <v>0</v>
      </c>
      <c r="O177" s="83"/>
      <c r="P177" s="80"/>
      <c r="Q177" s="91"/>
      <c r="R177" s="59"/>
    </row>
    <row r="178" spans="2:18" ht="16.5" thickTop="1" thickBot="1">
      <c r="B178" s="71"/>
      <c r="C178" s="89"/>
      <c r="D178" s="80"/>
      <c r="E178" s="80"/>
      <c r="F178" s="80"/>
      <c r="G178" s="80"/>
      <c r="H178" s="80"/>
      <c r="I178" s="80"/>
      <c r="J178" s="80"/>
      <c r="K178" s="90"/>
      <c r="L178" s="89"/>
      <c r="M178" s="80"/>
      <c r="N178" s="27">
        <f>Tabla1[[#This Row],[FECHA DE SELECCIÓN]]-Tabla1[[#This Row],[FECHA DE AUTORIZACIÓN]]</f>
        <v>0</v>
      </c>
      <c r="O178" s="83"/>
      <c r="P178" s="80"/>
      <c r="Q178" s="91"/>
      <c r="R178" s="59"/>
    </row>
    <row r="179" spans="2:18" ht="16.5" thickTop="1" thickBot="1">
      <c r="B179" s="71"/>
      <c r="C179" s="89"/>
      <c r="D179" s="80"/>
      <c r="E179" s="80"/>
      <c r="F179" s="80"/>
      <c r="G179" s="80"/>
      <c r="H179" s="80"/>
      <c r="I179" s="80"/>
      <c r="J179" s="80"/>
      <c r="K179" s="90"/>
      <c r="L179" s="89"/>
      <c r="M179" s="80"/>
      <c r="N179" s="27">
        <f>Tabla1[[#This Row],[FECHA DE SELECCIÓN]]-Tabla1[[#This Row],[FECHA DE AUTORIZACIÓN]]</f>
        <v>0</v>
      </c>
      <c r="O179" s="83"/>
      <c r="P179" s="80"/>
      <c r="Q179" s="91"/>
      <c r="R179" s="59"/>
    </row>
    <row r="180" spans="2:18" ht="16.5" thickTop="1" thickBot="1">
      <c r="B180" s="71"/>
      <c r="C180" s="89"/>
      <c r="D180" s="80"/>
      <c r="E180" s="80"/>
      <c r="F180" s="80"/>
      <c r="G180" s="80"/>
      <c r="H180" s="80"/>
      <c r="I180" s="80"/>
      <c r="J180" s="80"/>
      <c r="K180" s="90"/>
      <c r="L180" s="89"/>
      <c r="M180" s="80"/>
      <c r="N180" s="27">
        <f>Tabla1[[#This Row],[FECHA DE SELECCIÓN]]-Tabla1[[#This Row],[FECHA DE AUTORIZACIÓN]]</f>
        <v>0</v>
      </c>
      <c r="O180" s="83"/>
      <c r="P180" s="80"/>
      <c r="Q180" s="91"/>
      <c r="R180" s="59"/>
    </row>
    <row r="181" spans="2:18" ht="16.5" thickTop="1" thickBot="1">
      <c r="B181" s="71"/>
      <c r="C181" s="89"/>
      <c r="D181" s="80"/>
      <c r="E181" s="80"/>
      <c r="F181" s="80"/>
      <c r="G181" s="80"/>
      <c r="H181" s="80"/>
      <c r="I181" s="80"/>
      <c r="J181" s="80"/>
      <c r="K181" s="90"/>
      <c r="L181" s="89"/>
      <c r="M181" s="80"/>
      <c r="N181" s="27">
        <f>Tabla1[[#This Row],[FECHA DE SELECCIÓN]]-Tabla1[[#This Row],[FECHA DE AUTORIZACIÓN]]</f>
        <v>0</v>
      </c>
      <c r="O181" s="83"/>
      <c r="P181" s="80"/>
      <c r="Q181" s="91"/>
      <c r="R181" s="59"/>
    </row>
    <row r="182" spans="2:18" ht="16.5" thickTop="1" thickBot="1">
      <c r="B182" s="71"/>
      <c r="C182" s="89"/>
      <c r="D182" s="80"/>
      <c r="E182" s="80"/>
      <c r="F182" s="80"/>
      <c r="G182" s="80"/>
      <c r="H182" s="80"/>
      <c r="I182" s="80"/>
      <c r="J182" s="80"/>
      <c r="K182" s="90"/>
      <c r="L182" s="89"/>
      <c r="M182" s="80"/>
      <c r="N182" s="27">
        <f>Tabla1[[#This Row],[FECHA DE SELECCIÓN]]-Tabla1[[#This Row],[FECHA DE AUTORIZACIÓN]]</f>
        <v>0</v>
      </c>
      <c r="O182" s="83"/>
      <c r="P182" s="80"/>
      <c r="Q182" s="91"/>
      <c r="R182" s="59"/>
    </row>
    <row r="183" spans="2:18" ht="16.5" thickTop="1" thickBot="1">
      <c r="B183" s="71"/>
      <c r="C183" s="89"/>
      <c r="D183" s="80"/>
      <c r="E183" s="80"/>
      <c r="F183" s="80"/>
      <c r="G183" s="80"/>
      <c r="H183" s="80"/>
      <c r="I183" s="80"/>
      <c r="J183" s="80"/>
      <c r="K183" s="90"/>
      <c r="L183" s="89"/>
      <c r="M183" s="80"/>
      <c r="N183" s="27">
        <f>Tabla1[[#This Row],[FECHA DE SELECCIÓN]]-Tabla1[[#This Row],[FECHA DE AUTORIZACIÓN]]</f>
        <v>0</v>
      </c>
      <c r="O183" s="83"/>
      <c r="P183" s="80"/>
      <c r="Q183" s="91"/>
      <c r="R183" s="59"/>
    </row>
    <row r="184" spans="2:18" ht="16.5" thickTop="1" thickBot="1">
      <c r="B184" s="71"/>
      <c r="C184" s="89"/>
      <c r="D184" s="80"/>
      <c r="E184" s="80"/>
      <c r="F184" s="80"/>
      <c r="G184" s="80"/>
      <c r="H184" s="80"/>
      <c r="I184" s="80"/>
      <c r="J184" s="80"/>
      <c r="K184" s="90"/>
      <c r="L184" s="89"/>
      <c r="M184" s="80"/>
      <c r="N184" s="27">
        <f>Tabla1[[#This Row],[FECHA DE SELECCIÓN]]-Tabla1[[#This Row],[FECHA DE AUTORIZACIÓN]]</f>
        <v>0</v>
      </c>
      <c r="O184" s="83"/>
      <c r="P184" s="80"/>
      <c r="Q184" s="91"/>
      <c r="R184" s="59"/>
    </row>
    <row r="185" spans="2:18" ht="16.5" thickTop="1" thickBot="1">
      <c r="B185" s="71"/>
      <c r="C185" s="89"/>
      <c r="D185" s="80"/>
      <c r="E185" s="80"/>
      <c r="F185" s="80"/>
      <c r="G185" s="80"/>
      <c r="H185" s="80"/>
      <c r="I185" s="80"/>
      <c r="J185" s="80"/>
      <c r="K185" s="90"/>
      <c r="L185" s="89"/>
      <c r="M185" s="80"/>
      <c r="N185" s="27">
        <f>Tabla1[[#This Row],[FECHA DE SELECCIÓN]]-Tabla1[[#This Row],[FECHA DE AUTORIZACIÓN]]</f>
        <v>0</v>
      </c>
      <c r="O185" s="83"/>
      <c r="P185" s="80"/>
      <c r="Q185" s="91"/>
      <c r="R185" s="59"/>
    </row>
    <row r="186" spans="2:18" ht="16.5" thickTop="1" thickBot="1">
      <c r="B186" s="71"/>
      <c r="C186" s="89"/>
      <c r="D186" s="80"/>
      <c r="E186" s="80"/>
      <c r="F186" s="80"/>
      <c r="G186" s="80"/>
      <c r="H186" s="80"/>
      <c r="I186" s="80"/>
      <c r="J186" s="80"/>
      <c r="K186" s="90"/>
      <c r="L186" s="89"/>
      <c r="M186" s="80"/>
      <c r="N186" s="27">
        <f>Tabla1[[#This Row],[FECHA DE SELECCIÓN]]-Tabla1[[#This Row],[FECHA DE AUTORIZACIÓN]]</f>
        <v>0</v>
      </c>
      <c r="O186" s="83"/>
      <c r="P186" s="80"/>
      <c r="Q186" s="91"/>
      <c r="R186" s="59"/>
    </row>
    <row r="187" spans="2:18" ht="16.5" thickTop="1" thickBot="1">
      <c r="B187" s="71"/>
      <c r="C187" s="89"/>
      <c r="D187" s="80"/>
      <c r="E187" s="80"/>
      <c r="F187" s="80"/>
      <c r="G187" s="80"/>
      <c r="H187" s="80"/>
      <c r="I187" s="80"/>
      <c r="J187" s="80"/>
      <c r="K187" s="90"/>
      <c r="L187" s="89"/>
      <c r="M187" s="80"/>
      <c r="N187" s="27">
        <f>Tabla1[[#This Row],[FECHA DE SELECCIÓN]]-Tabla1[[#This Row],[FECHA DE AUTORIZACIÓN]]</f>
        <v>0</v>
      </c>
      <c r="O187" s="83"/>
      <c r="P187" s="80"/>
      <c r="Q187" s="91"/>
      <c r="R187" s="59"/>
    </row>
    <row r="188" spans="2:18" ht="16.5" thickTop="1" thickBot="1">
      <c r="B188" s="71"/>
      <c r="C188" s="89"/>
      <c r="D188" s="80"/>
      <c r="E188" s="80"/>
      <c r="F188" s="80"/>
      <c r="G188" s="80"/>
      <c r="H188" s="80"/>
      <c r="I188" s="80"/>
      <c r="J188" s="80"/>
      <c r="K188" s="90"/>
      <c r="L188" s="89"/>
      <c r="M188" s="80"/>
      <c r="N188" s="27">
        <f>Tabla1[[#This Row],[FECHA DE SELECCIÓN]]-Tabla1[[#This Row],[FECHA DE AUTORIZACIÓN]]</f>
        <v>0</v>
      </c>
      <c r="O188" s="83"/>
      <c r="P188" s="80"/>
      <c r="Q188" s="91"/>
      <c r="R188" s="59"/>
    </row>
    <row r="189" spans="2:18" ht="16.5" thickTop="1" thickBot="1">
      <c r="B189" s="71"/>
      <c r="C189" s="89"/>
      <c r="D189" s="80"/>
      <c r="E189" s="80"/>
      <c r="F189" s="80"/>
      <c r="G189" s="80"/>
      <c r="H189" s="80"/>
      <c r="I189" s="80"/>
      <c r="J189" s="80"/>
      <c r="K189" s="90"/>
      <c r="L189" s="89"/>
      <c r="M189" s="80"/>
      <c r="N189" s="27">
        <f>Tabla1[[#This Row],[FECHA DE SELECCIÓN]]-Tabla1[[#This Row],[FECHA DE AUTORIZACIÓN]]</f>
        <v>0</v>
      </c>
      <c r="O189" s="83"/>
      <c r="P189" s="80"/>
      <c r="Q189" s="91"/>
      <c r="R189" s="59"/>
    </row>
    <row r="190" spans="2:18" ht="16.5" thickTop="1" thickBot="1">
      <c r="B190" s="71"/>
      <c r="C190" s="89"/>
      <c r="D190" s="80"/>
      <c r="E190" s="80"/>
      <c r="F190" s="80"/>
      <c r="G190" s="80"/>
      <c r="H190" s="80"/>
      <c r="I190" s="80"/>
      <c r="J190" s="80"/>
      <c r="K190" s="90"/>
      <c r="L190" s="89"/>
      <c r="M190" s="80"/>
      <c r="N190" s="27">
        <f>Tabla1[[#This Row],[FECHA DE SELECCIÓN]]-Tabla1[[#This Row],[FECHA DE AUTORIZACIÓN]]</f>
        <v>0</v>
      </c>
      <c r="O190" s="83"/>
      <c r="P190" s="80"/>
      <c r="Q190" s="91"/>
      <c r="R190" s="59"/>
    </row>
    <row r="191" spans="2:18" ht="16.5" thickTop="1" thickBot="1">
      <c r="B191" s="71"/>
      <c r="C191" s="89"/>
      <c r="D191" s="80"/>
      <c r="E191" s="80"/>
      <c r="F191" s="80"/>
      <c r="G191" s="80"/>
      <c r="H191" s="80"/>
      <c r="I191" s="80"/>
      <c r="J191" s="80"/>
      <c r="K191" s="90"/>
      <c r="L191" s="89"/>
      <c r="M191" s="80"/>
      <c r="N191" s="27">
        <f>Tabla1[[#This Row],[FECHA DE SELECCIÓN]]-Tabla1[[#This Row],[FECHA DE AUTORIZACIÓN]]</f>
        <v>0</v>
      </c>
      <c r="O191" s="83"/>
      <c r="P191" s="80"/>
      <c r="Q191" s="91"/>
      <c r="R191" s="59"/>
    </row>
    <row r="192" spans="2:18" ht="16.5" thickTop="1" thickBot="1">
      <c r="B192" s="71"/>
      <c r="C192" s="89"/>
      <c r="D192" s="80"/>
      <c r="E192" s="80"/>
      <c r="F192" s="80"/>
      <c r="G192" s="80"/>
      <c r="H192" s="80"/>
      <c r="I192" s="80"/>
      <c r="J192" s="80"/>
      <c r="K192" s="90"/>
      <c r="L192" s="89"/>
      <c r="M192" s="80"/>
      <c r="N192" s="27">
        <f>Tabla1[[#This Row],[FECHA DE SELECCIÓN]]-Tabla1[[#This Row],[FECHA DE AUTORIZACIÓN]]</f>
        <v>0</v>
      </c>
      <c r="O192" s="83"/>
      <c r="P192" s="80"/>
      <c r="Q192" s="91"/>
      <c r="R192" s="59"/>
    </row>
    <row r="193" spans="2:18" ht="16.5" thickTop="1" thickBot="1">
      <c r="B193" s="71"/>
      <c r="C193" s="89"/>
      <c r="D193" s="80"/>
      <c r="E193" s="80"/>
      <c r="F193" s="80"/>
      <c r="G193" s="80"/>
      <c r="H193" s="80"/>
      <c r="I193" s="80"/>
      <c r="J193" s="80"/>
      <c r="K193" s="90"/>
      <c r="L193" s="89"/>
      <c r="M193" s="80"/>
      <c r="N193" s="27">
        <f>Tabla1[[#This Row],[FECHA DE SELECCIÓN]]-Tabla1[[#This Row],[FECHA DE AUTORIZACIÓN]]</f>
        <v>0</v>
      </c>
      <c r="O193" s="83"/>
      <c r="P193" s="80"/>
      <c r="Q193" s="91"/>
      <c r="R193" s="59"/>
    </row>
    <row r="194" spans="2:18" ht="16.5" thickTop="1" thickBot="1">
      <c r="B194" s="71"/>
      <c r="C194" s="89"/>
      <c r="D194" s="80"/>
      <c r="E194" s="80"/>
      <c r="F194" s="80"/>
      <c r="G194" s="80"/>
      <c r="H194" s="80"/>
      <c r="I194" s="80"/>
      <c r="J194" s="80"/>
      <c r="K194" s="90"/>
      <c r="L194" s="89"/>
      <c r="M194" s="80"/>
      <c r="N194" s="27">
        <f>Tabla1[[#This Row],[FECHA DE SELECCIÓN]]-Tabla1[[#This Row],[FECHA DE AUTORIZACIÓN]]</f>
        <v>0</v>
      </c>
      <c r="O194" s="83"/>
      <c r="P194" s="80"/>
      <c r="Q194" s="91"/>
      <c r="R194" s="59"/>
    </row>
    <row r="195" spans="2:18" ht="16.5" thickTop="1" thickBot="1">
      <c r="B195" s="71"/>
      <c r="C195" s="89"/>
      <c r="D195" s="80"/>
      <c r="E195" s="80"/>
      <c r="F195" s="80"/>
      <c r="G195" s="80"/>
      <c r="H195" s="80"/>
      <c r="I195" s="80"/>
      <c r="J195" s="80"/>
      <c r="K195" s="90"/>
      <c r="L195" s="89"/>
      <c r="M195" s="80"/>
      <c r="N195" s="27">
        <f>Tabla1[[#This Row],[FECHA DE SELECCIÓN]]-Tabla1[[#This Row],[FECHA DE AUTORIZACIÓN]]</f>
        <v>0</v>
      </c>
      <c r="O195" s="83"/>
      <c r="P195" s="80"/>
      <c r="Q195" s="91"/>
      <c r="R195" s="59"/>
    </row>
    <row r="196" spans="2:18" ht="16.5" thickTop="1" thickBot="1">
      <c r="B196" s="71"/>
      <c r="C196" s="89"/>
      <c r="D196" s="80"/>
      <c r="E196" s="80"/>
      <c r="F196" s="80"/>
      <c r="G196" s="80"/>
      <c r="H196" s="80"/>
      <c r="I196" s="80"/>
      <c r="J196" s="80"/>
      <c r="K196" s="90"/>
      <c r="L196" s="89"/>
      <c r="M196" s="80"/>
      <c r="N196" s="27">
        <f>Tabla1[[#This Row],[FECHA DE SELECCIÓN]]-Tabla1[[#This Row],[FECHA DE AUTORIZACIÓN]]</f>
        <v>0</v>
      </c>
      <c r="O196" s="83"/>
      <c r="P196" s="80"/>
      <c r="Q196" s="91"/>
      <c r="R196" s="59"/>
    </row>
    <row r="197" spans="2:18" ht="16.5" thickTop="1" thickBot="1">
      <c r="B197" s="71"/>
      <c r="C197" s="89"/>
      <c r="D197" s="80"/>
      <c r="E197" s="80"/>
      <c r="F197" s="80"/>
      <c r="G197" s="80"/>
      <c r="H197" s="80"/>
      <c r="I197" s="80"/>
      <c r="J197" s="80"/>
      <c r="K197" s="90"/>
      <c r="L197" s="89"/>
      <c r="M197" s="80"/>
      <c r="N197" s="27">
        <f>Tabla1[[#This Row],[FECHA DE SELECCIÓN]]-Tabla1[[#This Row],[FECHA DE AUTORIZACIÓN]]</f>
        <v>0</v>
      </c>
      <c r="O197" s="83"/>
      <c r="P197" s="80"/>
      <c r="Q197" s="91"/>
      <c r="R197" s="59"/>
    </row>
    <row r="198" spans="2:18" ht="16.5" thickTop="1" thickBot="1">
      <c r="B198" s="71"/>
      <c r="C198" s="89"/>
      <c r="D198" s="80"/>
      <c r="E198" s="80"/>
      <c r="F198" s="80"/>
      <c r="G198" s="80"/>
      <c r="H198" s="80"/>
      <c r="I198" s="80"/>
      <c r="J198" s="80"/>
      <c r="K198" s="90"/>
      <c r="L198" s="89"/>
      <c r="M198" s="80"/>
      <c r="N198" s="27">
        <f>Tabla1[[#This Row],[FECHA DE SELECCIÓN]]-Tabla1[[#This Row],[FECHA DE AUTORIZACIÓN]]</f>
        <v>0</v>
      </c>
      <c r="O198" s="83"/>
      <c r="P198" s="80"/>
      <c r="Q198" s="91"/>
      <c r="R198" s="59"/>
    </row>
    <row r="199" spans="2:18" ht="16.5" thickTop="1" thickBot="1">
      <c r="B199" s="71"/>
      <c r="C199" s="89"/>
      <c r="D199" s="80"/>
      <c r="E199" s="80"/>
      <c r="F199" s="80"/>
      <c r="G199" s="80"/>
      <c r="H199" s="80"/>
      <c r="I199" s="80"/>
      <c r="J199" s="80"/>
      <c r="K199" s="90"/>
      <c r="L199" s="89"/>
      <c r="M199" s="80"/>
      <c r="N199" s="27">
        <f>Tabla1[[#This Row],[FECHA DE SELECCIÓN]]-Tabla1[[#This Row],[FECHA DE AUTORIZACIÓN]]</f>
        <v>0</v>
      </c>
      <c r="O199" s="83"/>
      <c r="P199" s="80"/>
      <c r="Q199" s="91"/>
      <c r="R199" s="59"/>
    </row>
    <row r="200" spans="2:18" ht="16.5" thickTop="1" thickBot="1">
      <c r="B200" s="71"/>
      <c r="C200" s="89"/>
      <c r="D200" s="80"/>
      <c r="E200" s="80"/>
      <c r="F200" s="80"/>
      <c r="G200" s="80"/>
      <c r="H200" s="80"/>
      <c r="I200" s="80"/>
      <c r="J200" s="80"/>
      <c r="K200" s="90"/>
      <c r="L200" s="89"/>
      <c r="M200" s="80"/>
      <c r="N200" s="27">
        <f>Tabla1[[#This Row],[FECHA DE SELECCIÓN]]-Tabla1[[#This Row],[FECHA DE AUTORIZACIÓN]]</f>
        <v>0</v>
      </c>
      <c r="O200" s="83"/>
      <c r="P200" s="80"/>
      <c r="Q200" s="91"/>
      <c r="R200" s="59"/>
    </row>
    <row r="201" spans="2:18" ht="16.5" thickTop="1" thickBot="1">
      <c r="B201" s="71"/>
      <c r="C201" s="89"/>
      <c r="D201" s="80"/>
      <c r="E201" s="80"/>
      <c r="F201" s="80"/>
      <c r="G201" s="80"/>
      <c r="H201" s="80"/>
      <c r="I201" s="80"/>
      <c r="J201" s="80"/>
      <c r="K201" s="90"/>
      <c r="L201" s="89"/>
      <c r="M201" s="80"/>
      <c r="N201" s="27">
        <f>Tabla1[[#This Row],[FECHA DE SELECCIÓN]]-Tabla1[[#This Row],[FECHA DE AUTORIZACIÓN]]</f>
        <v>0</v>
      </c>
      <c r="O201" s="83"/>
      <c r="P201" s="80"/>
      <c r="Q201" s="91"/>
      <c r="R201" s="59"/>
    </row>
    <row r="202" spans="2:18" ht="16.5" thickTop="1" thickBot="1">
      <c r="B202" s="71"/>
      <c r="C202" s="89"/>
      <c r="D202" s="80"/>
      <c r="E202" s="80"/>
      <c r="F202" s="80"/>
      <c r="G202" s="80"/>
      <c r="H202" s="80"/>
      <c r="I202" s="80"/>
      <c r="J202" s="80"/>
      <c r="K202" s="90"/>
      <c r="L202" s="89"/>
      <c r="M202" s="80"/>
      <c r="N202" s="27">
        <f>Tabla1[[#This Row],[FECHA DE SELECCIÓN]]-Tabla1[[#This Row],[FECHA DE AUTORIZACIÓN]]</f>
        <v>0</v>
      </c>
      <c r="O202" s="83"/>
      <c r="P202" s="80"/>
      <c r="Q202" s="91"/>
      <c r="R202" s="59"/>
    </row>
    <row r="203" spans="2:18" ht="16.5" thickTop="1" thickBot="1">
      <c r="B203" s="71"/>
      <c r="C203" s="89"/>
      <c r="D203" s="80"/>
      <c r="E203" s="80"/>
      <c r="F203" s="80"/>
      <c r="G203" s="80"/>
      <c r="H203" s="80"/>
      <c r="I203" s="80"/>
      <c r="J203" s="80"/>
      <c r="K203" s="90"/>
      <c r="L203" s="89"/>
      <c r="M203" s="80"/>
      <c r="N203" s="27">
        <f>Tabla1[[#This Row],[FECHA DE SELECCIÓN]]-Tabla1[[#This Row],[FECHA DE AUTORIZACIÓN]]</f>
        <v>0</v>
      </c>
      <c r="O203" s="83"/>
      <c r="P203" s="80"/>
      <c r="Q203" s="91"/>
      <c r="R203" s="59"/>
    </row>
    <row r="204" spans="2:18" ht="16.5" thickTop="1" thickBot="1">
      <c r="B204" s="71"/>
      <c r="C204" s="89"/>
      <c r="D204" s="80"/>
      <c r="E204" s="80"/>
      <c r="F204" s="80"/>
      <c r="G204" s="80"/>
      <c r="H204" s="80"/>
      <c r="I204" s="80"/>
      <c r="J204" s="80"/>
      <c r="K204" s="90"/>
      <c r="L204" s="89"/>
      <c r="M204" s="80"/>
      <c r="N204" s="27">
        <f>Tabla1[[#This Row],[FECHA DE SELECCIÓN]]-Tabla1[[#This Row],[FECHA DE AUTORIZACIÓN]]</f>
        <v>0</v>
      </c>
      <c r="O204" s="83"/>
      <c r="P204" s="80"/>
      <c r="Q204" s="91"/>
      <c r="R204" s="59"/>
    </row>
    <row r="205" spans="2:18" ht="16.5" thickTop="1" thickBot="1">
      <c r="B205" s="71"/>
      <c r="C205" s="89"/>
      <c r="D205" s="80"/>
      <c r="E205" s="80"/>
      <c r="F205" s="80"/>
      <c r="G205" s="80"/>
      <c r="H205" s="80"/>
      <c r="I205" s="80"/>
      <c r="J205" s="80"/>
      <c r="K205" s="90"/>
      <c r="L205" s="89"/>
      <c r="M205" s="80"/>
      <c r="N205" s="27">
        <f>Tabla1[[#This Row],[FECHA DE SELECCIÓN]]-Tabla1[[#This Row],[FECHA DE AUTORIZACIÓN]]</f>
        <v>0</v>
      </c>
      <c r="O205" s="83"/>
      <c r="P205" s="80"/>
      <c r="Q205" s="91"/>
      <c r="R205" s="59"/>
    </row>
    <row r="206" spans="2:18" ht="16.5" thickTop="1" thickBot="1">
      <c r="B206" s="71"/>
      <c r="C206" s="89"/>
      <c r="D206" s="80"/>
      <c r="E206" s="80"/>
      <c r="F206" s="80"/>
      <c r="G206" s="80"/>
      <c r="H206" s="80"/>
      <c r="I206" s="80"/>
      <c r="J206" s="80"/>
      <c r="K206" s="90"/>
      <c r="L206" s="89"/>
      <c r="M206" s="80"/>
      <c r="N206" s="27">
        <f>Tabla1[[#This Row],[FECHA DE SELECCIÓN]]-Tabla1[[#This Row],[FECHA DE AUTORIZACIÓN]]</f>
        <v>0</v>
      </c>
      <c r="O206" s="83"/>
      <c r="P206" s="80"/>
      <c r="Q206" s="91"/>
      <c r="R206" s="59"/>
    </row>
    <row r="207" spans="2:18" ht="16.5" thickTop="1" thickBot="1">
      <c r="B207" s="71"/>
      <c r="C207" s="89"/>
      <c r="D207" s="80"/>
      <c r="E207" s="80"/>
      <c r="F207" s="80"/>
      <c r="G207" s="80"/>
      <c r="H207" s="80"/>
      <c r="I207" s="80"/>
      <c r="J207" s="80"/>
      <c r="K207" s="90"/>
      <c r="L207" s="89"/>
      <c r="M207" s="80"/>
      <c r="N207" s="27">
        <f>Tabla1[[#This Row],[FECHA DE SELECCIÓN]]-Tabla1[[#This Row],[FECHA DE AUTORIZACIÓN]]</f>
        <v>0</v>
      </c>
      <c r="O207" s="83"/>
      <c r="P207" s="80"/>
      <c r="Q207" s="91"/>
      <c r="R207" s="59"/>
    </row>
    <row r="208" spans="2:18" ht="16.5" thickTop="1" thickBot="1">
      <c r="B208" s="71"/>
      <c r="C208" s="89"/>
      <c r="D208" s="80"/>
      <c r="E208" s="80"/>
      <c r="F208" s="80"/>
      <c r="G208" s="80"/>
      <c r="H208" s="80"/>
      <c r="I208" s="80"/>
      <c r="J208" s="80"/>
      <c r="K208" s="90"/>
      <c r="L208" s="89"/>
      <c r="M208" s="80"/>
      <c r="N208" s="27">
        <f>Tabla1[[#This Row],[FECHA DE SELECCIÓN]]-Tabla1[[#This Row],[FECHA DE AUTORIZACIÓN]]</f>
        <v>0</v>
      </c>
      <c r="O208" s="83"/>
      <c r="P208" s="80"/>
      <c r="Q208" s="91"/>
      <c r="R208" s="59"/>
    </row>
    <row r="209" spans="2:18" ht="16.5" thickTop="1" thickBot="1">
      <c r="B209" s="71"/>
      <c r="C209" s="89"/>
      <c r="D209" s="80"/>
      <c r="E209" s="80"/>
      <c r="F209" s="80"/>
      <c r="G209" s="80"/>
      <c r="H209" s="80"/>
      <c r="I209" s="80"/>
      <c r="J209" s="80"/>
      <c r="K209" s="90"/>
      <c r="L209" s="89"/>
      <c r="M209" s="80"/>
      <c r="N209" s="27">
        <f>Tabla1[[#This Row],[FECHA DE SELECCIÓN]]-Tabla1[[#This Row],[FECHA DE AUTORIZACIÓN]]</f>
        <v>0</v>
      </c>
      <c r="O209" s="83"/>
      <c r="P209" s="80"/>
      <c r="Q209" s="91"/>
      <c r="R209" s="59"/>
    </row>
    <row r="210" spans="2:18" ht="16.5" thickTop="1" thickBot="1">
      <c r="B210" s="71"/>
      <c r="C210" s="89"/>
      <c r="D210" s="80"/>
      <c r="E210" s="80"/>
      <c r="F210" s="80"/>
      <c r="G210" s="80"/>
      <c r="H210" s="80"/>
      <c r="I210" s="80"/>
      <c r="J210" s="80"/>
      <c r="K210" s="90"/>
      <c r="L210" s="89"/>
      <c r="M210" s="80"/>
      <c r="N210" s="27">
        <f>Tabla1[[#This Row],[FECHA DE SELECCIÓN]]-Tabla1[[#This Row],[FECHA DE AUTORIZACIÓN]]</f>
        <v>0</v>
      </c>
      <c r="O210" s="83"/>
      <c r="P210" s="80"/>
      <c r="Q210" s="91"/>
      <c r="R210" s="59"/>
    </row>
    <row r="211" spans="2:18" ht="16.5" thickTop="1" thickBot="1">
      <c r="B211" s="71"/>
      <c r="C211" s="89"/>
      <c r="D211" s="80"/>
      <c r="E211" s="80"/>
      <c r="F211" s="80"/>
      <c r="G211" s="80"/>
      <c r="H211" s="80"/>
      <c r="I211" s="80"/>
      <c r="J211" s="80"/>
      <c r="K211" s="90"/>
      <c r="L211" s="89"/>
      <c r="M211" s="80"/>
      <c r="N211" s="27">
        <f>Tabla1[[#This Row],[FECHA DE SELECCIÓN]]-Tabla1[[#This Row],[FECHA DE AUTORIZACIÓN]]</f>
        <v>0</v>
      </c>
      <c r="O211" s="83"/>
      <c r="P211" s="80"/>
      <c r="Q211" s="91"/>
      <c r="R211" s="59"/>
    </row>
    <row r="212" spans="2:18" ht="16.5" thickTop="1" thickBot="1">
      <c r="B212" s="71"/>
      <c r="C212" s="89"/>
      <c r="D212" s="80"/>
      <c r="E212" s="80"/>
      <c r="F212" s="80"/>
      <c r="G212" s="80"/>
      <c r="H212" s="80"/>
      <c r="I212" s="80"/>
      <c r="J212" s="80"/>
      <c r="K212" s="90"/>
      <c r="L212" s="89"/>
      <c r="M212" s="80"/>
      <c r="N212" s="27">
        <f>Tabla1[[#This Row],[FECHA DE SELECCIÓN]]-Tabla1[[#This Row],[FECHA DE AUTORIZACIÓN]]</f>
        <v>0</v>
      </c>
      <c r="O212" s="83"/>
      <c r="P212" s="80"/>
      <c r="Q212" s="91"/>
      <c r="R212" s="59"/>
    </row>
    <row r="213" spans="2:18" ht="16.5" thickTop="1" thickBot="1">
      <c r="B213" s="71"/>
      <c r="C213" s="89"/>
      <c r="D213" s="80"/>
      <c r="E213" s="80"/>
      <c r="F213" s="80"/>
      <c r="G213" s="80"/>
      <c r="H213" s="80"/>
      <c r="I213" s="80"/>
      <c r="J213" s="80"/>
      <c r="K213" s="90"/>
      <c r="L213" s="89"/>
      <c r="M213" s="80"/>
      <c r="N213" s="27">
        <f>Tabla1[[#This Row],[FECHA DE SELECCIÓN]]-Tabla1[[#This Row],[FECHA DE AUTORIZACIÓN]]</f>
        <v>0</v>
      </c>
      <c r="O213" s="83"/>
      <c r="P213" s="80"/>
      <c r="Q213" s="91"/>
      <c r="R213" s="59"/>
    </row>
    <row r="214" spans="2:18" ht="16.5" thickTop="1" thickBot="1">
      <c r="B214" s="71"/>
      <c r="C214" s="89"/>
      <c r="D214" s="80"/>
      <c r="E214" s="80"/>
      <c r="F214" s="80"/>
      <c r="G214" s="80"/>
      <c r="H214" s="80"/>
      <c r="I214" s="80"/>
      <c r="J214" s="80"/>
      <c r="K214" s="90"/>
      <c r="L214" s="89"/>
      <c r="M214" s="80"/>
      <c r="N214" s="27">
        <f>Tabla1[[#This Row],[FECHA DE SELECCIÓN]]-Tabla1[[#This Row],[FECHA DE AUTORIZACIÓN]]</f>
        <v>0</v>
      </c>
      <c r="O214" s="83"/>
      <c r="P214" s="80"/>
      <c r="Q214" s="91"/>
      <c r="R214" s="59"/>
    </row>
    <row r="215" spans="2:18" ht="16.5" thickTop="1" thickBot="1">
      <c r="B215" s="71"/>
      <c r="C215" s="89"/>
      <c r="D215" s="80"/>
      <c r="E215" s="80"/>
      <c r="F215" s="80"/>
      <c r="G215" s="80"/>
      <c r="H215" s="80"/>
      <c r="I215" s="80"/>
      <c r="J215" s="80"/>
      <c r="K215" s="90"/>
      <c r="L215" s="89"/>
      <c r="M215" s="80"/>
      <c r="N215" s="27">
        <f>Tabla1[[#This Row],[FECHA DE SELECCIÓN]]-Tabla1[[#This Row],[FECHA DE AUTORIZACIÓN]]</f>
        <v>0</v>
      </c>
      <c r="O215" s="83"/>
      <c r="P215" s="80"/>
      <c r="Q215" s="91"/>
      <c r="R215" s="59"/>
    </row>
    <row r="216" spans="2:18" ht="16.5" thickTop="1" thickBot="1">
      <c r="B216" s="71"/>
      <c r="C216" s="89"/>
      <c r="D216" s="80"/>
      <c r="E216" s="80"/>
      <c r="F216" s="80"/>
      <c r="G216" s="80"/>
      <c r="H216" s="80"/>
      <c r="I216" s="80"/>
      <c r="J216" s="80"/>
      <c r="K216" s="90"/>
      <c r="L216" s="89"/>
      <c r="M216" s="80"/>
      <c r="N216" s="27">
        <f>Tabla1[[#This Row],[FECHA DE SELECCIÓN]]-Tabla1[[#This Row],[FECHA DE AUTORIZACIÓN]]</f>
        <v>0</v>
      </c>
      <c r="O216" s="83"/>
      <c r="P216" s="80"/>
      <c r="Q216" s="91"/>
      <c r="R216" s="59"/>
    </row>
    <row r="217" spans="2:18" ht="16.5" thickTop="1" thickBot="1">
      <c r="B217" s="71"/>
      <c r="C217" s="89"/>
      <c r="D217" s="80"/>
      <c r="E217" s="80"/>
      <c r="F217" s="80"/>
      <c r="G217" s="80"/>
      <c r="H217" s="80"/>
      <c r="I217" s="80"/>
      <c r="J217" s="80"/>
      <c r="K217" s="90"/>
      <c r="L217" s="89"/>
      <c r="M217" s="80"/>
      <c r="N217" s="27">
        <f>Tabla1[[#This Row],[FECHA DE SELECCIÓN]]-Tabla1[[#This Row],[FECHA DE AUTORIZACIÓN]]</f>
        <v>0</v>
      </c>
      <c r="O217" s="83"/>
      <c r="P217" s="80"/>
      <c r="Q217" s="91"/>
      <c r="R217" s="59"/>
    </row>
    <row r="218" spans="2:18" ht="16.5" thickTop="1" thickBot="1">
      <c r="B218" s="71"/>
      <c r="C218" s="89"/>
      <c r="D218" s="80"/>
      <c r="E218" s="80"/>
      <c r="F218" s="80"/>
      <c r="G218" s="80"/>
      <c r="H218" s="80"/>
      <c r="I218" s="80"/>
      <c r="J218" s="80"/>
      <c r="K218" s="90"/>
      <c r="L218" s="89"/>
      <c r="M218" s="80"/>
      <c r="N218" s="27">
        <f>Tabla1[[#This Row],[FECHA DE SELECCIÓN]]-Tabla1[[#This Row],[FECHA DE AUTORIZACIÓN]]</f>
        <v>0</v>
      </c>
      <c r="O218" s="83"/>
      <c r="P218" s="80"/>
      <c r="Q218" s="91"/>
      <c r="R218" s="59"/>
    </row>
    <row r="219" spans="2:18" ht="16.5" thickTop="1" thickBot="1">
      <c r="B219" s="71"/>
      <c r="C219" s="89"/>
      <c r="D219" s="80"/>
      <c r="E219" s="80"/>
      <c r="F219" s="80"/>
      <c r="G219" s="80"/>
      <c r="H219" s="80"/>
      <c r="I219" s="80"/>
      <c r="J219" s="80"/>
      <c r="K219" s="90"/>
      <c r="L219" s="89"/>
      <c r="M219" s="80"/>
      <c r="N219" s="27">
        <f>Tabla1[[#This Row],[FECHA DE SELECCIÓN]]-Tabla1[[#This Row],[FECHA DE AUTORIZACIÓN]]</f>
        <v>0</v>
      </c>
      <c r="O219" s="83"/>
      <c r="P219" s="80"/>
      <c r="Q219" s="91"/>
      <c r="R219" s="59"/>
    </row>
    <row r="220" spans="2:18" ht="16.5" thickTop="1" thickBot="1">
      <c r="B220" s="71"/>
      <c r="C220" s="89"/>
      <c r="D220" s="80"/>
      <c r="E220" s="80"/>
      <c r="F220" s="80"/>
      <c r="G220" s="80"/>
      <c r="H220" s="80"/>
      <c r="I220" s="80"/>
      <c r="J220" s="80"/>
      <c r="K220" s="90"/>
      <c r="L220" s="89"/>
      <c r="M220" s="80"/>
      <c r="N220" s="27">
        <f>Tabla1[[#This Row],[FECHA DE SELECCIÓN]]-Tabla1[[#This Row],[FECHA DE AUTORIZACIÓN]]</f>
        <v>0</v>
      </c>
      <c r="O220" s="83"/>
      <c r="P220" s="80"/>
      <c r="Q220" s="91"/>
      <c r="R220" s="59"/>
    </row>
    <row r="221" spans="2:18" ht="16.5" thickTop="1" thickBot="1">
      <c r="B221" s="71"/>
      <c r="C221" s="89"/>
      <c r="D221" s="80"/>
      <c r="E221" s="80"/>
      <c r="F221" s="80"/>
      <c r="G221" s="80"/>
      <c r="H221" s="80"/>
      <c r="I221" s="80"/>
      <c r="J221" s="80"/>
      <c r="K221" s="90"/>
      <c r="L221" s="89"/>
      <c r="M221" s="80"/>
      <c r="N221" s="27">
        <f>Tabla1[[#This Row],[FECHA DE SELECCIÓN]]-Tabla1[[#This Row],[FECHA DE AUTORIZACIÓN]]</f>
        <v>0</v>
      </c>
      <c r="O221" s="83"/>
      <c r="P221" s="80"/>
      <c r="Q221" s="91"/>
      <c r="R221" s="59"/>
    </row>
    <row r="222" spans="2:18" ht="16.5" thickTop="1" thickBot="1">
      <c r="B222" s="71"/>
      <c r="C222" s="89"/>
      <c r="D222" s="80"/>
      <c r="E222" s="80"/>
      <c r="F222" s="80"/>
      <c r="G222" s="80"/>
      <c r="H222" s="80"/>
      <c r="I222" s="80"/>
      <c r="J222" s="80"/>
      <c r="K222" s="90"/>
      <c r="L222" s="89"/>
      <c r="M222" s="80"/>
      <c r="N222" s="27">
        <f>Tabla1[[#This Row],[FECHA DE SELECCIÓN]]-Tabla1[[#This Row],[FECHA DE AUTORIZACIÓN]]</f>
        <v>0</v>
      </c>
      <c r="O222" s="83"/>
      <c r="P222" s="80"/>
      <c r="Q222" s="91"/>
      <c r="R222" s="59"/>
    </row>
    <row r="223" spans="2:18" ht="16.5" thickTop="1" thickBot="1">
      <c r="B223" s="71"/>
      <c r="C223" s="89"/>
      <c r="D223" s="80"/>
      <c r="E223" s="80"/>
      <c r="F223" s="80"/>
      <c r="G223" s="80"/>
      <c r="H223" s="80"/>
      <c r="I223" s="80"/>
      <c r="J223" s="80"/>
      <c r="K223" s="90"/>
      <c r="L223" s="89"/>
      <c r="M223" s="80"/>
      <c r="N223" s="27">
        <f>Tabla1[[#This Row],[FECHA DE SELECCIÓN]]-Tabla1[[#This Row],[FECHA DE AUTORIZACIÓN]]</f>
        <v>0</v>
      </c>
      <c r="O223" s="83"/>
      <c r="P223" s="80"/>
      <c r="Q223" s="91"/>
      <c r="R223" s="59"/>
    </row>
    <row r="224" spans="2:18" ht="16.5" thickTop="1" thickBot="1">
      <c r="B224" s="71"/>
      <c r="C224" s="89"/>
      <c r="D224" s="80"/>
      <c r="E224" s="80"/>
      <c r="F224" s="80"/>
      <c r="G224" s="80"/>
      <c r="H224" s="80"/>
      <c r="I224" s="80"/>
      <c r="J224" s="80"/>
      <c r="K224" s="90"/>
      <c r="L224" s="89"/>
      <c r="M224" s="80"/>
      <c r="N224" s="27">
        <f>Tabla1[[#This Row],[FECHA DE SELECCIÓN]]-Tabla1[[#This Row],[FECHA DE AUTORIZACIÓN]]</f>
        <v>0</v>
      </c>
      <c r="O224" s="83"/>
      <c r="P224" s="80"/>
      <c r="Q224" s="91"/>
      <c r="R224" s="59"/>
    </row>
    <row r="225" spans="2:18" ht="16.5" thickTop="1" thickBot="1">
      <c r="B225" s="71"/>
      <c r="C225" s="89"/>
      <c r="D225" s="80"/>
      <c r="E225" s="80"/>
      <c r="F225" s="80"/>
      <c r="G225" s="80"/>
      <c r="H225" s="80"/>
      <c r="I225" s="80"/>
      <c r="J225" s="80"/>
      <c r="K225" s="90"/>
      <c r="L225" s="89"/>
      <c r="M225" s="80"/>
      <c r="N225" s="27">
        <f>Tabla1[[#This Row],[FECHA DE SELECCIÓN]]-Tabla1[[#This Row],[FECHA DE AUTORIZACIÓN]]</f>
        <v>0</v>
      </c>
      <c r="O225" s="83"/>
      <c r="P225" s="80"/>
      <c r="Q225" s="91"/>
      <c r="R225" s="59"/>
    </row>
    <row r="226" spans="2:18" ht="16.5" thickTop="1" thickBot="1">
      <c r="B226" s="71"/>
      <c r="C226" s="89"/>
      <c r="D226" s="80"/>
      <c r="E226" s="80"/>
      <c r="F226" s="80"/>
      <c r="G226" s="80"/>
      <c r="H226" s="80"/>
      <c r="I226" s="80"/>
      <c r="J226" s="80"/>
      <c r="K226" s="90"/>
      <c r="L226" s="89"/>
      <c r="M226" s="80"/>
      <c r="N226" s="27">
        <f>Tabla1[[#This Row],[FECHA DE SELECCIÓN]]-Tabla1[[#This Row],[FECHA DE AUTORIZACIÓN]]</f>
        <v>0</v>
      </c>
      <c r="O226" s="83"/>
      <c r="P226" s="80"/>
      <c r="Q226" s="91"/>
      <c r="R226" s="59"/>
    </row>
    <row r="227" spans="2:18" ht="16.5" thickTop="1" thickBot="1">
      <c r="B227" s="71"/>
      <c r="C227" s="89"/>
      <c r="D227" s="80"/>
      <c r="E227" s="80"/>
      <c r="F227" s="80"/>
      <c r="G227" s="80"/>
      <c r="H227" s="80"/>
      <c r="I227" s="80"/>
      <c r="J227" s="80"/>
      <c r="K227" s="90"/>
      <c r="L227" s="89"/>
      <c r="M227" s="80"/>
      <c r="N227" s="27">
        <f>Tabla1[[#This Row],[FECHA DE SELECCIÓN]]-Tabla1[[#This Row],[FECHA DE AUTORIZACIÓN]]</f>
        <v>0</v>
      </c>
      <c r="O227" s="83"/>
      <c r="P227" s="80"/>
      <c r="Q227" s="91"/>
      <c r="R227" s="59"/>
    </row>
    <row r="228" spans="2:18" ht="16.5" thickTop="1" thickBot="1">
      <c r="B228" s="71"/>
      <c r="C228" s="89"/>
      <c r="D228" s="80"/>
      <c r="E228" s="80"/>
      <c r="F228" s="80"/>
      <c r="G228" s="80"/>
      <c r="H228" s="80"/>
      <c r="I228" s="80"/>
      <c r="J228" s="80"/>
      <c r="K228" s="90"/>
      <c r="L228" s="89"/>
      <c r="M228" s="80"/>
      <c r="N228" s="27">
        <f>Tabla1[[#This Row],[FECHA DE SELECCIÓN]]-Tabla1[[#This Row],[FECHA DE AUTORIZACIÓN]]</f>
        <v>0</v>
      </c>
      <c r="O228" s="83"/>
      <c r="P228" s="80"/>
      <c r="Q228" s="91"/>
      <c r="R228" s="59"/>
    </row>
    <row r="229" spans="2:18" ht="16.5" thickTop="1" thickBot="1">
      <c r="B229" s="71"/>
      <c r="C229" s="89"/>
      <c r="D229" s="80"/>
      <c r="E229" s="80"/>
      <c r="F229" s="80"/>
      <c r="G229" s="80"/>
      <c r="H229" s="80"/>
      <c r="I229" s="80"/>
      <c r="J229" s="80"/>
      <c r="K229" s="90"/>
      <c r="L229" s="89"/>
      <c r="M229" s="80"/>
      <c r="N229" s="27">
        <f>Tabla1[[#This Row],[FECHA DE SELECCIÓN]]-Tabla1[[#This Row],[FECHA DE AUTORIZACIÓN]]</f>
        <v>0</v>
      </c>
      <c r="O229" s="83"/>
      <c r="P229" s="80"/>
      <c r="Q229" s="91"/>
      <c r="R229" s="59"/>
    </row>
    <row r="230" spans="2:18" ht="16.5" thickTop="1" thickBot="1">
      <c r="B230" s="71"/>
      <c r="C230" s="89"/>
      <c r="D230" s="80"/>
      <c r="E230" s="80"/>
      <c r="F230" s="80"/>
      <c r="G230" s="80"/>
      <c r="H230" s="80"/>
      <c r="I230" s="80"/>
      <c r="J230" s="80"/>
      <c r="K230" s="90"/>
      <c r="L230" s="89"/>
      <c r="M230" s="80"/>
      <c r="N230" s="27">
        <f>Tabla1[[#This Row],[FECHA DE SELECCIÓN]]-Tabla1[[#This Row],[FECHA DE AUTORIZACIÓN]]</f>
        <v>0</v>
      </c>
      <c r="O230" s="83"/>
      <c r="P230" s="80"/>
      <c r="Q230" s="91"/>
      <c r="R230" s="59"/>
    </row>
    <row r="231" spans="2:18" ht="16.5" thickTop="1" thickBot="1">
      <c r="B231" s="71"/>
      <c r="C231" s="89"/>
      <c r="D231" s="80"/>
      <c r="E231" s="80"/>
      <c r="F231" s="80"/>
      <c r="G231" s="80"/>
      <c r="H231" s="80"/>
      <c r="I231" s="80"/>
      <c r="J231" s="80"/>
      <c r="K231" s="90"/>
      <c r="L231" s="89"/>
      <c r="M231" s="80"/>
      <c r="N231" s="27">
        <f>Tabla1[[#This Row],[FECHA DE SELECCIÓN]]-Tabla1[[#This Row],[FECHA DE AUTORIZACIÓN]]</f>
        <v>0</v>
      </c>
      <c r="O231" s="83"/>
      <c r="P231" s="80"/>
      <c r="Q231" s="91"/>
      <c r="R231" s="59"/>
    </row>
    <row r="232" spans="2:18" ht="16.5" thickTop="1" thickBot="1">
      <c r="B232" s="71"/>
      <c r="C232" s="89"/>
      <c r="D232" s="80"/>
      <c r="E232" s="80"/>
      <c r="F232" s="80"/>
      <c r="G232" s="80"/>
      <c r="H232" s="80"/>
      <c r="I232" s="80"/>
      <c r="J232" s="80"/>
      <c r="K232" s="90"/>
      <c r="L232" s="89"/>
      <c r="M232" s="80"/>
      <c r="N232" s="27">
        <f>Tabla1[[#This Row],[FECHA DE SELECCIÓN]]-Tabla1[[#This Row],[FECHA DE AUTORIZACIÓN]]</f>
        <v>0</v>
      </c>
      <c r="O232" s="83"/>
      <c r="P232" s="80"/>
      <c r="Q232" s="91"/>
      <c r="R232" s="59"/>
    </row>
    <row r="233" spans="2:18" ht="16.5" thickTop="1" thickBot="1">
      <c r="B233" s="71"/>
      <c r="C233" s="89"/>
      <c r="D233" s="80"/>
      <c r="E233" s="80"/>
      <c r="F233" s="80"/>
      <c r="G233" s="80"/>
      <c r="H233" s="80"/>
      <c r="I233" s="80"/>
      <c r="J233" s="80"/>
      <c r="K233" s="90"/>
      <c r="L233" s="89"/>
      <c r="M233" s="80"/>
      <c r="N233" s="27">
        <f>Tabla1[[#This Row],[FECHA DE SELECCIÓN]]-Tabla1[[#This Row],[FECHA DE AUTORIZACIÓN]]</f>
        <v>0</v>
      </c>
      <c r="O233" s="83"/>
      <c r="P233" s="80"/>
      <c r="Q233" s="91"/>
      <c r="R233" s="59"/>
    </row>
    <row r="234" spans="2:18" ht="16.5" thickTop="1" thickBot="1">
      <c r="B234" s="71"/>
      <c r="C234" s="89"/>
      <c r="D234" s="80"/>
      <c r="E234" s="80"/>
      <c r="F234" s="80"/>
      <c r="G234" s="80"/>
      <c r="H234" s="80"/>
      <c r="I234" s="80"/>
      <c r="J234" s="80"/>
      <c r="K234" s="90"/>
      <c r="L234" s="89"/>
      <c r="M234" s="80"/>
      <c r="N234" s="27">
        <f>Tabla1[[#This Row],[FECHA DE SELECCIÓN]]-Tabla1[[#This Row],[FECHA DE AUTORIZACIÓN]]</f>
        <v>0</v>
      </c>
      <c r="O234" s="83"/>
      <c r="P234" s="80"/>
      <c r="Q234" s="91"/>
      <c r="R234" s="59"/>
    </row>
    <row r="235" spans="2:18" ht="16.5" thickTop="1" thickBot="1">
      <c r="B235" s="71"/>
      <c r="C235" s="89"/>
      <c r="D235" s="80"/>
      <c r="E235" s="80"/>
      <c r="F235" s="80"/>
      <c r="G235" s="80"/>
      <c r="H235" s="80"/>
      <c r="I235" s="80"/>
      <c r="J235" s="80"/>
      <c r="K235" s="90"/>
      <c r="L235" s="89"/>
      <c r="M235" s="80"/>
      <c r="N235" s="27">
        <f>Tabla1[[#This Row],[FECHA DE SELECCIÓN]]-Tabla1[[#This Row],[FECHA DE AUTORIZACIÓN]]</f>
        <v>0</v>
      </c>
      <c r="O235" s="83"/>
      <c r="P235" s="80"/>
      <c r="Q235" s="91"/>
      <c r="R235" s="59"/>
    </row>
    <row r="236" spans="2:18" ht="16.5" thickTop="1" thickBot="1">
      <c r="B236" s="71"/>
      <c r="C236" s="89"/>
      <c r="D236" s="80"/>
      <c r="E236" s="80"/>
      <c r="F236" s="80"/>
      <c r="G236" s="80"/>
      <c r="H236" s="80"/>
      <c r="I236" s="80"/>
      <c r="J236" s="80"/>
      <c r="K236" s="90"/>
      <c r="L236" s="89"/>
      <c r="M236" s="80"/>
      <c r="N236" s="27">
        <f>Tabla1[[#This Row],[FECHA DE SELECCIÓN]]-Tabla1[[#This Row],[FECHA DE AUTORIZACIÓN]]</f>
        <v>0</v>
      </c>
      <c r="O236" s="83"/>
      <c r="P236" s="80"/>
      <c r="Q236" s="91"/>
      <c r="R236" s="59"/>
    </row>
    <row r="237" spans="2:18" ht="16.5" thickTop="1" thickBot="1">
      <c r="B237" s="71"/>
      <c r="C237" s="89"/>
      <c r="D237" s="80"/>
      <c r="E237" s="80"/>
      <c r="F237" s="80"/>
      <c r="G237" s="80"/>
      <c r="H237" s="80"/>
      <c r="I237" s="80"/>
      <c r="J237" s="80"/>
      <c r="K237" s="90"/>
      <c r="L237" s="89"/>
      <c r="M237" s="80"/>
      <c r="N237" s="27">
        <f>Tabla1[[#This Row],[FECHA DE SELECCIÓN]]-Tabla1[[#This Row],[FECHA DE AUTORIZACIÓN]]</f>
        <v>0</v>
      </c>
      <c r="O237" s="83"/>
      <c r="P237" s="80"/>
      <c r="Q237" s="91"/>
      <c r="R237" s="59"/>
    </row>
    <row r="238" spans="2:18" ht="16.5" thickTop="1" thickBot="1">
      <c r="B238" s="71"/>
      <c r="C238" s="89"/>
      <c r="D238" s="80"/>
      <c r="E238" s="80"/>
      <c r="F238" s="80"/>
      <c r="G238" s="80"/>
      <c r="H238" s="80"/>
      <c r="I238" s="80"/>
      <c r="J238" s="80"/>
      <c r="K238" s="90"/>
      <c r="L238" s="89"/>
      <c r="M238" s="80"/>
      <c r="N238" s="27">
        <f>Tabla1[[#This Row],[FECHA DE SELECCIÓN]]-Tabla1[[#This Row],[FECHA DE AUTORIZACIÓN]]</f>
        <v>0</v>
      </c>
      <c r="O238" s="83"/>
      <c r="P238" s="80"/>
      <c r="Q238" s="91"/>
      <c r="R238" s="59"/>
    </row>
    <row r="239" spans="2:18" ht="16.5" thickTop="1" thickBot="1">
      <c r="B239" s="71"/>
      <c r="C239" s="89"/>
      <c r="D239" s="80"/>
      <c r="E239" s="80"/>
      <c r="F239" s="80"/>
      <c r="G239" s="80"/>
      <c r="H239" s="80"/>
      <c r="I239" s="80"/>
      <c r="J239" s="80"/>
      <c r="K239" s="90"/>
      <c r="L239" s="89"/>
      <c r="M239" s="80"/>
      <c r="N239" s="27">
        <f>Tabla1[[#This Row],[FECHA DE SELECCIÓN]]-Tabla1[[#This Row],[FECHA DE AUTORIZACIÓN]]</f>
        <v>0</v>
      </c>
      <c r="O239" s="83"/>
      <c r="P239" s="80"/>
      <c r="Q239" s="91"/>
      <c r="R239" s="59"/>
    </row>
    <row r="240" spans="2:18" ht="16.5" thickTop="1" thickBot="1">
      <c r="B240" s="71"/>
      <c r="C240" s="89"/>
      <c r="D240" s="80"/>
      <c r="E240" s="80"/>
      <c r="F240" s="80"/>
      <c r="G240" s="80"/>
      <c r="H240" s="80"/>
      <c r="I240" s="80"/>
      <c r="J240" s="80"/>
      <c r="K240" s="90"/>
      <c r="L240" s="89"/>
      <c r="M240" s="80"/>
      <c r="N240" s="27">
        <f>Tabla1[[#This Row],[FECHA DE SELECCIÓN]]-Tabla1[[#This Row],[FECHA DE AUTORIZACIÓN]]</f>
        <v>0</v>
      </c>
      <c r="O240" s="83"/>
      <c r="P240" s="80"/>
      <c r="Q240" s="91"/>
      <c r="R240" s="59"/>
    </row>
    <row r="241" spans="2:18" ht="16.5" thickTop="1" thickBot="1">
      <c r="B241" s="71"/>
      <c r="C241" s="89"/>
      <c r="D241" s="80"/>
      <c r="E241" s="80"/>
      <c r="F241" s="80"/>
      <c r="G241" s="80"/>
      <c r="H241" s="80"/>
      <c r="I241" s="80"/>
      <c r="J241" s="80"/>
      <c r="K241" s="90"/>
      <c r="L241" s="89"/>
      <c r="M241" s="80"/>
      <c r="N241" s="27">
        <f>Tabla1[[#This Row],[FECHA DE SELECCIÓN]]-Tabla1[[#This Row],[FECHA DE AUTORIZACIÓN]]</f>
        <v>0</v>
      </c>
      <c r="O241" s="83"/>
      <c r="P241" s="80"/>
      <c r="Q241" s="91"/>
      <c r="R241" s="59"/>
    </row>
    <row r="242" spans="2:18" ht="16.5" thickTop="1" thickBot="1">
      <c r="B242" s="71"/>
      <c r="C242" s="89"/>
      <c r="D242" s="80"/>
      <c r="E242" s="80"/>
      <c r="F242" s="80"/>
      <c r="G242" s="80"/>
      <c r="H242" s="80"/>
      <c r="I242" s="80"/>
      <c r="J242" s="80"/>
      <c r="K242" s="90"/>
      <c r="L242" s="89"/>
      <c r="M242" s="80"/>
      <c r="N242" s="27">
        <f>Tabla1[[#This Row],[FECHA DE SELECCIÓN]]-Tabla1[[#This Row],[FECHA DE AUTORIZACIÓN]]</f>
        <v>0</v>
      </c>
      <c r="O242" s="83"/>
      <c r="P242" s="80"/>
      <c r="Q242" s="91"/>
      <c r="R242" s="59"/>
    </row>
    <row r="243" spans="2:18" ht="16.5" thickTop="1" thickBot="1">
      <c r="B243" s="71"/>
      <c r="C243" s="89"/>
      <c r="D243" s="80"/>
      <c r="E243" s="80"/>
      <c r="F243" s="80"/>
      <c r="G243" s="80"/>
      <c r="H243" s="80"/>
      <c r="I243" s="80"/>
      <c r="J243" s="80"/>
      <c r="K243" s="90"/>
      <c r="L243" s="89"/>
      <c r="M243" s="80"/>
      <c r="N243" s="27">
        <f>Tabla1[[#This Row],[FECHA DE SELECCIÓN]]-Tabla1[[#This Row],[FECHA DE AUTORIZACIÓN]]</f>
        <v>0</v>
      </c>
      <c r="O243" s="83"/>
      <c r="P243" s="80"/>
      <c r="Q243" s="91"/>
      <c r="R243" s="59"/>
    </row>
    <row r="244" spans="2:18" ht="16.5" thickTop="1" thickBot="1">
      <c r="B244" s="71"/>
      <c r="C244" s="89"/>
      <c r="D244" s="80"/>
      <c r="E244" s="80"/>
      <c r="F244" s="80"/>
      <c r="G244" s="80"/>
      <c r="H244" s="80"/>
      <c r="I244" s="80"/>
      <c r="J244" s="80"/>
      <c r="K244" s="90"/>
      <c r="L244" s="89"/>
      <c r="M244" s="80"/>
      <c r="N244" s="27">
        <f>Tabla1[[#This Row],[FECHA DE SELECCIÓN]]-Tabla1[[#This Row],[FECHA DE AUTORIZACIÓN]]</f>
        <v>0</v>
      </c>
      <c r="O244" s="83"/>
      <c r="P244" s="80"/>
      <c r="Q244" s="91"/>
      <c r="R244" s="59"/>
    </row>
    <row r="245" spans="2:18" ht="16.5" thickTop="1" thickBot="1">
      <c r="B245" s="71"/>
      <c r="C245" s="89"/>
      <c r="D245" s="80"/>
      <c r="E245" s="80"/>
      <c r="F245" s="80"/>
      <c r="G245" s="80"/>
      <c r="H245" s="80"/>
      <c r="I245" s="80"/>
      <c r="J245" s="80"/>
      <c r="K245" s="90"/>
      <c r="L245" s="89"/>
      <c r="M245" s="80"/>
      <c r="N245" s="27">
        <f>Tabla1[[#This Row],[FECHA DE SELECCIÓN]]-Tabla1[[#This Row],[FECHA DE AUTORIZACIÓN]]</f>
        <v>0</v>
      </c>
      <c r="O245" s="83"/>
      <c r="P245" s="80"/>
      <c r="Q245" s="91"/>
      <c r="R245" s="59"/>
    </row>
    <row r="246" spans="2:18" ht="16.5" thickTop="1" thickBot="1">
      <c r="B246" s="71"/>
      <c r="C246" s="89"/>
      <c r="D246" s="80"/>
      <c r="E246" s="80"/>
      <c r="F246" s="80"/>
      <c r="G246" s="80"/>
      <c r="H246" s="80"/>
      <c r="I246" s="80"/>
      <c r="J246" s="80"/>
      <c r="K246" s="90"/>
      <c r="L246" s="89"/>
      <c r="M246" s="80"/>
      <c r="N246" s="27">
        <f>Tabla1[[#This Row],[FECHA DE SELECCIÓN]]-Tabla1[[#This Row],[FECHA DE AUTORIZACIÓN]]</f>
        <v>0</v>
      </c>
      <c r="O246" s="83"/>
      <c r="P246" s="80"/>
      <c r="Q246" s="91"/>
      <c r="R246" s="59"/>
    </row>
    <row r="247" spans="2:18" ht="16.5" thickTop="1" thickBot="1">
      <c r="B247" s="71"/>
      <c r="C247" s="89"/>
      <c r="D247" s="80"/>
      <c r="E247" s="80"/>
      <c r="F247" s="80"/>
      <c r="G247" s="80"/>
      <c r="H247" s="80"/>
      <c r="I247" s="80"/>
      <c r="J247" s="80"/>
      <c r="K247" s="90"/>
      <c r="L247" s="89"/>
      <c r="M247" s="80"/>
      <c r="N247" s="27">
        <f>Tabla1[[#This Row],[FECHA DE SELECCIÓN]]-Tabla1[[#This Row],[FECHA DE AUTORIZACIÓN]]</f>
        <v>0</v>
      </c>
      <c r="O247" s="83"/>
      <c r="P247" s="80"/>
      <c r="Q247" s="91"/>
      <c r="R247" s="59"/>
    </row>
    <row r="248" spans="2:18" ht="16.5" thickTop="1" thickBot="1">
      <c r="B248" s="71"/>
      <c r="C248" s="89"/>
      <c r="D248" s="80"/>
      <c r="E248" s="80"/>
      <c r="F248" s="80"/>
      <c r="G248" s="80"/>
      <c r="H248" s="80"/>
      <c r="I248" s="80"/>
      <c r="J248" s="80"/>
      <c r="K248" s="90"/>
      <c r="L248" s="89"/>
      <c r="M248" s="80"/>
      <c r="N248" s="27">
        <f>Tabla1[[#This Row],[FECHA DE SELECCIÓN]]-Tabla1[[#This Row],[FECHA DE AUTORIZACIÓN]]</f>
        <v>0</v>
      </c>
      <c r="O248" s="83"/>
      <c r="P248" s="80"/>
      <c r="Q248" s="91"/>
      <c r="R248" s="59"/>
    </row>
    <row r="249" spans="2:18" ht="16.5" thickTop="1" thickBot="1">
      <c r="B249" s="71"/>
      <c r="C249" s="89"/>
      <c r="D249" s="80"/>
      <c r="E249" s="80"/>
      <c r="F249" s="80"/>
      <c r="G249" s="80"/>
      <c r="H249" s="80"/>
      <c r="I249" s="80"/>
      <c r="J249" s="80"/>
      <c r="K249" s="90"/>
      <c r="L249" s="89"/>
      <c r="M249" s="80"/>
      <c r="N249" s="27">
        <f>Tabla1[[#This Row],[FECHA DE SELECCIÓN]]-Tabla1[[#This Row],[FECHA DE AUTORIZACIÓN]]</f>
        <v>0</v>
      </c>
      <c r="O249" s="83"/>
      <c r="P249" s="80"/>
      <c r="Q249" s="91"/>
      <c r="R249" s="59"/>
    </row>
    <row r="250" spans="2:18" ht="16.5" thickTop="1" thickBot="1">
      <c r="B250" s="71"/>
      <c r="C250" s="89"/>
      <c r="D250" s="80"/>
      <c r="E250" s="80"/>
      <c r="F250" s="80"/>
      <c r="G250" s="80"/>
      <c r="H250" s="80"/>
      <c r="I250" s="80"/>
      <c r="J250" s="80"/>
      <c r="K250" s="90"/>
      <c r="L250" s="89"/>
      <c r="M250" s="80"/>
      <c r="N250" s="27">
        <f>Tabla1[[#This Row],[FECHA DE SELECCIÓN]]-Tabla1[[#This Row],[FECHA DE AUTORIZACIÓN]]</f>
        <v>0</v>
      </c>
      <c r="O250" s="83"/>
      <c r="P250" s="80"/>
      <c r="Q250" s="91"/>
      <c r="R250" s="59"/>
    </row>
    <row r="251" spans="2:18" ht="16.5" thickTop="1" thickBot="1">
      <c r="B251" s="71"/>
      <c r="C251" s="89"/>
      <c r="D251" s="80"/>
      <c r="E251" s="80"/>
      <c r="F251" s="80"/>
      <c r="G251" s="80"/>
      <c r="H251" s="80"/>
      <c r="I251" s="80"/>
      <c r="J251" s="80"/>
      <c r="K251" s="90"/>
      <c r="L251" s="89"/>
      <c r="M251" s="80"/>
      <c r="N251" s="27">
        <f>Tabla1[[#This Row],[FECHA DE SELECCIÓN]]-Tabla1[[#This Row],[FECHA DE AUTORIZACIÓN]]</f>
        <v>0</v>
      </c>
      <c r="O251" s="83"/>
      <c r="P251" s="80"/>
      <c r="Q251" s="91"/>
      <c r="R251" s="59"/>
    </row>
    <row r="252" spans="2:18" ht="16.5" thickTop="1" thickBot="1">
      <c r="B252" s="71"/>
      <c r="C252" s="89"/>
      <c r="D252" s="80"/>
      <c r="E252" s="80"/>
      <c r="F252" s="80"/>
      <c r="G252" s="80"/>
      <c r="H252" s="80"/>
      <c r="I252" s="80"/>
      <c r="J252" s="80"/>
      <c r="K252" s="90"/>
      <c r="L252" s="89"/>
      <c r="M252" s="80"/>
      <c r="N252" s="27">
        <f>Tabla1[[#This Row],[FECHA DE SELECCIÓN]]-Tabla1[[#This Row],[FECHA DE AUTORIZACIÓN]]</f>
        <v>0</v>
      </c>
      <c r="O252" s="83"/>
      <c r="P252" s="80"/>
      <c r="Q252" s="91"/>
      <c r="R252" s="59"/>
    </row>
    <row r="253" spans="2:18" ht="16.5" thickTop="1" thickBot="1">
      <c r="B253" s="71"/>
      <c r="C253" s="89"/>
      <c r="D253" s="80"/>
      <c r="E253" s="80"/>
      <c r="F253" s="80"/>
      <c r="G253" s="80"/>
      <c r="H253" s="80"/>
      <c r="I253" s="80"/>
      <c r="J253" s="80"/>
      <c r="K253" s="90"/>
      <c r="L253" s="89"/>
      <c r="M253" s="80"/>
      <c r="N253" s="27">
        <f>Tabla1[[#This Row],[FECHA DE SELECCIÓN]]-Tabla1[[#This Row],[FECHA DE AUTORIZACIÓN]]</f>
        <v>0</v>
      </c>
      <c r="O253" s="83"/>
      <c r="P253" s="80"/>
      <c r="Q253" s="91"/>
      <c r="R253" s="59"/>
    </row>
    <row r="254" spans="2:18" ht="16.5" thickTop="1" thickBot="1">
      <c r="B254" s="71"/>
      <c r="C254" s="89"/>
      <c r="D254" s="80"/>
      <c r="E254" s="80"/>
      <c r="F254" s="80"/>
      <c r="G254" s="80"/>
      <c r="H254" s="80"/>
      <c r="I254" s="80"/>
      <c r="J254" s="80"/>
      <c r="K254" s="90"/>
      <c r="L254" s="89"/>
      <c r="M254" s="80"/>
      <c r="N254" s="27">
        <f>Tabla1[[#This Row],[FECHA DE SELECCIÓN]]-Tabla1[[#This Row],[FECHA DE AUTORIZACIÓN]]</f>
        <v>0</v>
      </c>
      <c r="O254" s="83"/>
      <c r="P254" s="80"/>
      <c r="Q254" s="91"/>
      <c r="R254" s="59"/>
    </row>
    <row r="255" spans="2:18" ht="16.5" thickTop="1" thickBot="1">
      <c r="B255" s="71"/>
      <c r="C255" s="89"/>
      <c r="D255" s="80"/>
      <c r="E255" s="80"/>
      <c r="F255" s="80"/>
      <c r="G255" s="80"/>
      <c r="H255" s="80"/>
      <c r="I255" s="80"/>
      <c r="J255" s="80"/>
      <c r="K255" s="90"/>
      <c r="L255" s="89"/>
      <c r="M255" s="80"/>
      <c r="N255" s="27">
        <f>Tabla1[[#This Row],[FECHA DE SELECCIÓN]]-Tabla1[[#This Row],[FECHA DE AUTORIZACIÓN]]</f>
        <v>0</v>
      </c>
      <c r="O255" s="83"/>
      <c r="P255" s="80"/>
      <c r="Q255" s="91"/>
      <c r="R255" s="59"/>
    </row>
    <row r="256" spans="2:18" ht="16.5" thickTop="1" thickBot="1">
      <c r="B256" s="71"/>
      <c r="C256" s="89"/>
      <c r="D256" s="80"/>
      <c r="E256" s="80"/>
      <c r="F256" s="80"/>
      <c r="G256" s="80"/>
      <c r="H256" s="80"/>
      <c r="I256" s="80"/>
      <c r="J256" s="80"/>
      <c r="K256" s="90"/>
      <c r="L256" s="89"/>
      <c r="M256" s="80"/>
      <c r="N256" s="27">
        <f>Tabla1[[#This Row],[FECHA DE SELECCIÓN]]-Tabla1[[#This Row],[FECHA DE AUTORIZACIÓN]]</f>
        <v>0</v>
      </c>
      <c r="O256" s="83"/>
      <c r="P256" s="80"/>
      <c r="Q256" s="91"/>
      <c r="R256" s="59"/>
    </row>
    <row r="257" spans="2:18" ht="16.5" thickTop="1" thickBot="1">
      <c r="B257" s="71"/>
      <c r="C257" s="89"/>
      <c r="D257" s="80"/>
      <c r="E257" s="80"/>
      <c r="F257" s="80"/>
      <c r="G257" s="80"/>
      <c r="H257" s="80"/>
      <c r="I257" s="80"/>
      <c r="J257" s="80"/>
      <c r="K257" s="90"/>
      <c r="L257" s="89"/>
      <c r="M257" s="80"/>
      <c r="N257" s="27">
        <f>Tabla1[[#This Row],[FECHA DE SELECCIÓN]]-Tabla1[[#This Row],[FECHA DE AUTORIZACIÓN]]</f>
        <v>0</v>
      </c>
      <c r="O257" s="83"/>
      <c r="P257" s="80"/>
      <c r="Q257" s="91"/>
      <c r="R257" s="59"/>
    </row>
    <row r="258" spans="2:18" ht="16.5" thickTop="1" thickBot="1">
      <c r="B258" s="71"/>
      <c r="C258" s="89"/>
      <c r="D258" s="80"/>
      <c r="E258" s="80"/>
      <c r="F258" s="80"/>
      <c r="G258" s="80"/>
      <c r="H258" s="80"/>
      <c r="I258" s="80"/>
      <c r="J258" s="80"/>
      <c r="K258" s="90"/>
      <c r="L258" s="89"/>
      <c r="M258" s="80"/>
      <c r="N258" s="27">
        <f>Tabla1[[#This Row],[FECHA DE SELECCIÓN]]-Tabla1[[#This Row],[FECHA DE AUTORIZACIÓN]]</f>
        <v>0</v>
      </c>
      <c r="O258" s="83"/>
      <c r="P258" s="80"/>
      <c r="Q258" s="91"/>
      <c r="R258" s="59"/>
    </row>
    <row r="259" spans="2:18" ht="16.5" thickTop="1" thickBot="1">
      <c r="B259" s="71"/>
      <c r="C259" s="89"/>
      <c r="D259" s="80"/>
      <c r="E259" s="80"/>
      <c r="F259" s="80"/>
      <c r="G259" s="80"/>
      <c r="H259" s="80"/>
      <c r="I259" s="80"/>
      <c r="J259" s="80"/>
      <c r="K259" s="90"/>
      <c r="L259" s="89"/>
      <c r="M259" s="80"/>
      <c r="N259" s="27">
        <f>Tabla1[[#This Row],[FECHA DE SELECCIÓN]]-Tabla1[[#This Row],[FECHA DE AUTORIZACIÓN]]</f>
        <v>0</v>
      </c>
      <c r="O259" s="83"/>
      <c r="P259" s="80"/>
      <c r="Q259" s="91"/>
      <c r="R259" s="59"/>
    </row>
    <row r="260" spans="2:18" ht="16.5" thickTop="1" thickBot="1">
      <c r="B260" s="71"/>
      <c r="C260" s="89"/>
      <c r="D260" s="80"/>
      <c r="E260" s="80"/>
      <c r="F260" s="80"/>
      <c r="G260" s="80"/>
      <c r="H260" s="80"/>
      <c r="I260" s="80"/>
      <c r="J260" s="80"/>
      <c r="K260" s="90"/>
      <c r="L260" s="89"/>
      <c r="M260" s="80"/>
      <c r="N260" s="27">
        <f>Tabla1[[#This Row],[FECHA DE SELECCIÓN]]-Tabla1[[#This Row],[FECHA DE AUTORIZACIÓN]]</f>
        <v>0</v>
      </c>
      <c r="O260" s="83"/>
      <c r="P260" s="80"/>
      <c r="Q260" s="91"/>
      <c r="R260" s="59"/>
    </row>
    <row r="261" spans="2:18" ht="16.5" thickTop="1" thickBot="1">
      <c r="B261" s="71"/>
      <c r="C261" s="89"/>
      <c r="D261" s="80"/>
      <c r="E261" s="80"/>
      <c r="F261" s="80"/>
      <c r="G261" s="80"/>
      <c r="H261" s="80"/>
      <c r="I261" s="80"/>
      <c r="J261" s="80"/>
      <c r="K261" s="90"/>
      <c r="L261" s="89"/>
      <c r="M261" s="80"/>
      <c r="N261" s="27">
        <f>Tabla1[[#This Row],[FECHA DE SELECCIÓN]]-Tabla1[[#This Row],[FECHA DE AUTORIZACIÓN]]</f>
        <v>0</v>
      </c>
      <c r="O261" s="83"/>
      <c r="P261" s="80"/>
      <c r="Q261" s="91"/>
      <c r="R261" s="59"/>
    </row>
    <row r="262" spans="2:18" ht="16.5" thickTop="1" thickBot="1">
      <c r="B262" s="71"/>
      <c r="C262" s="89"/>
      <c r="D262" s="80"/>
      <c r="E262" s="80"/>
      <c r="F262" s="80"/>
      <c r="G262" s="80"/>
      <c r="H262" s="80"/>
      <c r="I262" s="80"/>
      <c r="J262" s="80"/>
      <c r="K262" s="90"/>
      <c r="L262" s="89"/>
      <c r="M262" s="80"/>
      <c r="N262" s="27">
        <f>Tabla1[[#This Row],[FECHA DE SELECCIÓN]]-Tabla1[[#This Row],[FECHA DE AUTORIZACIÓN]]</f>
        <v>0</v>
      </c>
      <c r="O262" s="83"/>
      <c r="P262" s="80"/>
      <c r="Q262" s="91"/>
      <c r="R262" s="59"/>
    </row>
    <row r="263" spans="2:18" ht="16.5" thickTop="1" thickBot="1">
      <c r="B263" s="71"/>
      <c r="C263" s="89"/>
      <c r="D263" s="80"/>
      <c r="E263" s="80"/>
      <c r="F263" s="80"/>
      <c r="G263" s="80"/>
      <c r="H263" s="80"/>
      <c r="I263" s="80"/>
      <c r="J263" s="80"/>
      <c r="K263" s="90"/>
      <c r="L263" s="89"/>
      <c r="M263" s="80"/>
      <c r="N263" s="27">
        <f>Tabla1[[#This Row],[FECHA DE SELECCIÓN]]-Tabla1[[#This Row],[FECHA DE AUTORIZACIÓN]]</f>
        <v>0</v>
      </c>
      <c r="O263" s="83"/>
      <c r="P263" s="80"/>
      <c r="Q263" s="91"/>
      <c r="R263" s="59"/>
    </row>
    <row r="264" spans="2:18" ht="16.5" thickTop="1" thickBot="1">
      <c r="B264" s="71"/>
      <c r="C264" s="89"/>
      <c r="D264" s="80"/>
      <c r="E264" s="80"/>
      <c r="F264" s="80"/>
      <c r="G264" s="80"/>
      <c r="H264" s="80"/>
      <c r="I264" s="80"/>
      <c r="J264" s="80"/>
      <c r="K264" s="90"/>
      <c r="L264" s="89"/>
      <c r="M264" s="80"/>
      <c r="N264" s="27">
        <f>Tabla1[[#This Row],[FECHA DE SELECCIÓN]]-Tabla1[[#This Row],[FECHA DE AUTORIZACIÓN]]</f>
        <v>0</v>
      </c>
      <c r="O264" s="83"/>
      <c r="P264" s="80"/>
      <c r="Q264" s="91"/>
      <c r="R264" s="59"/>
    </row>
    <row r="265" spans="2:18" ht="16.5" thickTop="1" thickBot="1">
      <c r="B265" s="71"/>
      <c r="C265" s="89"/>
      <c r="D265" s="80"/>
      <c r="E265" s="80"/>
      <c r="F265" s="80"/>
      <c r="G265" s="80"/>
      <c r="H265" s="80"/>
      <c r="I265" s="80"/>
      <c r="J265" s="80"/>
      <c r="K265" s="90"/>
      <c r="L265" s="89"/>
      <c r="M265" s="80"/>
      <c r="N265" s="27">
        <f>Tabla1[[#This Row],[FECHA DE SELECCIÓN]]-Tabla1[[#This Row],[FECHA DE AUTORIZACIÓN]]</f>
        <v>0</v>
      </c>
      <c r="O265" s="83"/>
      <c r="P265" s="80"/>
      <c r="Q265" s="91"/>
      <c r="R265" s="59"/>
    </row>
    <row r="266" spans="2:18" ht="16.5" thickTop="1" thickBot="1">
      <c r="B266" s="71"/>
      <c r="C266" s="89"/>
      <c r="D266" s="80"/>
      <c r="E266" s="80"/>
      <c r="F266" s="80"/>
      <c r="G266" s="80"/>
      <c r="H266" s="80"/>
      <c r="I266" s="80"/>
      <c r="J266" s="80"/>
      <c r="K266" s="90"/>
      <c r="L266" s="89"/>
      <c r="M266" s="80"/>
      <c r="N266" s="27">
        <f>Tabla1[[#This Row],[FECHA DE SELECCIÓN]]-Tabla1[[#This Row],[FECHA DE AUTORIZACIÓN]]</f>
        <v>0</v>
      </c>
      <c r="O266" s="83"/>
      <c r="P266" s="80"/>
      <c r="Q266" s="91"/>
      <c r="R266" s="59"/>
    </row>
    <row r="267" spans="2:18" ht="16.5" thickTop="1" thickBot="1">
      <c r="B267" s="71"/>
      <c r="C267" s="89"/>
      <c r="D267" s="80"/>
      <c r="E267" s="80"/>
      <c r="F267" s="80"/>
      <c r="G267" s="80"/>
      <c r="H267" s="80"/>
      <c r="I267" s="80"/>
      <c r="J267" s="80"/>
      <c r="K267" s="90"/>
      <c r="L267" s="89"/>
      <c r="M267" s="80"/>
      <c r="N267" s="27">
        <f>Tabla1[[#This Row],[FECHA DE SELECCIÓN]]-Tabla1[[#This Row],[FECHA DE AUTORIZACIÓN]]</f>
        <v>0</v>
      </c>
      <c r="O267" s="83"/>
      <c r="P267" s="80"/>
      <c r="Q267" s="91"/>
      <c r="R267" s="59"/>
    </row>
    <row r="268" spans="2:18" ht="16.5" thickTop="1" thickBot="1">
      <c r="B268" s="71"/>
      <c r="C268" s="89"/>
      <c r="D268" s="80"/>
      <c r="E268" s="80"/>
      <c r="F268" s="80"/>
      <c r="G268" s="80"/>
      <c r="H268" s="80"/>
      <c r="I268" s="80"/>
      <c r="J268" s="80"/>
      <c r="K268" s="90"/>
      <c r="L268" s="89"/>
      <c r="M268" s="80"/>
      <c r="N268" s="27">
        <f>Tabla1[[#This Row],[FECHA DE SELECCIÓN]]-Tabla1[[#This Row],[FECHA DE AUTORIZACIÓN]]</f>
        <v>0</v>
      </c>
      <c r="O268" s="83"/>
      <c r="P268" s="80"/>
      <c r="Q268" s="91"/>
      <c r="R268" s="59"/>
    </row>
    <row r="269" spans="2:18" ht="16.5" thickTop="1" thickBot="1">
      <c r="B269" s="71"/>
      <c r="C269" s="89"/>
      <c r="D269" s="80"/>
      <c r="E269" s="80"/>
      <c r="F269" s="80"/>
      <c r="G269" s="80"/>
      <c r="H269" s="80"/>
      <c r="I269" s="80"/>
      <c r="J269" s="80"/>
      <c r="K269" s="90"/>
      <c r="L269" s="89"/>
      <c r="M269" s="80"/>
      <c r="N269" s="27">
        <f>Tabla1[[#This Row],[FECHA DE SELECCIÓN]]-Tabla1[[#This Row],[FECHA DE AUTORIZACIÓN]]</f>
        <v>0</v>
      </c>
      <c r="O269" s="83"/>
      <c r="P269" s="80"/>
      <c r="Q269" s="91"/>
      <c r="R269" s="59"/>
    </row>
    <row r="270" spans="2:18" ht="16.5" thickTop="1" thickBot="1">
      <c r="B270" s="71"/>
      <c r="C270" s="89"/>
      <c r="D270" s="80"/>
      <c r="E270" s="80"/>
      <c r="F270" s="80"/>
      <c r="G270" s="80"/>
      <c r="H270" s="80"/>
      <c r="I270" s="80"/>
      <c r="J270" s="80"/>
      <c r="K270" s="90"/>
      <c r="L270" s="89"/>
      <c r="M270" s="80"/>
      <c r="N270" s="27">
        <f>Tabla1[[#This Row],[FECHA DE SELECCIÓN]]-Tabla1[[#This Row],[FECHA DE AUTORIZACIÓN]]</f>
        <v>0</v>
      </c>
      <c r="O270" s="83"/>
      <c r="P270" s="80"/>
      <c r="Q270" s="91"/>
      <c r="R270" s="59"/>
    </row>
    <row r="271" spans="2:18" ht="16.5" thickTop="1" thickBot="1">
      <c r="B271" s="71"/>
      <c r="C271" s="89"/>
      <c r="D271" s="80"/>
      <c r="E271" s="80"/>
      <c r="F271" s="80"/>
      <c r="G271" s="80"/>
      <c r="H271" s="80"/>
      <c r="I271" s="80"/>
      <c r="J271" s="80"/>
      <c r="K271" s="90"/>
      <c r="L271" s="89"/>
      <c r="M271" s="80"/>
      <c r="N271" s="27">
        <f>Tabla1[[#This Row],[FECHA DE SELECCIÓN]]-Tabla1[[#This Row],[FECHA DE AUTORIZACIÓN]]</f>
        <v>0</v>
      </c>
      <c r="O271" s="83"/>
      <c r="P271" s="80"/>
      <c r="Q271" s="91"/>
      <c r="R271" s="59"/>
    </row>
    <row r="272" spans="2:18" ht="16.5" thickTop="1" thickBot="1">
      <c r="B272" s="71"/>
      <c r="C272" s="89"/>
      <c r="D272" s="80"/>
      <c r="E272" s="80"/>
      <c r="F272" s="80"/>
      <c r="G272" s="80"/>
      <c r="H272" s="80"/>
      <c r="I272" s="80"/>
      <c r="J272" s="80"/>
      <c r="K272" s="90"/>
      <c r="L272" s="89"/>
      <c r="M272" s="80"/>
      <c r="N272" s="27">
        <f>Tabla1[[#This Row],[FECHA DE SELECCIÓN]]-Tabla1[[#This Row],[FECHA DE AUTORIZACIÓN]]</f>
        <v>0</v>
      </c>
      <c r="O272" s="83"/>
      <c r="P272" s="80"/>
      <c r="Q272" s="91"/>
      <c r="R272" s="59"/>
    </row>
    <row r="273" spans="2:18" ht="16.5" thickTop="1" thickBot="1">
      <c r="B273" s="71"/>
      <c r="C273" s="89"/>
      <c r="D273" s="80"/>
      <c r="E273" s="80"/>
      <c r="F273" s="80"/>
      <c r="G273" s="80"/>
      <c r="H273" s="80"/>
      <c r="I273" s="80"/>
      <c r="J273" s="80"/>
      <c r="K273" s="90"/>
      <c r="L273" s="89"/>
      <c r="M273" s="80"/>
      <c r="N273" s="27">
        <f>Tabla1[[#This Row],[FECHA DE SELECCIÓN]]-Tabla1[[#This Row],[FECHA DE AUTORIZACIÓN]]</f>
        <v>0</v>
      </c>
      <c r="O273" s="83"/>
      <c r="P273" s="80"/>
      <c r="Q273" s="91"/>
      <c r="R273" s="59"/>
    </row>
    <row r="274" spans="2:18" ht="16.5" thickTop="1" thickBot="1">
      <c r="B274" s="71"/>
      <c r="C274" s="89"/>
      <c r="D274" s="80"/>
      <c r="E274" s="80"/>
      <c r="F274" s="80"/>
      <c r="G274" s="80"/>
      <c r="H274" s="80"/>
      <c r="I274" s="80"/>
      <c r="J274" s="80"/>
      <c r="K274" s="90"/>
      <c r="L274" s="89"/>
      <c r="M274" s="80"/>
      <c r="N274" s="27">
        <f>Tabla1[[#This Row],[FECHA DE SELECCIÓN]]-Tabla1[[#This Row],[FECHA DE AUTORIZACIÓN]]</f>
        <v>0</v>
      </c>
      <c r="O274" s="83"/>
      <c r="P274" s="80"/>
      <c r="Q274" s="91"/>
      <c r="R274" s="59"/>
    </row>
    <row r="275" spans="2:18" ht="16.5" thickTop="1" thickBot="1">
      <c r="B275" s="71"/>
      <c r="C275" s="89"/>
      <c r="D275" s="80"/>
      <c r="E275" s="80"/>
      <c r="F275" s="80"/>
      <c r="G275" s="80"/>
      <c r="H275" s="80"/>
      <c r="I275" s="80"/>
      <c r="J275" s="80"/>
      <c r="K275" s="90"/>
      <c r="L275" s="89"/>
      <c r="M275" s="80"/>
      <c r="N275" s="27">
        <f>Tabla1[[#This Row],[FECHA DE SELECCIÓN]]-Tabla1[[#This Row],[FECHA DE AUTORIZACIÓN]]</f>
        <v>0</v>
      </c>
      <c r="O275" s="83"/>
      <c r="P275" s="80"/>
      <c r="Q275" s="91"/>
      <c r="R275" s="59"/>
    </row>
    <row r="276" spans="2:18" ht="16.5" thickTop="1" thickBot="1">
      <c r="B276" s="71"/>
      <c r="C276" s="89"/>
      <c r="D276" s="80"/>
      <c r="E276" s="80"/>
      <c r="F276" s="80"/>
      <c r="G276" s="80"/>
      <c r="H276" s="80"/>
      <c r="I276" s="80"/>
      <c r="J276" s="80"/>
      <c r="K276" s="90"/>
      <c r="L276" s="89"/>
      <c r="M276" s="80"/>
      <c r="N276" s="27">
        <f>Tabla1[[#This Row],[FECHA DE SELECCIÓN]]-Tabla1[[#This Row],[FECHA DE AUTORIZACIÓN]]</f>
        <v>0</v>
      </c>
      <c r="O276" s="83"/>
      <c r="P276" s="80"/>
      <c r="Q276" s="91"/>
      <c r="R276" s="59"/>
    </row>
    <row r="277" spans="2:18" ht="16.5" thickTop="1" thickBot="1">
      <c r="B277" s="71"/>
      <c r="C277" s="89"/>
      <c r="D277" s="80"/>
      <c r="E277" s="80"/>
      <c r="F277" s="80"/>
      <c r="G277" s="80"/>
      <c r="H277" s="80"/>
      <c r="I277" s="80"/>
      <c r="J277" s="80"/>
      <c r="K277" s="90"/>
      <c r="L277" s="89"/>
      <c r="M277" s="80"/>
      <c r="N277" s="27">
        <f>Tabla1[[#This Row],[FECHA DE SELECCIÓN]]-Tabla1[[#This Row],[FECHA DE AUTORIZACIÓN]]</f>
        <v>0</v>
      </c>
      <c r="O277" s="83"/>
      <c r="P277" s="80"/>
      <c r="Q277" s="91"/>
      <c r="R277" s="59"/>
    </row>
    <row r="278" spans="2:18" ht="16.5" thickTop="1" thickBot="1">
      <c r="B278" s="71"/>
      <c r="C278" s="89"/>
      <c r="D278" s="80"/>
      <c r="E278" s="80"/>
      <c r="F278" s="80"/>
      <c r="G278" s="80"/>
      <c r="H278" s="80"/>
      <c r="I278" s="80"/>
      <c r="J278" s="80"/>
      <c r="K278" s="90"/>
      <c r="L278" s="89"/>
      <c r="M278" s="80"/>
      <c r="N278" s="27">
        <f>Tabla1[[#This Row],[FECHA DE SELECCIÓN]]-Tabla1[[#This Row],[FECHA DE AUTORIZACIÓN]]</f>
        <v>0</v>
      </c>
      <c r="O278" s="83"/>
      <c r="P278" s="80"/>
      <c r="Q278" s="91"/>
      <c r="R278" s="59"/>
    </row>
    <row r="279" spans="2:18" ht="16.5" thickTop="1" thickBot="1">
      <c r="B279" s="71"/>
      <c r="C279" s="89"/>
      <c r="D279" s="80"/>
      <c r="E279" s="80"/>
      <c r="F279" s="80"/>
      <c r="G279" s="80"/>
      <c r="H279" s="80"/>
      <c r="I279" s="80"/>
      <c r="J279" s="80"/>
      <c r="K279" s="90"/>
      <c r="L279" s="89"/>
      <c r="M279" s="80"/>
      <c r="N279" s="27">
        <f>Tabla1[[#This Row],[FECHA DE SELECCIÓN]]-Tabla1[[#This Row],[FECHA DE AUTORIZACIÓN]]</f>
        <v>0</v>
      </c>
      <c r="O279" s="83"/>
      <c r="P279" s="80"/>
      <c r="Q279" s="91"/>
      <c r="R279" s="59"/>
    </row>
    <row r="280" spans="2:18" ht="16.5" thickTop="1" thickBot="1">
      <c r="B280" s="71"/>
      <c r="C280" s="89"/>
      <c r="D280" s="80"/>
      <c r="E280" s="80"/>
      <c r="F280" s="80"/>
      <c r="G280" s="80"/>
      <c r="H280" s="80"/>
      <c r="I280" s="80"/>
      <c r="J280" s="80"/>
      <c r="K280" s="90"/>
      <c r="L280" s="89"/>
      <c r="M280" s="80"/>
      <c r="N280" s="27">
        <f>Tabla1[[#This Row],[FECHA DE SELECCIÓN]]-Tabla1[[#This Row],[FECHA DE AUTORIZACIÓN]]</f>
        <v>0</v>
      </c>
      <c r="O280" s="83"/>
      <c r="P280" s="80"/>
      <c r="Q280" s="91"/>
      <c r="R280" s="59"/>
    </row>
    <row r="281" spans="2:18" ht="16.5" thickTop="1" thickBot="1">
      <c r="B281" s="71"/>
      <c r="C281" s="89"/>
      <c r="D281" s="80"/>
      <c r="E281" s="80"/>
      <c r="F281" s="80"/>
      <c r="G281" s="80"/>
      <c r="H281" s="80"/>
      <c r="I281" s="80"/>
      <c r="J281" s="80"/>
      <c r="K281" s="90"/>
      <c r="L281" s="89"/>
      <c r="M281" s="80"/>
      <c r="N281" s="27">
        <f>Tabla1[[#This Row],[FECHA DE SELECCIÓN]]-Tabla1[[#This Row],[FECHA DE AUTORIZACIÓN]]</f>
        <v>0</v>
      </c>
      <c r="O281" s="83"/>
      <c r="P281" s="80"/>
      <c r="Q281" s="91"/>
      <c r="R281" s="59"/>
    </row>
    <row r="282" spans="2:18" ht="16.5" thickTop="1" thickBot="1">
      <c r="B282" s="71"/>
      <c r="C282" s="89"/>
      <c r="D282" s="80"/>
      <c r="E282" s="80"/>
      <c r="F282" s="80"/>
      <c r="G282" s="80"/>
      <c r="H282" s="80"/>
      <c r="I282" s="80"/>
      <c r="J282" s="80"/>
      <c r="K282" s="90"/>
      <c r="L282" s="89"/>
      <c r="M282" s="80"/>
      <c r="N282" s="27">
        <f>Tabla1[[#This Row],[FECHA DE SELECCIÓN]]-Tabla1[[#This Row],[FECHA DE AUTORIZACIÓN]]</f>
        <v>0</v>
      </c>
      <c r="O282" s="83"/>
      <c r="P282" s="80"/>
      <c r="Q282" s="91"/>
      <c r="R282" s="59"/>
    </row>
    <row r="283" spans="2:18" ht="16.5" thickTop="1" thickBot="1">
      <c r="B283" s="71"/>
      <c r="C283" s="89"/>
      <c r="D283" s="80"/>
      <c r="E283" s="80"/>
      <c r="F283" s="80"/>
      <c r="G283" s="80"/>
      <c r="H283" s="80"/>
      <c r="I283" s="80"/>
      <c r="J283" s="80"/>
      <c r="K283" s="90"/>
      <c r="L283" s="89"/>
      <c r="M283" s="80"/>
      <c r="N283" s="27">
        <f>Tabla1[[#This Row],[FECHA DE SELECCIÓN]]-Tabla1[[#This Row],[FECHA DE AUTORIZACIÓN]]</f>
        <v>0</v>
      </c>
      <c r="O283" s="83"/>
      <c r="P283" s="80"/>
      <c r="Q283" s="91"/>
      <c r="R283" s="59"/>
    </row>
    <row r="284" spans="2:18" ht="16.5" thickTop="1" thickBot="1">
      <c r="B284" s="71"/>
      <c r="C284" s="89"/>
      <c r="D284" s="80"/>
      <c r="E284" s="80"/>
      <c r="F284" s="80"/>
      <c r="G284" s="80"/>
      <c r="H284" s="80"/>
      <c r="I284" s="80"/>
      <c r="J284" s="80"/>
      <c r="K284" s="90"/>
      <c r="L284" s="89"/>
      <c r="M284" s="80"/>
      <c r="N284" s="27">
        <f>Tabla1[[#This Row],[FECHA DE SELECCIÓN]]-Tabla1[[#This Row],[FECHA DE AUTORIZACIÓN]]</f>
        <v>0</v>
      </c>
      <c r="O284" s="83"/>
      <c r="P284" s="80"/>
      <c r="Q284" s="91"/>
      <c r="R284" s="59"/>
    </row>
    <row r="285" spans="2:18" ht="16.5" thickTop="1" thickBot="1">
      <c r="B285" s="71"/>
      <c r="C285" s="89"/>
      <c r="D285" s="80"/>
      <c r="E285" s="80"/>
      <c r="F285" s="80"/>
      <c r="G285" s="80"/>
      <c r="H285" s="80"/>
      <c r="I285" s="80"/>
      <c r="J285" s="80"/>
      <c r="K285" s="90"/>
      <c r="L285" s="89"/>
      <c r="M285" s="80"/>
      <c r="N285" s="27">
        <f>Tabla1[[#This Row],[FECHA DE SELECCIÓN]]-Tabla1[[#This Row],[FECHA DE AUTORIZACIÓN]]</f>
        <v>0</v>
      </c>
      <c r="O285" s="83"/>
      <c r="P285" s="80"/>
      <c r="Q285" s="91"/>
      <c r="R285" s="59"/>
    </row>
    <row r="286" spans="2:18" ht="16.5" thickTop="1" thickBot="1">
      <c r="B286" s="71"/>
      <c r="C286" s="89"/>
      <c r="D286" s="80"/>
      <c r="E286" s="80"/>
      <c r="F286" s="80"/>
      <c r="G286" s="80"/>
      <c r="H286" s="80"/>
      <c r="I286" s="80"/>
      <c r="J286" s="80"/>
      <c r="K286" s="90"/>
      <c r="L286" s="89"/>
      <c r="M286" s="80"/>
      <c r="N286" s="27">
        <f>Tabla1[[#This Row],[FECHA DE SELECCIÓN]]-Tabla1[[#This Row],[FECHA DE AUTORIZACIÓN]]</f>
        <v>0</v>
      </c>
      <c r="O286" s="83"/>
      <c r="P286" s="80"/>
      <c r="Q286" s="91"/>
      <c r="R286" s="59"/>
    </row>
    <row r="287" spans="2:18" ht="16.5" thickTop="1" thickBot="1">
      <c r="B287" s="71"/>
      <c r="C287" s="89"/>
      <c r="D287" s="80"/>
      <c r="E287" s="80"/>
      <c r="F287" s="80"/>
      <c r="G287" s="80"/>
      <c r="H287" s="80"/>
      <c r="I287" s="80"/>
      <c r="J287" s="80"/>
      <c r="K287" s="90"/>
      <c r="L287" s="89"/>
      <c r="M287" s="80"/>
      <c r="N287" s="27">
        <f>Tabla1[[#This Row],[FECHA DE SELECCIÓN]]-Tabla1[[#This Row],[FECHA DE AUTORIZACIÓN]]</f>
        <v>0</v>
      </c>
      <c r="O287" s="83"/>
      <c r="P287" s="80"/>
      <c r="Q287" s="91"/>
      <c r="R287" s="59"/>
    </row>
    <row r="288" spans="2:18" ht="16.5" thickTop="1" thickBot="1">
      <c r="B288" s="71"/>
      <c r="C288" s="89"/>
      <c r="D288" s="80"/>
      <c r="E288" s="80"/>
      <c r="F288" s="80"/>
      <c r="G288" s="80"/>
      <c r="H288" s="80"/>
      <c r="I288" s="80"/>
      <c r="J288" s="80"/>
      <c r="K288" s="90"/>
      <c r="L288" s="89"/>
      <c r="M288" s="80"/>
      <c r="N288" s="27">
        <f>Tabla1[[#This Row],[FECHA DE SELECCIÓN]]-Tabla1[[#This Row],[FECHA DE AUTORIZACIÓN]]</f>
        <v>0</v>
      </c>
      <c r="O288" s="83"/>
      <c r="P288" s="80"/>
      <c r="Q288" s="91"/>
      <c r="R288" s="59"/>
    </row>
    <row r="289" spans="2:18" ht="16.5" thickTop="1" thickBot="1">
      <c r="B289" s="71"/>
      <c r="C289" s="89"/>
      <c r="D289" s="80"/>
      <c r="E289" s="80"/>
      <c r="F289" s="80"/>
      <c r="G289" s="80"/>
      <c r="H289" s="80"/>
      <c r="I289" s="80"/>
      <c r="J289" s="80"/>
      <c r="K289" s="90"/>
      <c r="L289" s="89"/>
      <c r="M289" s="80"/>
      <c r="N289" s="27">
        <f>Tabla1[[#This Row],[FECHA DE SELECCIÓN]]-Tabla1[[#This Row],[FECHA DE AUTORIZACIÓN]]</f>
        <v>0</v>
      </c>
      <c r="O289" s="83"/>
      <c r="P289" s="80"/>
      <c r="Q289" s="91"/>
      <c r="R289" s="59"/>
    </row>
    <row r="290" spans="2:18" ht="16.5" thickTop="1" thickBot="1">
      <c r="B290" s="71"/>
      <c r="C290" s="89"/>
      <c r="D290" s="80"/>
      <c r="E290" s="80"/>
      <c r="F290" s="80"/>
      <c r="G290" s="80"/>
      <c r="H290" s="80"/>
      <c r="I290" s="80"/>
      <c r="J290" s="80"/>
      <c r="K290" s="90"/>
      <c r="L290" s="89"/>
      <c r="M290" s="80"/>
      <c r="N290" s="27">
        <f>Tabla1[[#This Row],[FECHA DE SELECCIÓN]]-Tabla1[[#This Row],[FECHA DE AUTORIZACIÓN]]</f>
        <v>0</v>
      </c>
      <c r="O290" s="83"/>
      <c r="P290" s="80"/>
      <c r="Q290" s="91"/>
      <c r="R290" s="59"/>
    </row>
    <row r="291" spans="2:18" ht="16.5" thickTop="1" thickBot="1">
      <c r="B291" s="71"/>
      <c r="C291" s="89"/>
      <c r="D291" s="80"/>
      <c r="E291" s="80"/>
      <c r="F291" s="80"/>
      <c r="G291" s="80"/>
      <c r="H291" s="80"/>
      <c r="I291" s="80"/>
      <c r="J291" s="80"/>
      <c r="K291" s="90"/>
      <c r="L291" s="89"/>
      <c r="M291" s="80"/>
      <c r="N291" s="27">
        <f>Tabla1[[#This Row],[FECHA DE SELECCIÓN]]-Tabla1[[#This Row],[FECHA DE AUTORIZACIÓN]]</f>
        <v>0</v>
      </c>
      <c r="O291" s="83"/>
      <c r="P291" s="80"/>
      <c r="Q291" s="91"/>
      <c r="R291" s="59"/>
    </row>
    <row r="292" spans="2:18" ht="16.5" thickTop="1" thickBot="1">
      <c r="B292" s="71"/>
      <c r="C292" s="89"/>
      <c r="D292" s="80"/>
      <c r="E292" s="80"/>
      <c r="F292" s="80"/>
      <c r="G292" s="80"/>
      <c r="H292" s="80"/>
      <c r="I292" s="80"/>
      <c r="J292" s="80"/>
      <c r="K292" s="90"/>
      <c r="L292" s="89"/>
      <c r="M292" s="80"/>
      <c r="N292" s="27">
        <f>Tabla1[[#This Row],[FECHA DE SELECCIÓN]]-Tabla1[[#This Row],[FECHA DE AUTORIZACIÓN]]</f>
        <v>0</v>
      </c>
      <c r="O292" s="83"/>
      <c r="P292" s="80"/>
      <c r="Q292" s="91"/>
      <c r="R292" s="59"/>
    </row>
    <row r="293" spans="2:18" ht="16.5" thickTop="1" thickBot="1">
      <c r="B293" s="71"/>
      <c r="C293" s="89"/>
      <c r="D293" s="80"/>
      <c r="E293" s="80"/>
      <c r="F293" s="80"/>
      <c r="G293" s="80"/>
      <c r="H293" s="80"/>
      <c r="I293" s="80"/>
      <c r="J293" s="80"/>
      <c r="K293" s="90"/>
      <c r="L293" s="89"/>
      <c r="M293" s="80"/>
      <c r="N293" s="27">
        <f>Tabla1[[#This Row],[FECHA DE SELECCIÓN]]-Tabla1[[#This Row],[FECHA DE AUTORIZACIÓN]]</f>
        <v>0</v>
      </c>
      <c r="O293" s="83"/>
      <c r="P293" s="80"/>
      <c r="Q293" s="91"/>
      <c r="R293" s="59"/>
    </row>
    <row r="294" spans="2:18" ht="16.5" thickTop="1" thickBot="1">
      <c r="B294" s="71"/>
      <c r="C294" s="89"/>
      <c r="D294" s="80"/>
      <c r="E294" s="80"/>
      <c r="F294" s="80"/>
      <c r="G294" s="80"/>
      <c r="H294" s="80"/>
      <c r="I294" s="80"/>
      <c r="J294" s="80"/>
      <c r="K294" s="90"/>
      <c r="L294" s="89"/>
      <c r="M294" s="80"/>
      <c r="N294" s="27">
        <f>Tabla1[[#This Row],[FECHA DE SELECCIÓN]]-Tabla1[[#This Row],[FECHA DE AUTORIZACIÓN]]</f>
        <v>0</v>
      </c>
      <c r="O294" s="83"/>
      <c r="P294" s="80"/>
      <c r="Q294" s="91"/>
      <c r="R294" s="59"/>
    </row>
    <row r="295" spans="2:18" ht="16.5" thickTop="1" thickBot="1">
      <c r="B295" s="71"/>
      <c r="C295" s="89"/>
      <c r="D295" s="80"/>
      <c r="E295" s="80"/>
      <c r="F295" s="80"/>
      <c r="G295" s="80"/>
      <c r="H295" s="80"/>
      <c r="I295" s="80"/>
      <c r="J295" s="80"/>
      <c r="K295" s="90"/>
      <c r="L295" s="89"/>
      <c r="M295" s="80"/>
      <c r="N295" s="27">
        <f>Tabla1[[#This Row],[FECHA DE SELECCIÓN]]-Tabla1[[#This Row],[FECHA DE AUTORIZACIÓN]]</f>
        <v>0</v>
      </c>
      <c r="O295" s="83"/>
      <c r="P295" s="80"/>
      <c r="Q295" s="91"/>
      <c r="R295" s="59"/>
    </row>
    <row r="296" spans="2:18" ht="16.5" thickTop="1" thickBot="1">
      <c r="B296" s="71"/>
      <c r="C296" s="89"/>
      <c r="D296" s="80"/>
      <c r="E296" s="80"/>
      <c r="F296" s="80"/>
      <c r="G296" s="80"/>
      <c r="H296" s="80"/>
      <c r="I296" s="80"/>
      <c r="J296" s="80"/>
      <c r="K296" s="90"/>
      <c r="L296" s="89"/>
      <c r="M296" s="80"/>
      <c r="N296" s="27">
        <f>Tabla1[[#This Row],[FECHA DE SELECCIÓN]]-Tabla1[[#This Row],[FECHA DE AUTORIZACIÓN]]</f>
        <v>0</v>
      </c>
      <c r="O296" s="83"/>
      <c r="P296" s="80"/>
      <c r="Q296" s="91"/>
      <c r="R296" s="59"/>
    </row>
    <row r="297" spans="2:18" ht="16.5" thickTop="1" thickBot="1">
      <c r="B297" s="71"/>
      <c r="C297" s="89"/>
      <c r="D297" s="80"/>
      <c r="E297" s="80"/>
      <c r="F297" s="80"/>
      <c r="G297" s="80"/>
      <c r="H297" s="80"/>
      <c r="I297" s="80"/>
      <c r="J297" s="80"/>
      <c r="K297" s="90"/>
      <c r="L297" s="89"/>
      <c r="M297" s="80"/>
      <c r="N297" s="27">
        <f>Tabla1[[#This Row],[FECHA DE SELECCIÓN]]-Tabla1[[#This Row],[FECHA DE AUTORIZACIÓN]]</f>
        <v>0</v>
      </c>
      <c r="O297" s="83"/>
      <c r="P297" s="80"/>
      <c r="Q297" s="91"/>
      <c r="R297" s="59"/>
    </row>
    <row r="298" spans="2:18" ht="16.5" thickTop="1" thickBot="1">
      <c r="B298" s="71"/>
      <c r="C298" s="89"/>
      <c r="D298" s="80"/>
      <c r="E298" s="80"/>
      <c r="F298" s="80"/>
      <c r="G298" s="80"/>
      <c r="H298" s="80"/>
      <c r="I298" s="80"/>
      <c r="J298" s="80"/>
      <c r="K298" s="90"/>
      <c r="L298" s="89"/>
      <c r="M298" s="80"/>
      <c r="N298" s="27">
        <f>Tabla1[[#This Row],[FECHA DE SELECCIÓN]]-Tabla1[[#This Row],[FECHA DE AUTORIZACIÓN]]</f>
        <v>0</v>
      </c>
      <c r="O298" s="83"/>
      <c r="P298" s="80"/>
      <c r="Q298" s="91"/>
      <c r="R298" s="59"/>
    </row>
    <row r="299" spans="2:18" ht="16.5" thickTop="1" thickBot="1">
      <c r="B299" s="71"/>
      <c r="C299" s="89"/>
      <c r="D299" s="80"/>
      <c r="E299" s="80"/>
      <c r="F299" s="80"/>
      <c r="G299" s="80"/>
      <c r="H299" s="80"/>
      <c r="I299" s="80"/>
      <c r="J299" s="80"/>
      <c r="K299" s="90"/>
      <c r="L299" s="89"/>
      <c r="M299" s="80"/>
      <c r="N299" s="27">
        <f>Tabla1[[#This Row],[FECHA DE SELECCIÓN]]-Tabla1[[#This Row],[FECHA DE AUTORIZACIÓN]]</f>
        <v>0</v>
      </c>
      <c r="O299" s="83"/>
      <c r="P299" s="80"/>
      <c r="Q299" s="91"/>
      <c r="R299" s="59"/>
    </row>
    <row r="300" spans="2:18" ht="16.5" thickTop="1" thickBot="1">
      <c r="B300" s="71"/>
      <c r="C300" s="89"/>
      <c r="D300" s="80"/>
      <c r="E300" s="80"/>
      <c r="F300" s="80"/>
      <c r="G300" s="80"/>
      <c r="H300" s="80"/>
      <c r="I300" s="80"/>
      <c r="J300" s="80"/>
      <c r="K300" s="90"/>
      <c r="L300" s="89"/>
      <c r="M300" s="80"/>
      <c r="N300" s="27">
        <f>Tabla1[[#This Row],[FECHA DE SELECCIÓN]]-Tabla1[[#This Row],[FECHA DE AUTORIZACIÓN]]</f>
        <v>0</v>
      </c>
      <c r="O300" s="83"/>
      <c r="P300" s="80"/>
      <c r="Q300" s="91"/>
      <c r="R300" s="59"/>
    </row>
    <row r="301" spans="2:18" ht="16.5" thickTop="1" thickBot="1">
      <c r="B301" s="71"/>
      <c r="C301" s="89"/>
      <c r="D301" s="80"/>
      <c r="E301" s="80"/>
      <c r="F301" s="80"/>
      <c r="G301" s="80"/>
      <c r="H301" s="80"/>
      <c r="I301" s="80"/>
      <c r="J301" s="80"/>
      <c r="K301" s="90"/>
      <c r="L301" s="89"/>
      <c r="M301" s="80"/>
      <c r="N301" s="27">
        <f>Tabla1[[#This Row],[FECHA DE SELECCIÓN]]-Tabla1[[#This Row],[FECHA DE AUTORIZACIÓN]]</f>
        <v>0</v>
      </c>
      <c r="O301" s="83"/>
      <c r="P301" s="80"/>
      <c r="Q301" s="91"/>
      <c r="R301" s="59"/>
    </row>
    <row r="302" spans="2:18" ht="16.5" thickTop="1" thickBot="1">
      <c r="B302" s="71"/>
      <c r="C302" s="89"/>
      <c r="D302" s="80"/>
      <c r="E302" s="80"/>
      <c r="F302" s="80"/>
      <c r="G302" s="80"/>
      <c r="H302" s="80"/>
      <c r="I302" s="80"/>
      <c r="J302" s="80"/>
      <c r="K302" s="90"/>
      <c r="L302" s="89"/>
      <c r="M302" s="80"/>
      <c r="N302" s="27">
        <f>Tabla1[[#This Row],[FECHA DE SELECCIÓN]]-Tabla1[[#This Row],[FECHA DE AUTORIZACIÓN]]</f>
        <v>0</v>
      </c>
      <c r="O302" s="83"/>
      <c r="P302" s="80"/>
      <c r="Q302" s="91"/>
      <c r="R302" s="59"/>
    </row>
    <row r="303" spans="2:18" ht="16.5" thickTop="1" thickBot="1">
      <c r="B303" s="71"/>
      <c r="C303" s="89"/>
      <c r="D303" s="80"/>
      <c r="E303" s="80"/>
      <c r="F303" s="80"/>
      <c r="G303" s="80"/>
      <c r="H303" s="80"/>
      <c r="I303" s="80"/>
      <c r="J303" s="80"/>
      <c r="K303" s="90"/>
      <c r="L303" s="89"/>
      <c r="M303" s="80"/>
      <c r="N303" s="27">
        <f>Tabla1[[#This Row],[FECHA DE SELECCIÓN]]-Tabla1[[#This Row],[FECHA DE AUTORIZACIÓN]]</f>
        <v>0</v>
      </c>
      <c r="O303" s="83"/>
      <c r="P303" s="80"/>
      <c r="Q303" s="91"/>
      <c r="R303" s="59"/>
    </row>
    <row r="304" spans="2:18" ht="16.5" thickTop="1" thickBot="1">
      <c r="B304" s="71"/>
      <c r="C304" s="89"/>
      <c r="D304" s="80"/>
      <c r="E304" s="80"/>
      <c r="F304" s="80"/>
      <c r="G304" s="80"/>
      <c r="H304" s="80"/>
      <c r="I304" s="80"/>
      <c r="J304" s="80"/>
      <c r="K304" s="90"/>
      <c r="L304" s="89"/>
      <c r="M304" s="80"/>
      <c r="N304" s="27">
        <f>Tabla1[[#This Row],[FECHA DE SELECCIÓN]]-Tabla1[[#This Row],[FECHA DE AUTORIZACIÓN]]</f>
        <v>0</v>
      </c>
      <c r="O304" s="83"/>
      <c r="P304" s="80"/>
      <c r="Q304" s="91"/>
      <c r="R304" s="59"/>
    </row>
    <row r="305" spans="2:18" ht="16.5" thickTop="1" thickBot="1">
      <c r="B305" s="71"/>
      <c r="C305" s="89"/>
      <c r="D305" s="80"/>
      <c r="E305" s="80"/>
      <c r="F305" s="80"/>
      <c r="G305" s="80"/>
      <c r="H305" s="80"/>
      <c r="I305" s="80"/>
      <c r="J305" s="80"/>
      <c r="K305" s="90"/>
      <c r="L305" s="89"/>
      <c r="M305" s="80"/>
      <c r="N305" s="27">
        <f>Tabla1[[#This Row],[FECHA DE SELECCIÓN]]-Tabla1[[#This Row],[FECHA DE AUTORIZACIÓN]]</f>
        <v>0</v>
      </c>
      <c r="O305" s="83"/>
      <c r="P305" s="80"/>
      <c r="Q305" s="91"/>
      <c r="R305" s="59"/>
    </row>
    <row r="306" spans="2:18" ht="16.5" thickTop="1" thickBot="1">
      <c r="B306" s="71"/>
      <c r="C306" s="89"/>
      <c r="D306" s="80"/>
      <c r="E306" s="80"/>
      <c r="F306" s="80"/>
      <c r="G306" s="80"/>
      <c r="H306" s="80"/>
      <c r="I306" s="80"/>
      <c r="J306" s="80"/>
      <c r="K306" s="90"/>
      <c r="L306" s="89"/>
      <c r="M306" s="80"/>
      <c r="N306" s="27">
        <f>Tabla1[[#This Row],[FECHA DE SELECCIÓN]]-Tabla1[[#This Row],[FECHA DE AUTORIZACIÓN]]</f>
        <v>0</v>
      </c>
      <c r="O306" s="83"/>
      <c r="P306" s="80"/>
      <c r="Q306" s="91"/>
      <c r="R306" s="59"/>
    </row>
    <row r="307" spans="2:18" ht="16.5" thickTop="1" thickBot="1">
      <c r="B307" s="71"/>
      <c r="C307" s="89"/>
      <c r="D307" s="80"/>
      <c r="E307" s="80"/>
      <c r="F307" s="80"/>
      <c r="G307" s="80"/>
      <c r="H307" s="80"/>
      <c r="I307" s="80"/>
      <c r="J307" s="80"/>
      <c r="K307" s="90"/>
      <c r="L307" s="89"/>
      <c r="M307" s="80"/>
      <c r="N307" s="27">
        <f>Tabla1[[#This Row],[FECHA DE SELECCIÓN]]-Tabla1[[#This Row],[FECHA DE AUTORIZACIÓN]]</f>
        <v>0</v>
      </c>
      <c r="O307" s="83"/>
      <c r="P307" s="80"/>
      <c r="Q307" s="91"/>
      <c r="R307" s="59"/>
    </row>
    <row r="308" spans="2:18" ht="16.5" thickTop="1" thickBot="1">
      <c r="B308" s="71"/>
      <c r="C308" s="89"/>
      <c r="D308" s="80"/>
      <c r="E308" s="80"/>
      <c r="F308" s="80"/>
      <c r="G308" s="80"/>
      <c r="H308" s="80"/>
      <c r="I308" s="80"/>
      <c r="J308" s="80"/>
      <c r="K308" s="90"/>
      <c r="L308" s="89"/>
      <c r="M308" s="80"/>
      <c r="N308" s="27">
        <f>Tabla1[[#This Row],[FECHA DE SELECCIÓN]]-Tabla1[[#This Row],[FECHA DE AUTORIZACIÓN]]</f>
        <v>0</v>
      </c>
      <c r="O308" s="83"/>
      <c r="P308" s="80"/>
      <c r="Q308" s="91"/>
      <c r="R308" s="59"/>
    </row>
    <row r="309" spans="2:18" ht="16.5" thickTop="1" thickBot="1">
      <c r="B309" s="71"/>
      <c r="C309" s="89"/>
      <c r="D309" s="80"/>
      <c r="E309" s="80"/>
      <c r="F309" s="80"/>
      <c r="G309" s="80"/>
      <c r="H309" s="80"/>
      <c r="I309" s="80"/>
      <c r="J309" s="80"/>
      <c r="K309" s="90"/>
      <c r="L309" s="89"/>
      <c r="M309" s="80"/>
      <c r="N309" s="27">
        <f>Tabla1[[#This Row],[FECHA DE SELECCIÓN]]-Tabla1[[#This Row],[FECHA DE AUTORIZACIÓN]]</f>
        <v>0</v>
      </c>
      <c r="O309" s="83"/>
      <c r="P309" s="80"/>
      <c r="Q309" s="91"/>
      <c r="R309" s="59"/>
    </row>
    <row r="310" spans="2:18" ht="16.5" thickTop="1" thickBot="1">
      <c r="B310" s="71"/>
      <c r="C310" s="89"/>
      <c r="D310" s="80"/>
      <c r="E310" s="80"/>
      <c r="F310" s="80"/>
      <c r="G310" s="80"/>
      <c r="H310" s="80"/>
      <c r="I310" s="80"/>
      <c r="J310" s="80"/>
      <c r="K310" s="90"/>
      <c r="L310" s="89"/>
      <c r="M310" s="80"/>
      <c r="N310" s="27">
        <f>Tabla1[[#This Row],[FECHA DE SELECCIÓN]]-Tabla1[[#This Row],[FECHA DE AUTORIZACIÓN]]</f>
        <v>0</v>
      </c>
      <c r="O310" s="83"/>
      <c r="P310" s="80"/>
      <c r="Q310" s="91"/>
      <c r="R310" s="59"/>
    </row>
    <row r="311" spans="2:18" ht="16.5" thickTop="1" thickBot="1">
      <c r="B311" s="71"/>
      <c r="C311" s="89"/>
      <c r="D311" s="80"/>
      <c r="E311" s="80"/>
      <c r="F311" s="80"/>
      <c r="G311" s="80"/>
      <c r="H311" s="80"/>
      <c r="I311" s="80"/>
      <c r="J311" s="80"/>
      <c r="K311" s="90"/>
      <c r="L311" s="89"/>
      <c r="M311" s="80"/>
      <c r="N311" s="27">
        <f>Tabla1[[#This Row],[FECHA DE SELECCIÓN]]-Tabla1[[#This Row],[FECHA DE AUTORIZACIÓN]]</f>
        <v>0</v>
      </c>
      <c r="O311" s="83"/>
      <c r="P311" s="80"/>
      <c r="Q311" s="91"/>
      <c r="R311" s="59"/>
    </row>
    <row r="312" spans="2:18" ht="16.5" thickTop="1" thickBot="1">
      <c r="B312" s="71"/>
      <c r="C312" s="89"/>
      <c r="D312" s="80"/>
      <c r="E312" s="80"/>
      <c r="F312" s="80"/>
      <c r="G312" s="80"/>
      <c r="H312" s="80"/>
      <c r="I312" s="80"/>
      <c r="J312" s="80"/>
      <c r="K312" s="90"/>
      <c r="L312" s="89"/>
      <c r="M312" s="80"/>
      <c r="N312" s="27">
        <f>Tabla1[[#This Row],[FECHA DE SELECCIÓN]]-Tabla1[[#This Row],[FECHA DE AUTORIZACIÓN]]</f>
        <v>0</v>
      </c>
      <c r="O312" s="83"/>
      <c r="P312" s="80"/>
      <c r="Q312" s="91"/>
      <c r="R312" s="59"/>
    </row>
    <row r="313" spans="2:18" ht="16.5" thickTop="1" thickBot="1">
      <c r="B313" s="71"/>
      <c r="C313" s="89"/>
      <c r="D313" s="80"/>
      <c r="E313" s="80"/>
      <c r="F313" s="80"/>
      <c r="G313" s="80"/>
      <c r="H313" s="80"/>
      <c r="I313" s="80"/>
      <c r="J313" s="80"/>
      <c r="K313" s="90"/>
      <c r="L313" s="89"/>
      <c r="M313" s="80"/>
      <c r="N313" s="27">
        <f>Tabla1[[#This Row],[FECHA DE SELECCIÓN]]-Tabla1[[#This Row],[FECHA DE AUTORIZACIÓN]]</f>
        <v>0</v>
      </c>
      <c r="O313" s="83"/>
      <c r="P313" s="80"/>
      <c r="Q313" s="91"/>
      <c r="R313" s="59"/>
    </row>
    <row r="314" spans="2:18" ht="16.5" thickTop="1" thickBot="1">
      <c r="B314" s="71"/>
      <c r="C314" s="89"/>
      <c r="D314" s="80"/>
      <c r="E314" s="80"/>
      <c r="F314" s="80"/>
      <c r="G314" s="80"/>
      <c r="H314" s="80"/>
      <c r="I314" s="80"/>
      <c r="J314" s="80"/>
      <c r="K314" s="90"/>
      <c r="L314" s="89"/>
      <c r="M314" s="80"/>
      <c r="N314" s="27">
        <f>Tabla1[[#This Row],[FECHA DE SELECCIÓN]]-Tabla1[[#This Row],[FECHA DE AUTORIZACIÓN]]</f>
        <v>0</v>
      </c>
      <c r="O314" s="83"/>
      <c r="P314" s="80"/>
      <c r="Q314" s="91"/>
      <c r="R314" s="59"/>
    </row>
    <row r="315" spans="2:18" ht="16.5" thickTop="1" thickBot="1">
      <c r="B315" s="71"/>
      <c r="C315" s="89"/>
      <c r="D315" s="80"/>
      <c r="E315" s="80"/>
      <c r="F315" s="80"/>
      <c r="G315" s="80"/>
      <c r="H315" s="80"/>
      <c r="I315" s="80"/>
      <c r="J315" s="80"/>
      <c r="K315" s="90"/>
      <c r="L315" s="89"/>
      <c r="M315" s="80"/>
      <c r="N315" s="27">
        <f>Tabla1[[#This Row],[FECHA DE SELECCIÓN]]-Tabla1[[#This Row],[FECHA DE AUTORIZACIÓN]]</f>
        <v>0</v>
      </c>
      <c r="O315" s="83"/>
      <c r="P315" s="80"/>
      <c r="Q315" s="91"/>
      <c r="R315" s="59"/>
    </row>
    <row r="316" spans="2:18" ht="16.5" thickTop="1" thickBot="1">
      <c r="B316" s="71"/>
      <c r="C316" s="89"/>
      <c r="D316" s="80"/>
      <c r="E316" s="80"/>
      <c r="F316" s="80"/>
      <c r="G316" s="80"/>
      <c r="H316" s="80"/>
      <c r="I316" s="80"/>
      <c r="J316" s="80"/>
      <c r="K316" s="90"/>
      <c r="L316" s="89"/>
      <c r="M316" s="80"/>
      <c r="N316" s="27">
        <f>Tabla1[[#This Row],[FECHA DE SELECCIÓN]]-Tabla1[[#This Row],[FECHA DE AUTORIZACIÓN]]</f>
        <v>0</v>
      </c>
      <c r="O316" s="83"/>
      <c r="P316" s="80"/>
      <c r="Q316" s="91"/>
      <c r="R316" s="59"/>
    </row>
    <row r="317" spans="2:18" ht="16.5" thickTop="1" thickBot="1">
      <c r="B317" s="71"/>
      <c r="C317" s="89"/>
      <c r="D317" s="80"/>
      <c r="E317" s="80"/>
      <c r="F317" s="80"/>
      <c r="G317" s="80"/>
      <c r="H317" s="80"/>
      <c r="I317" s="80"/>
      <c r="J317" s="80"/>
      <c r="K317" s="90"/>
      <c r="L317" s="89"/>
      <c r="M317" s="80"/>
      <c r="N317" s="27">
        <f>Tabla1[[#This Row],[FECHA DE SELECCIÓN]]-Tabla1[[#This Row],[FECHA DE AUTORIZACIÓN]]</f>
        <v>0</v>
      </c>
      <c r="O317" s="83"/>
      <c r="P317" s="80"/>
      <c r="Q317" s="91"/>
      <c r="R317" s="59"/>
    </row>
    <row r="318" spans="2:18" ht="16.5" thickTop="1" thickBot="1">
      <c r="B318" s="71"/>
      <c r="C318" s="89"/>
      <c r="D318" s="80"/>
      <c r="E318" s="80"/>
      <c r="F318" s="80"/>
      <c r="G318" s="80"/>
      <c r="H318" s="80"/>
      <c r="I318" s="80"/>
      <c r="J318" s="80"/>
      <c r="K318" s="90"/>
      <c r="L318" s="89"/>
      <c r="M318" s="80"/>
      <c r="N318" s="27">
        <f>Tabla1[[#This Row],[FECHA DE SELECCIÓN]]-Tabla1[[#This Row],[FECHA DE AUTORIZACIÓN]]</f>
        <v>0</v>
      </c>
      <c r="O318" s="83"/>
      <c r="P318" s="80"/>
      <c r="Q318" s="91"/>
      <c r="R318" s="59"/>
    </row>
    <row r="319" spans="2:18" ht="15.75" thickTop="1"/>
  </sheetData>
  <mergeCells count="2">
    <mergeCell ref="B1:S1"/>
    <mergeCell ref="T70:Y70"/>
  </mergeCells>
  <phoneticPr fontId="10" type="noConversion"/>
  <pageMargins left="0.7" right="0.7" top="0.75" bottom="0.75" header="0.3" footer="0.3"/>
  <pageSetup paperSize="9" orientation="portrait" r:id="rId1"/>
  <ignoredErrors>
    <ignoredError sqref="N6 N14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7677-BA0B-4189-85D8-303A67A0ED71}">
  <dimension ref="B1:Z134"/>
  <sheetViews>
    <sheetView topLeftCell="C77" zoomScale="93" zoomScaleNormal="93" workbookViewId="0">
      <selection activeCell="J131" sqref="J131"/>
    </sheetView>
  </sheetViews>
  <sheetFormatPr defaultColWidth="11.42578125" defaultRowHeight="15"/>
  <cols>
    <col min="1" max="1" width="2.28515625" customWidth="1"/>
    <col min="2" max="2" width="15" bestFit="1" customWidth="1"/>
    <col min="3" max="3" width="26.140625" bestFit="1" customWidth="1"/>
    <col min="4" max="4" width="11.7109375" customWidth="1"/>
    <col min="5" max="5" width="14.140625" customWidth="1"/>
    <col min="6" max="6" width="17.42578125" customWidth="1"/>
    <col min="7" max="7" width="14.7109375" customWidth="1"/>
    <col min="8" max="8" width="17.28515625" customWidth="1"/>
    <col min="9" max="9" width="16.140625" customWidth="1"/>
    <col min="10" max="10" width="12.85546875" customWidth="1"/>
    <col min="11" max="11" width="14.5703125" customWidth="1"/>
    <col min="12" max="12" width="13.42578125" customWidth="1"/>
    <col min="13" max="13" width="12.140625" bestFit="1" customWidth="1"/>
    <col min="14" max="14" width="10.7109375" bestFit="1" customWidth="1"/>
    <col min="15" max="15" width="10.28515625" bestFit="1" customWidth="1"/>
    <col min="16" max="16" width="12.5703125" customWidth="1"/>
    <col min="17" max="17" width="12" bestFit="1" customWidth="1"/>
    <col min="18" max="18" width="16.5703125" customWidth="1"/>
    <col min="19" max="19" width="12.7109375" bestFit="1" customWidth="1"/>
    <col min="20" max="20" width="15.140625" bestFit="1" customWidth="1"/>
    <col min="21" max="21" width="14.28515625" bestFit="1" customWidth="1"/>
    <col min="22" max="22" width="10.5703125" customWidth="1"/>
  </cols>
  <sheetData>
    <row r="1" spans="2:26">
      <c r="H1" t="s">
        <v>346</v>
      </c>
    </row>
    <row r="3" spans="2:26"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2:26">
      <c r="C4" s="97" t="s">
        <v>347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</row>
    <row r="5" spans="2:26">
      <c r="C5" s="65" t="s">
        <v>348</v>
      </c>
      <c r="D5" s="22" t="s">
        <v>57</v>
      </c>
      <c r="E5" s="22" t="s">
        <v>72</v>
      </c>
      <c r="F5" s="22" t="s">
        <v>47</v>
      </c>
      <c r="G5" s="22" t="s">
        <v>63</v>
      </c>
      <c r="H5" s="22" t="s">
        <v>39</v>
      </c>
      <c r="I5" s="22" t="s">
        <v>274</v>
      </c>
      <c r="J5" s="22" t="s">
        <v>349</v>
      </c>
      <c r="K5" s="22" t="s">
        <v>350</v>
      </c>
      <c r="L5" s="22" t="s">
        <v>181</v>
      </c>
      <c r="M5" s="22" t="s">
        <v>292</v>
      </c>
      <c r="N5" s="22" t="s">
        <v>315</v>
      </c>
      <c r="O5" s="22" t="s">
        <v>351</v>
      </c>
      <c r="P5" s="22" t="s">
        <v>352</v>
      </c>
      <c r="Q5" s="22" t="s">
        <v>353</v>
      </c>
      <c r="R5" s="22" t="s">
        <v>354</v>
      </c>
      <c r="S5" s="22" t="s">
        <v>355</v>
      </c>
      <c r="T5" s="22" t="s">
        <v>356</v>
      </c>
      <c r="U5" s="22" t="s">
        <v>357</v>
      </c>
      <c r="V5" s="36"/>
    </row>
    <row r="6" spans="2:26">
      <c r="C6" s="46" t="s">
        <v>32</v>
      </c>
      <c r="D6" s="43" t="str">
        <f>IFERROR(AVERAGEIFS(Tabla1[DÍAS DE COBERTURA],Tabla1[MES DE SELECCIÓN],D5,Tabla1[DÍAS META],DIAS_META_OPERATIVAS,Tabla1[ESTATUS],Estatuss,Tabla1[EMPRESA],ALMAN,Tabla1[TIPO DE VACANTE 
(MEDIO /ADMINISTRATIVAS  AUX. / OPERATIVO)],OPERATIVAS),NA)</f>
        <v>N/A</v>
      </c>
      <c r="E6" s="43" t="str">
        <f>IFERROR(AVERAGEIFS(Tabla1[DÍAS DE COBERTURA],Tabla1[MES DE SELECCIÓN],'Control de vacantes'!T72,Tabla1[DÍAS META],'Control de vacantes'!U71,Tabla1[ESTATUS],'Control de vacantes'!V71,Tabla1[EMPRESA],'Control de vacantes'!W71,Tabla1[TIPO DE VACANTE 
(MEDIO /ADMINISTRATIVAS  AUX. / OPERATIVO)],'Control de vacantes'!X71),NA)</f>
        <v>N/A</v>
      </c>
      <c r="F6" s="43">
        <f>IFERROR(AVERAGEIFS(Tabla1[DÍAS DE COBERTURA],Tabla1[MES DE SELECCIÓN],F5,Tabla1[DÍAS META],DIAS_META_OPERATIVAS,Tabla1[ESTATUS],Estatuss,Tabla1[EMPRESA],ALMAN,Tabla1[TIPO DE VACANTE 
(MEDIO /ADMINISTRATIVAS  AUX. / OPERATIVO)],OPERATIVO),NA)</f>
        <v>28.125</v>
      </c>
      <c r="G6" s="43">
        <f>IFERROR(AVERAGEIFS(Tabla1[DÍAS DE COBERTURA],Tabla1[MES DE SELECCIÓN],G5,Tabla1[DÍAS META],DIAS_META_OPERATIVAS,Tabla1[ESTATUS],Estatuss,Tabla1[EMPRESA],ALMAN,Tabla1[TIPO DE VACANTE 
(MEDIO /ADMINISTRATIVAS  AUX. / OPERATIVO)],OPERATIVO),NA)</f>
        <v>9</v>
      </c>
      <c r="H6" s="43">
        <f>IFERROR(AVERAGEIFS(Tabla1[DÍAS DE COBERTURA],Tabla1[MES DE SELECCIÓN],H5,Tabla1[DÍAS META],DIAS_META_OPERATIVAS,Tabla1[ESTATUS],Estatuss,Tabla1[EMPRESA],ALMAN,Tabla1[TIPO DE VACANTE 
(MEDIO /ADMINISTRATIVAS  AUX. / OPERATIVO)],OPERATIVO),NA)</f>
        <v>38.25</v>
      </c>
      <c r="I6" s="43" t="str">
        <f>IFERROR(AVERAGEIFS(Tabla1[DÍAS DE COBERTURA],Tabla1[MES DE SELECCIÓN],I5,Tabla1[DÍAS META],DIAS_META_OPERATIVAS,Tabla1[ESTATUS],Estatuss,Tabla1[EMPRESA],ALMAN,Tabla1[TIPO DE VACANTE 
(MEDIO /ADMINISTRATIVAS  AUX. / OPERATIVO)],OPERATIVO),NA)</f>
        <v>N/A</v>
      </c>
      <c r="J6" s="43" t="str">
        <f>IFERROR(AVERAGEIFS(Tabla1[DÍAS DE COBERTURA],Tabla1[MES DE SELECCIÓN],J5,Tabla1[DÍAS META],DIAS_META_OPERATIVAS,Tabla1[ESTATUS],Estatuss,Tabla1[EMPRESA],ALMAN,Tabla1[TIPO DE VACANTE 
(MEDIO /ADMINISTRATIVAS  AUX. / OPERATIVO)],OPERATIVO),NA)</f>
        <v>N/A</v>
      </c>
      <c r="K6" s="43" t="str">
        <f>IFERROR(AVERAGEIFS(Tabla1[DÍAS DE COBERTURA],Tabla1[MES DE SELECCIÓN],K5,Tabla1[DÍAS META],DIAS_META_OPERATIVAS,Tabla1[ESTATUS],Estatuss,Tabla1[EMPRESA],ALMAN,Tabla1[TIPO DE VACANTE 
(MEDIO /ADMINISTRATIVAS  AUX. / OPERATIVO)],OPERATIVO),NA)</f>
        <v>N/A</v>
      </c>
      <c r="L6" s="43" t="str">
        <f>IFERROR(AVERAGEIFS(Tabla1[DÍAS DE COBERTURA],Tabla1[MES DE SELECCIÓN],L5,Tabla1[DÍAS META],DIAS_META_OPERATIVAS,Tabla1[ESTATUS],Estatuss,Tabla1[EMPRESA],ALMAN,Tabla1[TIPO DE VACANTE 
(MEDIO /ADMINISTRATIVAS  AUX. / OPERATIVO)],OPERATIVO),NA)</f>
        <v>N/A</v>
      </c>
      <c r="M6" s="43">
        <f>IFERROR(AVERAGEIFS(Tabla1[DÍAS DE COBERTURA],Tabla1[MES DE SELECCIÓN],M5,Tabla1[DÍAS META],DIAS_META_OPERATIVAS,Tabla1[ESTATUS],Estatuss,Tabla1[EMPRESA],ALMAN,Tabla1[TIPO DE VACANTE 
(MEDIO /ADMINISTRATIVAS  AUX. / OPERATIVO)],OPERATIVO),NA)</f>
        <v>24</v>
      </c>
      <c r="N6" s="43" t="str">
        <f>IFERROR(AVERAGEIFS(Tabla1[DÍAS DE COBERTURA],Tabla1[MES DE SELECCIÓN],N5,Tabla1[DÍAS META],DIAS_META_OPERATIVAS,Tabla1[ESTATUS],Estatuss,Tabla1[EMPRESA],ALMAN,Tabla1[TIPO DE VACANTE 
(MEDIO /ADMINISTRATIVAS  AUX. / OPERATIVO)],OPERATIVO),NA)</f>
        <v>N/A</v>
      </c>
      <c r="O6" s="43" t="str">
        <f>IFERROR(AVERAGEIFS(Tabla1[DÍAS DE COBERTURA],Tabla1[MES DE SELECCIÓN],O5,Tabla1[DÍAS META],DIAS_META_OPERATIVAS,Tabla1[ESTATUS],Estatuss,Tabla1[EMPRESA],ALMAN,Tabla1[TIPO DE VACANTE 
(MEDIO /ADMINISTRATIVAS  AUX. / OPERATIVO)],OPERATIVO),NA)</f>
        <v>N/A</v>
      </c>
      <c r="P6" s="43" t="str">
        <f>IFERROR(AVERAGEIFS(Tabla1[DÍAS DE COBERTURA],Tabla1[MES DE SELECCIÓN],P5,Tabla1[DÍAS META],DIAS_META_OPERATIVAS,Tabla1[ESTATUS],Estatuss,Tabla1[EMPRESA],ALMAN,Tabla1[TIPO DE VACANTE 
(MEDIO /ADMINISTRATIVAS  AUX. / OPERATIVO)],OPERATIVO),NA)</f>
        <v>N/A</v>
      </c>
      <c r="Q6" s="43" t="str">
        <f>IFERROR(AVERAGEIFS(Tabla1[DÍAS DE COBERTURA],Tabla1[MES DE SELECCIÓN],Q5,Tabla1[DÍAS META],DIAS_META_OPERATIVAS,Tabla1[ESTATUS],Estatuss,Tabla1[EMPRESA],ALMAN,Tabla1[TIPO DE VACANTE 
(MEDIO /ADMINISTRATIVAS  AUX. / OPERATIVO)],OPERATIVO),NA)</f>
        <v>N/A</v>
      </c>
      <c r="R6" s="43" t="str">
        <f>IFERROR(AVERAGEIFS(Tabla1[DÍAS DE COBERTURA],Tabla1[MES DE SELECCIÓN],R5,Tabla1[DÍAS META],DIAS_META_OPERATIVAS,Tabla1[ESTATUS],Estatuss,Tabla1[EMPRESA],ALMAN,Tabla1[TIPO DE VACANTE 
(MEDIO /ADMINISTRATIVAS  AUX. / OPERATIVO)],OPERATIVO),NA)</f>
        <v>N/A</v>
      </c>
      <c r="S6" s="43" t="str">
        <f>IFERROR(AVERAGEIFS(Tabla1[DÍAS DE COBERTURA],Tabla1[MES DE SELECCIÓN],S5,Tabla1[DÍAS META],DIAS_META_OPERATIVAS,Tabla1[ESTATUS],Estatuss,Tabla1[EMPRESA],ALMAN,Tabla1[TIPO DE VACANTE 
(MEDIO /ADMINISTRATIVAS  AUX. / OPERATIVO)],OPERATIVO),NA)</f>
        <v>N/A</v>
      </c>
      <c r="T6" s="43" t="str">
        <f>IFERROR(AVERAGEIFS(Tabla1[DÍAS DE COBERTURA],Tabla1[MES DE SELECCIÓN],T5,Tabla1[DÍAS META],DIAS_META_OPERATIVAS,Tabla1[ESTATUS],Estatuss,Tabla1[EMPRESA],ALMAN,Tabla1[TIPO DE VACANTE 
(MEDIO /ADMINISTRATIVAS  AUX. / OPERATIVO)],OPERATIVO),NA)</f>
        <v>N/A</v>
      </c>
      <c r="U6" s="43" t="str">
        <f>IFERROR(AVERAGEIFS(Tabla1[DÍAS DE COBERTURA],Tabla1[MES DE SELECCIÓN],U5,Tabla1[DÍAS META],DIAS_META_OPERATIVAS,Tabla1[ESTATUS],Estatuss,Tabla1[EMPRESA],ALMAN,Tabla1[TIPO DE VACANTE 
(MEDIO /ADMINISTRATIVAS  AUX. / OPERATIVO)],OPERATIVO),NA)</f>
        <v>N/A</v>
      </c>
    </row>
    <row r="7" spans="2:26" ht="18.75" customHeight="1">
      <c r="C7" s="54" t="s">
        <v>358</v>
      </c>
      <c r="D7" s="37">
        <v>14</v>
      </c>
      <c r="E7" s="37">
        <v>14</v>
      </c>
      <c r="F7" s="37">
        <v>14</v>
      </c>
      <c r="G7" s="37">
        <v>14</v>
      </c>
      <c r="H7" s="37">
        <v>14</v>
      </c>
      <c r="I7" s="37">
        <v>14</v>
      </c>
      <c r="J7" s="37">
        <v>14</v>
      </c>
      <c r="K7" s="37">
        <v>14</v>
      </c>
      <c r="L7" s="37">
        <v>14</v>
      </c>
      <c r="M7" s="37">
        <v>14</v>
      </c>
      <c r="N7" s="37">
        <v>14</v>
      </c>
      <c r="O7" s="37">
        <v>14</v>
      </c>
      <c r="P7" s="37">
        <v>14</v>
      </c>
      <c r="Q7" s="37">
        <v>14</v>
      </c>
      <c r="R7" s="37">
        <v>14</v>
      </c>
      <c r="S7" s="37">
        <v>14</v>
      </c>
      <c r="T7" s="37">
        <v>14</v>
      </c>
      <c r="U7" s="37">
        <v>14</v>
      </c>
    </row>
    <row r="8" spans="2:26">
      <c r="C8" s="54" t="s">
        <v>61</v>
      </c>
      <c r="D8" s="43" t="str">
        <f>IFERROR(AVERAGEIFS(Tabla1[DÍAS DE COBERTURA],Tabla1[MES DE SELECCIÓN],Tabla2[[#Headers],[JULIO 2021]],Tabla1[DÍAS META],DIAS_META_ADMIN,Tabla1[ESTATUS],Estatuss,Tabla1[EMPRESA],ALMAN,Tabla1[TIPO DE VACANTE 
(MEDIO /ADMINISTRATIVAS  AUX. / OPERATIVO)],ADMINISTRATIVAS),NA)</f>
        <v>N/A</v>
      </c>
      <c r="E8" s="43" t="str">
        <f>IFERROR(AVERAGEIFS(Tabla1[DÍAS DE COBERTURA],Tabla1[MES DE SELECCIÓN],Tabla2[[#Headers],[AGOSTO 2021]],Tabla1[DÍAS META],DIAS_META_ADMIN,Tabla1[ESTATUS],Estatuss,Tabla1[EMPRESA],ALMAN,Tabla1[TIPO DE VACANTE 
(MEDIO /ADMINISTRATIVAS  AUX. / OPERATIVO)],ADMINISTRATIVAS),NA)</f>
        <v>N/A</v>
      </c>
      <c r="F8" s="43" t="str">
        <f>IFERROR(AVERAGEIFS(Tabla1[DÍAS DE COBERTURA],Tabla1[MES DE SELECCIÓN],Tabla2[[#Headers],[SEPTIEMBRE 2021]],Tabla1[DÍAS META],DIAS_META_ADMIN,Tabla1[ESTATUS],Estatuss,Tabla1[EMPRESA],ALMAN,Tabla1[TIPO DE VACANTE 
(MEDIO /ADMINISTRATIVAS  AUX. / OPERATIVO)],ADMINISTRATIVAS),NA)</f>
        <v>N/A</v>
      </c>
      <c r="G8" s="43">
        <f>IFERROR(AVERAGEIFS(Tabla1[DÍAS DE COBERTURA],Tabla1[MES DE SELECCIÓN],Tabla2[[#Headers],[OCTUBRE 2021]],Tabla1[DÍAS META],DIAS_META_ADMIN,Tabla1[ESTATUS],Estatuss,Tabla1[EMPRESA],ALMAN,Tabla1[TIPO DE VACANTE 
(MEDIO /ADMINISTRATIVAS  AUX. / OPERATIVO)],ADMINISTRATIVAS),NA)</f>
        <v>52</v>
      </c>
      <c r="H8" s="43">
        <f>IFERROR(AVERAGEIFS(Tabla1[DÍAS DE COBERTURA],Tabla1[MES DE SELECCIÓN],Tabla2[[#Headers],[NOVIEMBRE 2021]],Tabla1[DÍAS META],DIAS_META_ADMIN,Tabla1[ESTATUS],Estatuss,Tabla1[EMPRESA],ALMAN,Tabla1[TIPO DE VACANTE 
(MEDIO /ADMINISTRATIVAS  AUX. / OPERATIVO)],ADMINISTRATIVAS),NA)</f>
        <v>31</v>
      </c>
      <c r="I8" s="43" t="str">
        <f>IFERROR(AVERAGEIFS(Tabla1[DÍAS DE COBERTURA],Tabla1[MES DE SELECCIÓN],Tabla2[[#Headers],[DICIEMBRE 2021]],Tabla1[DÍAS META],DIAS_META_ADMIN,Tabla1[ESTATUS],Estatuss,Tabla1[EMPRESA],ALMAN,Tabla1[TIPO DE VACANTE 
(MEDIO /ADMINISTRATIVAS  AUX. / OPERATIVO)],ADMINISTRATIVAS),NA)</f>
        <v>N/A</v>
      </c>
      <c r="J8" s="43" t="str">
        <f>IFERROR(AVERAGEIFS(Tabla1[DÍAS DE COBERTURA],Tabla1[MES DE SELECCIÓN],Tabla2[[#Headers],[ENERO 2022]],Tabla1[DÍAS META],DIAS_META_ADMIN,Tabla1[ESTATUS],Estatuss,Tabla1[EMPRESA],ALMAN,Tabla1[TIPO DE VACANTE 
(MEDIO /ADMINISTRATIVAS  AUX. / OPERATIVO)],ADMINISTRATIVAS),NA)</f>
        <v>N/A</v>
      </c>
      <c r="K8" s="43" t="str">
        <f>IFERROR(AVERAGEIFS(Tabla1[DÍAS DE COBERTURA],Tabla1[MES DE SELECCIÓN],Tabla2[[#Headers],[FEBRERO 2022]],Tabla1[DÍAS META],DIAS_META_ADMIN,Tabla1[ESTATUS],Estatuss,Tabla1[EMPRESA],ALMAN,Tabla1[TIPO DE VACANTE 
(MEDIO /ADMINISTRATIVAS  AUX. / OPERATIVO)],ADMINISTRATIVAS),NA)</f>
        <v>N/A</v>
      </c>
      <c r="L8" s="43" t="str">
        <f>IFERROR(AVERAGEIFS(Tabla1[DÍAS DE COBERTURA],Tabla1[MES DE SELECCIÓN],Tabla2[[#Headers],[MARZO 2022]],Tabla1[DÍAS META],DIAS_META_ADMIN,Tabla1[ESTATUS],Estatuss,Tabla1[EMPRESA],ALMAN,Tabla1[TIPO DE VACANTE 
(MEDIO /ADMINISTRATIVAS  AUX. / OPERATIVO)],ADMINISTRATIVAS),NA)</f>
        <v>N/A</v>
      </c>
      <c r="M8" s="43">
        <f>IFERROR(AVERAGEIFS(Tabla1[DÍAS DE COBERTURA],Tabla1[MES DE SELECCIÓN],Tabla2[[#Headers],[ABRIL 2022]],Tabla1[DÍAS META],DIAS_META_ADMIN,Tabla1[ESTATUS],Estatuss,Tabla1[EMPRESA],ALMAN,Tabla1[TIPO DE VACANTE 
(MEDIO /ADMINISTRATIVAS  AUX. / OPERATIVO)],ADMINISTRATIVAS),NA)</f>
        <v>1</v>
      </c>
      <c r="N8" s="43" t="str">
        <f>IFERROR(AVERAGEIFS(Tabla1[DÍAS DE COBERTURA],Tabla1[MES DE SELECCIÓN],Tabla2[[#Headers],[MAYO 2022]],Tabla1[DÍAS META],DIAS_META_ADMIN,Tabla1[ESTATUS],Estatuss,Tabla1[EMPRESA],ALMAN,Tabla1[TIPO DE VACANTE 
(MEDIO /ADMINISTRATIVAS  AUX. / OPERATIVO)],ADMINISTRATIVAS),NA)</f>
        <v>N/A</v>
      </c>
      <c r="O8" s="43" t="str">
        <f>IFERROR(AVERAGEIFS(Tabla1[DÍAS DE COBERTURA],Tabla1[MES DE SELECCIÓN],Tabla2[[#Headers],[JUNIO 2022]],Tabla1[DÍAS META],DIAS_META_ADMIN,Tabla1[ESTATUS],Estatuss,Tabla1[EMPRESA],ALMAN,Tabla1[TIPO DE VACANTE 
(MEDIO /ADMINISTRATIVAS  AUX. / OPERATIVO)],ADMINISTRATIVAS),NA)</f>
        <v>N/A</v>
      </c>
      <c r="P8" s="43" t="str">
        <f>IFERROR(AVERAGEIFS(Tabla1[DÍAS DE COBERTURA],Tabla1[MES DE SELECCIÓN],Tabla2[[#Headers],[JULIO 2022]],Tabla1[DÍAS META],DIAS_META_ADMIN,Tabla1[ESTATUS],Estatuss,Tabla1[EMPRESA],ALMAN,Tabla1[TIPO DE VACANTE 
(MEDIO /ADMINISTRATIVAS  AUX. / OPERATIVO)],ADMINISTRATIVAS),NA)</f>
        <v>N/A</v>
      </c>
      <c r="Q8" s="43" t="str">
        <f>IFERROR(AVERAGEIFS(Tabla1[DÍAS DE COBERTURA],Tabla1[MES DE SELECCIÓN],Tabla2[[#Headers],[AGOSTO 2022]],Tabla1[DÍAS META],DIAS_META_ADMIN,Tabla1[ESTATUS],Estatuss,Tabla1[EMPRESA],ALMAN,Tabla1[TIPO DE VACANTE 
(MEDIO /ADMINISTRATIVAS  AUX. / OPERATIVO)],ADMINISTRATIVAS),NA)</f>
        <v>N/A</v>
      </c>
      <c r="R8" s="43" t="str">
        <f>IFERROR(AVERAGEIFS(Tabla1[DÍAS DE COBERTURA],Tabla1[MES DE SELECCIÓN],Tabla2[[#Headers],[SEPTIEMBRE 2022]],Tabla1[DÍAS META],DIAS_META_ADMIN,Tabla1[ESTATUS],Estatuss,Tabla1[EMPRESA],ALMAN,Tabla1[TIPO DE VACANTE 
(MEDIO /ADMINISTRATIVAS  AUX. / OPERATIVO)],ADMINISTRATIVAS),NA)</f>
        <v>N/A</v>
      </c>
      <c r="S8" s="43" t="str">
        <f>IFERROR(AVERAGEIFS(Tabla1[DÍAS DE COBERTURA],Tabla1[MES DE SELECCIÓN],Tabla2[[#Headers],[OCTUBRE 2022]],Tabla1[DÍAS META],DIAS_META_ADMIN,Tabla1[ESTATUS],Estatuss,Tabla1[EMPRESA],ALMAN,Tabla1[TIPO DE VACANTE 
(MEDIO /ADMINISTRATIVAS  AUX. / OPERATIVO)],ADMINISTRATIVAS),NA)</f>
        <v>N/A</v>
      </c>
      <c r="T8" s="43" t="str">
        <f>IFERROR(AVERAGEIFS(Tabla1[DÍAS DE COBERTURA],Tabla1[MES DE SELECCIÓN],Tabla2[[#Headers],[NOVIEMBRE 2022]],Tabla1[DÍAS META],DIAS_META_ADMIN,Tabla1[ESTATUS],Estatuss,Tabla1[EMPRESA],ALMAN,Tabla1[TIPO DE VACANTE 
(MEDIO /ADMINISTRATIVAS  AUX. / OPERATIVO)],ADMINISTRATIVAS),NA)</f>
        <v>N/A</v>
      </c>
      <c r="U8" s="43" t="str">
        <f>IFERROR(AVERAGEIFS(Tabla1[DÍAS DE COBERTURA],Tabla1[MES DE SELECCIÓN],Tabla2[[#Headers],[DICIEMBRE 2022]],Tabla1[DÍAS META],DIAS_META_ADMIN,Tabla1[ESTATUS],Estatuss,Tabla1[EMPRESA],ALMAN,Tabla1[TIPO DE VACANTE 
(MEDIO /ADMINISTRATIVAS  AUX. / OPERATIVO)],ADMINISTRATIVAS),NA)</f>
        <v>N/A</v>
      </c>
    </row>
    <row r="9" spans="2:26">
      <c r="C9" s="54" t="s">
        <v>359</v>
      </c>
      <c r="D9" s="37">
        <v>21</v>
      </c>
      <c r="E9" s="37">
        <v>21</v>
      </c>
      <c r="F9" s="37">
        <v>21</v>
      </c>
      <c r="G9" s="37">
        <v>21</v>
      </c>
      <c r="H9" s="37">
        <v>21</v>
      </c>
      <c r="I9" s="37">
        <v>21</v>
      </c>
      <c r="J9" s="37">
        <v>21</v>
      </c>
      <c r="K9" s="37">
        <v>21</v>
      </c>
      <c r="L9" s="37">
        <v>21</v>
      </c>
      <c r="M9" s="37">
        <v>21</v>
      </c>
      <c r="N9" s="37">
        <v>21</v>
      </c>
      <c r="O9" s="37">
        <v>21</v>
      </c>
      <c r="P9" s="37">
        <v>21</v>
      </c>
      <c r="Q9" s="37">
        <v>21</v>
      </c>
      <c r="R9" s="37">
        <v>21</v>
      </c>
      <c r="S9" s="37">
        <v>21</v>
      </c>
      <c r="T9" s="37">
        <v>21</v>
      </c>
      <c r="U9" s="37">
        <v>21</v>
      </c>
    </row>
    <row r="10" spans="2:26">
      <c r="C10" s="54" t="s">
        <v>360</v>
      </c>
      <c r="D10" s="43" t="str">
        <f>IFERROR(AVERAGEIFS(Tabla1[DÍAS DE COBERTURA],Tabla1[MES DE SELECCIÓN],Tabla2[[#Headers],[JULIO 2021]],Tabla1[DÍAS META],DIAS_META_MEDIOS,Tabla1[ESTATUS],Estatuss,Tabla1[EMPRESA],ALMAN,Tabla1[TIPO DE VACANTE 
(MEDIO /ADMINISTRATIVAS  AUX. / OPERATIVO)],MANDOS_MEDIOSS),NA)</f>
        <v>N/A</v>
      </c>
      <c r="E10" s="43" t="str">
        <f>IFERROR(AVERAGEIFS(Tabla1[DÍAS DE COBERTURA],Tabla1[MES DE SELECCIÓN],Tabla2[[#Headers],[AGOSTO 2021]],Tabla1[DÍAS META],DIAS_META_MEDIOS,Tabla1[ESTATUS],Estatuss,Tabla1[EMPRESA],ALMAN,Tabla1[TIPO DE VACANTE 
(MEDIO /ADMINISTRATIVAS  AUX. / OPERATIVO)],MANDOS_MEDIOSS),NA)</f>
        <v>N/A</v>
      </c>
      <c r="F10" s="43" t="str">
        <f>IFERROR(AVERAGEIFS(Tabla1[DÍAS DE COBERTURA],Tabla1[MES DE SELECCIÓN],Tabla2[[#Headers],[SEPTIEMBRE 2021]],Tabla1[DÍAS META],DIAS_META_MEDIOS,Tabla1[ESTATUS],Estatuss,Tabla1[EMPRESA],ALMAN,Tabla1[TIPO DE VACANTE 
(MEDIO /ADMINISTRATIVAS  AUX. / OPERATIVO)],MANDOS_MEDIOSS),NA)</f>
        <v>N/A</v>
      </c>
      <c r="G10" s="43" t="str">
        <f>IFERROR(AVERAGEIFS(Tabla1[DÍAS DE COBERTURA],Tabla1[MES DE SELECCIÓN],Tabla2[[#Headers],[OCTUBRE 2021]],Tabla1[DÍAS META],DIAS_META_MEDIOS,Tabla1[ESTATUS],Estatuss,Tabla1[EMPRESA],ALMAN,Tabla1[TIPO DE VACANTE 
(MEDIO /ADMINISTRATIVAS  AUX. / OPERATIVO)],MANDOS_MEDIOSS),NA)</f>
        <v>N/A</v>
      </c>
      <c r="H10" s="43" t="str">
        <f>IFERROR(AVERAGEIFS(Tabla1[DÍAS DE COBERTURA],Tabla1[MES DE SELECCIÓN],Tabla2[[#Headers],[NOVIEMBRE 2021]],Tabla1[DÍAS META],DIAS_META_MEDIOS,Tabla1[ESTATUS],Estatuss,Tabla1[EMPRESA],ALMAN,Tabla1[TIPO DE VACANTE 
(MEDIO /ADMINISTRATIVAS  AUX. / OPERATIVO)],MANDOS_MEDIOSS),NA)</f>
        <v>N/A</v>
      </c>
      <c r="I10" s="43" t="str">
        <f>IFERROR(AVERAGEIFS(Tabla1[DÍAS DE COBERTURA],Tabla1[MES DE SELECCIÓN],Tabla2[[#Headers],[DICIEMBRE 2021]],Tabla1[DÍAS META],DIAS_META_MEDIOS,Tabla1[ESTATUS],Estatuss,Tabla1[EMPRESA],ALMAN,Tabla1[TIPO DE VACANTE 
(MEDIO /ADMINISTRATIVAS  AUX. / OPERATIVO)],MANDOS_MEDIOSS),NA)</f>
        <v>N/A</v>
      </c>
      <c r="J10" s="43" t="str">
        <f>IFERROR(AVERAGEIFS(Tabla1[DÍAS DE COBERTURA],Tabla1[MES DE SELECCIÓN],Tabla2[[#Headers],[ENERO 2022]],Tabla1[DÍAS META],DIAS_META_MEDIOS,Tabla1[ESTATUS],Estatuss,Tabla1[EMPRESA],ALMAN,Tabla1[TIPO DE VACANTE 
(MEDIO /ADMINISTRATIVAS  AUX. / OPERATIVO)],MANDOS_MEDIOSS),NA)</f>
        <v>N/A</v>
      </c>
      <c r="K10" s="43" t="str">
        <f>IFERROR(AVERAGEIFS(Tabla1[DÍAS DE COBERTURA],Tabla1[MES DE SELECCIÓN],Tabla2[[#Headers],[FEBRERO 2022]],Tabla1[DÍAS META],DIAS_META_MEDIOS,Tabla1[ESTATUS],Estatuss,Tabla1[EMPRESA],ALMAN,Tabla1[TIPO DE VACANTE 
(MEDIO /ADMINISTRATIVAS  AUX. / OPERATIVO)],MANDOS_MEDIOSS),NA)</f>
        <v>N/A</v>
      </c>
      <c r="L10" s="43" t="str">
        <f>IFERROR(AVERAGEIFS(Tabla1[DÍAS DE COBERTURA],Tabla1[MES DE SELECCIÓN],Tabla2[[#Headers],[MARZO 2022]],Tabla1[DÍAS META],DIAS_META_MEDIOS,Tabla1[ESTATUS],Estatuss,Tabla1[EMPRESA],ALMAN,Tabla1[TIPO DE VACANTE 
(MEDIO /ADMINISTRATIVAS  AUX. / OPERATIVO)],MANDOS_MEDIOSS),NA)</f>
        <v>N/A</v>
      </c>
      <c r="M10" s="43">
        <f>IFERROR(AVERAGEIFS(Tabla1[DÍAS DE COBERTURA],Tabla1[MES DE SELECCIÓN],Tabla2[[#Headers],[ABRIL 2022]],Tabla1[DÍAS META],DIAS_META_MEDIOS,Tabla1[ESTATUS],Estatuss,Tabla1[EMPRESA],ALMAN,Tabla1[TIPO DE VACANTE 
(MEDIO /ADMINISTRATIVAS  AUX. / OPERATIVO)],MANDOS_MEDIOSS),NA)</f>
        <v>86.5</v>
      </c>
      <c r="N10" s="43">
        <f>IFERROR(AVERAGEIFS(Tabla1[DÍAS DE COBERTURA],Tabla1[MES DE SELECCIÓN],Tabla2[[#Headers],[MAYO 2022]],Tabla1[DÍAS META],DIAS_META_MEDIOS,Tabla1[ESTATUS],Estatuss,Tabla1[EMPRESA],ALMAN,Tabla1[TIPO DE VACANTE 
(MEDIO /ADMINISTRATIVAS  AUX. / OPERATIVO)],MANDOS_MEDIOSS),NA)</f>
        <v>26</v>
      </c>
      <c r="O10" s="43" t="str">
        <f>IFERROR(AVERAGEIFS(Tabla1[DÍAS DE COBERTURA],Tabla1[MES DE SELECCIÓN],Tabla2[[#Headers],[JUNIO 2022]],Tabla1[DÍAS META],DIAS_META_MEDIOS,Tabla1[ESTATUS],Estatuss,Tabla1[EMPRESA],ALMAN,Tabla1[TIPO DE VACANTE 
(MEDIO /ADMINISTRATIVAS  AUX. / OPERATIVO)],MANDOS_MEDIOSS),NA)</f>
        <v>N/A</v>
      </c>
      <c r="P10" s="43" t="str">
        <f>IFERROR(AVERAGEIFS(Tabla1[DÍAS DE COBERTURA],Tabla1[MES DE SELECCIÓN],Tabla2[[#Headers],[JULIO 2022]],Tabla1[DÍAS META],DIAS_META_MEDIOS,Tabla1[ESTATUS],Estatuss,Tabla1[EMPRESA],ALMAN,Tabla1[TIPO DE VACANTE 
(MEDIO /ADMINISTRATIVAS  AUX. / OPERATIVO)],MANDOS_MEDIOSS),NA)</f>
        <v>N/A</v>
      </c>
      <c r="Q10" s="43" t="str">
        <f>IFERROR(AVERAGEIFS(Tabla1[DÍAS DE COBERTURA],Tabla1[MES DE SELECCIÓN],Tabla2[[#Headers],[AGOSTO 2022]],Tabla1[DÍAS META],DIAS_META_MEDIOS,Tabla1[ESTATUS],Estatuss,Tabla1[EMPRESA],ALMAN,Tabla1[TIPO DE VACANTE 
(MEDIO /ADMINISTRATIVAS  AUX. / OPERATIVO)],MANDOS_MEDIOSS),NA)</f>
        <v>N/A</v>
      </c>
      <c r="R10" s="43" t="str">
        <f>IFERROR(AVERAGEIFS(Tabla1[DÍAS DE COBERTURA],Tabla1[MES DE SELECCIÓN],Tabla2[[#Headers],[SEPTIEMBRE 2022]],Tabla1[DÍAS META],DIAS_META_MEDIOS,Tabla1[ESTATUS],Estatuss,Tabla1[EMPRESA],ALMAN,Tabla1[TIPO DE VACANTE 
(MEDIO /ADMINISTRATIVAS  AUX. / OPERATIVO)],MANDOS_MEDIOSS),NA)</f>
        <v>N/A</v>
      </c>
      <c r="S10" s="43" t="str">
        <f>IFERROR(AVERAGEIFS(Tabla1[DÍAS DE COBERTURA],Tabla1[MES DE SELECCIÓN],Tabla2[[#Headers],[OCTUBRE 2022]],Tabla1[DÍAS META],DIAS_META_MEDIOS,Tabla1[ESTATUS],Estatuss,Tabla1[EMPRESA],ALMAN,Tabla1[TIPO DE VACANTE 
(MEDIO /ADMINISTRATIVAS  AUX. / OPERATIVO)],MANDOS_MEDIOSS),NA)</f>
        <v>N/A</v>
      </c>
      <c r="T10" s="43" t="str">
        <f>IFERROR(AVERAGEIFS(Tabla1[DÍAS DE COBERTURA],Tabla1[MES DE SELECCIÓN],Tabla2[[#Headers],[NOVIEMBRE 2022]],Tabla1[DÍAS META],DIAS_META_MEDIOS,Tabla1[ESTATUS],Estatuss,Tabla1[EMPRESA],ALMAN,Tabla1[TIPO DE VACANTE 
(MEDIO /ADMINISTRATIVAS  AUX. / OPERATIVO)],MANDOS_MEDIOSS),NA)</f>
        <v>N/A</v>
      </c>
      <c r="U10" s="43" t="str">
        <f>IFERROR(AVERAGEIFS(Tabla1[DÍAS DE COBERTURA],Tabla1[MES DE SELECCIÓN],Tabla2[[#Headers],[DICIEMBRE 2022]],Tabla1[DÍAS META],DIAS_META_MEDIOS,Tabla1[ESTATUS],Estatuss,Tabla1[EMPRESA],ALMAN,Tabla1[TIPO DE VACANTE 
(MEDIO /ADMINISTRATIVAS  AUX. / OPERATIVO)],MANDOS_MEDIOSS),NA)</f>
        <v>N/A</v>
      </c>
    </row>
    <row r="11" spans="2:26">
      <c r="C11" s="48" t="s">
        <v>361</v>
      </c>
      <c r="D11" s="64">
        <v>28</v>
      </c>
      <c r="E11" s="64">
        <v>28</v>
      </c>
      <c r="F11" s="64">
        <v>28</v>
      </c>
      <c r="G11" s="64">
        <v>28</v>
      </c>
      <c r="H11" s="64">
        <v>28</v>
      </c>
      <c r="I11" s="64">
        <v>28</v>
      </c>
      <c r="J11" s="64">
        <v>28</v>
      </c>
      <c r="K11" s="64">
        <v>28</v>
      </c>
      <c r="L11" s="64">
        <v>28</v>
      </c>
      <c r="M11" s="64">
        <v>28</v>
      </c>
      <c r="N11" s="64">
        <v>28</v>
      </c>
      <c r="O11" s="64">
        <v>28</v>
      </c>
      <c r="P11" s="64">
        <v>28</v>
      </c>
      <c r="Q11" s="64">
        <v>28</v>
      </c>
      <c r="R11" s="64">
        <v>28</v>
      </c>
      <c r="S11" s="64">
        <v>28</v>
      </c>
      <c r="T11" s="64">
        <v>28</v>
      </c>
      <c r="U11" s="64">
        <v>28</v>
      </c>
    </row>
    <row r="12" spans="2:26">
      <c r="C12" s="54" t="s">
        <v>362</v>
      </c>
      <c r="D12" s="77" t="str">
        <f>IFERROR(AVERAGEIFS(Tabla1[DÍAS DE COBERTURA],Tabla1[MES DE SELECCIÓN],Tabla2[[#Headers],[JULIO 2021]],Tabla1[DÍAS META],DIAS_META_GERENCIA,Tabla1[ESTATUS],Estatuss,Tabla1[EMPRESA],ALMAN,Tabla1[TIPO DE VACANTE 
(MEDIO /ADMINISTRATIVAS  AUX. / OPERATIVO)],GERENCIA),NA)</f>
        <v>N/A</v>
      </c>
      <c r="E12" s="77" t="str">
        <f>IFERROR(AVERAGEIFS(Tabla1[DÍAS DE COBERTURA],Tabla1[MES DE SELECCIÓN],Tabla2[[#Headers],[AGOSTO 2021]],Tabla1[DÍAS META],DIAS_META_GERENCIA,Tabla1[ESTATUS],Estatuss,Tabla1[EMPRESA],ALMAN,Tabla1[TIPO DE VACANTE 
(MEDIO /ADMINISTRATIVAS  AUX. / OPERATIVO)],GERENCIA),NA)</f>
        <v>N/A</v>
      </c>
      <c r="F12" s="77" t="str">
        <f>IFERROR(AVERAGEIFS(Tabla1[DÍAS DE COBERTURA],Tabla1[MES DE SELECCIÓN],Tabla2[[#Headers],[SEPTIEMBRE 2021]],Tabla1[DÍAS META],DIAS_META_GERENCIA,Tabla1[ESTATUS],Estatuss,Tabla1[EMPRESA],ALMAN,Tabla1[TIPO DE VACANTE 
(MEDIO /ADMINISTRATIVAS  AUX. / OPERATIVO)],GERENCIA),NA)</f>
        <v>N/A</v>
      </c>
      <c r="G12" s="77" t="str">
        <f>IFERROR(AVERAGEIFS(Tabla1[DÍAS DE COBERTURA],Tabla1[MES DE SELECCIÓN],Tabla2[[#Headers],[OCTUBRE 2021]],Tabla1[DÍAS META],DIAS_META_GERENCIA,Tabla1[ESTATUS],Estatuss,Tabla1[EMPRESA],ALMAN,Tabla1[TIPO DE VACANTE 
(MEDIO /ADMINISTRATIVAS  AUX. / OPERATIVO)],GERENCIA),NA)</f>
        <v>N/A</v>
      </c>
      <c r="H12" s="77" t="str">
        <f>IFERROR(AVERAGEIFS(Tabla1[DÍAS DE COBERTURA],Tabla1[MES DE SELECCIÓN],Tabla2[[#Headers],[NOVIEMBRE 2021]],Tabla1[DÍAS META],DIAS_META_GERENCIA,Tabla1[ESTATUS],Estatuss,Tabla1[EMPRESA],ALMAN,Tabla1[TIPO DE VACANTE 
(MEDIO /ADMINISTRATIVAS  AUX. / OPERATIVO)],GERENCIA),NA)</f>
        <v>N/A</v>
      </c>
      <c r="I12" s="77" t="str">
        <f>IFERROR(AVERAGEIFS(Tabla1[DÍAS DE COBERTURA],Tabla1[MES DE SELECCIÓN],Tabla2[[#Headers],[DICIEMBRE 2021]],Tabla1[DÍAS META],DIAS_META_GERENCIA,Tabla1[ESTATUS],Estatuss,Tabla1[EMPRESA],ALMAN,Tabla1[TIPO DE VACANTE 
(MEDIO /ADMINISTRATIVAS  AUX. / OPERATIVO)],GERENCIA),NA)</f>
        <v>N/A</v>
      </c>
      <c r="J12" s="77" t="str">
        <f>IFERROR(AVERAGEIFS(Tabla1[DÍAS DE COBERTURA],Tabla1[MES DE SELECCIÓN],Tabla2[[#Headers],[ENERO 2022]],Tabla1[DÍAS META],DIAS_META_GERENCIA,Tabla1[ESTATUS],Estatuss,Tabla1[EMPRESA],ALMAN,Tabla1[TIPO DE VACANTE 
(MEDIO /ADMINISTRATIVAS  AUX. / OPERATIVO)],GERENCIA),NA)</f>
        <v>N/A</v>
      </c>
      <c r="K12" s="77" t="str">
        <f>IFERROR(AVERAGEIFS(Tabla1[DÍAS DE COBERTURA],Tabla1[MES DE SELECCIÓN],Tabla2[[#Headers],[FEBRERO 2022]],Tabla1[DÍAS META],DIAS_META_GERENCIA,Tabla1[ESTATUS],Estatuss,Tabla1[EMPRESA],ALMAN,Tabla1[TIPO DE VACANTE 
(MEDIO /ADMINISTRATIVAS  AUX. / OPERATIVO)],GERENCIA),NA)</f>
        <v>N/A</v>
      </c>
      <c r="L12" s="77" t="str">
        <f>IFERROR(AVERAGEIFS(Tabla1[DÍAS DE COBERTURA],Tabla1[MES DE SELECCIÓN],Tabla2[[#Headers],[MARZO 2022]],Tabla1[DÍAS META],DIAS_META_GERENCIA,Tabla1[ESTATUS],Estatuss,Tabla1[EMPRESA],ALMAN,Tabla1[TIPO DE VACANTE 
(MEDIO /ADMINISTRATIVAS  AUX. / OPERATIVO)],GERENCIA),NA)</f>
        <v>N/A</v>
      </c>
      <c r="M12" s="77" t="str">
        <f>IFERROR(AVERAGEIFS(Tabla1[DÍAS DE COBERTURA],Tabla1[MES DE SELECCIÓN],Tabla2[[#Headers],[ABRIL 2022]],Tabla1[DÍAS META],DIAS_META_GERENCIA,Tabla1[ESTATUS],Estatuss,Tabla1[EMPRESA],ALMAN,Tabla1[TIPO DE VACANTE 
(MEDIO /ADMINISTRATIVAS  AUX. / OPERATIVO)],GERENCIA),NA)</f>
        <v>N/A</v>
      </c>
      <c r="N12" s="77" t="str">
        <f>IFERROR(AVERAGEIFS(Tabla1[DÍAS DE COBERTURA],Tabla1[MES DE SELECCIÓN],Tabla2[[#Headers],[MAYO 2022]],Tabla1[DÍAS META],DIAS_META_GERENCIA,Tabla1[ESTATUS],Estatuss,Tabla1[EMPRESA],ALMAN,Tabla1[TIPO DE VACANTE 
(MEDIO /ADMINISTRATIVAS  AUX. / OPERATIVO)],GERENCIA),NA)</f>
        <v>N/A</v>
      </c>
      <c r="O12" s="77" t="str">
        <f>IFERROR(AVERAGEIFS(Tabla1[DÍAS DE COBERTURA],Tabla1[MES DE SELECCIÓN],Tabla2[[#Headers],[JUNIO 2022]],Tabla1[DÍAS META],DIAS_META_GERENCIA,Tabla1[ESTATUS],Estatuss,Tabla1[EMPRESA],ALMAN,Tabla1[TIPO DE VACANTE 
(MEDIO /ADMINISTRATIVAS  AUX. / OPERATIVO)],GERENCIA),NA)</f>
        <v>N/A</v>
      </c>
      <c r="P12" s="77" t="str">
        <f>IFERROR(AVERAGEIFS(Tabla1[DÍAS DE COBERTURA],Tabla1[MES DE SELECCIÓN],Tabla2[[#Headers],[JULIO 2022]],Tabla1[DÍAS META],DIAS_META_GERENCIA,Tabla1[ESTATUS],Estatuss,Tabla1[EMPRESA],ALMAN,Tabla1[TIPO DE VACANTE 
(MEDIO /ADMINISTRATIVAS  AUX. / OPERATIVO)],GERENCIA),NA)</f>
        <v>N/A</v>
      </c>
      <c r="Q12" s="77" t="str">
        <f>IFERROR(AVERAGEIFS(Tabla1[DÍAS DE COBERTURA],Tabla1[MES DE SELECCIÓN],Tabla2[[#Headers],[AGOSTO 2022]],Tabla1[DÍAS META],DIAS_META_GERENCIA,Tabla1[ESTATUS],Estatuss,Tabla1[EMPRESA],ALMAN,Tabla1[TIPO DE VACANTE 
(MEDIO /ADMINISTRATIVAS  AUX. / OPERATIVO)],GERENCIA),NA)</f>
        <v>N/A</v>
      </c>
      <c r="R12" s="77" t="str">
        <f>IFERROR(AVERAGEIFS(Tabla1[DÍAS DE COBERTURA],Tabla1[MES DE SELECCIÓN],Tabla2[[#Headers],[SEPTIEMBRE 2022]],Tabla1[DÍAS META],DIAS_META_GERENCIA,Tabla1[ESTATUS],Estatuss,Tabla1[EMPRESA],ALMAN,Tabla1[TIPO DE VACANTE 
(MEDIO /ADMINISTRATIVAS  AUX. / OPERATIVO)],GERENCIA),NA)</f>
        <v>N/A</v>
      </c>
      <c r="S12" s="77" t="str">
        <f>IFERROR(AVERAGEIFS(Tabla1[DÍAS DE COBERTURA],Tabla1[MES DE SELECCIÓN],Tabla2[[#Headers],[OCTUBRE 2022]],Tabla1[DÍAS META],DIAS_META_GERENCIA,Tabla1[ESTATUS],Estatuss,Tabla1[EMPRESA],ALMAN,Tabla1[TIPO DE VACANTE 
(MEDIO /ADMINISTRATIVAS  AUX. / OPERATIVO)],GERENCIA),NA)</f>
        <v>N/A</v>
      </c>
      <c r="T12" s="77" t="str">
        <f>IFERROR(AVERAGEIFS(Tabla1[DÍAS DE COBERTURA],Tabla1[MES DE SELECCIÓN],Tabla2[[#Headers],[NOVIEMBRE 2022]],Tabla1[DÍAS META],DIAS_META_GERENCIA,Tabla1[ESTATUS],Estatuss,Tabla1[EMPRESA],ALMAN,Tabla1[TIPO DE VACANTE 
(MEDIO /ADMINISTRATIVAS  AUX. / OPERATIVO)],GERENCIA),NA)</f>
        <v>N/A</v>
      </c>
      <c r="U12" s="77" t="str">
        <f>IFERROR(AVERAGEIFS(Tabla1[DÍAS DE COBERTURA],Tabla1[MES DE SELECCIÓN],Tabla2[[#Headers],[DICIEMBRE 2022]],Tabla1[DÍAS META],DIAS_META_GERENCIA,Tabla1[ESTATUS],Estatuss,Tabla1[EMPRESA],ALMAN,Tabla1[TIPO DE VACANTE 
(MEDIO /ADMINISTRATIVAS  AUX. / OPERATIVO)],GERENCIA),NA)</f>
        <v>N/A</v>
      </c>
    </row>
    <row r="13" spans="2:26">
      <c r="C13" s="48" t="s">
        <v>363</v>
      </c>
      <c r="D13" s="64">
        <v>40</v>
      </c>
      <c r="E13" s="64">
        <v>40</v>
      </c>
      <c r="F13" s="64">
        <v>40</v>
      </c>
      <c r="G13" s="64">
        <v>40</v>
      </c>
      <c r="H13" s="64">
        <v>40</v>
      </c>
      <c r="I13" s="64">
        <v>40</v>
      </c>
      <c r="J13" s="64">
        <v>40</v>
      </c>
      <c r="K13" s="64">
        <v>40</v>
      </c>
      <c r="L13" s="64">
        <v>40</v>
      </c>
      <c r="M13" s="64">
        <v>40</v>
      </c>
      <c r="N13" s="64">
        <v>40</v>
      </c>
      <c r="O13" s="64">
        <v>40</v>
      </c>
      <c r="P13" s="64">
        <v>40</v>
      </c>
      <c r="Q13" s="64">
        <v>40</v>
      </c>
      <c r="R13" s="64">
        <v>40</v>
      </c>
      <c r="S13" s="64">
        <v>40</v>
      </c>
      <c r="T13" s="64">
        <v>40</v>
      </c>
      <c r="U13" s="64">
        <v>40</v>
      </c>
    </row>
    <row r="14" spans="2:26">
      <c r="B14" s="44"/>
    </row>
    <row r="15" spans="2:26">
      <c r="B15" s="44"/>
      <c r="N15" s="40"/>
    </row>
    <row r="17" spans="2:2">
      <c r="B17" s="44"/>
    </row>
    <row r="34" spans="3:21">
      <c r="C34" s="97" t="s">
        <v>364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</row>
    <row r="35" spans="3:21">
      <c r="C35" s="65" t="s">
        <v>348</v>
      </c>
      <c r="D35" s="22" t="s">
        <v>57</v>
      </c>
      <c r="E35" s="22" t="s">
        <v>72</v>
      </c>
      <c r="F35" s="22" t="s">
        <v>47</v>
      </c>
      <c r="G35" s="22" t="s">
        <v>63</v>
      </c>
      <c r="H35" s="22" t="s">
        <v>39</v>
      </c>
      <c r="I35" s="22" t="s">
        <v>274</v>
      </c>
      <c r="J35" s="22" t="s">
        <v>349</v>
      </c>
      <c r="K35" s="22" t="s">
        <v>350</v>
      </c>
      <c r="L35" s="22" t="s">
        <v>181</v>
      </c>
      <c r="M35" s="22" t="s">
        <v>292</v>
      </c>
      <c r="N35" s="22" t="s">
        <v>315</v>
      </c>
      <c r="O35" s="22" t="s">
        <v>351</v>
      </c>
      <c r="P35" s="22" t="s">
        <v>352</v>
      </c>
      <c r="Q35" s="22" t="s">
        <v>353</v>
      </c>
      <c r="R35" s="22" t="s">
        <v>354</v>
      </c>
      <c r="S35" s="22" t="s">
        <v>355</v>
      </c>
      <c r="T35" s="22" t="s">
        <v>356</v>
      </c>
      <c r="U35" s="22" t="s">
        <v>357</v>
      </c>
    </row>
    <row r="36" spans="3:21">
      <c r="C36" s="39" t="s">
        <v>365</v>
      </c>
      <c r="D36" s="42" t="str">
        <f>IFERROR(AVERAGEIFS(Tabla1[DÍAS DE COBERTURA],Tabla1[MES DE SELECCIÓN],Tabla3[[#Headers],[JULIO 2021]],Tabla1[DÍAS META],DIAS_META_OPERATIVAS,Tabla1[ESTATUS],Estatuss,Tabla1[EMPRESA],TM,Tabla1[TIPO DE VACANTE 
(MEDIO /ADMINISTRATIVAS  AUX. / OPERATIVO)],OPERATIVO),NA)</f>
        <v>N/A</v>
      </c>
      <c r="E36" s="42" t="str">
        <f>IFERROR(AVERAGEIFS(Tabla1[DÍAS DE COBERTURA],Tabla1[MES DE SELECCIÓN],Tabla3[[#Headers],[AGOSTO 2021]],Tabla1[DÍAS META],DIAS_META_OPERATIVAS,Tabla1[ESTATUS],Estatuss,Tabla1[EMPRESA],TM,Tabla1[TIPO DE VACANTE 
(MEDIO /ADMINISTRATIVAS  AUX. / OPERATIVO)],OPERATIVO),NA)</f>
        <v>N/A</v>
      </c>
      <c r="F36" s="42">
        <f>IFERROR(AVERAGEIFS(Tabla1[DÍAS DE COBERTURA],Tabla1[MES DE SELECCIÓN],Tabla3[[#Headers],[SEPTIEMBRE 2021]],Tabla1[DÍAS META],DIAS_META_OPERATIVAS,Tabla1[ESTATUS],Estatuss,Tabla1[EMPRESA],TM,Tabla1[TIPO DE VACANTE 
(MEDIO /ADMINISTRATIVAS  AUX. / OPERATIVO)],OPERATIVO),NA)</f>
        <v>48</v>
      </c>
      <c r="G36" s="42" t="str">
        <f>IFERROR(AVERAGEIFS(Tabla1[DÍAS DE COBERTURA],Tabla1[MES DE SELECCIÓN],Tabla3[[#Headers],[OCTUBRE 2021]],Tabla1[DÍAS META],DIAS_META_OPERATIVAS,Tabla1[ESTATUS],Estatuss,Tabla1[EMPRESA],TM,Tabla1[TIPO DE VACANTE 
(MEDIO /ADMINISTRATIVAS  AUX. / OPERATIVO)],OPERATIVO),NA)</f>
        <v>N/A</v>
      </c>
      <c r="H36" s="42" t="str">
        <f>IFERROR(AVERAGEIFS(Tabla1[DÍAS DE COBERTURA],Tabla1[MES DE SELECCIÓN],Tabla3[[#Headers],[NOVIEMBRE 2021]],Tabla1[DÍAS META],DIAS_META_OPERATIVAS,Tabla1[ESTATUS],Estatuss,Tabla1[EMPRESA],TM,Tabla1[TIPO DE VACANTE 
(MEDIO /ADMINISTRATIVAS  AUX. / OPERATIVO)],OPERATIVO),NA)</f>
        <v>N/A</v>
      </c>
      <c r="I36" s="42" t="str">
        <f>IFERROR(AVERAGEIFS(Tabla1[DÍAS DE COBERTURA],Tabla1[MES DE SELECCIÓN],Tabla3[[#Headers],[DICIEMBRE 2021]],Tabla1[DÍAS META],DIAS_META_OPERATIVAS,Tabla1[ESTATUS],Estatuss,Tabla1[EMPRESA],TM,Tabla1[TIPO DE VACANTE 
(MEDIO /ADMINISTRATIVAS  AUX. / OPERATIVO)],OPERATIVO),NA)</f>
        <v>N/A</v>
      </c>
      <c r="J36" s="42" t="str">
        <f>IFERROR(AVERAGEIFS(Tabla1[DÍAS DE COBERTURA],Tabla1[MES DE SELECCIÓN],Tabla3[[#Headers],[ENERO 2022]],Tabla1[DÍAS META],DIAS_META_OPERATIVAS,Tabla1[ESTATUS],Estatuss,Tabla1[EMPRESA],TM,Tabla1[TIPO DE VACANTE 
(MEDIO /ADMINISTRATIVAS  AUX. / OPERATIVO)],OPERATIVO),NA)</f>
        <v>N/A</v>
      </c>
      <c r="K36" s="42" t="str">
        <f>IFERROR(AVERAGEIFS(Tabla1[DÍAS DE COBERTURA],Tabla1[MES DE SELECCIÓN],Tabla3[[#Headers],[FEBRERO 2022]],Tabla1[DÍAS META],DIAS_META_OPERATIVAS,Tabla1[ESTATUS],Estatuss,Tabla1[EMPRESA],TM,Tabla1[TIPO DE VACANTE 
(MEDIO /ADMINISTRATIVAS  AUX. / OPERATIVO)],OPERATIVO),NA)</f>
        <v>N/A</v>
      </c>
      <c r="L36" s="42" t="str">
        <f>IFERROR(AVERAGEIFS(Tabla1[DÍAS DE COBERTURA],Tabla1[MES DE SELECCIÓN],Tabla3[[#Headers],[MARZO 2022]],Tabla1[DÍAS META],DIAS_META_OPERATIVAS,Tabla1[ESTATUS],Estatuss,Tabla1[EMPRESA],TM,Tabla1[TIPO DE VACANTE 
(MEDIO /ADMINISTRATIVAS  AUX. / OPERATIVO)],OPERATIVO),NA)</f>
        <v>N/A</v>
      </c>
      <c r="M36" s="42">
        <f>IFERROR(AVERAGEIFS(Tabla1[DÍAS DE COBERTURA],Tabla1[MES DE SELECCIÓN],Tabla3[[#Headers],[ABRIL 2022]],Tabla1[DÍAS META],DIAS_META_OPERATIVAS,Tabla1[ESTATUS],Estatuss,Tabla1[EMPRESA],TM,Tabla1[TIPO DE VACANTE 
(MEDIO /ADMINISTRATIVAS  AUX. / OPERATIVO)],OPERATIVO),NA)</f>
        <v>2</v>
      </c>
      <c r="N36" s="42" t="str">
        <f>IFERROR(AVERAGEIFS(Tabla1[DÍAS DE COBERTURA],Tabla1[MES DE SELECCIÓN],Tabla3[[#Headers],[MAYO 2022]],Tabla1[DÍAS META],DIAS_META_OPERATIVAS,Tabla1[ESTATUS],Estatuss,Tabla1[EMPRESA],TM,Tabla1[TIPO DE VACANTE 
(MEDIO /ADMINISTRATIVAS  AUX. / OPERATIVO)],OPERATIVO),NA)</f>
        <v>N/A</v>
      </c>
      <c r="O36" s="42" t="str">
        <f>IFERROR(AVERAGEIFS(Tabla1[DÍAS DE COBERTURA],Tabla1[MES DE SELECCIÓN],Tabla3[[#Headers],[JUNIO 2022]],Tabla1[DÍAS META],DIAS_META_OPERATIVAS,Tabla1[ESTATUS],Estatuss,Tabla1[EMPRESA],TM,Tabla1[TIPO DE VACANTE 
(MEDIO /ADMINISTRATIVAS  AUX. / OPERATIVO)],OPERATIVO),NA)</f>
        <v>N/A</v>
      </c>
      <c r="P36" s="42" t="str">
        <f>IFERROR(AVERAGEIFS(Tabla1[DÍAS DE COBERTURA],Tabla1[MES DE SELECCIÓN],Tabla3[[#Headers],[JULIO 2022]],Tabla1[DÍAS META],DIAS_META_OPERATIVAS,Tabla1[ESTATUS],Estatuss,Tabla1[EMPRESA],TM,Tabla1[TIPO DE VACANTE 
(MEDIO /ADMINISTRATIVAS  AUX. / OPERATIVO)],OPERATIVO),NA)</f>
        <v>N/A</v>
      </c>
      <c r="Q36" s="42" t="str">
        <f>IFERROR(AVERAGEIFS(Tabla1[DÍAS DE COBERTURA],Tabla1[MES DE SELECCIÓN],Tabla3[[#Headers],[AGOSTO 2022]],Tabla1[DÍAS META],DIAS_META_OPERATIVAS,Tabla1[ESTATUS],Estatuss,Tabla1[EMPRESA],TM,Tabla1[TIPO DE VACANTE 
(MEDIO /ADMINISTRATIVAS  AUX. / OPERATIVO)],OPERATIVO),NA)</f>
        <v>N/A</v>
      </c>
      <c r="R36" s="42" t="str">
        <f>IFERROR(AVERAGEIFS(Tabla1[DÍAS DE COBERTURA],Tabla1[MES DE SELECCIÓN],Tabla3[[#Headers],[SEPTIEMBRE 2022]],Tabla1[DÍAS META],DIAS_META_OPERATIVAS,Tabla1[ESTATUS],Estatuss,Tabla1[EMPRESA],TM,Tabla1[TIPO DE VACANTE 
(MEDIO /ADMINISTRATIVAS  AUX. / OPERATIVO)],OPERATIVO),NA)</f>
        <v>N/A</v>
      </c>
      <c r="S36" s="42" t="str">
        <f>IFERROR(AVERAGEIFS(Tabla1[DÍAS DE COBERTURA],Tabla1[MES DE SELECCIÓN],Tabla3[[#Headers],[OCTUBRE 2022]],Tabla1[DÍAS META],DIAS_META_OPERATIVAS,Tabla1[ESTATUS],Estatuss,Tabla1[EMPRESA],TM,Tabla1[TIPO DE VACANTE 
(MEDIO /ADMINISTRATIVAS  AUX. / OPERATIVO)],OPERATIVO),NA)</f>
        <v>N/A</v>
      </c>
      <c r="T36" s="42" t="str">
        <f>IFERROR(AVERAGEIFS(Tabla1[DÍAS DE COBERTURA],Tabla1[MES DE SELECCIÓN],Tabla3[[#Headers],[NOVIEMBRE 2022]],Tabla1[DÍAS META],DIAS_META_OPERATIVAS,Tabla1[ESTATUS],Estatuss,Tabla1[EMPRESA],TM,Tabla1[TIPO DE VACANTE 
(MEDIO /ADMINISTRATIVAS  AUX. / OPERATIVO)],OPERATIVO),NA)</f>
        <v>N/A</v>
      </c>
      <c r="U36" s="42" t="str">
        <f>IFERROR(AVERAGEIFS(Tabla1[DÍAS DE COBERTURA],Tabla1[MES DE SELECCIÓN],Tabla3[[#Headers],[DICIEMBRE 2022]],Tabla1[DÍAS META],DIAS_META_OPERATIVAS,Tabla1[ESTATUS],Estatuss,Tabla1[EMPRESA],TM,Tabla1[TIPO DE VACANTE 
(MEDIO /ADMINISTRATIVAS  AUX. / OPERATIVO)],OPERATIVO),NA)</f>
        <v>N/A</v>
      </c>
    </row>
    <row r="37" spans="3:21">
      <c r="C37" s="24" t="s">
        <v>358</v>
      </c>
      <c r="D37" s="37">
        <v>14</v>
      </c>
      <c r="E37" s="37">
        <v>14</v>
      </c>
      <c r="F37" s="37">
        <v>14</v>
      </c>
      <c r="G37" s="37">
        <v>14</v>
      </c>
      <c r="H37" s="37">
        <v>14</v>
      </c>
      <c r="I37" s="37">
        <v>14</v>
      </c>
      <c r="J37" s="37">
        <v>14</v>
      </c>
      <c r="K37" s="37">
        <v>14</v>
      </c>
      <c r="L37" s="37">
        <v>14</v>
      </c>
      <c r="M37" s="37">
        <v>14</v>
      </c>
      <c r="N37" s="37">
        <v>14</v>
      </c>
      <c r="O37" s="37">
        <v>14</v>
      </c>
      <c r="P37" s="37">
        <v>14</v>
      </c>
      <c r="Q37" s="37">
        <v>14</v>
      </c>
      <c r="R37" s="37">
        <v>14</v>
      </c>
      <c r="S37" s="37">
        <v>14</v>
      </c>
      <c r="T37" s="37">
        <v>14</v>
      </c>
      <c r="U37" s="37">
        <v>14</v>
      </c>
    </row>
    <row r="38" spans="3:21">
      <c r="C38" s="24" t="s">
        <v>61</v>
      </c>
      <c r="D38" s="43" t="str">
        <f>IFERROR(AVERAGEIFS(Tabla1[DÍAS DE COBERTURA],Tabla1[MES DE SELECCIÓN],Tabla3[[#Headers],[JULIO 2021]],Tabla1[DÍAS META],DIAS_META_ADMIN,Tabla1[ESTATUS],Estatuss,Tabla1[EMPRESA],TM,Tabla1[TIPO DE VACANTE 
(MEDIO /ADMINISTRATIVAS  AUX. / OPERATIVO)],ADMINISTRATIVAS),NA)</f>
        <v>N/A</v>
      </c>
      <c r="E38" s="43" t="str">
        <f>IFERROR(AVERAGEIFS(Tabla1[DÍAS DE COBERTURA],Tabla1[MES DE SELECCIÓN],Tabla3[[#Headers],[AGOSTO 2021]],Tabla1[DÍAS META],DIAS_META_ADMIN,Tabla1[ESTATUS],Estatuss,Tabla1[EMPRESA],TM,Tabla1[TIPO DE VACANTE 
(MEDIO /ADMINISTRATIVAS  AUX. / OPERATIVO)],ADMINISTRATIVAS),NA)</f>
        <v>N/A</v>
      </c>
      <c r="F38" s="43" t="str">
        <f>IFERROR(AVERAGEIFS(Tabla1[DÍAS DE COBERTURA],Tabla1[MES DE SELECCIÓN],Tabla3[[#Headers],[SEPTIEMBRE 2021]],Tabla1[DÍAS META],DIAS_META_ADMIN,Tabla1[ESTATUS],Estatuss,Tabla1[EMPRESA],TM,Tabla1[TIPO DE VACANTE 
(MEDIO /ADMINISTRATIVAS  AUX. / OPERATIVO)],ADMINISTRATIVAS),NA)</f>
        <v>N/A</v>
      </c>
      <c r="G38" s="43">
        <f>IFERROR(AVERAGEIFS(Tabla1[DÍAS DE COBERTURA],Tabla1[MES DE SELECCIÓN],Tabla3[[#Headers],[OCTUBRE 2021]],Tabla1[DÍAS META],DIAS_META_ADMIN,Tabla1[ESTATUS],Estatuss,Tabla1[EMPRESA],TM,Tabla1[TIPO DE VACANTE 
(MEDIO /ADMINISTRATIVAS  AUX. / OPERATIVO)],ADMINISTRATIVAS),NA)</f>
        <v>59</v>
      </c>
      <c r="H38" s="43" t="str">
        <f>IFERROR(AVERAGEIFS(Tabla1[DÍAS DE COBERTURA],Tabla1[MES DE SELECCIÓN],Tabla3[[#Headers],[NOVIEMBRE 2021]],Tabla1[DÍAS META],DIAS_META_ADMIN,Tabla1[ESTATUS],Estatuss,Tabla1[EMPRESA],TM,Tabla1[TIPO DE VACANTE 
(MEDIO /ADMINISTRATIVAS  AUX. / OPERATIVO)],ADMINISTRATIVAS),NA)</f>
        <v>N/A</v>
      </c>
      <c r="I38" s="43" t="str">
        <f>IFERROR(AVERAGEIFS(Tabla1[DÍAS DE COBERTURA],Tabla1[MES DE SELECCIÓN],Tabla3[[#Headers],[DICIEMBRE 2021]],Tabla1[DÍAS META],DIAS_META_ADMIN,Tabla1[ESTATUS],Estatuss,Tabla1[EMPRESA],TM,Tabla1[TIPO DE VACANTE 
(MEDIO /ADMINISTRATIVAS  AUX. / OPERATIVO)],ADMINISTRATIVAS),NA)</f>
        <v>N/A</v>
      </c>
      <c r="J38" s="43" t="str">
        <f>IFERROR(AVERAGEIFS(Tabla1[DÍAS DE COBERTURA],Tabla1[MES DE SELECCIÓN],Tabla3[[#Headers],[ENERO 2022]],Tabla1[DÍAS META],DIAS_META_ADMIN,Tabla1[ESTATUS],Estatuss,Tabla1[EMPRESA],TM,Tabla1[TIPO DE VACANTE 
(MEDIO /ADMINISTRATIVAS  AUX. / OPERATIVO)],ADMINISTRATIVAS),NA)</f>
        <v>N/A</v>
      </c>
      <c r="K38" s="43" t="str">
        <f>IFERROR(AVERAGEIFS(Tabla1[DÍAS DE COBERTURA],Tabla1[MES DE SELECCIÓN],Tabla3[[#Headers],[FEBRERO 2022]],Tabla1[DÍAS META],DIAS_META_ADMIN,Tabla1[ESTATUS],Estatuss,Tabla1[EMPRESA],TM,Tabla1[TIPO DE VACANTE 
(MEDIO /ADMINISTRATIVAS  AUX. / OPERATIVO)],ADMINISTRATIVAS),NA)</f>
        <v>N/A</v>
      </c>
      <c r="L38" s="43" t="str">
        <f>IFERROR(AVERAGEIFS(Tabla1[DÍAS DE COBERTURA],Tabla1[MES DE SELECCIÓN],Tabla3[[#Headers],[MARZO 2022]],Tabla1[DÍAS META],DIAS_META_ADMIN,Tabla1[ESTATUS],Estatuss,Tabla1[EMPRESA],TM,Tabla1[TIPO DE VACANTE 
(MEDIO /ADMINISTRATIVAS  AUX. / OPERATIVO)],ADMINISTRATIVAS),NA)</f>
        <v>N/A</v>
      </c>
      <c r="M38" s="43">
        <f>IFERROR(AVERAGEIFS(Tabla1[DÍAS DE COBERTURA],Tabla1[MES DE SELECCIÓN],Tabla3[[#Headers],[ABRIL 2022]],Tabla1[DÍAS META],DIAS_META_ADMIN,Tabla1[ESTATUS],Estatuss,Tabla1[EMPRESA],TM,Tabla1[TIPO DE VACANTE 
(MEDIO /ADMINISTRATIVAS  AUX. / OPERATIVO)],ADMINISTRATIVAS),NA)</f>
        <v>6</v>
      </c>
      <c r="N38" s="43" t="str">
        <f>IFERROR(AVERAGEIFS(Tabla1[DÍAS DE COBERTURA],Tabla1[MES DE SELECCIÓN],Tabla3[[#Headers],[MAYO 2022]],Tabla1[DÍAS META],DIAS_META_ADMIN,Tabla1[ESTATUS],Estatuss,Tabla1[EMPRESA],TM,Tabla1[TIPO DE VACANTE 
(MEDIO /ADMINISTRATIVAS  AUX. / OPERATIVO)],ADMINISTRATIVAS),NA)</f>
        <v>N/A</v>
      </c>
      <c r="O38" s="43" t="str">
        <f>IFERROR(AVERAGEIFS(Tabla1[DÍAS DE COBERTURA],Tabla1[MES DE SELECCIÓN],Tabla3[[#Headers],[JUNIO 2022]],Tabla1[DÍAS META],DIAS_META_ADMIN,Tabla1[ESTATUS],Estatuss,Tabla1[EMPRESA],TM,Tabla1[TIPO DE VACANTE 
(MEDIO /ADMINISTRATIVAS  AUX. / OPERATIVO)],ADMINISTRATIVAS),NA)</f>
        <v>N/A</v>
      </c>
      <c r="P38" s="43" t="str">
        <f>IFERROR(AVERAGEIFS(Tabla1[DÍAS DE COBERTURA],Tabla1[MES DE SELECCIÓN],Tabla3[[#Headers],[JULIO 2022]],Tabla1[DÍAS META],DIAS_META_ADMIN,Tabla1[ESTATUS],Estatuss,Tabla1[EMPRESA],TM,Tabla1[TIPO DE VACANTE 
(MEDIO /ADMINISTRATIVAS  AUX. / OPERATIVO)],ADMINISTRATIVAS),NA)</f>
        <v>N/A</v>
      </c>
      <c r="Q38" s="43" t="str">
        <f>IFERROR(AVERAGEIFS(Tabla1[DÍAS DE COBERTURA],Tabla1[MES DE SELECCIÓN],Tabla3[[#Headers],[AGOSTO 2022]],Tabla1[DÍAS META],DIAS_META_ADMIN,Tabla1[ESTATUS],Estatuss,Tabla1[EMPRESA],TM,Tabla1[TIPO DE VACANTE 
(MEDIO /ADMINISTRATIVAS  AUX. / OPERATIVO)],ADMINISTRATIVAS),NA)</f>
        <v>N/A</v>
      </c>
      <c r="R38" s="43" t="str">
        <f>IFERROR(AVERAGEIFS(Tabla1[DÍAS DE COBERTURA],Tabla1[MES DE SELECCIÓN],Tabla3[[#Headers],[SEPTIEMBRE 2022]],Tabla1[DÍAS META],DIAS_META_ADMIN,Tabla1[ESTATUS],Estatuss,Tabla1[EMPRESA],TM,Tabla1[TIPO DE VACANTE 
(MEDIO /ADMINISTRATIVAS  AUX. / OPERATIVO)],ADMINISTRATIVAS),NA)</f>
        <v>N/A</v>
      </c>
      <c r="S38" s="43" t="str">
        <f>IFERROR(AVERAGEIFS(Tabla1[DÍAS DE COBERTURA],Tabla1[MES DE SELECCIÓN],Tabla3[[#Headers],[OCTUBRE 2022]],Tabla1[DÍAS META],DIAS_META_ADMIN,Tabla1[ESTATUS],Estatuss,Tabla1[EMPRESA],TM,Tabla1[TIPO DE VACANTE 
(MEDIO /ADMINISTRATIVAS  AUX. / OPERATIVO)],ADMINISTRATIVAS),NA)</f>
        <v>N/A</v>
      </c>
      <c r="T38" s="43" t="str">
        <f>IFERROR(AVERAGEIFS(Tabla1[DÍAS DE COBERTURA],Tabla1[MES DE SELECCIÓN],Tabla3[[#Headers],[NOVIEMBRE 2022]],Tabla1[DÍAS META],DIAS_META_ADMIN,Tabla1[ESTATUS],Estatuss,Tabla1[EMPRESA],TM,Tabla1[TIPO DE VACANTE 
(MEDIO /ADMINISTRATIVAS  AUX. / OPERATIVO)],ADMINISTRATIVAS),NA)</f>
        <v>N/A</v>
      </c>
      <c r="U38" s="43" t="str">
        <f>IFERROR(AVERAGEIFS(Tabla1[DÍAS DE COBERTURA],Tabla1[MES DE SELECCIÓN],Tabla3[[#Headers],[DICIEMBRE 2022]],Tabla1[DÍAS META],DIAS_META_ADMIN,Tabla1[ESTATUS],Estatuss,Tabla1[EMPRESA],TM,Tabla1[TIPO DE VACANTE 
(MEDIO /ADMINISTRATIVAS  AUX. / OPERATIVO)],ADMINISTRATIVAS),NA)</f>
        <v>N/A</v>
      </c>
    </row>
    <row r="39" spans="3:21">
      <c r="C39" s="24" t="s">
        <v>359</v>
      </c>
      <c r="D39" s="37">
        <v>21</v>
      </c>
      <c r="E39" s="37">
        <v>21</v>
      </c>
      <c r="F39" s="37">
        <v>21</v>
      </c>
      <c r="G39" s="37">
        <v>21</v>
      </c>
      <c r="H39" s="37">
        <v>21</v>
      </c>
      <c r="I39" s="37">
        <v>21</v>
      </c>
      <c r="J39" s="37">
        <v>21</v>
      </c>
      <c r="K39" s="37">
        <v>21</v>
      </c>
      <c r="L39" s="37">
        <v>21</v>
      </c>
      <c r="M39" s="37">
        <v>21</v>
      </c>
      <c r="N39" s="37">
        <v>21</v>
      </c>
      <c r="O39" s="37">
        <v>21</v>
      </c>
      <c r="P39" s="37">
        <v>21</v>
      </c>
      <c r="Q39" s="37">
        <v>21</v>
      </c>
      <c r="R39" s="37">
        <v>21</v>
      </c>
      <c r="S39" s="37">
        <v>21</v>
      </c>
      <c r="T39" s="37">
        <v>21</v>
      </c>
      <c r="U39" s="37">
        <v>21</v>
      </c>
    </row>
    <row r="40" spans="3:21">
      <c r="C40" s="24" t="s">
        <v>360</v>
      </c>
      <c r="D40" s="38" t="str">
        <f>IFERROR(AVERAGEIFS(Tabla1[DÍAS DE COBERTURA],Tabla1[MES DE SELECCIÓN],Tabla3[[#Headers],[JULIO 2021]],Tabla1[DÍAS META],DIAS_META_MEDIOS,Tabla1[ESTATUS],Estatuss,Tabla1[EMPRESA],TM,Tabla1[TIPO DE VACANTE 
(MEDIO /ADMINISTRATIVAS  AUX. / OPERATIVO)],MANDOS_MEDIOSS),NA)</f>
        <v>N/A</v>
      </c>
      <c r="E40" s="38" t="str">
        <f>IFERROR(AVERAGEIFS(Tabla1[DÍAS DE COBERTURA],Tabla1[MES DE SELECCIÓN],Tabla3[[#Headers],[AGOSTO 2021]],Tabla1[DÍAS META],DIAS_META_MEDIOS,Tabla1[ESTATUS],Estatuss,Tabla1[EMPRESA],TM,Tabla1[TIPO DE VACANTE 
(MEDIO /ADMINISTRATIVAS  AUX. / OPERATIVO)],MANDOS_MEDIOSS),NA)</f>
        <v>N/A</v>
      </c>
      <c r="F40" s="38" t="str">
        <f>IFERROR(AVERAGEIFS(Tabla1[DÍAS DE COBERTURA],Tabla1[MES DE SELECCIÓN],Tabla3[[#Headers],[SEPTIEMBRE 2021]],Tabla1[DÍAS META],DIAS_META_MEDIOS,Tabla1[ESTATUS],Estatuss,Tabla1[EMPRESA],TM,Tabla1[TIPO DE VACANTE 
(MEDIO /ADMINISTRATIVAS  AUX. / OPERATIVO)],MANDOS_MEDIOSS),NA)</f>
        <v>N/A</v>
      </c>
      <c r="G40" s="38" t="str">
        <f>IFERROR(AVERAGEIFS(Tabla1[DÍAS DE COBERTURA],Tabla1[MES DE SELECCIÓN],Tabla3[[#Headers],[OCTUBRE 2021]],Tabla1[DÍAS META],DIAS_META_MEDIOS,Tabla1[ESTATUS],Estatuss,Tabla1[EMPRESA],TM,Tabla1[TIPO DE VACANTE 
(MEDIO /ADMINISTRATIVAS  AUX. / OPERATIVO)],MANDOS_MEDIOSS),NA)</f>
        <v>N/A</v>
      </c>
      <c r="H40" s="43">
        <f>IFERROR(AVERAGEIFS(Tabla1[DÍAS DE COBERTURA],Tabla1[MES DE SELECCIÓN],Tabla3[[#Headers],[NOVIEMBRE 2021]],Tabla1[DÍAS META],DIAS_META_MEDIOS,Tabla1[ESTATUS],Estatuss,Tabla1[EMPRESA],TM,Tabla1[TIPO DE VACANTE 
(MEDIO /ADMINISTRATIVAS  AUX. / OPERATIVO)],MANDOS_MEDIOSS),NA)</f>
        <v>118.5</v>
      </c>
      <c r="I40" s="38" t="str">
        <f>IFERROR(AVERAGEIFS(Tabla1[DÍAS DE COBERTURA],Tabla1[MES DE SELECCIÓN],Tabla3[[#Headers],[DICIEMBRE 2021]],Tabla1[DÍAS META],DIAS_META_MEDIOS,Tabla1[ESTATUS],Estatuss,Tabla1[EMPRESA],TM,Tabla1[TIPO DE VACANTE 
(MEDIO /ADMINISTRATIVAS  AUX. / OPERATIVO)],MANDOS_MEDIOSS),NA)</f>
        <v>N/A</v>
      </c>
      <c r="J40" s="38" t="str">
        <f>IFERROR(AVERAGEIFS(Tabla1[DÍAS DE COBERTURA],Tabla1[MES DE SELECCIÓN],Tabla3[[#Headers],[ENERO 2022]],Tabla1[DÍAS META],DIAS_META_MEDIOS,Tabla1[ESTATUS],Estatuss,Tabla1[EMPRESA],TM,Tabla1[TIPO DE VACANTE 
(MEDIO /ADMINISTRATIVAS  AUX. / OPERATIVO)],MANDOS_MEDIOSS),NA)</f>
        <v>N/A</v>
      </c>
      <c r="K40" s="38" t="str">
        <f>IFERROR(AVERAGEIFS(Tabla1[DÍAS DE COBERTURA],Tabla1[MES DE SELECCIÓN],Tabla3[[#Headers],[FEBRERO 2022]],Tabla1[DÍAS META],DIAS_META_MEDIOS,Tabla1[ESTATUS],Estatuss,Tabla1[EMPRESA],TM,Tabla1[TIPO DE VACANTE 
(MEDIO /ADMINISTRATIVAS  AUX. / OPERATIVO)],MANDOS_MEDIOSS),NA)</f>
        <v>N/A</v>
      </c>
      <c r="L40" s="38" t="str">
        <f>IFERROR(AVERAGEIFS(Tabla1[DÍAS DE COBERTURA],Tabla1[MES DE SELECCIÓN],Tabla3[[#Headers],[MARZO 2022]],Tabla1[DÍAS META],DIAS_META_MEDIOS,Tabla1[ESTATUS],Estatuss,Tabla1[EMPRESA],TM,Tabla1[TIPO DE VACANTE 
(MEDIO /ADMINISTRATIVAS  AUX. / OPERATIVO)],MANDOS_MEDIOSS),NA)</f>
        <v>N/A</v>
      </c>
      <c r="M40" s="38">
        <f>IFERROR(AVERAGEIFS(Tabla1[DÍAS DE COBERTURA],Tabla1[MES DE SELECCIÓN],Tabla3[[#Headers],[ABRIL 2022]],Tabla1[DÍAS META],DIAS_META_MEDIOS,Tabla1[ESTATUS],Estatuss,Tabla1[EMPRESA],TM,Tabla1[TIPO DE VACANTE 
(MEDIO /ADMINISTRATIVAS  AUX. / OPERATIVO)],MANDOS_MEDIOSS),NA)</f>
        <v>7</v>
      </c>
      <c r="N40" s="38" t="str">
        <f>IFERROR(AVERAGEIFS(Tabla1[DÍAS DE COBERTURA],Tabla1[MES DE SELECCIÓN],Tabla3[[#Headers],[MAYO 2022]],Tabla1[DÍAS META],DIAS_META_MEDIOS,Tabla1[ESTATUS],Estatuss,Tabla1[EMPRESA],TM,Tabla1[TIPO DE VACANTE 
(MEDIO /ADMINISTRATIVAS  AUX. / OPERATIVO)],MANDOS_MEDIOSS),NA)</f>
        <v>N/A</v>
      </c>
      <c r="O40" s="38" t="str">
        <f>IFERROR(AVERAGEIFS(Tabla1[DÍAS DE COBERTURA],Tabla1[MES DE SELECCIÓN],Tabla3[[#Headers],[JUNIO 2022]],Tabla1[DÍAS META],DIAS_META_MEDIOS,Tabla1[ESTATUS],Estatuss,Tabla1[EMPRESA],TM,Tabla1[TIPO DE VACANTE 
(MEDIO /ADMINISTRATIVAS  AUX. / OPERATIVO)],MANDOS_MEDIOSS),NA)</f>
        <v>N/A</v>
      </c>
      <c r="P40" s="38" t="str">
        <f>IFERROR(AVERAGEIFS(Tabla1[DÍAS DE COBERTURA],Tabla1[MES DE SELECCIÓN],Tabla3[[#Headers],[JULIO 2022]],Tabla1[DÍAS META],DIAS_META_MEDIOS,Tabla1[ESTATUS],Estatuss,Tabla1[EMPRESA],TM,Tabla1[TIPO DE VACANTE 
(MEDIO /ADMINISTRATIVAS  AUX. / OPERATIVO)],MANDOS_MEDIOSS),NA)</f>
        <v>N/A</v>
      </c>
      <c r="Q40" s="38" t="str">
        <f>IFERROR(AVERAGEIFS(Tabla1[DÍAS DE COBERTURA],Tabla1[MES DE SELECCIÓN],Tabla3[[#Headers],[AGOSTO 2022]],Tabla1[DÍAS META],DIAS_META_MEDIOS,Tabla1[ESTATUS],Estatuss,Tabla1[EMPRESA],TM,Tabla1[TIPO DE VACANTE 
(MEDIO /ADMINISTRATIVAS  AUX. / OPERATIVO)],MANDOS_MEDIOSS),NA)</f>
        <v>N/A</v>
      </c>
      <c r="R40" s="38" t="str">
        <f>IFERROR(AVERAGEIFS(Tabla1[DÍAS DE COBERTURA],Tabla1[MES DE SELECCIÓN],Tabla3[[#Headers],[SEPTIEMBRE 2022]],Tabla1[DÍAS META],DIAS_META_MEDIOS,Tabla1[ESTATUS],Estatuss,Tabla1[EMPRESA],TM,Tabla1[TIPO DE VACANTE 
(MEDIO /ADMINISTRATIVAS  AUX. / OPERATIVO)],MANDOS_MEDIOSS),NA)</f>
        <v>N/A</v>
      </c>
      <c r="S40" s="38" t="str">
        <f>IFERROR(AVERAGEIFS(Tabla1[DÍAS DE COBERTURA],Tabla1[MES DE SELECCIÓN],Tabla3[[#Headers],[OCTUBRE 2022]],Tabla1[DÍAS META],DIAS_META_MEDIOS,Tabla1[ESTATUS],Estatuss,Tabla1[EMPRESA],TM,Tabla1[TIPO DE VACANTE 
(MEDIO /ADMINISTRATIVAS  AUX. / OPERATIVO)],MANDOS_MEDIOSS),NA)</f>
        <v>N/A</v>
      </c>
      <c r="T40" s="38" t="str">
        <f>IFERROR(AVERAGEIFS(Tabla1[DÍAS DE COBERTURA],Tabla1[MES DE SELECCIÓN],Tabla3[[#Headers],[NOVIEMBRE 2022]],Tabla1[DÍAS META],DIAS_META_MEDIOS,Tabla1[ESTATUS],Estatuss,Tabla1[EMPRESA],TM,Tabla1[TIPO DE VACANTE 
(MEDIO /ADMINISTRATIVAS  AUX. / OPERATIVO)],MANDOS_MEDIOSS),NA)</f>
        <v>N/A</v>
      </c>
      <c r="U40" s="38" t="str">
        <f>IFERROR(AVERAGEIFS(Tabla1[DÍAS DE COBERTURA],Tabla1[MES DE SELECCIÓN],Tabla3[[#Headers],[DICIEMBRE 2022]],Tabla1[DÍAS META],DIAS_META_MEDIOS,Tabla1[ESTATUS],Estatuss,Tabla1[EMPRESA],TM,Tabla1[TIPO DE VACANTE 
(MEDIO /ADMINISTRATIVAS  AUX. / OPERATIVO)],MANDOS_MEDIOSS),NA)</f>
        <v>N/A</v>
      </c>
    </row>
    <row r="41" spans="3:21">
      <c r="C41" s="63" t="s">
        <v>361</v>
      </c>
      <c r="D41" s="64">
        <v>28</v>
      </c>
      <c r="E41" s="64">
        <v>28</v>
      </c>
      <c r="F41" s="64">
        <v>28</v>
      </c>
      <c r="G41" s="64">
        <v>28</v>
      </c>
      <c r="H41" s="64">
        <v>28</v>
      </c>
      <c r="I41" s="64">
        <v>28</v>
      </c>
      <c r="J41" s="64">
        <v>28</v>
      </c>
      <c r="K41" s="64">
        <v>28</v>
      </c>
      <c r="L41" s="64">
        <v>28</v>
      </c>
      <c r="M41" s="64">
        <v>28</v>
      </c>
      <c r="N41" s="64">
        <v>28</v>
      </c>
      <c r="O41" s="64">
        <v>28</v>
      </c>
      <c r="P41" s="64">
        <v>28</v>
      </c>
      <c r="Q41" s="64">
        <v>28</v>
      </c>
      <c r="R41" s="64">
        <v>28</v>
      </c>
      <c r="S41" s="64">
        <v>28</v>
      </c>
      <c r="T41" s="64">
        <v>28</v>
      </c>
      <c r="U41" s="64">
        <v>28</v>
      </c>
    </row>
    <row r="42" spans="3:21">
      <c r="C42" s="78" t="s">
        <v>362</v>
      </c>
      <c r="D42" s="77" t="str">
        <f>IFERROR(AVERAGEIFS(Tabla1[DÍAS DE COBERTURA],Tabla1[MES DE SELECCIÓN],Tabla3[[#Headers],[JULIO 2021]],Tabla1[DÍAS META],DIAS_META_GERENCIA,Tabla1[ESTATUS],Estatuss,Tabla1[EMPRESA],TM,Tabla1[TIPO DE VACANTE 
(MEDIO /ADMINISTRATIVAS  AUX. / OPERATIVO)],GERENCIA),NA)</f>
        <v>N/A</v>
      </c>
      <c r="E42" s="77" t="str">
        <f>IFERROR(AVERAGEIFS(Tabla1[DÍAS DE COBERTURA],Tabla1[MES DE SELECCIÓN],Tabla3[[#Headers],[AGOSTO 2021]],Tabla1[DÍAS META],DIAS_META_GERENCIA,Tabla1[ESTATUS],Estatuss,Tabla1[EMPRESA],TM,Tabla1[TIPO DE VACANTE 
(MEDIO /ADMINISTRATIVAS  AUX. / OPERATIVO)],GERENCIA),NA)</f>
        <v>N/A</v>
      </c>
      <c r="F42" s="77" t="str">
        <f>IFERROR(AVERAGEIFS(Tabla1[DÍAS DE COBERTURA],Tabla1[MES DE SELECCIÓN],Tabla3[[#Headers],[SEPTIEMBRE 2021]],Tabla1[DÍAS META],DIAS_META_GERENCIA,Tabla1[ESTATUS],Estatuss,Tabla1[EMPRESA],TM,Tabla1[TIPO DE VACANTE 
(MEDIO /ADMINISTRATIVAS  AUX. / OPERATIVO)],GERENCIA),NA)</f>
        <v>N/A</v>
      </c>
      <c r="G42" s="77" t="str">
        <f>IFERROR(AVERAGEIFS(Tabla1[DÍAS DE COBERTURA],Tabla1[MES DE SELECCIÓN],Tabla3[[#Headers],[OCTUBRE 2021]],Tabla1[DÍAS META],DIAS_META_GERENCIA,Tabla1[ESTATUS],Estatuss,Tabla1[EMPRESA],TM,Tabla1[TIPO DE VACANTE 
(MEDIO /ADMINISTRATIVAS  AUX. / OPERATIVO)],GERENCIA),NA)</f>
        <v>N/A</v>
      </c>
      <c r="H42" s="77" t="str">
        <f>IFERROR(AVERAGEIFS(Tabla1[DÍAS DE COBERTURA],Tabla1[MES DE SELECCIÓN],Tabla3[[#Headers],[NOVIEMBRE 2021]],Tabla1[DÍAS META],DIAS_META_GERENCIA,Tabla1[ESTATUS],Estatuss,Tabla1[EMPRESA],TM,Tabla1[TIPO DE VACANTE 
(MEDIO /ADMINISTRATIVAS  AUX. / OPERATIVO)],GERENCIA),NA)</f>
        <v>N/A</v>
      </c>
      <c r="I42" s="77" t="str">
        <f>IFERROR(AVERAGEIFS(Tabla1[DÍAS DE COBERTURA],Tabla1[MES DE SELECCIÓN],Tabla3[[#Headers],[DICIEMBRE 2021]],Tabla1[DÍAS META],DIAS_META_GERENCIA,Tabla1[ESTATUS],Estatuss,Tabla1[EMPRESA],TM,Tabla1[TIPO DE VACANTE 
(MEDIO /ADMINISTRATIVAS  AUX. / OPERATIVO)],GERENCIA),NA)</f>
        <v>N/A</v>
      </c>
      <c r="J42" s="77" t="str">
        <f>IFERROR(AVERAGEIFS(Tabla1[DÍAS DE COBERTURA],Tabla1[MES DE SELECCIÓN],Tabla3[[#Headers],[ENERO 2022]],Tabla1[DÍAS META],DIAS_META_GERENCIA,Tabla1[ESTATUS],Estatuss,Tabla1[EMPRESA],TM,Tabla1[TIPO DE VACANTE 
(MEDIO /ADMINISTRATIVAS  AUX. / OPERATIVO)],GERENCIA),NA)</f>
        <v>N/A</v>
      </c>
      <c r="K42" s="77" t="str">
        <f>IFERROR(AVERAGEIFS(Tabla1[DÍAS DE COBERTURA],Tabla1[MES DE SELECCIÓN],Tabla3[[#Headers],[FEBRERO 2022]],Tabla1[DÍAS META],DIAS_META_GERENCIA,Tabla1[ESTATUS],Estatuss,Tabla1[EMPRESA],TM,Tabla1[TIPO DE VACANTE 
(MEDIO /ADMINISTRATIVAS  AUX. / OPERATIVO)],GERENCIA),NA)</f>
        <v>N/A</v>
      </c>
      <c r="L42" s="77" t="str">
        <f>IFERROR(AVERAGEIFS(Tabla1[DÍAS DE COBERTURA],Tabla1[MES DE SELECCIÓN],Tabla3[[#Headers],[MARZO 2022]],Tabla1[DÍAS META],DIAS_META_GERENCIA,Tabla1[ESTATUS],Estatuss,Tabla1[EMPRESA],TM,Tabla1[TIPO DE VACANTE 
(MEDIO /ADMINISTRATIVAS  AUX. / OPERATIVO)],GERENCIA),NA)</f>
        <v>N/A</v>
      </c>
      <c r="M42" s="77" t="str">
        <f>IFERROR(AVERAGEIFS(Tabla1[DÍAS DE COBERTURA],Tabla1[MES DE SELECCIÓN],Tabla3[[#Headers],[ABRIL 2022]],Tabla1[DÍAS META],DIAS_META_GERENCIA,Tabla1[ESTATUS],Estatuss,Tabla1[EMPRESA],TM,Tabla1[TIPO DE VACANTE 
(MEDIO /ADMINISTRATIVAS  AUX. / OPERATIVO)],GERENCIA),NA)</f>
        <v>N/A</v>
      </c>
      <c r="N42" s="77" t="str">
        <f>IFERROR(AVERAGEIFS(Tabla1[DÍAS DE COBERTURA],Tabla1[MES DE SELECCIÓN],Tabla3[[#Headers],[MAYO 2022]],Tabla1[DÍAS META],DIAS_META_GERENCIA,Tabla1[ESTATUS],Estatuss,Tabla1[EMPRESA],TM,Tabla1[TIPO DE VACANTE 
(MEDIO /ADMINISTRATIVAS  AUX. / OPERATIVO)],GERENCIA),NA)</f>
        <v>N/A</v>
      </c>
      <c r="O42" s="77" t="str">
        <f>IFERROR(AVERAGEIFS(Tabla1[DÍAS DE COBERTURA],Tabla1[MES DE SELECCIÓN],Tabla3[[#Headers],[JUNIO 2022]],Tabla1[DÍAS META],DIAS_META_GERENCIA,Tabla1[ESTATUS],Estatuss,Tabla1[EMPRESA],TM,Tabla1[TIPO DE VACANTE 
(MEDIO /ADMINISTRATIVAS  AUX. / OPERATIVO)],GERENCIA),NA)</f>
        <v>N/A</v>
      </c>
      <c r="P42" s="77" t="str">
        <f>IFERROR(AVERAGEIFS(Tabla1[DÍAS DE COBERTURA],Tabla1[MES DE SELECCIÓN],Tabla3[[#Headers],[JULIO 2022]],Tabla1[DÍAS META],DIAS_META_GERENCIA,Tabla1[ESTATUS],Estatuss,Tabla1[EMPRESA],TM,Tabla1[TIPO DE VACANTE 
(MEDIO /ADMINISTRATIVAS  AUX. / OPERATIVO)],GERENCIA),NA)</f>
        <v>N/A</v>
      </c>
      <c r="Q42" s="77" t="str">
        <f>IFERROR(AVERAGEIFS(Tabla1[DÍAS DE COBERTURA],Tabla1[MES DE SELECCIÓN],Tabla3[[#Headers],[AGOSTO 2022]],Tabla1[DÍAS META],DIAS_META_GERENCIA,Tabla1[ESTATUS],Estatuss,Tabla1[EMPRESA],TM,Tabla1[TIPO DE VACANTE 
(MEDIO /ADMINISTRATIVAS  AUX. / OPERATIVO)],GERENCIA),NA)</f>
        <v>N/A</v>
      </c>
      <c r="R42" s="77" t="str">
        <f>IFERROR(AVERAGEIFS(Tabla1[DÍAS DE COBERTURA],Tabla1[MES DE SELECCIÓN],Tabla3[[#Headers],[SEPTIEMBRE 2022]],Tabla1[DÍAS META],DIAS_META_GERENCIA,Tabla1[ESTATUS],Estatuss,Tabla1[EMPRESA],TM,Tabla1[TIPO DE VACANTE 
(MEDIO /ADMINISTRATIVAS  AUX. / OPERATIVO)],GERENCIA),NA)</f>
        <v>N/A</v>
      </c>
      <c r="S42" s="77" t="str">
        <f>IFERROR(AVERAGEIFS(Tabla1[DÍAS DE COBERTURA],Tabla1[MES DE SELECCIÓN],Tabla3[[#Headers],[OCTUBRE 2022]],Tabla1[DÍAS META],DIAS_META_GERENCIA,Tabla1[ESTATUS],Estatuss,Tabla1[EMPRESA],TM,Tabla1[TIPO DE VACANTE 
(MEDIO /ADMINISTRATIVAS  AUX. / OPERATIVO)],GERENCIA),NA)</f>
        <v>N/A</v>
      </c>
      <c r="T42" s="77" t="str">
        <f>IFERROR(AVERAGEIFS(Tabla1[DÍAS DE COBERTURA],Tabla1[MES DE SELECCIÓN],Tabla3[[#Headers],[NOVIEMBRE 2022]],Tabla1[DÍAS META],DIAS_META_GERENCIA,Tabla1[ESTATUS],Estatuss,Tabla1[EMPRESA],TM,Tabla1[TIPO DE VACANTE 
(MEDIO /ADMINISTRATIVAS  AUX. / OPERATIVO)],GERENCIA),NA)</f>
        <v>N/A</v>
      </c>
      <c r="U42" s="77" t="str">
        <f>IFERROR(AVERAGEIFS(Tabla1[DÍAS DE COBERTURA],Tabla1[MES DE SELECCIÓN],Tabla3[[#Headers],[DICIEMBRE 2022]],Tabla1[DÍAS META],DIAS_META_GERENCIA,Tabla1[ESTATUS],Estatuss,Tabla1[EMPRESA],TM,Tabla1[TIPO DE VACANTE 
(MEDIO /ADMINISTRATIVAS  AUX. / OPERATIVO)],GERENCIA),NA)</f>
        <v>N/A</v>
      </c>
    </row>
    <row r="43" spans="3:21">
      <c r="C43" s="79" t="s">
        <v>363</v>
      </c>
      <c r="D43" s="64">
        <v>40</v>
      </c>
      <c r="E43" s="64">
        <v>40</v>
      </c>
      <c r="F43" s="64">
        <v>40</v>
      </c>
      <c r="G43" s="64">
        <v>40</v>
      </c>
      <c r="H43" s="64">
        <v>40</v>
      </c>
      <c r="I43" s="64">
        <v>40</v>
      </c>
      <c r="J43" s="64">
        <v>40</v>
      </c>
      <c r="K43" s="64">
        <v>40</v>
      </c>
      <c r="L43" s="64">
        <v>40</v>
      </c>
      <c r="M43" s="64">
        <v>40</v>
      </c>
      <c r="N43" s="64">
        <v>40</v>
      </c>
      <c r="O43" s="64">
        <v>40</v>
      </c>
      <c r="P43" s="64">
        <v>40</v>
      </c>
      <c r="Q43" s="64">
        <v>40</v>
      </c>
      <c r="R43" s="64">
        <v>40</v>
      </c>
      <c r="S43" s="64">
        <v>40</v>
      </c>
      <c r="T43" s="64">
        <v>40</v>
      </c>
      <c r="U43" s="64">
        <v>40</v>
      </c>
    </row>
    <row r="82" spans="3:21">
      <c r="C82" s="97" t="s">
        <v>366</v>
      </c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</row>
    <row r="83" spans="3:21">
      <c r="C83" s="65" t="s">
        <v>348</v>
      </c>
      <c r="D83" s="22" t="s">
        <v>57</v>
      </c>
      <c r="E83" s="22" t="s">
        <v>72</v>
      </c>
      <c r="F83" s="22" t="s">
        <v>47</v>
      </c>
      <c r="G83" s="22" t="s">
        <v>63</v>
      </c>
      <c r="H83" s="22" t="s">
        <v>39</v>
      </c>
      <c r="I83" s="22" t="s">
        <v>274</v>
      </c>
      <c r="J83" s="22" t="s">
        <v>349</v>
      </c>
      <c r="K83" s="22" t="s">
        <v>350</v>
      </c>
      <c r="L83" s="22" t="s">
        <v>181</v>
      </c>
      <c r="M83" s="22" t="s">
        <v>292</v>
      </c>
      <c r="N83" s="22" t="s">
        <v>315</v>
      </c>
      <c r="O83" s="22" t="s">
        <v>351</v>
      </c>
      <c r="P83" s="22" t="s">
        <v>352</v>
      </c>
      <c r="Q83" s="22" t="s">
        <v>353</v>
      </c>
      <c r="R83" s="22" t="s">
        <v>354</v>
      </c>
      <c r="S83" s="22" t="s">
        <v>355</v>
      </c>
      <c r="T83" s="22" t="s">
        <v>356</v>
      </c>
      <c r="U83" s="22" t="s">
        <v>357</v>
      </c>
    </row>
    <row r="84" spans="3:21">
      <c r="C84" s="39" t="s">
        <v>365</v>
      </c>
      <c r="D84" s="43">
        <f>IFERROR(AVERAGEIFS(Tabla1[DÍAS DE COBERTURA],Tabla1[MES DE SELECCIÓN],Tabla4[[#Headers],[JULIO 2021]],Tabla1[DÍAS META],DIAS_META_OPERATIVAS,Tabla1[ESTATUS],Estatuss,Tabla1[EMPRESA],IAL,Tabla1[TIPO DE VACANTE 
(MEDIO /ADMINISTRATIVAS  AUX. / OPERATIVO)],OPERATIVO),NA)</f>
        <v>16</v>
      </c>
      <c r="E84" s="43">
        <f>IFERROR(AVERAGEIFS(Tabla1[DÍAS DE COBERTURA],Tabla1[MES DE SELECCIÓN],Tabla4[[#Headers],[AGOSTO 2021]],Tabla1[DÍAS META],DIAS_META_OPERATIVAS,Tabla1[ESTATUS],Estatuss,Tabla1[EMPRESA],IAL,Tabla1[TIPO DE VACANTE 
(MEDIO /ADMINISTRATIVAS  AUX. / OPERATIVO)],OPERATIVO),NA)</f>
        <v>20</v>
      </c>
      <c r="F84" s="43">
        <f>IFERROR(AVERAGEIFS(Tabla1[DÍAS DE COBERTURA],Tabla1[MES DE SELECCIÓN],Tabla4[[#Headers],[SEPTIEMBRE 2021]],Tabla1[DÍAS META],DIAS_META_OPERATIVAS,Tabla1[ESTATUS],Estatuss,Tabla1[EMPRESA],IAL,Tabla1[TIPO DE VACANTE 
(MEDIO /ADMINISTRATIVAS  AUX. / OPERATIVO)],OPERATIVO),NA)</f>
        <v>21.333333333333332</v>
      </c>
      <c r="G84" s="43" t="str">
        <f>IFERROR(AVERAGEIFS(Tabla1[DÍAS DE COBERTURA],Tabla1[MES DE SELECCIÓN],Tabla4[[#Headers],[OCTUBRE 2021]],Tabla1[DÍAS META],DIAS_META_OPERATIVAS,Tabla1[ESTATUS],Estatuss,Tabla1[EMPRESA],IAL,Tabla1[TIPO DE VACANTE 
(MEDIO /ADMINISTRATIVAS  AUX. / OPERATIVO)],OPERATIVO),NA)</f>
        <v>N/A</v>
      </c>
      <c r="H84" s="43" t="str">
        <f>IFERROR(AVERAGEIFS(Tabla1[DÍAS DE COBERTURA],Tabla1[MES DE SELECCIÓN],Tabla4[[#Headers],[NOVIEMBRE 2021]],Tabla1[DÍAS META],DIAS_META_OPERATIVAS,Tabla1[ESTATUS],Estatuss,Tabla1[EMPRESA],IAL,Tabla1[TIPO DE VACANTE 
(MEDIO /ADMINISTRATIVAS  AUX. / OPERATIVO)],OPERATIVO),NA)</f>
        <v>N/A</v>
      </c>
      <c r="I84" s="43" t="str">
        <f>IFERROR(AVERAGEIFS(Tabla1[DÍAS DE COBERTURA],Tabla1[MES DE SELECCIÓN],Tabla4[[#Headers],[DICIEMBRE 2021]],Tabla1[DÍAS META],DIAS_META_OPERATIVAS,Tabla1[ESTATUS],Estatuss,Tabla1[EMPRESA],IAL,Tabla1[TIPO DE VACANTE 
(MEDIO /ADMINISTRATIVAS  AUX. / OPERATIVO)],OPERATIVO),NA)</f>
        <v>N/A</v>
      </c>
      <c r="J84" s="43" t="str">
        <f>IFERROR(AVERAGEIFS(Tabla1[DÍAS DE COBERTURA],Tabla1[MES DE SELECCIÓN],Tabla4[[#Headers],[ENERO 2022]],Tabla1[DÍAS META],DIAS_META_OPERATIVAS,Tabla1[ESTATUS],Estatuss,Tabla1[EMPRESA],IAL,Tabla1[TIPO DE VACANTE 
(MEDIO /ADMINISTRATIVAS  AUX. / OPERATIVO)],OPERATIVO),NA)</f>
        <v>N/A</v>
      </c>
      <c r="K84" s="43" t="str">
        <f>IFERROR(AVERAGEIFS(Tabla1[DÍAS DE COBERTURA],Tabla1[MES DE SELECCIÓN],Tabla4[[#Headers],[FEBRERO 2022]],Tabla1[DÍAS META],DIAS_META_OPERATIVAS,Tabla1[ESTATUS],Estatuss,Tabla1[EMPRESA],IAL,Tabla1[TIPO DE VACANTE 
(MEDIO /ADMINISTRATIVAS  AUX. / OPERATIVO)],OPERATIVO),NA)</f>
        <v>N/A</v>
      </c>
      <c r="L84" s="43" t="str">
        <f>IFERROR(AVERAGEIFS(Tabla1[DÍAS DE COBERTURA],Tabla1[MES DE SELECCIÓN],Tabla4[[#Headers],[MARZO 2022]],Tabla1[DÍAS META],DIAS_META_OPERATIVAS,Tabla1[ESTATUS],Estatuss,Tabla1[EMPRESA],IAL,Tabla1[TIPO DE VACANTE 
(MEDIO /ADMINISTRATIVAS  AUX. / OPERATIVO)],OPERATIVO),NA)</f>
        <v>N/A</v>
      </c>
      <c r="M84" s="43">
        <f>IFERROR(AVERAGEIFS(Tabla1[DÍAS DE COBERTURA],Tabla1[MES DE SELECCIÓN],Tabla4[[#Headers],[ABRIL 2022]],Tabla1[DÍAS META],DIAS_META_OPERATIVAS,Tabla1[ESTATUS],Estatuss,Tabla1[EMPRESA],IAL,Tabla1[TIPO DE VACANTE 
(MEDIO /ADMINISTRATIVAS  AUX. / OPERATIVO)],OPERATIVO),NA)</f>
        <v>15</v>
      </c>
      <c r="N84" s="43" t="str">
        <f>IFERROR(AVERAGEIFS(Tabla1[DÍAS DE COBERTURA],Tabla1[MES DE SELECCIÓN],Tabla4[[#Headers],[MAYO 2022]],Tabla1[DÍAS META],DIAS_META_OPERATIVAS,Tabla1[ESTATUS],Estatuss,Tabla1[EMPRESA],IAL,Tabla1[TIPO DE VACANTE 
(MEDIO /ADMINISTRATIVAS  AUX. / OPERATIVO)],OPERATIVO),NA)</f>
        <v>N/A</v>
      </c>
      <c r="O84" s="43" t="str">
        <f>IFERROR(AVERAGEIFS(Tabla1[DÍAS DE COBERTURA],Tabla1[MES DE SELECCIÓN],Tabla4[[#Headers],[JUNIO 2022]],Tabla1[DÍAS META],DIAS_META_OPERATIVAS,Tabla1[ESTATUS],Estatuss,Tabla1[EMPRESA],IAL,Tabla1[TIPO DE VACANTE 
(MEDIO /ADMINISTRATIVAS  AUX. / OPERATIVO)],OPERATIVO),NA)</f>
        <v>N/A</v>
      </c>
      <c r="P84" s="43" t="str">
        <f>IFERROR(AVERAGEIFS(Tabla1[DÍAS DE COBERTURA],Tabla1[MES DE SELECCIÓN],Tabla4[[#Headers],[JULIO 2022]],Tabla1[DÍAS META],DIAS_META_OPERATIVAS,Tabla1[ESTATUS],Estatuss,Tabla1[EMPRESA],IAL,Tabla1[TIPO DE VACANTE 
(MEDIO /ADMINISTRATIVAS  AUX. / OPERATIVO)],OPERATIVO),NA)</f>
        <v>N/A</v>
      </c>
      <c r="Q84" s="43" t="str">
        <f>IFERROR(AVERAGEIFS(Tabla1[DÍAS DE COBERTURA],Tabla1[MES DE SELECCIÓN],Tabla4[[#Headers],[AGOSTO 2022]],Tabla1[DÍAS META],DIAS_META_OPERATIVAS,Tabla1[ESTATUS],Estatuss,Tabla1[EMPRESA],IAL,Tabla1[TIPO DE VACANTE 
(MEDIO /ADMINISTRATIVAS  AUX. / OPERATIVO)],OPERATIVO),NA)</f>
        <v>N/A</v>
      </c>
      <c r="R84" s="43" t="str">
        <f>IFERROR(AVERAGEIFS(Tabla1[DÍAS DE COBERTURA],Tabla1[MES DE SELECCIÓN],Tabla4[[#Headers],[SEPTIEMBRE 2022]],Tabla1[DÍAS META],DIAS_META_OPERATIVAS,Tabla1[ESTATUS],Estatuss,Tabla1[EMPRESA],IAL,Tabla1[TIPO DE VACANTE 
(MEDIO /ADMINISTRATIVAS  AUX. / OPERATIVO)],OPERATIVO),NA)</f>
        <v>N/A</v>
      </c>
      <c r="S84" s="43" t="str">
        <f>IFERROR(AVERAGEIFS(Tabla1[DÍAS DE COBERTURA],Tabla1[MES DE SELECCIÓN],Tabla4[[#Headers],[OCTUBRE 2022]],Tabla1[DÍAS META],DIAS_META_OPERATIVAS,Tabla1[ESTATUS],Estatuss,Tabla1[EMPRESA],IAL,Tabla1[TIPO DE VACANTE 
(MEDIO /ADMINISTRATIVAS  AUX. / OPERATIVO)],OPERATIVO),NA)</f>
        <v>N/A</v>
      </c>
      <c r="T84" s="43" t="str">
        <f>IFERROR(AVERAGEIFS(Tabla1[DÍAS DE COBERTURA],Tabla1[MES DE SELECCIÓN],Tabla4[[#Headers],[NOVIEMBRE 2022]],Tabla1[DÍAS META],DIAS_META_OPERATIVAS,Tabla1[ESTATUS],Estatuss,Tabla1[EMPRESA],IAL,Tabla1[TIPO DE VACANTE 
(MEDIO /ADMINISTRATIVAS  AUX. / OPERATIVO)],OPERATIVO),NA)</f>
        <v>N/A</v>
      </c>
      <c r="U84" s="43" t="str">
        <f>IFERROR(AVERAGEIFS(Tabla1[DÍAS DE COBERTURA],Tabla1[MES DE SELECCIÓN],Tabla4[[#Headers],[DICIEMBRE 2022]],Tabla1[DÍAS META],DIAS_META_OPERATIVAS,Tabla1[ESTATUS],Estatuss,Tabla1[EMPRESA],IAL,Tabla1[TIPO DE VACANTE 
(MEDIO /ADMINISTRATIVAS  AUX. / OPERATIVO)],OPERATIVO),NA)</f>
        <v>N/A</v>
      </c>
    </row>
    <row r="85" spans="3:21">
      <c r="C85" s="24" t="s">
        <v>358</v>
      </c>
      <c r="D85" s="37">
        <v>14</v>
      </c>
      <c r="E85" s="37">
        <v>14</v>
      </c>
      <c r="F85" s="37">
        <v>14</v>
      </c>
      <c r="G85" s="37">
        <v>14</v>
      </c>
      <c r="H85" s="37">
        <v>14</v>
      </c>
      <c r="I85" s="37">
        <v>14</v>
      </c>
      <c r="J85" s="37">
        <v>14</v>
      </c>
      <c r="K85" s="37">
        <v>14</v>
      </c>
      <c r="L85" s="37">
        <v>14</v>
      </c>
      <c r="M85" s="37">
        <v>14</v>
      </c>
      <c r="N85" s="37">
        <v>14</v>
      </c>
      <c r="O85" s="37">
        <v>14</v>
      </c>
      <c r="P85" s="37">
        <v>14</v>
      </c>
      <c r="Q85" s="37">
        <v>14</v>
      </c>
      <c r="R85" s="37">
        <v>14</v>
      </c>
      <c r="S85" s="37">
        <v>14</v>
      </c>
      <c r="T85" s="37">
        <v>14</v>
      </c>
      <c r="U85" s="37">
        <v>14</v>
      </c>
    </row>
    <row r="86" spans="3:21">
      <c r="C86" s="24" t="s">
        <v>61</v>
      </c>
      <c r="D86" s="43" t="str">
        <f>IFERROR(AVERAGEIFS(Tabla1[DÍAS DE COBERTURA],Tabla1[MES DE SELECCIÓN],Tabla4[[#Headers],[JULIO 2021]],Tabla1[DÍAS META],DIAS_META_ADMIN,Tabla1[ESTATUS],Estatuss,Tabla1[EMPRESA],IAL,Tabla1[TIPO DE VACANTE 
(MEDIO /ADMINISTRATIVAS  AUX. / OPERATIVO)],ADMINISTRATIVAS),NA)</f>
        <v>N/A</v>
      </c>
      <c r="E86" s="43" t="str">
        <f>IFERROR(AVERAGEIFS(Tabla1[DÍAS DE COBERTURA],Tabla1[MES DE SELECCIÓN],Tabla4[[#Headers],[AGOSTO 2021]],Tabla1[DÍAS META],DIAS_META_ADMIN,Tabla1[ESTATUS],Estatuss,Tabla1[EMPRESA],IAL,Tabla1[TIPO DE VACANTE 
(MEDIO /ADMINISTRATIVAS  AUX. / OPERATIVO)],ADMINISTRATIVAS),NA)</f>
        <v>N/A</v>
      </c>
      <c r="F86" s="43">
        <f>IFERROR(AVERAGEIFS(Tabla1[DÍAS DE COBERTURA],Tabla1[MES DE SELECCIÓN],Tabla4[[#Headers],[SEPTIEMBRE 2021]],Tabla1[DÍAS META],DIAS_META_ADMIN,Tabla1[ESTATUS],Estatuss,Tabla1[EMPRESA],IAL,Tabla1[TIPO DE VACANTE 
(MEDIO /ADMINISTRATIVAS  AUX. / OPERATIVO)],ADMINISTRATIVAS),NA)</f>
        <v>67</v>
      </c>
      <c r="G86" s="43" t="str">
        <f>IFERROR(AVERAGEIFS(Tabla1[DÍAS DE COBERTURA],Tabla1[MES DE SELECCIÓN],Tabla4[[#Headers],[OCTUBRE 2021]],Tabla1[DÍAS META],DIAS_META_ADMIN,Tabla1[ESTATUS],Estatuss,Tabla1[EMPRESA],IAL,Tabla1[TIPO DE VACANTE 
(MEDIO /ADMINISTRATIVAS  AUX. / OPERATIVO)],ADMINISTRATIVAS),NA)</f>
        <v>N/A</v>
      </c>
      <c r="H86" s="43">
        <f>IFERROR(AVERAGEIFS(Tabla1[DÍAS DE COBERTURA],Tabla1[MES DE SELECCIÓN],Tabla4[[#Headers],[NOVIEMBRE 2021]],Tabla1[DÍAS META],DIAS_META_ADMIN,Tabla1[ESTATUS],Estatuss,Tabla1[EMPRESA],IAL,Tabla1[TIPO DE VACANTE 
(MEDIO /ADMINISTRATIVAS  AUX. / OPERATIVO)],ADMINISTRATIVAS),NA)</f>
        <v>89</v>
      </c>
      <c r="I86" s="43" t="str">
        <f>IFERROR(AVERAGEIFS(Tabla1[DÍAS DE COBERTURA],Tabla1[MES DE SELECCIÓN],Tabla4[[#Headers],[DICIEMBRE 2021]],Tabla1[DÍAS META],DIAS_META_ADMIN,Tabla1[ESTATUS],Estatuss,Tabla1[EMPRESA],IAL,Tabla1[TIPO DE VACANTE 
(MEDIO /ADMINISTRATIVAS  AUX. / OPERATIVO)],ADMINISTRATIVAS),NA)</f>
        <v>N/A</v>
      </c>
      <c r="J86" s="43" t="str">
        <f>IFERROR(AVERAGEIFS(Tabla1[DÍAS DE COBERTURA],Tabla1[MES DE SELECCIÓN],Tabla4[[#Headers],[ENERO 2022]],Tabla1[DÍAS META],DIAS_META_ADMIN,Tabla1[ESTATUS],Estatuss,Tabla1[EMPRESA],IAL,Tabla1[TIPO DE VACANTE 
(MEDIO /ADMINISTRATIVAS  AUX. / OPERATIVO)],ADMINISTRATIVAS),NA)</f>
        <v>N/A</v>
      </c>
      <c r="K86" s="43" t="str">
        <f>IFERROR(AVERAGEIFS(Tabla1[DÍAS DE COBERTURA],Tabla1[MES DE SELECCIÓN],Tabla4[[#Headers],[FEBRERO 2022]],Tabla1[DÍAS META],DIAS_META_ADMIN,Tabla1[ESTATUS],Estatuss,Tabla1[EMPRESA],IAL,Tabla1[TIPO DE VACANTE 
(MEDIO /ADMINISTRATIVAS  AUX. / OPERATIVO)],ADMINISTRATIVAS),NA)</f>
        <v>N/A</v>
      </c>
      <c r="L86" s="43" t="str">
        <f>IFERROR(AVERAGEIFS(Tabla1[DÍAS DE COBERTURA],Tabla1[MES DE SELECCIÓN],Tabla4[[#Headers],[MARZO 2022]],Tabla1[DÍAS META],DIAS_META_ADMIN,Tabla1[ESTATUS],Estatuss,Tabla1[EMPRESA],IAL,Tabla1[TIPO DE VACANTE 
(MEDIO /ADMINISTRATIVAS  AUX. / OPERATIVO)],ADMINISTRATIVAS),NA)</f>
        <v>N/A</v>
      </c>
      <c r="M86" s="43" t="str">
        <f>IFERROR(AVERAGEIFS(Tabla1[DÍAS DE COBERTURA],Tabla1[MES DE SELECCIÓN],Tabla4[[#Headers],[ABRIL 2022]],Tabla1[DÍAS META],DIAS_META_ADMIN,Tabla1[ESTATUS],Estatuss,Tabla1[EMPRESA],IAL,Tabla1[TIPO DE VACANTE 
(MEDIO /ADMINISTRATIVAS  AUX. / OPERATIVO)],ADMINISTRATIVAS),NA)</f>
        <v>N/A</v>
      </c>
      <c r="N86" s="43" t="str">
        <f>IFERROR(AVERAGEIFS(Tabla1[DÍAS DE COBERTURA],Tabla1[MES DE SELECCIÓN],Tabla4[[#Headers],[MAYO 2022]],Tabla1[DÍAS META],DIAS_META_ADMIN,Tabla1[ESTATUS],Estatuss,Tabla1[EMPRESA],IAL,Tabla1[TIPO DE VACANTE 
(MEDIO /ADMINISTRATIVAS  AUX. / OPERATIVO)],ADMINISTRATIVAS),NA)</f>
        <v>N/A</v>
      </c>
      <c r="O86" s="43" t="str">
        <f>IFERROR(AVERAGEIFS(Tabla1[DÍAS DE COBERTURA],Tabla1[MES DE SELECCIÓN],Tabla4[[#Headers],[JUNIO 2022]],Tabla1[DÍAS META],DIAS_META_ADMIN,Tabla1[ESTATUS],Estatuss,Tabla1[EMPRESA],IAL,Tabla1[TIPO DE VACANTE 
(MEDIO /ADMINISTRATIVAS  AUX. / OPERATIVO)],ADMINISTRATIVAS),NA)</f>
        <v>N/A</v>
      </c>
      <c r="P86" s="43" t="str">
        <f>IFERROR(AVERAGEIFS(Tabla1[DÍAS DE COBERTURA],Tabla1[MES DE SELECCIÓN],Tabla4[[#Headers],[JULIO 2022]],Tabla1[DÍAS META],DIAS_META_ADMIN,Tabla1[ESTATUS],Estatuss,Tabla1[EMPRESA],IAL,Tabla1[TIPO DE VACANTE 
(MEDIO /ADMINISTRATIVAS  AUX. / OPERATIVO)],ADMINISTRATIVAS),NA)</f>
        <v>N/A</v>
      </c>
      <c r="Q86" s="43" t="str">
        <f>IFERROR(AVERAGEIFS(Tabla1[DÍAS DE COBERTURA],Tabla1[MES DE SELECCIÓN],Tabla4[[#Headers],[AGOSTO 2022]],Tabla1[DÍAS META],DIAS_META_ADMIN,Tabla1[ESTATUS],Estatuss,Tabla1[EMPRESA],IAL,Tabla1[TIPO DE VACANTE 
(MEDIO /ADMINISTRATIVAS  AUX. / OPERATIVO)],ADMINISTRATIVAS),NA)</f>
        <v>N/A</v>
      </c>
      <c r="R86" s="43" t="str">
        <f>IFERROR(AVERAGEIFS(Tabla1[DÍAS DE COBERTURA],Tabla1[MES DE SELECCIÓN],Tabla4[[#Headers],[SEPTIEMBRE 2022]],Tabla1[DÍAS META],DIAS_META_ADMIN,Tabla1[ESTATUS],Estatuss,Tabla1[EMPRESA],IAL,Tabla1[TIPO DE VACANTE 
(MEDIO /ADMINISTRATIVAS  AUX. / OPERATIVO)],ADMINISTRATIVAS),NA)</f>
        <v>N/A</v>
      </c>
      <c r="S86" s="43" t="str">
        <f>IFERROR(AVERAGEIFS(Tabla1[DÍAS DE COBERTURA],Tabla1[MES DE SELECCIÓN],Tabla4[[#Headers],[OCTUBRE 2022]],Tabla1[DÍAS META],DIAS_META_ADMIN,Tabla1[ESTATUS],Estatuss,Tabla1[EMPRESA],IAL,Tabla1[TIPO DE VACANTE 
(MEDIO /ADMINISTRATIVAS  AUX. / OPERATIVO)],ADMINISTRATIVAS),NA)</f>
        <v>N/A</v>
      </c>
      <c r="T86" s="43" t="str">
        <f>IFERROR(AVERAGEIFS(Tabla1[DÍAS DE COBERTURA],Tabla1[MES DE SELECCIÓN],Tabla4[[#Headers],[NOVIEMBRE 2022]],Tabla1[DÍAS META],DIAS_META_ADMIN,Tabla1[ESTATUS],Estatuss,Tabla1[EMPRESA],IAL,Tabla1[TIPO DE VACANTE 
(MEDIO /ADMINISTRATIVAS  AUX. / OPERATIVO)],ADMINISTRATIVAS),NA)</f>
        <v>N/A</v>
      </c>
      <c r="U86" s="43" t="str">
        <f>IFERROR(AVERAGEIFS(Tabla1[DÍAS DE COBERTURA],Tabla1[MES DE SELECCIÓN],Tabla4[[#Headers],[DICIEMBRE 2022]],Tabla1[DÍAS META],DIAS_META_ADMIN,Tabla1[ESTATUS],Estatuss,Tabla1[EMPRESA],IAL,Tabla1[TIPO DE VACANTE 
(MEDIO /ADMINISTRATIVAS  AUX. / OPERATIVO)],ADMINISTRATIVAS),NA)</f>
        <v>N/A</v>
      </c>
    </row>
    <row r="87" spans="3:21">
      <c r="C87" s="24" t="s">
        <v>359</v>
      </c>
      <c r="D87" s="37">
        <v>21</v>
      </c>
      <c r="E87" s="37">
        <v>21</v>
      </c>
      <c r="F87" s="37">
        <v>21</v>
      </c>
      <c r="G87" s="37">
        <v>21</v>
      </c>
      <c r="H87" s="37">
        <v>21</v>
      </c>
      <c r="I87" s="37">
        <v>21</v>
      </c>
      <c r="J87" s="37">
        <v>21</v>
      </c>
      <c r="K87" s="37">
        <v>21</v>
      </c>
      <c r="L87" s="37">
        <v>21</v>
      </c>
      <c r="M87" s="37">
        <v>21</v>
      </c>
      <c r="N87" s="37">
        <v>21</v>
      </c>
      <c r="O87" s="37">
        <v>21</v>
      </c>
      <c r="P87" s="37">
        <v>21</v>
      </c>
      <c r="Q87" s="37">
        <v>21</v>
      </c>
      <c r="R87" s="37">
        <v>21</v>
      </c>
      <c r="S87" s="37">
        <v>21</v>
      </c>
      <c r="T87" s="37">
        <v>21</v>
      </c>
      <c r="U87" s="37">
        <v>21</v>
      </c>
    </row>
    <row r="88" spans="3:21">
      <c r="C88" s="24" t="s">
        <v>360</v>
      </c>
      <c r="D88" s="43" t="str">
        <f>IFERROR(AVERAGEIFS(Tabla1[DÍAS DE COBERTURA],Tabla1[MES DE SELECCIÓN],Tabla4[[#Headers],[JULIO 2021]],Tabla1[DÍAS META],DIAS_META_MEDIOS,Tabla1[ESTATUS],Estatuss,Tabla1[EMPRESA],IAL,Tabla1[TIPO DE VACANTE 
(MEDIO /ADMINISTRATIVAS  AUX. / OPERATIVO)],MANDOS_MEDIOSS),NA)</f>
        <v>N/A</v>
      </c>
      <c r="E88" s="43" t="str">
        <f>IFERROR(AVERAGEIFS(Tabla1[DÍAS DE COBERTURA],Tabla1[MES DE SELECCIÓN],Tabla4[[#Headers],[AGOSTO 2021]],Tabla1[DÍAS META],DIAS_META_MEDIOS,Tabla1[ESTATUS],Estatuss,Tabla1[EMPRESA],IAL,Tabla1[TIPO DE VACANTE 
(MEDIO /ADMINISTRATIVAS  AUX. / OPERATIVO)],MANDOS_MEDIOSS),NA)</f>
        <v>N/A</v>
      </c>
      <c r="F88" s="43" t="str">
        <f>IFERROR(AVERAGEIFS(Tabla1[DÍAS DE COBERTURA],Tabla1[MES DE SELECCIÓN],Tabla4[[#Headers],[SEPTIEMBRE 2021]],Tabla1[DÍAS META],DIAS_META_MEDIOS,Tabla1[ESTATUS],Estatuss,Tabla1[EMPRESA],IAL,Tabla1[TIPO DE VACANTE 
(MEDIO /ADMINISTRATIVAS  AUX. / OPERATIVO)],MANDOS_MEDIOSS),NA)</f>
        <v>N/A</v>
      </c>
      <c r="G88" s="43" t="str">
        <f>IFERROR(AVERAGEIFS(Tabla1[DÍAS DE COBERTURA],Tabla1[MES DE SELECCIÓN],Tabla4[[#Headers],[OCTUBRE 2021]],Tabla1[DÍAS META],DIAS_META_MEDIOS,Tabla1[ESTATUS],Estatuss,Tabla1[EMPRESA],IAL,Tabla1[TIPO DE VACANTE 
(MEDIO /ADMINISTRATIVAS  AUX. / OPERATIVO)],MANDOS_MEDIOSS),NA)</f>
        <v>N/A</v>
      </c>
      <c r="H88" s="43" t="str">
        <f>IFERROR(AVERAGEIFS(Tabla1[DÍAS DE COBERTURA],Tabla1[MES DE SELECCIÓN],Tabla4[[#Headers],[NOVIEMBRE 2021]],Tabla1[DÍAS META],DIAS_META_MEDIOS,Tabla1[ESTATUS],Estatuss,Tabla1[EMPRESA],IAL,Tabla1[TIPO DE VACANTE 
(MEDIO /ADMINISTRATIVAS  AUX. / OPERATIVO)],MANDOS_MEDIOSS),NA)</f>
        <v>N/A</v>
      </c>
      <c r="I88" s="43" t="str">
        <f>IFERROR(AVERAGEIFS(Tabla1[DÍAS DE COBERTURA],Tabla1[MES DE SELECCIÓN],Tabla4[[#Headers],[DICIEMBRE 2021]],Tabla1[DÍAS META],DIAS_META_MEDIOS,Tabla1[ESTATUS],Estatuss,Tabla1[EMPRESA],IAL,Tabla1[TIPO DE VACANTE 
(MEDIO /ADMINISTRATIVAS  AUX. / OPERATIVO)],MANDOS_MEDIOSS),NA)</f>
        <v>N/A</v>
      </c>
      <c r="J88" s="43" t="str">
        <f>IFERROR(AVERAGEIFS(Tabla1[DÍAS DE COBERTURA],Tabla1[MES DE SELECCIÓN],Tabla4[[#Headers],[ENERO 2022]],Tabla1[DÍAS META],DIAS_META_MEDIOS,Tabla1[ESTATUS],Estatuss,Tabla1[EMPRESA],IAL,Tabla1[TIPO DE VACANTE 
(MEDIO /ADMINISTRATIVAS  AUX. / OPERATIVO)],MANDOS_MEDIOSS),NA)</f>
        <v>N/A</v>
      </c>
      <c r="K88" s="43" t="str">
        <f>IFERROR(AVERAGEIFS(Tabla1[DÍAS DE COBERTURA],Tabla1[MES DE SELECCIÓN],Tabla4[[#Headers],[FEBRERO 2022]],Tabla1[DÍAS META],DIAS_META_MEDIOS,Tabla1[ESTATUS],Estatuss,Tabla1[EMPRESA],IAL,Tabla1[TIPO DE VACANTE 
(MEDIO /ADMINISTRATIVAS  AUX. / OPERATIVO)],MANDOS_MEDIOSS),NA)</f>
        <v>N/A</v>
      </c>
      <c r="L88" s="43" t="str">
        <f>IFERROR(AVERAGEIFS(Tabla1[DÍAS DE COBERTURA],Tabla1[MES DE SELECCIÓN],Tabla4[[#Headers],[MARZO 2022]],Tabla1[DÍAS META],DIAS_META_MEDIOS,Tabla1[ESTATUS],Estatuss,Tabla1[EMPRESA],IAL,Tabla1[TIPO DE VACANTE 
(MEDIO /ADMINISTRATIVAS  AUX. / OPERATIVO)],MANDOS_MEDIOSS),NA)</f>
        <v>N/A</v>
      </c>
      <c r="M88" s="43">
        <f>IFERROR(AVERAGEIFS(Tabla1[DÍAS DE COBERTURA],Tabla1[MES DE SELECCIÓN],Tabla4[[#Headers],[ABRIL 2022]],Tabla1[DÍAS META],DIAS_META_MEDIOS,Tabla1[ESTATUS],Estatuss,Tabla1[EMPRESA],IAL,Tabla1[TIPO DE VACANTE 
(MEDIO /ADMINISTRATIVAS  AUX. / OPERATIVO)],MANDOS_MEDIOSS),NA)</f>
        <v>16</v>
      </c>
      <c r="N88" s="43" t="str">
        <f>IFERROR(AVERAGEIFS(Tabla1[DÍAS DE COBERTURA],Tabla1[MES DE SELECCIÓN],Tabla4[[#Headers],[MAYO 2022]],Tabla1[DÍAS META],DIAS_META_MEDIOS,Tabla1[ESTATUS],Estatuss,Tabla1[EMPRESA],IAL,Tabla1[TIPO DE VACANTE 
(MEDIO /ADMINISTRATIVAS  AUX. / OPERATIVO)],MANDOS_MEDIOSS),NA)</f>
        <v>N/A</v>
      </c>
      <c r="O88" s="43" t="str">
        <f>IFERROR(AVERAGEIFS(Tabla1[DÍAS DE COBERTURA],Tabla1[MES DE SELECCIÓN],Tabla4[[#Headers],[JUNIO 2022]],Tabla1[DÍAS META],DIAS_META_MEDIOS,Tabla1[ESTATUS],Estatuss,Tabla1[EMPRESA],IAL,Tabla1[TIPO DE VACANTE 
(MEDIO /ADMINISTRATIVAS  AUX. / OPERATIVO)],MANDOS_MEDIOSS),NA)</f>
        <v>N/A</v>
      </c>
      <c r="P88" s="43" t="str">
        <f>IFERROR(AVERAGEIFS(Tabla1[DÍAS DE COBERTURA],Tabla1[MES DE SELECCIÓN],Tabla4[[#Headers],[JULIO 2022]],Tabla1[DÍAS META],DIAS_META_MEDIOS,Tabla1[ESTATUS],Estatuss,Tabla1[EMPRESA],IAL,Tabla1[TIPO DE VACANTE 
(MEDIO /ADMINISTRATIVAS  AUX. / OPERATIVO)],MANDOS_MEDIOSS),NA)</f>
        <v>N/A</v>
      </c>
      <c r="Q88" s="43" t="str">
        <f>IFERROR(AVERAGEIFS(Tabla1[DÍAS DE COBERTURA],Tabla1[MES DE SELECCIÓN],Tabla4[[#Headers],[AGOSTO 2022]],Tabla1[DÍAS META],DIAS_META_MEDIOS,Tabla1[ESTATUS],Estatuss,Tabla1[EMPRESA],IAL,Tabla1[TIPO DE VACANTE 
(MEDIO /ADMINISTRATIVAS  AUX. / OPERATIVO)],MANDOS_MEDIOSS),NA)</f>
        <v>N/A</v>
      </c>
      <c r="R88" s="43" t="str">
        <f>IFERROR(AVERAGEIFS(Tabla1[DÍAS DE COBERTURA],Tabla1[MES DE SELECCIÓN],Tabla4[[#Headers],[SEPTIEMBRE 2022]],Tabla1[DÍAS META],DIAS_META_MEDIOS,Tabla1[ESTATUS],Estatuss,Tabla1[EMPRESA],IAL,Tabla1[TIPO DE VACANTE 
(MEDIO /ADMINISTRATIVAS  AUX. / OPERATIVO)],MANDOS_MEDIOSS),NA)</f>
        <v>N/A</v>
      </c>
      <c r="S88" s="43" t="str">
        <f>IFERROR(AVERAGEIFS(Tabla1[DÍAS DE COBERTURA],Tabla1[MES DE SELECCIÓN],Tabla4[[#Headers],[OCTUBRE 2022]],Tabla1[DÍAS META],DIAS_META_MEDIOS,Tabla1[ESTATUS],Estatuss,Tabla1[EMPRESA],IAL,Tabla1[TIPO DE VACANTE 
(MEDIO /ADMINISTRATIVAS  AUX. / OPERATIVO)],MANDOS_MEDIOSS),NA)</f>
        <v>N/A</v>
      </c>
      <c r="T88" s="43" t="str">
        <f>IFERROR(AVERAGEIFS(Tabla1[DÍAS DE COBERTURA],Tabla1[MES DE SELECCIÓN],Tabla4[[#Headers],[NOVIEMBRE 2022]],Tabla1[DÍAS META],DIAS_META_MEDIOS,Tabla1[ESTATUS],Estatuss,Tabla1[EMPRESA],IAL,Tabla1[TIPO DE VACANTE 
(MEDIO /ADMINISTRATIVAS  AUX. / OPERATIVO)],MANDOS_MEDIOSS),NA)</f>
        <v>N/A</v>
      </c>
      <c r="U88" s="43" t="str">
        <f>IFERROR(AVERAGEIFS(Tabla1[DÍAS DE COBERTURA],Tabla1[MES DE SELECCIÓN],Tabla4[[#Headers],[DICIEMBRE 2022]],Tabla1[DÍAS META],DIAS_META_MEDIOS,Tabla1[ESTATUS],Estatuss,Tabla1[EMPRESA],IAL,Tabla1[TIPO DE VACANTE 
(MEDIO /ADMINISTRATIVAS  AUX. / OPERATIVO)],MANDOS_MEDIOSS),NA)</f>
        <v>N/A</v>
      </c>
    </row>
    <row r="89" spans="3:21">
      <c r="C89" s="63" t="s">
        <v>361</v>
      </c>
      <c r="D89" s="64">
        <v>28</v>
      </c>
      <c r="E89" s="64">
        <v>28</v>
      </c>
      <c r="F89" s="64">
        <v>28</v>
      </c>
      <c r="G89" s="64">
        <v>28</v>
      </c>
      <c r="H89" s="64">
        <v>28</v>
      </c>
      <c r="I89" s="64">
        <v>28</v>
      </c>
      <c r="J89" s="64">
        <v>28</v>
      </c>
      <c r="K89" s="64">
        <v>28</v>
      </c>
      <c r="L89" s="64">
        <v>28</v>
      </c>
      <c r="M89" s="64">
        <v>28</v>
      </c>
      <c r="N89" s="64">
        <v>28</v>
      </c>
      <c r="O89" s="64">
        <v>28</v>
      </c>
      <c r="P89" s="64">
        <v>28</v>
      </c>
      <c r="Q89" s="64">
        <v>28</v>
      </c>
      <c r="R89" s="64">
        <v>28</v>
      </c>
      <c r="S89" s="64">
        <v>28</v>
      </c>
      <c r="T89" s="64">
        <v>28</v>
      </c>
      <c r="U89" s="64">
        <v>28</v>
      </c>
    </row>
    <row r="90" spans="3:21">
      <c r="C90" s="78" t="s">
        <v>362</v>
      </c>
      <c r="D90" s="77" t="str">
        <f>IFERROR(AVERAGEIFS(Tabla1[DÍAS DE COBERTURA],Tabla1[MES DE SELECCIÓN],Tabla4[[#Headers],[JULIO 2021]],Tabla1[DÍAS META],DIAS_META_GERENCIA,Tabla1[ESTATUS],Estatuss,Tabla1[EMPRESA],IAL,Tabla1[TIPO DE VACANTE 
(MEDIO /ADMINISTRATIVAS  AUX. / OPERATIVO)],GERENCIA),NA)</f>
        <v>N/A</v>
      </c>
      <c r="E90" s="77" t="str">
        <f>IFERROR(AVERAGEIFS(Tabla1[DÍAS DE COBERTURA],Tabla1[MES DE SELECCIÓN],Tabla4[[#Headers],[AGOSTO 2021]],Tabla1[DÍAS META],DIAS_META_GERENCIA,Tabla1[ESTATUS],Estatuss,Tabla1[EMPRESA],IAL,Tabla1[TIPO DE VACANTE 
(MEDIO /ADMINISTRATIVAS  AUX. / OPERATIVO)],GERENCIA),NA)</f>
        <v>N/A</v>
      </c>
      <c r="F90" s="77" t="str">
        <f>IFERROR(AVERAGEIFS(Tabla1[DÍAS DE COBERTURA],Tabla1[MES DE SELECCIÓN],Tabla4[[#Headers],[SEPTIEMBRE 2021]],Tabla1[DÍAS META],DIAS_META_GERENCIA,Tabla1[ESTATUS],Estatuss,Tabla1[EMPRESA],IAL,Tabla1[TIPO DE VACANTE 
(MEDIO /ADMINISTRATIVAS  AUX. / OPERATIVO)],GERENCIA),NA)</f>
        <v>N/A</v>
      </c>
      <c r="G90" s="77" t="str">
        <f>IFERROR(AVERAGEIFS(Tabla1[DÍAS DE COBERTURA],Tabla1[MES DE SELECCIÓN],Tabla4[[#Headers],[OCTUBRE 2021]],Tabla1[DÍAS META],DIAS_META_GERENCIA,Tabla1[ESTATUS],Estatuss,Tabla1[EMPRESA],IAL,Tabla1[TIPO DE VACANTE 
(MEDIO /ADMINISTRATIVAS  AUX. / OPERATIVO)],GERENCIA),NA)</f>
        <v>N/A</v>
      </c>
      <c r="H90" s="77" t="str">
        <f>IFERROR(AVERAGEIFS(Tabla1[DÍAS DE COBERTURA],Tabla1[MES DE SELECCIÓN],Tabla4[[#Headers],[NOVIEMBRE 2021]],Tabla1[DÍAS META],DIAS_META_GERENCIA,Tabla1[ESTATUS],Estatuss,Tabla1[EMPRESA],IAL,Tabla1[TIPO DE VACANTE 
(MEDIO /ADMINISTRATIVAS  AUX. / OPERATIVO)],GERENCIA),NA)</f>
        <v>N/A</v>
      </c>
      <c r="I90" s="77" t="str">
        <f>IFERROR(AVERAGEIFS(Tabla1[DÍAS DE COBERTURA],Tabla1[MES DE SELECCIÓN],Tabla4[[#Headers],[DICIEMBRE 2021]],Tabla1[DÍAS META],DIAS_META_GERENCIA,Tabla1[ESTATUS],Estatuss,Tabla1[EMPRESA],IAL,Tabla1[TIPO DE VACANTE 
(MEDIO /ADMINISTRATIVAS  AUX. / OPERATIVO)],GERENCIA),NA)</f>
        <v>N/A</v>
      </c>
      <c r="J90" s="77" t="str">
        <f>IFERROR(AVERAGEIFS(Tabla1[DÍAS DE COBERTURA],Tabla1[MES DE SELECCIÓN],Tabla4[[#Headers],[ENERO 2022]],Tabla1[DÍAS META],DIAS_META_GERENCIA,Tabla1[ESTATUS],Estatuss,Tabla1[EMPRESA],IAL,Tabla1[TIPO DE VACANTE 
(MEDIO /ADMINISTRATIVAS  AUX. / OPERATIVO)],GERENCIA),NA)</f>
        <v>N/A</v>
      </c>
      <c r="K90" s="77" t="str">
        <f>IFERROR(AVERAGEIFS(Tabla1[DÍAS DE COBERTURA],Tabla1[MES DE SELECCIÓN],Tabla4[[#Headers],[FEBRERO 2022]],Tabla1[DÍAS META],DIAS_META_GERENCIA,Tabla1[ESTATUS],Estatuss,Tabla1[EMPRESA],IAL,Tabla1[TIPO DE VACANTE 
(MEDIO /ADMINISTRATIVAS  AUX. / OPERATIVO)],GERENCIA),NA)</f>
        <v>N/A</v>
      </c>
      <c r="L90" s="77" t="str">
        <f>IFERROR(AVERAGEIFS(Tabla1[DÍAS DE COBERTURA],Tabla1[MES DE SELECCIÓN],Tabla4[[#Headers],[MARZO 2022]],Tabla1[DÍAS META],DIAS_META_GERENCIA,Tabla1[ESTATUS],Estatuss,Tabla1[EMPRESA],IAL,Tabla1[TIPO DE VACANTE 
(MEDIO /ADMINISTRATIVAS  AUX. / OPERATIVO)],GERENCIA),NA)</f>
        <v>N/A</v>
      </c>
      <c r="M90" s="77" t="str">
        <f>IFERROR(AVERAGEIFS(Tabla1[DÍAS DE COBERTURA],Tabla1[MES DE SELECCIÓN],Tabla4[[#Headers],[ABRIL 2022]],Tabla1[DÍAS META],DIAS_META_GERENCIA,Tabla1[ESTATUS],Estatuss,Tabla1[EMPRESA],IAL,Tabla1[TIPO DE VACANTE 
(MEDIO /ADMINISTRATIVAS  AUX. / OPERATIVO)],GERENCIA),NA)</f>
        <v>N/A</v>
      </c>
      <c r="N90" s="77" t="str">
        <f>IFERROR(AVERAGEIFS(Tabla1[DÍAS DE COBERTURA],Tabla1[MES DE SELECCIÓN],Tabla4[[#Headers],[MAYO 2022]],Tabla1[DÍAS META],DIAS_META_GERENCIA,Tabla1[ESTATUS],Estatuss,Tabla1[EMPRESA],IAL,Tabla1[TIPO DE VACANTE 
(MEDIO /ADMINISTRATIVAS  AUX. / OPERATIVO)],GERENCIA),NA)</f>
        <v>N/A</v>
      </c>
      <c r="O90" s="77" t="str">
        <f>IFERROR(AVERAGEIFS(Tabla1[DÍAS DE COBERTURA],Tabla1[MES DE SELECCIÓN],Tabla4[[#Headers],[JUNIO 2022]],Tabla1[DÍAS META],DIAS_META_GERENCIA,Tabla1[ESTATUS],Estatuss,Tabla1[EMPRESA],IAL,Tabla1[TIPO DE VACANTE 
(MEDIO /ADMINISTRATIVAS  AUX. / OPERATIVO)],GERENCIA),NA)</f>
        <v>N/A</v>
      </c>
      <c r="P90" s="77" t="str">
        <f>IFERROR(AVERAGEIFS(Tabla1[DÍAS DE COBERTURA],Tabla1[MES DE SELECCIÓN],Tabla4[[#Headers],[JULIO 2022]],Tabla1[DÍAS META],DIAS_META_GERENCIA,Tabla1[ESTATUS],Estatuss,Tabla1[EMPRESA],IAL,Tabla1[TIPO DE VACANTE 
(MEDIO /ADMINISTRATIVAS  AUX. / OPERATIVO)],GERENCIA),NA)</f>
        <v>N/A</v>
      </c>
      <c r="Q90" s="77" t="str">
        <f>IFERROR(AVERAGEIFS(Tabla1[DÍAS DE COBERTURA],Tabla1[MES DE SELECCIÓN],Tabla4[[#Headers],[AGOSTO 2022]],Tabla1[DÍAS META],DIAS_META_GERENCIA,Tabla1[ESTATUS],Estatuss,Tabla1[EMPRESA],IAL,Tabla1[TIPO DE VACANTE 
(MEDIO /ADMINISTRATIVAS  AUX. / OPERATIVO)],GERENCIA),NA)</f>
        <v>N/A</v>
      </c>
      <c r="R90" s="77" t="str">
        <f>IFERROR(AVERAGEIFS(Tabla1[DÍAS DE COBERTURA],Tabla1[MES DE SELECCIÓN],Tabla4[[#Headers],[SEPTIEMBRE 2022]],Tabla1[DÍAS META],DIAS_META_GERENCIA,Tabla1[ESTATUS],Estatuss,Tabla1[EMPRESA],IAL,Tabla1[TIPO DE VACANTE 
(MEDIO /ADMINISTRATIVAS  AUX. / OPERATIVO)],GERENCIA),NA)</f>
        <v>N/A</v>
      </c>
      <c r="S90" s="77" t="str">
        <f>IFERROR(AVERAGEIFS(Tabla1[DÍAS DE COBERTURA],Tabla1[MES DE SELECCIÓN],Tabla4[[#Headers],[OCTUBRE 2022]],Tabla1[DÍAS META],DIAS_META_GERENCIA,Tabla1[ESTATUS],Estatuss,Tabla1[EMPRESA],IAL,Tabla1[TIPO DE VACANTE 
(MEDIO /ADMINISTRATIVAS  AUX. / OPERATIVO)],GERENCIA),NA)</f>
        <v>N/A</v>
      </c>
      <c r="T90" s="77" t="str">
        <f>IFERROR(AVERAGEIFS(Tabla1[DÍAS DE COBERTURA],Tabla1[MES DE SELECCIÓN],Tabla4[[#Headers],[NOVIEMBRE 2022]],Tabla1[DÍAS META],DIAS_META_GERENCIA,Tabla1[ESTATUS],Estatuss,Tabla1[EMPRESA],IAL,Tabla1[TIPO DE VACANTE 
(MEDIO /ADMINISTRATIVAS  AUX. / OPERATIVO)],GERENCIA),NA)</f>
        <v>N/A</v>
      </c>
      <c r="U90" s="77" t="str">
        <f>IFERROR(AVERAGEIFS(Tabla1[DÍAS DE COBERTURA],Tabla1[MES DE SELECCIÓN],Tabla4[[#Headers],[DICIEMBRE 2022]],Tabla1[DÍAS META],DIAS_META_GERENCIA,Tabla1[ESTATUS],Estatuss,Tabla1[EMPRESA],IAL,Tabla1[TIPO DE VACANTE 
(MEDIO /ADMINISTRATIVAS  AUX. / OPERATIVO)],GERENCIA),NA)</f>
        <v>N/A</v>
      </c>
    </row>
    <row r="91" spans="3:21">
      <c r="C91" s="79" t="s">
        <v>363</v>
      </c>
      <c r="D91" s="64">
        <v>40</v>
      </c>
      <c r="E91" s="64">
        <v>40</v>
      </c>
      <c r="F91" s="64">
        <v>40</v>
      </c>
      <c r="G91" s="64">
        <v>40</v>
      </c>
      <c r="H91" s="64">
        <v>40</v>
      </c>
      <c r="I91" s="64">
        <v>40</v>
      </c>
      <c r="J91" s="64">
        <v>40</v>
      </c>
      <c r="K91" s="64">
        <v>40</v>
      </c>
      <c r="L91" s="64">
        <v>40</v>
      </c>
      <c r="M91" s="64">
        <v>40</v>
      </c>
      <c r="N91" s="64">
        <v>40</v>
      </c>
      <c r="O91" s="64">
        <v>40</v>
      </c>
      <c r="P91" s="64">
        <v>40</v>
      </c>
      <c r="Q91" s="64">
        <v>40</v>
      </c>
      <c r="R91" s="64">
        <v>40</v>
      </c>
      <c r="S91" s="64">
        <v>40</v>
      </c>
      <c r="T91" s="64">
        <v>40</v>
      </c>
      <c r="U91" s="64">
        <v>40</v>
      </c>
    </row>
    <row r="125" spans="3:21">
      <c r="C125" s="97" t="s">
        <v>367</v>
      </c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</row>
    <row r="126" spans="3:21">
      <c r="C126" s="65" t="s">
        <v>348</v>
      </c>
      <c r="D126" s="22" t="s">
        <v>57</v>
      </c>
      <c r="E126" s="22" t="s">
        <v>72</v>
      </c>
      <c r="F126" s="22" t="s">
        <v>47</v>
      </c>
      <c r="G126" s="22" t="s">
        <v>63</v>
      </c>
      <c r="H126" s="22" t="s">
        <v>39</v>
      </c>
      <c r="I126" s="22" t="s">
        <v>274</v>
      </c>
      <c r="J126" s="22" t="s">
        <v>349</v>
      </c>
      <c r="K126" s="22" t="s">
        <v>350</v>
      </c>
      <c r="L126" s="22" t="s">
        <v>181</v>
      </c>
      <c r="M126" s="22" t="s">
        <v>292</v>
      </c>
      <c r="N126" s="22" t="s">
        <v>315</v>
      </c>
      <c r="O126" s="22" t="s">
        <v>351</v>
      </c>
      <c r="P126" s="22" t="s">
        <v>352</v>
      </c>
      <c r="Q126" s="22" t="s">
        <v>353</v>
      </c>
      <c r="R126" s="22" t="s">
        <v>354</v>
      </c>
      <c r="S126" s="22" t="s">
        <v>355</v>
      </c>
      <c r="T126" s="22" t="s">
        <v>356</v>
      </c>
      <c r="U126" s="22" t="s">
        <v>357</v>
      </c>
    </row>
    <row r="127" spans="3:21">
      <c r="C127" s="39" t="s">
        <v>365</v>
      </c>
      <c r="D127" s="43" t="str">
        <f>IFERROR(AVERAGEIFS(Tabla1[DÍAS DE COBERTURA],Tabla1[MES DE SELECCIÓN],Tabla46[[#Headers],[JULIO 2021]],Tabla1[DÍAS META],DIAS_META_OPERATIVAS,Tabla1[ESTATUS],Estatuss,Tabla1[EMPRESA],GL,Tabla1[TIPO DE VACANTE 
(MEDIO /ADMINISTRATIVAS  AUX. / OPERATIVO)],OPERATIVO),NA)</f>
        <v>N/A</v>
      </c>
      <c r="E127" s="43" t="str">
        <f>IFERROR(AVERAGEIFS(Tabla1[DÍAS DE COBERTURA],Tabla1[MES DE SELECCIÓN],Tabla46[[#Headers],[AGOSTO 2021]],Tabla1[DÍAS META],DIAS_META_OPERATIVAS,Tabla1[ESTATUS],Estatuss,Tabla1[EMPRESA],GL,Tabla1[TIPO DE VACANTE 
(MEDIO /ADMINISTRATIVAS  AUX. / OPERATIVO)],OPERATIVO),NA)</f>
        <v>N/A</v>
      </c>
      <c r="F127" s="43" t="str">
        <f>IFERROR(AVERAGEIFS(Tabla1[DÍAS DE COBERTURA],Tabla1[MES DE SELECCIÓN],Tabla46[[#Headers],[SEPTIEMBRE 2021]],Tabla1[DÍAS META],DIAS_META_OPERATIVAS,Tabla1[ESTATUS],Estatuss,Tabla1[EMPRESA],GL,Tabla1[TIPO DE VACANTE 
(MEDIO /ADMINISTRATIVAS  AUX. / OPERATIVO)],OPERATIVO),NA)</f>
        <v>N/A</v>
      </c>
      <c r="G127" s="43" t="str">
        <f>IFERROR(AVERAGEIFS(Tabla1[DÍAS DE COBERTURA],Tabla1[MES DE SELECCIÓN],Tabla46[[#Headers],[OCTUBRE 2021]],Tabla1[DÍAS META],DIAS_META_OPERATIVAS,Tabla1[ESTATUS],Estatuss,Tabla1[EMPRESA],GL,Tabla1[TIPO DE VACANTE 
(MEDIO /ADMINISTRATIVAS  AUX. / OPERATIVO)],OPERATIVO),NA)</f>
        <v>N/A</v>
      </c>
      <c r="H127" s="43" t="str">
        <f>IFERROR(AVERAGEIFS(Tabla1[DÍAS DE COBERTURA],Tabla1[MES DE SELECCIÓN],Tabla46[[#Headers],[NOVIEMBRE 2021]],Tabla1[DÍAS META],DIAS_META_OPERATIVAS,Tabla1[ESTATUS],Estatuss,Tabla1[EMPRESA],GL,Tabla1[TIPO DE VACANTE 
(MEDIO /ADMINISTRATIVAS  AUX. / OPERATIVO)],OPERATIVO),NA)</f>
        <v>N/A</v>
      </c>
      <c r="I127" s="43" t="str">
        <f>IFERROR(AVERAGEIFS(Tabla1[DÍAS DE COBERTURA],Tabla1[MES DE SELECCIÓN],Tabla46[[#Headers],[DICIEMBRE 2021]],Tabla1[DÍAS META],DIAS_META_OPERATIVAS,Tabla1[ESTATUS],Estatuss,Tabla1[EMPRESA],GL,Tabla1[TIPO DE VACANTE 
(MEDIO /ADMINISTRATIVAS  AUX. / OPERATIVO)],OPERATIVO),NA)</f>
        <v>N/A</v>
      </c>
      <c r="J127" s="43" t="str">
        <f>IFERROR(AVERAGEIFS(Tabla1[DÍAS DE COBERTURA],Tabla1[MES DE SELECCIÓN],Tabla46[[#Headers],[ENERO 2022]],Tabla1[DÍAS META],DIAS_META_OPERATIVAS,Tabla1[ESTATUS],Estatuss,Tabla1[EMPRESA],GL,Tabla1[TIPO DE VACANTE 
(MEDIO /ADMINISTRATIVAS  AUX. / OPERATIVO)],OPERATIVO),NA)</f>
        <v>N/A</v>
      </c>
      <c r="K127" s="43" t="str">
        <f>IFERROR(AVERAGEIFS(Tabla1[DÍAS DE COBERTURA],Tabla1[MES DE SELECCIÓN],Tabla46[[#Headers],[FEBRERO 2022]],Tabla1[DÍAS META],DIAS_META_OPERATIVAS,Tabla1[ESTATUS],Estatuss,Tabla1[EMPRESA],GL,Tabla1[TIPO DE VACANTE 
(MEDIO /ADMINISTRATIVAS  AUX. / OPERATIVO)],OPERATIVO),NA)</f>
        <v>N/A</v>
      </c>
      <c r="L127" s="43" t="str">
        <f>IFERROR(AVERAGEIFS(Tabla1[DÍAS DE COBERTURA],Tabla1[MES DE SELECCIÓN],Tabla46[[#Headers],[MARZO 2022]],Tabla1[DÍAS META],DIAS_META_OPERATIVAS,Tabla1[ESTATUS],Estatuss,Tabla1[EMPRESA],GL,Tabla1[TIPO DE VACANTE 
(MEDIO /ADMINISTRATIVAS  AUX. / OPERATIVO)],OPERATIVO),NA)</f>
        <v>N/A</v>
      </c>
      <c r="M127" s="43" t="str">
        <f>IFERROR(AVERAGEIFS(Tabla1[DÍAS DE COBERTURA],Tabla1[MES DE SELECCIÓN],Tabla46[[#Headers],[ABRIL 2022]],Tabla1[DÍAS META],DIAS_META_OPERATIVAS,Tabla1[ESTATUS],Estatuss,Tabla1[EMPRESA],GL,Tabla1[TIPO DE VACANTE 
(MEDIO /ADMINISTRATIVAS  AUX. / OPERATIVO)],OPERATIVO),NA)</f>
        <v>N/A</v>
      </c>
      <c r="N127" s="43" t="str">
        <f>IFERROR(AVERAGEIFS(Tabla1[DÍAS DE COBERTURA],Tabla1[MES DE SELECCIÓN],Tabla46[[#Headers],[MAYO 2022]],Tabla1[DÍAS META],DIAS_META_OPERATIVAS,Tabla1[ESTATUS],Estatuss,Tabla1[EMPRESA],GL,Tabla1[TIPO DE VACANTE 
(MEDIO /ADMINISTRATIVAS  AUX. / OPERATIVO)],OPERATIVO),NA)</f>
        <v>N/A</v>
      </c>
      <c r="O127" s="43" t="str">
        <f>IFERROR(AVERAGEIFS(Tabla1[DÍAS DE COBERTURA],Tabla1[MES DE SELECCIÓN],Tabla46[[#Headers],[JUNIO 2022]],Tabla1[DÍAS META],DIAS_META_OPERATIVAS,Tabla1[ESTATUS],Estatuss,Tabla1[EMPRESA],GL,Tabla1[TIPO DE VACANTE 
(MEDIO /ADMINISTRATIVAS  AUX. / OPERATIVO)],OPERATIVO),NA)</f>
        <v>N/A</v>
      </c>
      <c r="P127" s="43" t="str">
        <f>IFERROR(AVERAGEIFS(Tabla1[DÍAS DE COBERTURA],Tabla1[MES DE SELECCIÓN],Tabla46[[#Headers],[JULIO 2022]],Tabla1[DÍAS META],DIAS_META_OPERATIVAS,Tabla1[ESTATUS],Estatuss,Tabla1[EMPRESA],GL,Tabla1[TIPO DE VACANTE 
(MEDIO /ADMINISTRATIVAS  AUX. / OPERATIVO)],OPERATIVO),NA)</f>
        <v>N/A</v>
      </c>
      <c r="Q127" s="43" t="str">
        <f>IFERROR(AVERAGEIFS(Tabla1[DÍAS DE COBERTURA],Tabla1[MES DE SELECCIÓN],Tabla46[[#Headers],[AGOSTO 2022]],Tabla1[DÍAS META],DIAS_META_OPERATIVAS,Tabla1[ESTATUS],Estatuss,Tabla1[EMPRESA],GL,Tabla1[TIPO DE VACANTE 
(MEDIO /ADMINISTRATIVAS  AUX. / OPERATIVO)],OPERATIVO),NA)</f>
        <v>N/A</v>
      </c>
      <c r="R127" s="43" t="str">
        <f>IFERROR(AVERAGEIFS(Tabla1[DÍAS DE COBERTURA],Tabla1[MES DE SELECCIÓN],Tabla46[[#Headers],[SEPTIEMBRE 2022]],Tabla1[DÍAS META],DIAS_META_OPERATIVAS,Tabla1[ESTATUS],Estatuss,Tabla1[EMPRESA],GL,Tabla1[TIPO DE VACANTE 
(MEDIO /ADMINISTRATIVAS  AUX. / OPERATIVO)],OPERATIVO),NA)</f>
        <v>N/A</v>
      </c>
      <c r="S127" s="43" t="str">
        <f>IFERROR(AVERAGEIFS(Tabla1[DÍAS DE COBERTURA],Tabla1[MES DE SELECCIÓN],Tabla46[[#Headers],[OCTUBRE 2022]],Tabla1[DÍAS META],DIAS_META_OPERATIVAS,Tabla1[ESTATUS],Estatuss,Tabla1[EMPRESA],GL,Tabla1[TIPO DE VACANTE 
(MEDIO /ADMINISTRATIVAS  AUX. / OPERATIVO)],OPERATIVO),NA)</f>
        <v>N/A</v>
      </c>
      <c r="T127" s="43" t="str">
        <f>IFERROR(AVERAGEIFS(Tabla1[DÍAS DE COBERTURA],Tabla1[MES DE SELECCIÓN],Tabla46[[#Headers],[NOVIEMBRE 2022]],Tabla1[DÍAS META],DIAS_META_OPERATIVAS,Tabla1[ESTATUS],Estatuss,Tabla1[EMPRESA],GL,Tabla1[TIPO DE VACANTE 
(MEDIO /ADMINISTRATIVAS  AUX. / OPERATIVO)],OPERATIVO),NA)</f>
        <v>N/A</v>
      </c>
      <c r="U127" s="43" t="str">
        <f>IFERROR(AVERAGEIFS(Tabla1[DÍAS DE COBERTURA],Tabla1[MES DE SELECCIÓN],Tabla46[[#Headers],[DICIEMBRE 2022]],Tabla1[DÍAS META],DIAS_META_OPERATIVAS,Tabla1[ESTATUS],Estatuss,Tabla1[EMPRESA],GL,Tabla1[TIPO DE VACANTE 
(MEDIO /ADMINISTRATIVAS  AUX. / OPERATIVO)],OPERATIVO),NA)</f>
        <v>N/A</v>
      </c>
    </row>
    <row r="128" spans="3:21">
      <c r="C128" s="24" t="s">
        <v>358</v>
      </c>
      <c r="D128" s="37">
        <v>14</v>
      </c>
      <c r="E128" s="37">
        <v>14</v>
      </c>
      <c r="F128" s="37">
        <v>14</v>
      </c>
      <c r="G128" s="37">
        <v>14</v>
      </c>
      <c r="H128" s="37">
        <v>14</v>
      </c>
      <c r="I128" s="37">
        <v>14</v>
      </c>
      <c r="J128" s="37">
        <v>14</v>
      </c>
      <c r="K128" s="37">
        <v>14</v>
      </c>
      <c r="L128" s="37">
        <v>14</v>
      </c>
      <c r="M128" s="37">
        <v>14</v>
      </c>
      <c r="N128" s="37">
        <v>14</v>
      </c>
      <c r="O128" s="37">
        <v>14</v>
      </c>
      <c r="P128" s="37">
        <v>14</v>
      </c>
      <c r="Q128" s="37">
        <v>14</v>
      </c>
      <c r="R128" s="37">
        <v>14</v>
      </c>
      <c r="S128" s="37">
        <v>14</v>
      </c>
      <c r="T128" s="37">
        <v>14</v>
      </c>
      <c r="U128" s="37">
        <v>14</v>
      </c>
    </row>
    <row r="129" spans="3:21">
      <c r="C129" s="24" t="s">
        <v>61</v>
      </c>
      <c r="D129" s="43" t="str">
        <f>IFERROR(AVERAGEIFS(Tabla1[DÍAS DE COBERTURA],Tabla1[MES DE SELECCIÓN],Tabla46[[#Headers],[JULIO 2021]],Tabla1[DÍAS META],DIAS_META_ADMIN,Tabla1[ESTATUS],Estatuss,Tabla1[EMPRESA],GL,Tabla1[TIPO DE VACANTE 
(MEDIO /ADMINISTRATIVAS  AUX. / OPERATIVO)],ADMINISTRATIVAS),NA)</f>
        <v>N/A</v>
      </c>
      <c r="E129" s="43" t="str">
        <f>IFERROR(AVERAGEIFS(Tabla1[DÍAS DE COBERTURA],Tabla1[MES DE SELECCIÓN],Tabla46[[#Headers],[AGOSTO 2021]],Tabla1[DÍAS META],DIAS_META_ADMIN,Tabla1[ESTATUS],Estatuss,Tabla1[EMPRESA],GL,Tabla1[TIPO DE VACANTE 
(MEDIO /ADMINISTRATIVAS  AUX. / OPERATIVO)],ADMINISTRATIVAS),NA)</f>
        <v>N/A</v>
      </c>
      <c r="F129" s="43" t="str">
        <f>IFERROR(AVERAGEIFS(Tabla1[DÍAS DE COBERTURA],Tabla1[MES DE SELECCIÓN],Tabla46[[#Headers],[SEPTIEMBRE 2021]],Tabla1[DÍAS META],DIAS_META_ADMIN,Tabla1[ESTATUS],Estatuss,Tabla1[EMPRESA],GL,Tabla1[TIPO DE VACANTE 
(MEDIO /ADMINISTRATIVAS  AUX. / OPERATIVO)],ADMINISTRATIVAS),NA)</f>
        <v>N/A</v>
      </c>
      <c r="G129" s="43" t="str">
        <f>IFERROR(AVERAGEIFS(Tabla1[DÍAS DE COBERTURA],Tabla1[MES DE SELECCIÓN],Tabla46[[#Headers],[OCTUBRE 2021]],Tabla1[DÍAS META],DIAS_META_ADMIN,Tabla1[ESTATUS],Estatuss,Tabla1[EMPRESA],GL,Tabla1[TIPO DE VACANTE 
(MEDIO /ADMINISTRATIVAS  AUX. / OPERATIVO)],ADMINISTRATIVAS),NA)</f>
        <v>N/A</v>
      </c>
      <c r="H129" s="43">
        <f>IFERROR(AVERAGEIFS(Tabla1[DÍAS DE COBERTURA],Tabla1[MES DE SELECCIÓN],Tabla46[[#Headers],[NOVIEMBRE 2021]],Tabla1[DÍAS META],DIAS_META_ADMIN,Tabla1[ESTATUS],Estatuss,Tabla1[EMPRESA],GL,Tabla1[TIPO DE VACANTE 
(MEDIO /ADMINISTRATIVAS  AUX. / OPERATIVO)],ADMINISTRATIVAS),NA)</f>
        <v>9</v>
      </c>
      <c r="I129" s="43" t="str">
        <f>IFERROR(AVERAGEIFS(Tabla1[DÍAS DE COBERTURA],Tabla1[MES DE SELECCIÓN],Tabla46[[#Headers],[DICIEMBRE 2021]],Tabla1[DÍAS META],DIAS_META_ADMIN,Tabla1[ESTATUS],Estatuss,Tabla1[EMPRESA],GL,Tabla1[TIPO DE VACANTE 
(MEDIO /ADMINISTRATIVAS  AUX. / OPERATIVO)],ADMINISTRATIVAS),NA)</f>
        <v>N/A</v>
      </c>
      <c r="J129" s="43" t="str">
        <f>IFERROR(AVERAGEIFS(Tabla1[DÍAS DE COBERTURA],Tabla1[MES DE SELECCIÓN],Tabla46[[#Headers],[ENERO 2022]],Tabla1[DÍAS META],DIAS_META_ADMIN,Tabla1[ESTATUS],Estatuss,Tabla1[EMPRESA],GL,Tabla1[TIPO DE VACANTE 
(MEDIO /ADMINISTRATIVAS  AUX. / OPERATIVO)],ADMINISTRATIVAS),NA)</f>
        <v>N/A</v>
      </c>
      <c r="K129" s="43" t="str">
        <f>IFERROR(AVERAGEIFS(Tabla1[DÍAS DE COBERTURA],Tabla1[MES DE SELECCIÓN],Tabla46[[#Headers],[FEBRERO 2022]],Tabla1[DÍAS META],DIAS_META_ADMIN,Tabla1[ESTATUS],Estatuss,Tabla1[EMPRESA],GL,Tabla1[TIPO DE VACANTE 
(MEDIO /ADMINISTRATIVAS  AUX. / OPERATIVO)],ADMINISTRATIVAS),NA)</f>
        <v>N/A</v>
      </c>
      <c r="L129" s="43" t="str">
        <f>IFERROR(AVERAGEIFS(Tabla1[DÍAS DE COBERTURA],Tabla1[MES DE SELECCIÓN],Tabla46[[#Headers],[MARZO 2022]],Tabla1[DÍAS META],DIAS_META_ADMIN,Tabla1[ESTATUS],Estatuss,Tabla1[EMPRESA],GL,Tabla1[TIPO DE VACANTE 
(MEDIO /ADMINISTRATIVAS  AUX. / OPERATIVO)],ADMINISTRATIVAS),NA)</f>
        <v>N/A</v>
      </c>
      <c r="M129" s="43" t="str">
        <f>IFERROR(AVERAGEIFS(Tabla1[DÍAS DE COBERTURA],Tabla1[MES DE SELECCIÓN],Tabla46[[#Headers],[ABRIL 2022]],Tabla1[DÍAS META],DIAS_META_ADMIN,Tabla1[ESTATUS],Estatuss,Tabla1[EMPRESA],GL,Tabla1[TIPO DE VACANTE 
(MEDIO /ADMINISTRATIVAS  AUX. / OPERATIVO)],ADMINISTRATIVAS),NA)</f>
        <v>N/A</v>
      </c>
      <c r="N129" s="43" t="str">
        <f>IFERROR(AVERAGEIFS(Tabla1[DÍAS DE COBERTURA],Tabla1[MES DE SELECCIÓN],Tabla46[[#Headers],[MAYO 2022]],Tabla1[DÍAS META],DIAS_META_ADMIN,Tabla1[ESTATUS],Estatuss,Tabla1[EMPRESA],GL,Tabla1[TIPO DE VACANTE 
(MEDIO /ADMINISTRATIVAS  AUX. / OPERATIVO)],ADMINISTRATIVAS),NA)</f>
        <v>N/A</v>
      </c>
      <c r="O129" s="43" t="str">
        <f>IFERROR(AVERAGEIFS(Tabla1[DÍAS DE COBERTURA],Tabla1[MES DE SELECCIÓN],Tabla46[[#Headers],[JUNIO 2022]],Tabla1[DÍAS META],DIAS_META_ADMIN,Tabla1[ESTATUS],Estatuss,Tabla1[EMPRESA],GL,Tabla1[TIPO DE VACANTE 
(MEDIO /ADMINISTRATIVAS  AUX. / OPERATIVO)],ADMINISTRATIVAS),NA)</f>
        <v>N/A</v>
      </c>
      <c r="P129" s="43" t="str">
        <f>IFERROR(AVERAGEIFS(Tabla1[DÍAS DE COBERTURA],Tabla1[MES DE SELECCIÓN],Tabla46[[#Headers],[JULIO 2022]],Tabla1[DÍAS META],DIAS_META_ADMIN,Tabla1[ESTATUS],Estatuss,Tabla1[EMPRESA],GL,Tabla1[TIPO DE VACANTE 
(MEDIO /ADMINISTRATIVAS  AUX. / OPERATIVO)],ADMINISTRATIVAS),NA)</f>
        <v>N/A</v>
      </c>
      <c r="Q129" s="43" t="str">
        <f>IFERROR(AVERAGEIFS(Tabla1[DÍAS DE COBERTURA],Tabla1[MES DE SELECCIÓN],Tabla46[[#Headers],[AGOSTO 2022]],Tabla1[DÍAS META],DIAS_META_ADMIN,Tabla1[ESTATUS],Estatuss,Tabla1[EMPRESA],GL,Tabla1[TIPO DE VACANTE 
(MEDIO /ADMINISTRATIVAS  AUX. / OPERATIVO)],ADMINISTRATIVAS),NA)</f>
        <v>N/A</v>
      </c>
      <c r="R129" s="43" t="str">
        <f>IFERROR(AVERAGEIFS(Tabla1[DÍAS DE COBERTURA],Tabla1[MES DE SELECCIÓN],Tabla46[[#Headers],[SEPTIEMBRE 2022]],Tabla1[DÍAS META],DIAS_META_ADMIN,Tabla1[ESTATUS],Estatuss,Tabla1[EMPRESA],GL,Tabla1[TIPO DE VACANTE 
(MEDIO /ADMINISTRATIVAS  AUX. / OPERATIVO)],ADMINISTRATIVAS),NA)</f>
        <v>N/A</v>
      </c>
      <c r="S129" s="43" t="str">
        <f>IFERROR(AVERAGEIFS(Tabla1[DÍAS DE COBERTURA],Tabla1[MES DE SELECCIÓN],Tabla46[[#Headers],[OCTUBRE 2022]],Tabla1[DÍAS META],DIAS_META_ADMIN,Tabla1[ESTATUS],Estatuss,Tabla1[EMPRESA],GL,Tabla1[TIPO DE VACANTE 
(MEDIO /ADMINISTRATIVAS  AUX. / OPERATIVO)],ADMINISTRATIVAS),NA)</f>
        <v>N/A</v>
      </c>
      <c r="T129" s="43" t="str">
        <f>IFERROR(AVERAGEIFS(Tabla1[DÍAS DE COBERTURA],Tabla1[MES DE SELECCIÓN],Tabla46[[#Headers],[NOVIEMBRE 2022]],Tabla1[DÍAS META],DIAS_META_ADMIN,Tabla1[ESTATUS],Estatuss,Tabla1[EMPRESA],GL,Tabla1[TIPO DE VACANTE 
(MEDIO /ADMINISTRATIVAS  AUX. / OPERATIVO)],ADMINISTRATIVAS),NA)</f>
        <v>N/A</v>
      </c>
      <c r="U129" s="43" t="str">
        <f>IFERROR(AVERAGEIFS(Tabla1[DÍAS DE COBERTURA],Tabla1[MES DE SELECCIÓN],Tabla46[[#Headers],[DICIEMBRE 2022]],Tabla1[DÍAS META],DIAS_META_ADMIN,Tabla1[ESTATUS],Estatuss,Tabla1[EMPRESA],GL,Tabla1[TIPO DE VACANTE 
(MEDIO /ADMINISTRATIVAS  AUX. / OPERATIVO)],ADMINISTRATIVAS),NA)</f>
        <v>N/A</v>
      </c>
    </row>
    <row r="130" spans="3:21">
      <c r="C130" s="24" t="s">
        <v>359</v>
      </c>
      <c r="D130" s="37">
        <v>21</v>
      </c>
      <c r="E130" s="37">
        <v>21</v>
      </c>
      <c r="F130" s="37">
        <v>21</v>
      </c>
      <c r="G130" s="37">
        <v>21</v>
      </c>
      <c r="H130" s="37">
        <v>21</v>
      </c>
      <c r="I130" s="37">
        <v>21</v>
      </c>
      <c r="J130" s="37">
        <v>21</v>
      </c>
      <c r="K130" s="37">
        <v>21</v>
      </c>
      <c r="L130" s="37">
        <v>21</v>
      </c>
      <c r="M130" s="37">
        <v>21</v>
      </c>
      <c r="N130" s="37">
        <v>21</v>
      </c>
      <c r="O130" s="37">
        <v>21</v>
      </c>
      <c r="P130" s="37">
        <v>21</v>
      </c>
      <c r="Q130" s="37">
        <v>21</v>
      </c>
      <c r="R130" s="37">
        <v>21</v>
      </c>
      <c r="S130" s="37">
        <v>21</v>
      </c>
      <c r="T130" s="37">
        <v>21</v>
      </c>
      <c r="U130" s="37">
        <v>21</v>
      </c>
    </row>
    <row r="131" spans="3:21">
      <c r="C131" s="24" t="s">
        <v>360</v>
      </c>
      <c r="D131" s="43" t="str">
        <f>IFERROR(AVERAGEIFS(Tabla1[DÍAS DE COBERTURA],Tabla1[MES DE SELECCIÓN],Tabla46[[#Headers],[JULIO 2021]],Tabla1[DÍAS META],DIAS_META_MEDIOS,Tabla1[ESTATUS],Estatuss,Tabla1[EMPRESA],GL,Tabla1[TIPO DE VACANTE 
(MEDIO /ADMINISTRATIVAS  AUX. / OPERATIVO)],MANDOS_MEDIOSS),NA)</f>
        <v>N/A</v>
      </c>
      <c r="E131" s="43" t="str">
        <f>IFERROR(AVERAGEIFS(Tabla1[DÍAS DE COBERTURA],Tabla1[MES DE SELECCIÓN],Tabla46[[#Headers],[AGOSTO 2021]],Tabla1[DÍAS META],DIAS_META_MEDIOS,Tabla1[ESTATUS],Estatuss,Tabla1[EMPRESA],GL,Tabla1[TIPO DE VACANTE 
(MEDIO /ADMINISTRATIVAS  AUX. / OPERATIVO)],MANDOS_MEDIOSS),NA)</f>
        <v>N/A</v>
      </c>
      <c r="F131" s="43" t="str">
        <f>IFERROR(AVERAGEIFS(Tabla1[DÍAS DE COBERTURA],Tabla1[MES DE SELECCIÓN],Tabla46[[#Headers],[SEPTIEMBRE 2021]],Tabla1[DÍAS META],DIAS_META_MEDIOS,Tabla1[ESTATUS],Estatuss,Tabla1[EMPRESA],GL,Tabla1[TIPO DE VACANTE 
(MEDIO /ADMINISTRATIVAS  AUX. / OPERATIVO)],MANDOS_MEDIOSS),NA)</f>
        <v>N/A</v>
      </c>
      <c r="G131" s="43">
        <f>IFERROR(AVERAGEIFS(Tabla1[DÍAS DE COBERTURA],Tabla1[MES DE SELECCIÓN],Tabla46[[#Headers],[OCTUBRE 2021]],Tabla1[DÍAS META],DIAS_META_MEDIOS,Tabla1[ESTATUS],Estatuss,Tabla1[EMPRESA],GL,Tabla1[TIPO DE VACANTE 
(MEDIO /ADMINISTRATIVAS  AUX. / OPERATIVO)],MANDOS_MEDIOSS),NA)</f>
        <v>35</v>
      </c>
      <c r="H131" s="43">
        <f>IFERROR(AVERAGEIFS(Tabla1[DÍAS DE COBERTURA],Tabla1[MES DE SELECCIÓN],Tabla46[[#Headers],[NOVIEMBRE 2021]],Tabla1[DÍAS META],DIAS_META_MEDIOS,Tabla1[ESTATUS],Estatuss,Tabla1[EMPRESA],GL,Tabla1[TIPO DE VACANTE 
(MEDIO /ADMINISTRATIVAS  AUX. / OPERATIVO)],MANDOS_MEDIOSS),NA)</f>
        <v>66.5</v>
      </c>
      <c r="I131" s="43" t="str">
        <f>IFERROR(AVERAGEIFS(Tabla1[DÍAS DE COBERTURA],Tabla1[MES DE SELECCIÓN],Tabla46[[#Headers],[DICIEMBRE 2021]],Tabla1[DÍAS META],DIAS_META_MEDIOS,Tabla1[ESTATUS],Estatuss,Tabla1[EMPRESA],GL,Tabla1[TIPO DE VACANTE 
(MEDIO /ADMINISTRATIVAS  AUX. / OPERATIVO)],MANDOS_MEDIOSS),NA)</f>
        <v>N/A</v>
      </c>
      <c r="J131" s="43" t="str">
        <f>IFERROR(AVERAGEIFS(Tabla1[DÍAS DE COBERTURA],Tabla1[MES DE SELECCIÓN],Tabla46[[#Headers],[ENERO 2022]],Tabla1[DÍAS META],DIAS_META_MEDIOS,Tabla1[ESTATUS],Estatuss,Tabla1[EMPRESA],GL,Tabla1[TIPO DE VACANTE 
(MEDIO /ADMINISTRATIVAS  AUX. / OPERATIVO)],MANDOS_MEDIOSS),NA)</f>
        <v>N/A</v>
      </c>
      <c r="K131" s="43" t="str">
        <f>IFERROR(AVERAGEIFS(Tabla1[DÍAS DE COBERTURA],Tabla1[MES DE SELECCIÓN],Tabla46[[#Headers],[FEBRERO 2022]],Tabla1[DÍAS META],DIAS_META_MEDIOS,Tabla1[ESTATUS],Estatuss,Tabla1[EMPRESA],GL,Tabla1[TIPO DE VACANTE 
(MEDIO /ADMINISTRATIVAS  AUX. / OPERATIVO)],MANDOS_MEDIOSS),NA)</f>
        <v>N/A</v>
      </c>
      <c r="L131" s="43" t="str">
        <f>IFERROR(AVERAGEIFS(Tabla1[DÍAS DE COBERTURA],Tabla1[MES DE SELECCIÓN],Tabla46[[#Headers],[MARZO 2022]],Tabla1[DÍAS META],DIAS_META_MEDIOS,Tabla1[ESTATUS],Estatuss,Tabla1[EMPRESA],GL,Tabla1[TIPO DE VACANTE 
(MEDIO /ADMINISTRATIVAS  AUX. / OPERATIVO)],MANDOS_MEDIOSS),NA)</f>
        <v>N/A</v>
      </c>
      <c r="M131" s="43" t="str">
        <f>IFERROR(AVERAGEIFS(Tabla1[DÍAS DE COBERTURA],Tabla1[MES DE SELECCIÓN],Tabla46[[#Headers],[ABRIL 2022]],Tabla1[DÍAS META],DIAS_META_MEDIOS,Tabla1[ESTATUS],Estatuss,Tabla1[EMPRESA],GL,Tabla1[TIPO DE VACANTE 
(MEDIO /ADMINISTRATIVAS  AUX. / OPERATIVO)],MANDOS_MEDIOSS),NA)</f>
        <v>N/A</v>
      </c>
      <c r="N131" s="43" t="str">
        <f>IFERROR(AVERAGEIFS(Tabla1[DÍAS DE COBERTURA],Tabla1[MES DE SELECCIÓN],Tabla46[[#Headers],[MAYO 2022]],Tabla1[DÍAS META],DIAS_META_MEDIOS,Tabla1[ESTATUS],Estatuss,Tabla1[EMPRESA],GL,Tabla1[TIPO DE VACANTE 
(MEDIO /ADMINISTRATIVAS  AUX. / OPERATIVO)],MANDOS_MEDIOSS),NA)</f>
        <v>N/A</v>
      </c>
      <c r="O131" s="43" t="str">
        <f>IFERROR(AVERAGEIFS(Tabla1[DÍAS DE COBERTURA],Tabla1[MES DE SELECCIÓN],Tabla46[[#Headers],[JUNIO 2022]],Tabla1[DÍAS META],DIAS_META_MEDIOS,Tabla1[ESTATUS],Estatuss,Tabla1[EMPRESA],GL,Tabla1[TIPO DE VACANTE 
(MEDIO /ADMINISTRATIVAS  AUX. / OPERATIVO)],MANDOS_MEDIOSS),NA)</f>
        <v>N/A</v>
      </c>
      <c r="P131" s="43" t="str">
        <f>IFERROR(AVERAGEIFS(Tabla1[DÍAS DE COBERTURA],Tabla1[MES DE SELECCIÓN],Tabla46[[#Headers],[JULIO 2022]],Tabla1[DÍAS META],DIAS_META_MEDIOS,Tabla1[ESTATUS],Estatuss,Tabla1[EMPRESA],GL,Tabla1[TIPO DE VACANTE 
(MEDIO /ADMINISTRATIVAS  AUX. / OPERATIVO)],MANDOS_MEDIOSS),NA)</f>
        <v>N/A</v>
      </c>
      <c r="Q131" s="43" t="str">
        <f>IFERROR(AVERAGEIFS(Tabla1[DÍAS DE COBERTURA],Tabla1[MES DE SELECCIÓN],Tabla46[[#Headers],[AGOSTO 2022]],Tabla1[DÍAS META],DIAS_META_MEDIOS,Tabla1[ESTATUS],Estatuss,Tabla1[EMPRESA],GL,Tabla1[TIPO DE VACANTE 
(MEDIO /ADMINISTRATIVAS  AUX. / OPERATIVO)],MANDOS_MEDIOSS),NA)</f>
        <v>N/A</v>
      </c>
      <c r="R131" s="43" t="str">
        <f>IFERROR(AVERAGEIFS(Tabla1[DÍAS DE COBERTURA],Tabla1[MES DE SELECCIÓN],Tabla46[[#Headers],[SEPTIEMBRE 2022]],Tabla1[DÍAS META],DIAS_META_MEDIOS,Tabla1[ESTATUS],Estatuss,Tabla1[EMPRESA],GL,Tabla1[TIPO DE VACANTE 
(MEDIO /ADMINISTRATIVAS  AUX. / OPERATIVO)],MANDOS_MEDIOSS),NA)</f>
        <v>N/A</v>
      </c>
      <c r="S131" s="43" t="str">
        <f>IFERROR(AVERAGEIFS(Tabla1[DÍAS DE COBERTURA],Tabla1[MES DE SELECCIÓN],Tabla46[[#Headers],[OCTUBRE 2022]],Tabla1[DÍAS META],DIAS_META_MEDIOS,Tabla1[ESTATUS],Estatuss,Tabla1[EMPRESA],GL,Tabla1[TIPO DE VACANTE 
(MEDIO /ADMINISTRATIVAS  AUX. / OPERATIVO)],MANDOS_MEDIOSS),NA)</f>
        <v>N/A</v>
      </c>
      <c r="T131" s="43" t="str">
        <f>IFERROR(AVERAGEIFS(Tabla1[DÍAS DE COBERTURA],Tabla1[MES DE SELECCIÓN],Tabla46[[#Headers],[NOVIEMBRE 2022]],Tabla1[DÍAS META],DIAS_META_MEDIOS,Tabla1[ESTATUS],Estatuss,Tabla1[EMPRESA],GL,Tabla1[TIPO DE VACANTE 
(MEDIO /ADMINISTRATIVAS  AUX. / OPERATIVO)],MANDOS_MEDIOSS),NA)</f>
        <v>N/A</v>
      </c>
      <c r="U131" s="43" t="str">
        <f>IFERROR(AVERAGEIFS(Tabla1[DÍAS DE COBERTURA],Tabla1[MES DE SELECCIÓN],Tabla46[[#Headers],[DICIEMBRE 2022]],Tabla1[DÍAS META],DIAS_META_MEDIOS,Tabla1[ESTATUS],Estatuss,Tabla1[EMPRESA],GL,Tabla1[TIPO DE VACANTE 
(MEDIO /ADMINISTRATIVAS  AUX. / OPERATIVO)],MANDOS_MEDIOSS),NA)</f>
        <v>N/A</v>
      </c>
    </row>
    <row r="132" spans="3:21">
      <c r="C132" s="63" t="s">
        <v>361</v>
      </c>
      <c r="D132" s="64">
        <v>28</v>
      </c>
      <c r="E132" s="64">
        <v>28</v>
      </c>
      <c r="F132" s="64">
        <v>28</v>
      </c>
      <c r="G132" s="64">
        <v>28</v>
      </c>
      <c r="H132" s="64">
        <v>28</v>
      </c>
      <c r="I132" s="64">
        <v>28</v>
      </c>
      <c r="J132" s="64">
        <v>28</v>
      </c>
      <c r="K132" s="64">
        <v>28</v>
      </c>
      <c r="L132" s="64">
        <v>28</v>
      </c>
      <c r="M132" s="64">
        <v>28</v>
      </c>
      <c r="N132" s="64">
        <v>28</v>
      </c>
      <c r="O132" s="64">
        <v>28</v>
      </c>
      <c r="P132" s="64">
        <v>28</v>
      </c>
      <c r="Q132" s="64">
        <v>28</v>
      </c>
      <c r="R132" s="64">
        <v>28</v>
      </c>
      <c r="S132" s="64">
        <v>28</v>
      </c>
      <c r="T132" s="64">
        <v>28</v>
      </c>
      <c r="U132" s="64">
        <v>28</v>
      </c>
    </row>
    <row r="133" spans="3:21">
      <c r="C133" s="78" t="s">
        <v>362</v>
      </c>
      <c r="D133" s="77" t="str">
        <f>IFERROR(AVERAGEIFS(Tabla1[DÍAS DE COBERTURA],Tabla1[MES DE SELECCIÓN],Tabla46[[#Headers],[JULIO 2021]],Tabla1[DÍAS META],DIAS_META_GERENCIA,Tabla1[ESTATUS],Estatuss,Tabla1[EMPRESA],GL,Tabla1[TIPO DE VACANTE 
(MEDIO /ADMINISTRATIVAS  AUX. / OPERATIVO)],GERENCIA),NA)</f>
        <v>N/A</v>
      </c>
      <c r="E133" s="77" t="str">
        <f>IFERROR(AVERAGEIFS(Tabla1[DÍAS DE COBERTURA],Tabla1[MES DE SELECCIÓN],Tabla46[[#Headers],[AGOSTO 2021]],Tabla1[DÍAS META],DIAS_META_GERENCIA,Tabla1[ESTATUS],Estatuss,Tabla1[EMPRESA],GL,Tabla1[TIPO DE VACANTE 
(MEDIO /ADMINISTRATIVAS  AUX. / OPERATIVO)],GERENCIA),NA)</f>
        <v>N/A</v>
      </c>
      <c r="F133" s="77" t="str">
        <f>IFERROR(AVERAGEIFS(Tabla1[DÍAS DE COBERTURA],Tabla1[MES DE SELECCIÓN],Tabla46[[#Headers],[SEPTIEMBRE 2021]],Tabla1[DÍAS META],DIAS_META_GERENCIA,Tabla1[ESTATUS],Estatuss,Tabla1[EMPRESA],GL,Tabla1[TIPO DE VACANTE 
(MEDIO /ADMINISTRATIVAS  AUX. / OPERATIVO)],GERENCIA),NA)</f>
        <v>N/A</v>
      </c>
      <c r="G133" s="77" t="str">
        <f>IFERROR(AVERAGEIFS(Tabla1[DÍAS DE COBERTURA],Tabla1[MES DE SELECCIÓN],Tabla46[[#Headers],[OCTUBRE 2021]],Tabla1[DÍAS META],DIAS_META_GERENCIA,Tabla1[ESTATUS],Estatuss,Tabla1[EMPRESA],GL,Tabla1[TIPO DE VACANTE 
(MEDIO /ADMINISTRATIVAS  AUX. / OPERATIVO)],GERENCIA),NA)</f>
        <v>N/A</v>
      </c>
      <c r="H133" s="77" t="str">
        <f>IFERROR(AVERAGEIFS(Tabla1[DÍAS DE COBERTURA],Tabla1[MES DE SELECCIÓN],Tabla46[[#Headers],[NOVIEMBRE 2021]],Tabla1[DÍAS META],DIAS_META_GERENCIA,Tabla1[ESTATUS],Estatuss,Tabla1[EMPRESA],GL,Tabla1[TIPO DE VACANTE 
(MEDIO /ADMINISTRATIVAS  AUX. / OPERATIVO)],GERENCIA),NA)</f>
        <v>N/A</v>
      </c>
      <c r="I133" s="77" t="str">
        <f>IFERROR(AVERAGEIFS(Tabla1[DÍAS DE COBERTURA],Tabla1[MES DE SELECCIÓN],Tabla46[[#Headers],[DICIEMBRE 2021]],Tabla1[DÍAS META],DIAS_META_GERENCIA,Tabla1[ESTATUS],Estatuss,Tabla1[EMPRESA],GL,Tabla1[TIPO DE VACANTE 
(MEDIO /ADMINISTRATIVAS  AUX. / OPERATIVO)],GERENCIA),NA)</f>
        <v>N/A</v>
      </c>
      <c r="J133" s="77" t="str">
        <f>IFERROR(AVERAGEIFS(Tabla1[DÍAS DE COBERTURA],Tabla1[MES DE SELECCIÓN],Tabla46[[#Headers],[ENERO 2022]],Tabla1[DÍAS META],DIAS_META_GERENCIA,Tabla1[ESTATUS],Estatuss,Tabla1[EMPRESA],GL,Tabla1[TIPO DE VACANTE 
(MEDIO /ADMINISTRATIVAS  AUX. / OPERATIVO)],GERENCIA),NA)</f>
        <v>N/A</v>
      </c>
      <c r="K133" s="77" t="str">
        <f>IFERROR(AVERAGEIFS(Tabla1[DÍAS DE COBERTURA],Tabla1[MES DE SELECCIÓN],Tabla46[[#Headers],[FEBRERO 2022]],Tabla1[DÍAS META],DIAS_META_GERENCIA,Tabla1[ESTATUS],Estatuss,Tabla1[EMPRESA],GL,Tabla1[TIPO DE VACANTE 
(MEDIO /ADMINISTRATIVAS  AUX. / OPERATIVO)],GERENCIA),NA)</f>
        <v>N/A</v>
      </c>
      <c r="L133" s="77" t="str">
        <f>IFERROR(AVERAGEIFS(Tabla1[DÍAS DE COBERTURA],Tabla1[MES DE SELECCIÓN],Tabla46[[#Headers],[MARZO 2022]],Tabla1[DÍAS META],DIAS_META_GERENCIA,Tabla1[ESTATUS],Estatuss,Tabla1[EMPRESA],GL,Tabla1[TIPO DE VACANTE 
(MEDIO /ADMINISTRATIVAS  AUX. / OPERATIVO)],GERENCIA),NA)</f>
        <v>N/A</v>
      </c>
      <c r="M133" s="77" t="str">
        <f>IFERROR(AVERAGEIFS(Tabla1[DÍAS DE COBERTURA],Tabla1[MES DE SELECCIÓN],Tabla46[[#Headers],[ABRIL 2022]],Tabla1[DÍAS META],DIAS_META_GERENCIA,Tabla1[ESTATUS],Estatuss,Tabla1[EMPRESA],GL,Tabla1[TIPO DE VACANTE 
(MEDIO /ADMINISTRATIVAS  AUX. / OPERATIVO)],GERENCIA),NA)</f>
        <v>N/A</v>
      </c>
      <c r="N133" s="77" t="str">
        <f>IFERROR(AVERAGEIFS(Tabla1[DÍAS DE COBERTURA],Tabla1[MES DE SELECCIÓN],Tabla46[[#Headers],[MAYO 2022]],Tabla1[DÍAS META],DIAS_META_GERENCIA,Tabla1[ESTATUS],Estatuss,Tabla1[EMPRESA],GL,Tabla1[TIPO DE VACANTE 
(MEDIO /ADMINISTRATIVAS  AUX. / OPERATIVO)],GERENCIA),NA)</f>
        <v>N/A</v>
      </c>
      <c r="O133" s="77" t="str">
        <f>IFERROR(AVERAGEIFS(Tabla1[DÍAS DE COBERTURA],Tabla1[MES DE SELECCIÓN],Tabla46[[#Headers],[JUNIO 2022]],Tabla1[DÍAS META],DIAS_META_GERENCIA,Tabla1[ESTATUS],Estatuss,Tabla1[EMPRESA],GL,Tabla1[TIPO DE VACANTE 
(MEDIO /ADMINISTRATIVAS  AUX. / OPERATIVO)],GERENCIA),NA)</f>
        <v>N/A</v>
      </c>
      <c r="P133" s="77" t="str">
        <f>IFERROR(AVERAGEIFS(Tabla1[DÍAS DE COBERTURA],Tabla1[MES DE SELECCIÓN],Tabla46[[#Headers],[JULIO 2022]],Tabla1[DÍAS META],DIAS_META_GERENCIA,Tabla1[ESTATUS],Estatuss,Tabla1[EMPRESA],GL,Tabla1[TIPO DE VACANTE 
(MEDIO /ADMINISTRATIVAS  AUX. / OPERATIVO)],GERENCIA),NA)</f>
        <v>N/A</v>
      </c>
      <c r="Q133" s="77" t="str">
        <f>IFERROR(AVERAGEIFS(Tabla1[DÍAS DE COBERTURA],Tabla1[MES DE SELECCIÓN],Tabla46[[#Headers],[AGOSTO 2022]],Tabla1[DÍAS META],DIAS_META_GERENCIA,Tabla1[ESTATUS],Estatuss,Tabla1[EMPRESA],GL,Tabla1[TIPO DE VACANTE 
(MEDIO /ADMINISTRATIVAS  AUX. / OPERATIVO)],GERENCIA),NA)</f>
        <v>N/A</v>
      </c>
      <c r="R133" s="77" t="str">
        <f>IFERROR(AVERAGEIFS(Tabla1[DÍAS DE COBERTURA],Tabla1[MES DE SELECCIÓN],Tabla46[[#Headers],[SEPTIEMBRE 2022]],Tabla1[DÍAS META],DIAS_META_GERENCIA,Tabla1[ESTATUS],Estatuss,Tabla1[EMPRESA],GL,Tabla1[TIPO DE VACANTE 
(MEDIO /ADMINISTRATIVAS  AUX. / OPERATIVO)],GERENCIA),NA)</f>
        <v>N/A</v>
      </c>
      <c r="S133" s="77" t="str">
        <f>IFERROR(AVERAGEIFS(Tabla1[DÍAS DE COBERTURA],Tabla1[MES DE SELECCIÓN],Tabla46[[#Headers],[OCTUBRE 2022]],Tabla1[DÍAS META],DIAS_META_GERENCIA,Tabla1[ESTATUS],Estatuss,Tabla1[EMPRESA],GL,Tabla1[TIPO DE VACANTE 
(MEDIO /ADMINISTRATIVAS  AUX. / OPERATIVO)],GERENCIA),NA)</f>
        <v>N/A</v>
      </c>
      <c r="T133" s="77" t="str">
        <f>IFERROR(AVERAGEIFS(Tabla1[DÍAS DE COBERTURA],Tabla1[MES DE SELECCIÓN],Tabla46[[#Headers],[NOVIEMBRE 2022]],Tabla1[DÍAS META],DIAS_META_GERENCIA,Tabla1[ESTATUS],Estatuss,Tabla1[EMPRESA],GL,Tabla1[TIPO DE VACANTE 
(MEDIO /ADMINISTRATIVAS  AUX. / OPERATIVO)],GERENCIA),NA)</f>
        <v>N/A</v>
      </c>
      <c r="U133" s="77" t="str">
        <f>IFERROR(AVERAGEIFS(Tabla1[DÍAS DE COBERTURA],Tabla1[MES DE SELECCIÓN],Tabla46[[#Headers],[DICIEMBRE 2022]],Tabla1[DÍAS META],DIAS_META_GERENCIA,Tabla1[ESTATUS],Estatuss,Tabla1[EMPRESA],GL,Tabla1[TIPO DE VACANTE 
(MEDIO /ADMINISTRATIVAS  AUX. / OPERATIVO)],GERENCIA),NA)</f>
        <v>N/A</v>
      </c>
    </row>
    <row r="134" spans="3:21">
      <c r="C134" s="79" t="s">
        <v>363</v>
      </c>
      <c r="D134" s="64">
        <v>40</v>
      </c>
      <c r="E134" s="64">
        <v>40</v>
      </c>
      <c r="F134" s="64">
        <v>40</v>
      </c>
      <c r="G134" s="64">
        <v>40</v>
      </c>
      <c r="H134" s="64">
        <v>40</v>
      </c>
      <c r="I134" s="64">
        <v>40</v>
      </c>
      <c r="J134" s="64">
        <v>40</v>
      </c>
      <c r="K134" s="64">
        <v>40</v>
      </c>
      <c r="L134" s="64">
        <v>40</v>
      </c>
      <c r="M134" s="64">
        <v>40</v>
      </c>
      <c r="N134" s="64">
        <v>40</v>
      </c>
      <c r="O134" s="64">
        <v>40</v>
      </c>
      <c r="P134" s="64">
        <v>40</v>
      </c>
      <c r="Q134" s="64">
        <v>40</v>
      </c>
      <c r="R134" s="64">
        <v>40</v>
      </c>
      <c r="S134" s="64">
        <v>40</v>
      </c>
      <c r="T134" s="64">
        <v>40</v>
      </c>
      <c r="U134" s="64">
        <v>40</v>
      </c>
    </row>
  </sheetData>
  <mergeCells count="4">
    <mergeCell ref="C4:U4"/>
    <mergeCell ref="C34:U34"/>
    <mergeCell ref="C82:U82"/>
    <mergeCell ref="C125:U125"/>
  </mergeCells>
  <phoneticPr fontId="10" type="noConversion"/>
  <conditionalFormatting sqref="D36">
    <cfRule type="cellIs" dxfId="294" priority="223" operator="lessThan">
      <formula>14</formula>
    </cfRule>
    <cfRule type="cellIs" dxfId="293" priority="224" operator="greaterThan">
      <formula>14</formula>
    </cfRule>
  </conditionalFormatting>
  <conditionalFormatting sqref="D38">
    <cfRule type="containsText" dxfId="292" priority="133" operator="containsText" text="N/A">
      <formula>NOT(ISERROR(SEARCH("N/A",D38)))</formula>
    </cfRule>
    <cfRule type="cellIs" dxfId="291" priority="186" operator="lessThan">
      <formula>21</formula>
    </cfRule>
    <cfRule type="cellIs" dxfId="290" priority="187" operator="greaterThan">
      <formula>21</formula>
    </cfRule>
    <cfRule type="cellIs" dxfId="289" priority="215" operator="greaterThan">
      <formula>21</formula>
    </cfRule>
    <cfRule type="cellIs" dxfId="288" priority="220" operator="lessThan">
      <formula>21</formula>
    </cfRule>
  </conditionalFormatting>
  <conditionalFormatting sqref="D38">
    <cfRule type="cellIs" dxfId="287" priority="218" operator="lessThan">
      <formula>21</formula>
    </cfRule>
  </conditionalFormatting>
  <conditionalFormatting sqref="D40">
    <cfRule type="containsText" dxfId="286" priority="126" operator="containsText" text="N/A">
      <formula>NOT(ISERROR(SEARCH("N/A",D40)))</formula>
    </cfRule>
    <cfRule type="cellIs" dxfId="285" priority="179" operator="lessThan">
      <formula>28</formula>
    </cfRule>
    <cfRule type="cellIs" dxfId="284" priority="180" operator="greaterThan">
      <formula>28</formula>
    </cfRule>
    <cfRule type="cellIs" dxfId="283" priority="210" operator="lessThan">
      <formula>28</formula>
    </cfRule>
    <cfRule type="cellIs" dxfId="282" priority="211" operator="greaterThan">
      <formula>28</formula>
    </cfRule>
  </conditionalFormatting>
  <conditionalFormatting sqref="D84">
    <cfRule type="containsText" dxfId="281" priority="162" operator="containsText" text="N/A">
      <formula>NOT(ISERROR(SEARCH("N/A",D84)))</formula>
    </cfRule>
    <cfRule type="containsText" dxfId="280" priority="166" operator="containsText" text="N/A">
      <formula>NOT(ISERROR(SEARCH("N/A",D84)))</formula>
    </cfRule>
    <cfRule type="cellIs" dxfId="279" priority="206" operator="greaterThan">
      <formula>14</formula>
    </cfRule>
    <cfRule type="cellIs" dxfId="278" priority="207" operator="lessThan">
      <formula>14</formula>
    </cfRule>
  </conditionalFormatting>
  <conditionalFormatting sqref="D86:L86">
    <cfRule type="cellIs" dxfId="277" priority="202" operator="greaterThan">
      <formula>14</formula>
    </cfRule>
    <cfRule type="cellIs" dxfId="276" priority="203" operator="lessThan">
      <formula>14</formula>
    </cfRule>
  </conditionalFormatting>
  <conditionalFormatting sqref="D88:L88">
    <cfRule type="cellIs" dxfId="275" priority="200" operator="greaterThan">
      <formula>14</formula>
    </cfRule>
    <cfRule type="cellIs" dxfId="274" priority="201" operator="lessThan">
      <formula>14</formula>
    </cfRule>
  </conditionalFormatting>
  <conditionalFormatting sqref="D6">
    <cfRule type="containsText" dxfId="273" priority="149" operator="containsText" text="N/A">
      <formula>NOT(ISERROR(SEARCH("N/A",D6)))</formula>
    </cfRule>
    <cfRule type="cellIs" dxfId="272" priority="198" operator="lessThan">
      <formula>14</formula>
    </cfRule>
    <cfRule type="cellIs" dxfId="271" priority="199" operator="greaterThan">
      <formula>14</formula>
    </cfRule>
  </conditionalFormatting>
  <conditionalFormatting sqref="D8">
    <cfRule type="containsText" dxfId="270" priority="145" operator="containsText" text="N/A">
      <formula>NOT(ISERROR(SEARCH("N/A",D8)))</formula>
    </cfRule>
    <cfRule type="cellIs" dxfId="269" priority="194" operator="lessThan">
      <formula>21</formula>
    </cfRule>
    <cfRule type="cellIs" dxfId="268" priority="195" operator="greaterThan">
      <formula>21</formula>
    </cfRule>
  </conditionalFormatting>
  <conditionalFormatting sqref="D10">
    <cfRule type="containsText" dxfId="267" priority="141" operator="containsText" text="N/A">
      <formula>NOT(ISERROR(SEARCH("N/A",D10)))</formula>
    </cfRule>
    <cfRule type="cellIs" dxfId="266" priority="190" operator="lessThan">
      <formula>28</formula>
    </cfRule>
    <cfRule type="cellIs" dxfId="265" priority="191" operator="greaterThan">
      <formula>28</formula>
    </cfRule>
  </conditionalFormatting>
  <conditionalFormatting sqref="D86">
    <cfRule type="containsText" dxfId="264" priority="157" operator="containsText" text="N/A">
      <formula>NOT(ISERROR(SEARCH("N/A",D86)))</formula>
    </cfRule>
    <cfRule type="cellIs" dxfId="263" priority="173" operator="lessThan">
      <formula>21</formula>
    </cfRule>
    <cfRule type="cellIs" dxfId="262" priority="174" operator="greaterThan">
      <formula>21</formula>
    </cfRule>
  </conditionalFormatting>
  <conditionalFormatting sqref="E86:L86">
    <cfRule type="cellIs" dxfId="261" priority="171" operator="lessThan">
      <formula>21</formula>
    </cfRule>
    <cfRule type="cellIs" dxfId="260" priority="172" operator="greaterThan">
      <formula>21</formula>
    </cfRule>
  </conditionalFormatting>
  <conditionalFormatting sqref="D88">
    <cfRule type="containsText" dxfId="259" priority="153" operator="containsText" text="N/A">
      <formula>NOT(ISERROR(SEARCH("N/A",D88)))</formula>
    </cfRule>
    <cfRule type="cellIs" dxfId="258" priority="169" operator="lessThan">
      <formula>28</formula>
    </cfRule>
    <cfRule type="cellIs" dxfId="257" priority="170" operator="greaterThan">
      <formula>28</formula>
    </cfRule>
  </conditionalFormatting>
  <conditionalFormatting sqref="E88:L88">
    <cfRule type="cellIs" dxfId="256" priority="167" operator="lessThan">
      <formula>28</formula>
    </cfRule>
    <cfRule type="cellIs" dxfId="255" priority="168" operator="greaterThan">
      <formula>28</formula>
    </cfRule>
  </conditionalFormatting>
  <conditionalFormatting sqref="E84:L84">
    <cfRule type="containsText" dxfId="254" priority="158" operator="containsText" text="N/A">
      <formula>NOT(ISERROR(SEARCH("N/A",E84)))</formula>
    </cfRule>
    <cfRule type="containsText" dxfId="253" priority="159" operator="containsText" text="N/A">
      <formula>NOT(ISERROR(SEARCH("N/A",E84)))</formula>
    </cfRule>
    <cfRule type="cellIs" dxfId="252" priority="160" operator="greaterThan">
      <formula>14</formula>
    </cfRule>
    <cfRule type="cellIs" dxfId="251" priority="161" operator="lessThan">
      <formula>14</formula>
    </cfRule>
  </conditionalFormatting>
  <conditionalFormatting sqref="E86:L86">
    <cfRule type="containsText" dxfId="250" priority="154" operator="containsText" text="N/A">
      <formula>NOT(ISERROR(SEARCH("N/A",E86)))</formula>
    </cfRule>
    <cfRule type="cellIs" dxfId="249" priority="155" operator="lessThan">
      <formula>21</formula>
    </cfRule>
    <cfRule type="cellIs" dxfId="248" priority="156" operator="greaterThan">
      <formula>21</formula>
    </cfRule>
  </conditionalFormatting>
  <conditionalFormatting sqref="E88:L88">
    <cfRule type="containsText" dxfId="247" priority="150" operator="containsText" text="N/A">
      <formula>NOT(ISERROR(SEARCH("N/A",E88)))</formula>
    </cfRule>
    <cfRule type="cellIs" dxfId="246" priority="151" operator="lessThan">
      <formula>28</formula>
    </cfRule>
    <cfRule type="cellIs" dxfId="245" priority="152" operator="greaterThan">
      <formula>28</formula>
    </cfRule>
  </conditionalFormatting>
  <conditionalFormatting sqref="E6:M6">
    <cfRule type="containsText" dxfId="244" priority="146" operator="containsText" text="N/A">
      <formula>NOT(ISERROR(SEARCH("N/A",E6)))</formula>
    </cfRule>
    <cfRule type="cellIs" dxfId="243" priority="147" operator="lessThan">
      <formula>14</formula>
    </cfRule>
    <cfRule type="cellIs" dxfId="242" priority="148" operator="greaterThan">
      <formula>14</formula>
    </cfRule>
  </conditionalFormatting>
  <conditionalFormatting sqref="E8:M8">
    <cfRule type="containsText" dxfId="241" priority="142" operator="containsText" text="N/A">
      <formula>NOT(ISERROR(SEARCH("N/A",E8)))</formula>
    </cfRule>
    <cfRule type="cellIs" dxfId="240" priority="143" operator="lessThan">
      <formula>21</formula>
    </cfRule>
    <cfRule type="cellIs" dxfId="239" priority="144" operator="greaterThan">
      <formula>21</formula>
    </cfRule>
  </conditionalFormatting>
  <conditionalFormatting sqref="E10:L10">
    <cfRule type="containsText" dxfId="238" priority="138" operator="containsText" text="N/A">
      <formula>NOT(ISERROR(SEARCH("N/A",E10)))</formula>
    </cfRule>
    <cfRule type="cellIs" dxfId="237" priority="139" operator="lessThan">
      <formula>28</formula>
    </cfRule>
    <cfRule type="cellIs" dxfId="236" priority="140" operator="greaterThan">
      <formula>28</formula>
    </cfRule>
  </conditionalFormatting>
  <conditionalFormatting sqref="D36">
    <cfRule type="containsText" dxfId="235" priority="137" operator="containsText" text="N/A">
      <formula>NOT(ISERROR(SEARCH("N/A",D36)))</formula>
    </cfRule>
  </conditionalFormatting>
  <conditionalFormatting sqref="E36:L36">
    <cfRule type="cellIs" dxfId="234" priority="135" operator="lessThan">
      <formula>14</formula>
    </cfRule>
    <cfRule type="cellIs" dxfId="233" priority="136" operator="greaterThan">
      <formula>14</formula>
    </cfRule>
  </conditionalFormatting>
  <conditionalFormatting sqref="E36:L36">
    <cfRule type="containsText" dxfId="232" priority="134" operator="containsText" text="N/A">
      <formula>NOT(ISERROR(SEARCH("N/A",E36)))</formula>
    </cfRule>
  </conditionalFormatting>
  <conditionalFormatting sqref="E38:L38">
    <cfRule type="containsText" dxfId="231" priority="127" operator="containsText" text="N/A">
      <formula>NOT(ISERROR(SEARCH("N/A",E38)))</formula>
    </cfRule>
    <cfRule type="cellIs" dxfId="230" priority="128" operator="lessThan">
      <formula>21</formula>
    </cfRule>
    <cfRule type="cellIs" dxfId="229" priority="129" operator="greaterThan">
      <formula>21</formula>
    </cfRule>
    <cfRule type="cellIs" dxfId="228" priority="130" operator="greaterThan">
      <formula>21</formula>
    </cfRule>
    <cfRule type="cellIs" dxfId="227" priority="132" operator="lessThan">
      <formula>21</formula>
    </cfRule>
  </conditionalFormatting>
  <conditionalFormatting sqref="E38:L38">
    <cfRule type="cellIs" dxfId="226" priority="131" operator="lessThan">
      <formula>21</formula>
    </cfRule>
  </conditionalFormatting>
  <conditionalFormatting sqref="E40:L40">
    <cfRule type="containsText" dxfId="225" priority="121" operator="containsText" text="N/A">
      <formula>NOT(ISERROR(SEARCH("N/A",E40)))</formula>
    </cfRule>
    <cfRule type="cellIs" dxfId="224" priority="122" operator="lessThan">
      <formula>28</formula>
    </cfRule>
    <cfRule type="cellIs" dxfId="223" priority="123" operator="greaterThan">
      <formula>28</formula>
    </cfRule>
    <cfRule type="cellIs" dxfId="222" priority="124" operator="lessThan">
      <formula>28</formula>
    </cfRule>
    <cfRule type="cellIs" dxfId="221" priority="125" operator="greaterThan">
      <formula>28</formula>
    </cfRule>
  </conditionalFormatting>
  <conditionalFormatting sqref="N6:S6">
    <cfRule type="containsText" dxfId="220" priority="118" operator="containsText" text="N/A">
      <formula>NOT(ISERROR(SEARCH("N/A",N6)))</formula>
    </cfRule>
    <cfRule type="cellIs" dxfId="219" priority="119" operator="lessThan">
      <formula>14</formula>
    </cfRule>
    <cfRule type="cellIs" dxfId="218" priority="120" operator="greaterThan">
      <formula>14</formula>
    </cfRule>
  </conditionalFormatting>
  <conditionalFormatting sqref="T6:U6">
    <cfRule type="containsText" dxfId="217" priority="115" operator="containsText" text="N/A">
      <formula>NOT(ISERROR(SEARCH("N/A",T6)))</formula>
    </cfRule>
    <cfRule type="cellIs" dxfId="216" priority="116" operator="lessThan">
      <formula>14</formula>
    </cfRule>
    <cfRule type="cellIs" dxfId="215" priority="117" operator="greaterThan">
      <formula>14</formula>
    </cfRule>
  </conditionalFormatting>
  <conditionalFormatting sqref="N8:U8">
    <cfRule type="containsText" dxfId="214" priority="112" operator="containsText" text="N/A">
      <formula>NOT(ISERROR(SEARCH("N/A",N8)))</formula>
    </cfRule>
    <cfRule type="cellIs" dxfId="213" priority="113" operator="lessThan">
      <formula>21</formula>
    </cfRule>
    <cfRule type="cellIs" dxfId="212" priority="114" operator="greaterThan">
      <formula>21</formula>
    </cfRule>
  </conditionalFormatting>
  <conditionalFormatting sqref="M10:U10">
    <cfRule type="containsText" dxfId="211" priority="109" operator="containsText" text="N/A">
      <formula>NOT(ISERROR(SEARCH("N/A",M10)))</formula>
    </cfRule>
    <cfRule type="cellIs" dxfId="210" priority="110" operator="lessThan">
      <formula>28</formula>
    </cfRule>
    <cfRule type="cellIs" dxfId="209" priority="111" operator="greaterThan">
      <formula>28</formula>
    </cfRule>
  </conditionalFormatting>
  <conditionalFormatting sqref="M36:U36">
    <cfRule type="cellIs" dxfId="208" priority="107" operator="lessThan">
      <formula>14</formula>
    </cfRule>
    <cfRule type="cellIs" dxfId="207" priority="108" operator="greaterThan">
      <formula>14</formula>
    </cfRule>
  </conditionalFormatting>
  <conditionalFormatting sqref="M36:U36">
    <cfRule type="containsText" dxfId="206" priority="106" operator="containsText" text="N/A">
      <formula>NOT(ISERROR(SEARCH("N/A",M36)))</formula>
    </cfRule>
  </conditionalFormatting>
  <conditionalFormatting sqref="M38:U38">
    <cfRule type="containsText" dxfId="205" priority="100" operator="containsText" text="N/A">
      <formula>NOT(ISERROR(SEARCH("N/A",M38)))</formula>
    </cfRule>
    <cfRule type="cellIs" dxfId="204" priority="101" operator="lessThan">
      <formula>21</formula>
    </cfRule>
    <cfRule type="cellIs" dxfId="203" priority="102" operator="greaterThan">
      <formula>21</formula>
    </cfRule>
    <cfRule type="cellIs" dxfId="202" priority="103" operator="greaterThan">
      <formula>21</formula>
    </cfRule>
    <cfRule type="cellIs" dxfId="201" priority="105" operator="lessThan">
      <formula>21</formula>
    </cfRule>
  </conditionalFormatting>
  <conditionalFormatting sqref="M38:U38">
    <cfRule type="cellIs" dxfId="200" priority="104" operator="lessThan">
      <formula>21</formula>
    </cfRule>
  </conditionalFormatting>
  <conditionalFormatting sqref="M40:U40">
    <cfRule type="containsText" dxfId="199" priority="95" operator="containsText" text="N/A">
      <formula>NOT(ISERROR(SEARCH("N/A",M40)))</formula>
    </cfRule>
    <cfRule type="cellIs" dxfId="198" priority="96" operator="lessThan">
      <formula>28</formula>
    </cfRule>
    <cfRule type="cellIs" dxfId="197" priority="97" operator="greaterThan">
      <formula>28</formula>
    </cfRule>
    <cfRule type="cellIs" dxfId="196" priority="98" operator="lessThan">
      <formula>28</formula>
    </cfRule>
    <cfRule type="cellIs" dxfId="195" priority="99" operator="greaterThan">
      <formula>28</formula>
    </cfRule>
  </conditionalFormatting>
  <conditionalFormatting sqref="M84:U84">
    <cfRule type="containsText" dxfId="194" priority="91" operator="containsText" text="N/A">
      <formula>NOT(ISERROR(SEARCH("N/A",M84)))</formula>
    </cfRule>
    <cfRule type="containsText" dxfId="193" priority="92" operator="containsText" text="N/A">
      <formula>NOT(ISERROR(SEARCH("N/A",M84)))</formula>
    </cfRule>
    <cfRule type="cellIs" dxfId="192" priority="93" operator="greaterThan">
      <formula>14</formula>
    </cfRule>
    <cfRule type="cellIs" dxfId="191" priority="94" operator="lessThan">
      <formula>14</formula>
    </cfRule>
  </conditionalFormatting>
  <conditionalFormatting sqref="M86:U86">
    <cfRule type="cellIs" dxfId="190" priority="89" operator="greaterThan">
      <formula>14</formula>
    </cfRule>
    <cfRule type="cellIs" dxfId="189" priority="90" operator="lessThan">
      <formula>14</formula>
    </cfRule>
  </conditionalFormatting>
  <conditionalFormatting sqref="M86:U86">
    <cfRule type="cellIs" dxfId="188" priority="87" operator="lessThan">
      <formula>21</formula>
    </cfRule>
    <cfRule type="cellIs" dxfId="187" priority="88" operator="greaterThan">
      <formula>21</formula>
    </cfRule>
  </conditionalFormatting>
  <conditionalFormatting sqref="M86:U86">
    <cfRule type="containsText" dxfId="186" priority="84" operator="containsText" text="N/A">
      <formula>NOT(ISERROR(SEARCH("N/A",M86)))</formula>
    </cfRule>
    <cfRule type="cellIs" dxfId="185" priority="85" operator="lessThan">
      <formula>21</formula>
    </cfRule>
    <cfRule type="cellIs" dxfId="184" priority="86" operator="greaterThan">
      <formula>21</formula>
    </cfRule>
  </conditionalFormatting>
  <conditionalFormatting sqref="M88:U88">
    <cfRule type="cellIs" dxfId="183" priority="82" operator="greaterThan">
      <formula>14</formula>
    </cfRule>
    <cfRule type="cellIs" dxfId="182" priority="83" operator="lessThan">
      <formula>14</formula>
    </cfRule>
  </conditionalFormatting>
  <conditionalFormatting sqref="M88:U88">
    <cfRule type="cellIs" dxfId="181" priority="80" operator="lessThan">
      <formula>28</formula>
    </cfRule>
    <cfRule type="cellIs" dxfId="180" priority="81" operator="greaterThan">
      <formula>28</formula>
    </cfRule>
  </conditionalFormatting>
  <conditionalFormatting sqref="M88:U88">
    <cfRule type="containsText" dxfId="179" priority="77" operator="containsText" text="N/A">
      <formula>NOT(ISERROR(SEARCH("N/A",M88)))</formula>
    </cfRule>
    <cfRule type="cellIs" dxfId="178" priority="78" operator="lessThan">
      <formula>28</formula>
    </cfRule>
    <cfRule type="cellIs" dxfId="177" priority="79" operator="greaterThan">
      <formula>28</formula>
    </cfRule>
  </conditionalFormatting>
  <conditionalFormatting sqref="D127">
    <cfRule type="containsText" dxfId="176" priority="61" operator="containsText" text="N/A">
      <formula>NOT(ISERROR(SEARCH("N/A",D127)))</formula>
    </cfRule>
    <cfRule type="containsText" dxfId="175" priority="62" operator="containsText" text="N/A">
      <formula>NOT(ISERROR(SEARCH("N/A",D127)))</formula>
    </cfRule>
    <cfRule type="cellIs" dxfId="174" priority="75" operator="greaterThan">
      <formula>14</formula>
    </cfRule>
    <cfRule type="cellIs" dxfId="173" priority="76" operator="lessThan">
      <formula>14</formula>
    </cfRule>
  </conditionalFormatting>
  <conditionalFormatting sqref="D129:L129">
    <cfRule type="cellIs" dxfId="172" priority="73" operator="greaterThan">
      <formula>14</formula>
    </cfRule>
    <cfRule type="cellIs" dxfId="171" priority="74" operator="lessThan">
      <formula>14</formula>
    </cfRule>
  </conditionalFormatting>
  <conditionalFormatting sqref="D131:L131">
    <cfRule type="cellIs" dxfId="170" priority="71" operator="greaterThan">
      <formula>14</formula>
    </cfRule>
    <cfRule type="cellIs" dxfId="169" priority="72" operator="lessThan">
      <formula>14</formula>
    </cfRule>
  </conditionalFormatting>
  <conditionalFormatting sqref="D129">
    <cfRule type="containsText" dxfId="168" priority="56" operator="containsText" text="N/A">
      <formula>NOT(ISERROR(SEARCH("N/A",D129)))</formula>
    </cfRule>
    <cfRule type="cellIs" dxfId="167" priority="69" operator="lessThan">
      <formula>21</formula>
    </cfRule>
    <cfRule type="cellIs" dxfId="166" priority="70" operator="greaterThan">
      <formula>21</formula>
    </cfRule>
  </conditionalFormatting>
  <conditionalFormatting sqref="E129:L129">
    <cfRule type="cellIs" dxfId="165" priority="67" operator="lessThan">
      <formula>21</formula>
    </cfRule>
    <cfRule type="cellIs" dxfId="164" priority="68" operator="greaterThan">
      <formula>21</formula>
    </cfRule>
  </conditionalFormatting>
  <conditionalFormatting sqref="D131">
    <cfRule type="containsText" dxfId="163" priority="52" operator="containsText" text="N/A">
      <formula>NOT(ISERROR(SEARCH("N/A",D131)))</formula>
    </cfRule>
    <cfRule type="cellIs" dxfId="162" priority="65" operator="lessThan">
      <formula>28</formula>
    </cfRule>
    <cfRule type="cellIs" dxfId="161" priority="66" operator="greaterThan">
      <formula>28</formula>
    </cfRule>
  </conditionalFormatting>
  <conditionalFormatting sqref="E131:L131">
    <cfRule type="cellIs" dxfId="160" priority="63" operator="lessThan">
      <formula>28</formula>
    </cfRule>
    <cfRule type="cellIs" dxfId="159" priority="64" operator="greaterThan">
      <formula>28</formula>
    </cfRule>
  </conditionalFormatting>
  <conditionalFormatting sqref="E127:L127">
    <cfRule type="containsText" dxfId="158" priority="57" operator="containsText" text="N/A">
      <formula>NOT(ISERROR(SEARCH("N/A",E127)))</formula>
    </cfRule>
    <cfRule type="containsText" dxfId="157" priority="58" operator="containsText" text="N/A">
      <formula>NOT(ISERROR(SEARCH("N/A",E127)))</formula>
    </cfRule>
    <cfRule type="cellIs" dxfId="156" priority="59" operator="greaterThan">
      <formula>14</formula>
    </cfRule>
    <cfRule type="cellIs" dxfId="155" priority="60" operator="lessThan">
      <formula>14</formula>
    </cfRule>
  </conditionalFormatting>
  <conditionalFormatting sqref="E129:L129">
    <cfRule type="containsText" dxfId="154" priority="53" operator="containsText" text="N/A">
      <formula>NOT(ISERROR(SEARCH("N/A",E129)))</formula>
    </cfRule>
    <cfRule type="cellIs" dxfId="153" priority="54" operator="lessThan">
      <formula>21</formula>
    </cfRule>
    <cfRule type="cellIs" dxfId="152" priority="55" operator="greaterThan">
      <formula>21</formula>
    </cfRule>
  </conditionalFormatting>
  <conditionalFormatting sqref="E131:L131">
    <cfRule type="containsText" dxfId="151" priority="49" operator="containsText" text="N/A">
      <formula>NOT(ISERROR(SEARCH("N/A",E131)))</formula>
    </cfRule>
    <cfRule type="cellIs" dxfId="150" priority="50" operator="lessThan">
      <formula>28</formula>
    </cfRule>
    <cfRule type="cellIs" dxfId="149" priority="51" operator="greaterThan">
      <formula>28</formula>
    </cfRule>
  </conditionalFormatting>
  <conditionalFormatting sqref="M127:U127">
    <cfRule type="containsText" dxfId="148" priority="45" operator="containsText" text="N/A">
      <formula>NOT(ISERROR(SEARCH("N/A",M127)))</formula>
    </cfRule>
    <cfRule type="containsText" dxfId="147" priority="46" operator="containsText" text="N/A">
      <formula>NOT(ISERROR(SEARCH("N/A",M127)))</formula>
    </cfRule>
    <cfRule type="cellIs" dxfId="146" priority="47" operator="greaterThan">
      <formula>14</formula>
    </cfRule>
    <cfRule type="cellIs" dxfId="145" priority="48" operator="lessThan">
      <formula>14</formula>
    </cfRule>
  </conditionalFormatting>
  <conditionalFormatting sqref="M129:U129">
    <cfRule type="cellIs" dxfId="144" priority="43" operator="greaterThan">
      <formula>14</formula>
    </cfRule>
    <cfRule type="cellIs" dxfId="143" priority="44" operator="lessThan">
      <formula>14</formula>
    </cfRule>
  </conditionalFormatting>
  <conditionalFormatting sqref="M129:U129">
    <cfRule type="cellIs" dxfId="142" priority="41" operator="lessThan">
      <formula>21</formula>
    </cfRule>
    <cfRule type="cellIs" dxfId="141" priority="42" operator="greaterThan">
      <formula>21</formula>
    </cfRule>
  </conditionalFormatting>
  <conditionalFormatting sqref="M129:U129">
    <cfRule type="containsText" dxfId="140" priority="38" operator="containsText" text="N/A">
      <formula>NOT(ISERROR(SEARCH("N/A",M129)))</formula>
    </cfRule>
    <cfRule type="cellIs" dxfId="139" priority="39" operator="lessThan">
      <formula>21</formula>
    </cfRule>
    <cfRule type="cellIs" dxfId="138" priority="40" operator="greaterThan">
      <formula>21</formula>
    </cfRule>
  </conditionalFormatting>
  <conditionalFormatting sqref="M131:U131">
    <cfRule type="cellIs" dxfId="137" priority="36" operator="greaterThan">
      <formula>14</formula>
    </cfRule>
    <cfRule type="cellIs" dxfId="136" priority="37" operator="lessThan">
      <formula>14</formula>
    </cfRule>
  </conditionalFormatting>
  <conditionalFormatting sqref="M131:U131">
    <cfRule type="cellIs" dxfId="135" priority="34" operator="lessThan">
      <formula>28</formula>
    </cfRule>
    <cfRule type="cellIs" dxfId="134" priority="35" operator="greaterThan">
      <formula>28</formula>
    </cfRule>
  </conditionalFormatting>
  <conditionalFormatting sqref="M131:U131">
    <cfRule type="containsText" dxfId="133" priority="31" operator="containsText" text="N/A">
      <formula>NOT(ISERROR(SEARCH("N/A",M131)))</formula>
    </cfRule>
    <cfRule type="cellIs" dxfId="132" priority="32" operator="lessThan">
      <formula>28</formula>
    </cfRule>
    <cfRule type="cellIs" dxfId="131" priority="33" operator="greaterThan">
      <formula>28</formula>
    </cfRule>
  </conditionalFormatting>
  <conditionalFormatting sqref="D12:E12">
    <cfRule type="containsText" dxfId="130" priority="28" operator="containsText" text="N/A">
      <formula>NOT(ISERROR(SEARCH("N/A",D12)))</formula>
    </cfRule>
    <cfRule type="cellIs" dxfId="129" priority="29" operator="lessThan">
      <formula>28</formula>
    </cfRule>
    <cfRule type="cellIs" dxfId="128" priority="30" operator="greaterThan">
      <formula>28</formula>
    </cfRule>
  </conditionalFormatting>
  <conditionalFormatting sqref="F12:U12">
    <cfRule type="containsText" dxfId="127" priority="19" operator="containsText" text="N/A">
      <formula>NOT(ISERROR(SEARCH("N/A",F12)))</formula>
    </cfRule>
    <cfRule type="cellIs" dxfId="126" priority="20" operator="lessThan">
      <formula>28</formula>
    </cfRule>
    <cfRule type="cellIs" dxfId="125" priority="21" operator="greaterThan">
      <formula>28</formula>
    </cfRule>
  </conditionalFormatting>
  <conditionalFormatting sqref="D42:E42">
    <cfRule type="containsText" dxfId="124" priority="16" operator="containsText" text="N/A">
      <formula>NOT(ISERROR(SEARCH("N/A",D42)))</formula>
    </cfRule>
    <cfRule type="cellIs" dxfId="123" priority="17" operator="lessThan">
      <formula>28</formula>
    </cfRule>
    <cfRule type="cellIs" dxfId="122" priority="18" operator="greaterThan">
      <formula>28</formula>
    </cfRule>
  </conditionalFormatting>
  <conditionalFormatting sqref="F42:U42">
    <cfRule type="containsText" dxfId="121" priority="13" operator="containsText" text="N/A">
      <formula>NOT(ISERROR(SEARCH("N/A",F42)))</formula>
    </cfRule>
    <cfRule type="cellIs" dxfId="120" priority="14" operator="lessThan">
      <formula>28</formula>
    </cfRule>
    <cfRule type="cellIs" dxfId="119" priority="15" operator="greaterThan">
      <formula>28</formula>
    </cfRule>
  </conditionalFormatting>
  <conditionalFormatting sqref="D90:E90">
    <cfRule type="containsText" dxfId="118" priority="10" operator="containsText" text="N/A">
      <formula>NOT(ISERROR(SEARCH("N/A",D90)))</formula>
    </cfRule>
    <cfRule type="cellIs" dxfId="117" priority="11" operator="lessThan">
      <formula>28</formula>
    </cfRule>
    <cfRule type="cellIs" dxfId="116" priority="12" operator="greaterThan">
      <formula>28</formula>
    </cfRule>
  </conditionalFormatting>
  <conditionalFormatting sqref="F90:U90">
    <cfRule type="containsText" dxfId="115" priority="7" operator="containsText" text="N/A">
      <formula>NOT(ISERROR(SEARCH("N/A",F90)))</formula>
    </cfRule>
    <cfRule type="cellIs" dxfId="114" priority="8" operator="lessThan">
      <formula>28</formula>
    </cfRule>
    <cfRule type="cellIs" dxfId="113" priority="9" operator="greaterThan">
      <formula>28</formula>
    </cfRule>
  </conditionalFormatting>
  <conditionalFormatting sqref="D133:E133">
    <cfRule type="containsText" dxfId="112" priority="4" operator="containsText" text="N/A">
      <formula>NOT(ISERROR(SEARCH("N/A",D133)))</formula>
    </cfRule>
    <cfRule type="cellIs" dxfId="111" priority="5" operator="lessThan">
      <formula>28</formula>
    </cfRule>
    <cfRule type="cellIs" dxfId="110" priority="6" operator="greaterThan">
      <formula>28</formula>
    </cfRule>
  </conditionalFormatting>
  <conditionalFormatting sqref="F133:U133">
    <cfRule type="containsText" dxfId="109" priority="1" operator="containsText" text="N/A">
      <formula>NOT(ISERROR(SEARCH("N/A",F133)))</formula>
    </cfRule>
    <cfRule type="cellIs" dxfId="108" priority="2" operator="lessThan">
      <formula>28</formula>
    </cfRule>
    <cfRule type="cellIs" dxfId="107" priority="3" operator="greaterThan">
      <formula>28</formula>
    </cfRule>
  </conditionalFormatting>
  <pageMargins left="0.7" right="0.7" top="0.75" bottom="0.75" header="0.3" footer="0.3"/>
  <pageSetup paperSize="9" orientation="portrait" r:id="rId1"/>
  <ignoredErrors>
    <ignoredError sqref="M6:M8 N7:U7 M9:P9 Q9:U9 N8:U8 M11:U11 M13:U13 M10:N10 O10:U10 M12:U12" calculatedColumn="1"/>
  </ignoredError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065-211D-4159-BC5E-8E595F7588A9}">
  <dimension ref="B6:AA102"/>
  <sheetViews>
    <sheetView tabSelected="1" zoomScale="93" zoomScaleNormal="93" workbookViewId="0">
      <selection activeCell="E8" sqref="E8"/>
    </sheetView>
  </sheetViews>
  <sheetFormatPr defaultColWidth="11.42578125" defaultRowHeight="15"/>
  <cols>
    <col min="2" max="2" width="21.28515625" customWidth="1"/>
    <col min="9" max="9" width="17.85546875" customWidth="1"/>
    <col min="11" max="11" width="11.5703125" customWidth="1"/>
    <col min="13" max="13" width="14.140625" bestFit="1" customWidth="1"/>
    <col min="14" max="14" width="8.42578125" bestFit="1" customWidth="1"/>
    <col min="21" max="21" width="19" customWidth="1"/>
  </cols>
  <sheetData>
    <row r="6" spans="2:27">
      <c r="B6" s="98" t="s">
        <v>368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23"/>
      <c r="W6" s="23"/>
      <c r="X6" s="23"/>
      <c r="Y6" s="23"/>
      <c r="Z6" s="23"/>
      <c r="AA6" s="23"/>
    </row>
    <row r="7" spans="2:27">
      <c r="B7" s="45"/>
      <c r="C7" s="22" t="s">
        <v>369</v>
      </c>
      <c r="D7" s="22" t="s">
        <v>370</v>
      </c>
      <c r="E7" s="22" t="s">
        <v>371</v>
      </c>
      <c r="F7" s="22" t="s">
        <v>372</v>
      </c>
      <c r="G7" s="22" t="s">
        <v>373</v>
      </c>
      <c r="H7" s="22" t="s">
        <v>374</v>
      </c>
      <c r="I7" s="22" t="s">
        <v>375</v>
      </c>
      <c r="J7" s="22" t="s">
        <v>376</v>
      </c>
      <c r="K7" s="22" t="s">
        <v>377</v>
      </c>
      <c r="L7" s="22" t="s">
        <v>378</v>
      </c>
      <c r="M7" s="22" t="s">
        <v>379</v>
      </c>
      <c r="N7" s="22" t="s">
        <v>380</v>
      </c>
      <c r="O7" s="22" t="s">
        <v>381</v>
      </c>
      <c r="P7" s="22" t="s">
        <v>382</v>
      </c>
      <c r="Q7" s="22" t="s">
        <v>383</v>
      </c>
      <c r="R7" s="22" t="s">
        <v>384</v>
      </c>
      <c r="S7" s="22" t="s">
        <v>385</v>
      </c>
      <c r="T7" s="22" t="s">
        <v>386</v>
      </c>
      <c r="U7" s="22" t="s">
        <v>387</v>
      </c>
    </row>
    <row r="8" spans="2:27">
      <c r="B8" s="39" t="s">
        <v>58</v>
      </c>
      <c r="C8" s="46">
        <f>COUNTIFS(Tabla1[MES DE SELECCIÓN],C7,Tabla1[ESTATUS],Estatuss,Tabla1[EN TIEMPO O FUERA DE TIEMPO],EN_TIEMPO,Tabla1[EMPRESA],ALMAN)</f>
        <v>0</v>
      </c>
      <c r="D8" s="46">
        <f>COUNTIFS(Tabla1[MES DE SELECCIÓN],D7,Tabla1[ESTATUS],Estatuss,Tabla1[EN TIEMPO O FUERA DE TIEMPO],EN_TIEMPO,Tabla1[EMPRESA],ALMAN)</f>
        <v>0</v>
      </c>
      <c r="E8" s="46">
        <f>COUNTIFS(Tabla1[MES DE SELECCIÓN],E7,Tabla1[ESTATUS],Estatuss,Tabla1[EN TIEMPO O FUERA DE TIEMPO],EN_TIEMPO,Tabla1[EMPRESA],ALMAN)</f>
        <v>0</v>
      </c>
      <c r="F8" s="46">
        <f>COUNTIFS(Tabla1[MES DE SELECCIÓN],F7,Tabla1[ESTATUS],Estatuss,Tabla1[EN TIEMPO O FUERA DE TIEMPO],EN_TIEMPO,Tabla1[EMPRESA],ALMAN)</f>
        <v>0</v>
      </c>
      <c r="G8" s="46">
        <f>COUNTIFS(Tabla1[MES DE SELECCIÓN],G7,Tabla1[ESTATUS],Estatuss,Tabla1[EN TIEMPO O FUERA DE TIEMPO],EN_TIEMPO,Tabla1[EMPRESA],ALMAN)</f>
        <v>0</v>
      </c>
      <c r="H8" s="46">
        <f>COUNTIFS(Tabla1[MES DE SELECCIÓN],H7,Tabla1[ESTATUS],Estatuss,Tabla1[EN TIEMPO O FUERA DE TIEMPO],EN_TIEMPO,Tabla1[EMPRESA],ALMAN)</f>
        <v>0</v>
      </c>
      <c r="I8" s="46">
        <f>SUM(C8:H8)</f>
        <v>0</v>
      </c>
      <c r="J8" s="46">
        <f>COUNTIFS(Tabla1[MES DE SELECCIÓN],J7,Tabla1[ESTATUS],Estatuss,Tabla1[EN TIEMPO O FUERA DE TIEMPO],EN_TIEMPO,Tabla1[EMPRESA],ALMAN)</f>
        <v>0</v>
      </c>
      <c r="K8" s="46">
        <f>COUNTIFS(Tabla1[MES DE SELECCIÓN],K7,Tabla1[ESTATUS],Estatuss,Tabla1[EN TIEMPO O FUERA DE TIEMPO],EN_TIEMPO,Tabla1[EMPRESA],ALMAN)</f>
        <v>0</v>
      </c>
      <c r="L8" s="46">
        <f>COUNTIFS(Tabla1[MES DE SELECCIÓN],L7,Tabla1[ESTATUS],Estatuss,Tabla1[EN TIEMPO O FUERA DE TIEMPO],EN_TIEMPO,Tabla1[EMPRESA],ALMAN)</f>
        <v>0</v>
      </c>
      <c r="M8" s="46">
        <f>COUNTIFS(Tabla1[MES DE SELECCIÓN],M7,Tabla1[ESTATUS],Estatuss,Tabla1[EN TIEMPO O FUERA DE TIEMPO],EN_TIEMPO,Tabla1[EMPRESA],ALMAN)</f>
        <v>0</v>
      </c>
      <c r="N8" s="46">
        <f>COUNTIFS(Tabla1[MES DE SELECCIÓN],N7,Tabla1[ESTATUS],Estatuss,Tabla1[EN TIEMPO O FUERA DE TIEMPO],EN_TIEMPO,Tabla1[EMPRESA],ALMAN)</f>
        <v>0</v>
      </c>
      <c r="O8" s="46">
        <f>COUNTIFS(Tabla1[MES DE SELECCIÓN],O7,Tabla1[ESTATUS],Estatuss,Tabla1[EN TIEMPO O FUERA DE TIEMPO],EN_TIEMPO,Tabla1[EMPRESA],ALMAN)</f>
        <v>0</v>
      </c>
      <c r="P8" s="46">
        <f>COUNTIFS(Tabla1[MES DE SELECCIÓN],P7,Tabla1[ESTATUS],Estatuss,Tabla1[EN TIEMPO O FUERA DE TIEMPO],EN_TIEMPO,Tabla1[EMPRESA],ALMAN)</f>
        <v>0</v>
      </c>
      <c r="Q8" s="46">
        <f>COUNTIFS(Tabla1[MES DE SELECCIÓN],Q7,Tabla1[ESTATUS],Estatuss,Tabla1[EN TIEMPO O FUERA DE TIEMPO],EN_TIEMPO,Tabla1[EMPRESA],ALMAN)</f>
        <v>0</v>
      </c>
      <c r="R8" s="46">
        <f>COUNTIFS(Tabla1[MES DE SELECCIÓN],R7,Tabla1[ESTATUS],Estatuss,Tabla1[EN TIEMPO O FUERA DE TIEMPO],EN_TIEMPO,Tabla1[EMPRESA],ALMAN)</f>
        <v>0</v>
      </c>
      <c r="S8" s="46">
        <f>COUNTIFS(Tabla1[MES DE SELECCIÓN],S7,Tabla1[ESTATUS],Estatuss,Tabla1[EN TIEMPO O FUERA DE TIEMPO],EN_TIEMPO,Tabla1[EMPRESA],ALMAN)</f>
        <v>0</v>
      </c>
      <c r="T8" s="46">
        <f>COUNTIFS(Tabla1[MES DE SELECCIÓN],T7,Tabla1[ESTATUS],Estatuss,Tabla1[EN TIEMPO O FUERA DE TIEMPO],EN_TIEMPO,Tabla1[EMPRESA],ALMAN)</f>
        <v>0</v>
      </c>
      <c r="U8" s="46">
        <f>SUM(J8:T8)</f>
        <v>0</v>
      </c>
    </row>
    <row r="9" spans="2:27">
      <c r="B9" s="24" t="s">
        <v>25</v>
      </c>
      <c r="C9" s="46">
        <f>COUNTIFS(Tabla1[MES DE SELECCIÓN],C7,Tabla1[ESTATUS],Estatuss,Tabla1[EN TIEMPO O FUERA DE TIEMPO],FUERA_DE_TIEMPO,Tabla1[EMPRESA],ALMAN)</f>
        <v>0</v>
      </c>
      <c r="D9" s="46">
        <f>COUNTIFS(Tabla1[MES DE SELECCIÓN],D7,Tabla1[ESTATUS],Estatuss,Tabla1[EN TIEMPO O FUERA DE TIEMPO],FUERA_DE_TIEMPO,Tabla1[EMPRESA],ALMAN)</f>
        <v>0</v>
      </c>
      <c r="E9" s="46">
        <f>COUNTIFS(Tabla1[MES DE SELECCIÓN],E7,Tabla1[ESTATUS],Estatuss,Tabla1[EN TIEMPO O FUERA DE TIEMPO],FUERA_DE_TIEMPO,Tabla1[EMPRESA],ALMAN)</f>
        <v>0</v>
      </c>
      <c r="F9" s="46">
        <f>COUNTIFS(Tabla1[MES DE SELECCIÓN],F7,Tabla1[ESTATUS],Estatuss,Tabla1[EN TIEMPO O FUERA DE TIEMPO],FUERA_DE_TIEMPO,Tabla1[EMPRESA],ALMAN)</f>
        <v>0</v>
      </c>
      <c r="G9" s="46">
        <f>COUNTIFS(Tabla1[MES DE SELECCIÓN],G7,Tabla1[ESTATUS],Estatuss,Tabla1[EN TIEMPO O FUERA DE TIEMPO],FUERA_DE_TIEMPO,Tabla1[EMPRESA],ALMAN)</f>
        <v>0</v>
      </c>
      <c r="H9" s="46">
        <f>COUNTIFS(Tabla1[MES DE SELECCIÓN],H7,Tabla1[ESTATUS],Estatuss,Tabla1[EN TIEMPO O FUERA DE TIEMPO],FUERA_DE_TIEMPO,Tabla1[EMPRESA],ALMAN)</f>
        <v>0</v>
      </c>
      <c r="I9" s="46">
        <f>SUM(C9:H9)</f>
        <v>0</v>
      </c>
      <c r="J9" s="46">
        <f>COUNTIFS(Tabla1[MES DE SELECCIÓN],J7,Tabla1[ESTATUS],Estatuss,Tabla1[EN TIEMPO O FUERA DE TIEMPO],FUERA_DE_TIEMPO,Tabla1[EMPRESA],ALMAN)</f>
        <v>0</v>
      </c>
      <c r="K9" s="46">
        <f>COUNTIFS(Tabla1[MES DE SELECCIÓN],K7,Tabla1[ESTATUS],Estatuss,Tabla1[EN TIEMPO O FUERA DE TIEMPO],FUERA_DE_TIEMPO,Tabla1[EMPRESA],ALMAN)</f>
        <v>0</v>
      </c>
      <c r="L9" s="46">
        <f>COUNTIFS(Tabla1[MES DE SELECCIÓN],L7,Tabla1[ESTATUS],Estatuss,Tabla1[EN TIEMPO O FUERA DE TIEMPO],FUERA_DE_TIEMPO,Tabla1[EMPRESA],ALMAN)</f>
        <v>0</v>
      </c>
      <c r="M9" s="46">
        <f>COUNTIFS(Tabla1[MES DE SELECCIÓN],M7,Tabla1[ESTATUS],Estatuss,Tabla1[EN TIEMPO O FUERA DE TIEMPO],FUERA_DE_TIEMPO,Tabla1[EMPRESA],ALMAN)</f>
        <v>0</v>
      </c>
      <c r="N9" s="46">
        <f>COUNTIFS(Tabla1[MES DE SELECCIÓN],N7,Tabla1[ESTATUS],Estatuss,Tabla1[EN TIEMPO O FUERA DE TIEMPO],FUERA_DE_TIEMPO,Tabla1[EMPRESA],ALMAN)</f>
        <v>0</v>
      </c>
      <c r="O9" s="46">
        <f>COUNTIFS(Tabla1[MES DE SELECCIÓN],O7,Tabla1[ESTATUS],Estatuss,Tabla1[EN TIEMPO O FUERA DE TIEMPO],FUERA_DE_TIEMPO,Tabla1[EMPRESA],ALMAN)</f>
        <v>0</v>
      </c>
      <c r="P9" s="46">
        <f>COUNTIFS(Tabla1[MES DE SELECCIÓN],P7,Tabla1[ESTATUS],Estatuss,Tabla1[EN TIEMPO O FUERA DE TIEMPO],FUERA_DE_TIEMPO,Tabla1[EMPRESA],ALMAN)</f>
        <v>0</v>
      </c>
      <c r="Q9" s="46">
        <f>COUNTIFS(Tabla1[MES DE SELECCIÓN],Q7,Tabla1[ESTATUS],Estatuss,Tabla1[EN TIEMPO O FUERA DE TIEMPO],FUERA_DE_TIEMPO,Tabla1[EMPRESA],ALMAN)</f>
        <v>0</v>
      </c>
      <c r="R9" s="46">
        <f>COUNTIFS(Tabla1[MES DE SELECCIÓN],R7,Tabla1[ESTATUS],Estatuss,Tabla1[EN TIEMPO O FUERA DE TIEMPO],FUERA_DE_TIEMPO,Tabla1[EMPRESA],ALMAN)</f>
        <v>0</v>
      </c>
      <c r="S9" s="46">
        <f>COUNTIFS(Tabla1[MES DE SELECCIÓN],S7,Tabla1[ESTATUS],Estatuss,Tabla1[EN TIEMPO O FUERA DE TIEMPO],FUERA_DE_TIEMPO,Tabla1[EMPRESA],ALMAN)</f>
        <v>0</v>
      </c>
      <c r="T9" s="46">
        <f>COUNTIFS(Tabla1[MES DE SELECCIÓN],T7,Tabla1[ESTATUS],Estatuss,Tabla1[EN TIEMPO O FUERA DE TIEMPO],FUERA_DE_TIEMPO,Tabla1[EMPRESA],ALMAN)</f>
        <v>0</v>
      </c>
      <c r="U9" s="46">
        <f>SUM(J9:T9)</f>
        <v>0</v>
      </c>
    </row>
    <row r="10" spans="2:27">
      <c r="B10" s="47" t="s">
        <v>388</v>
      </c>
      <c r="C10" s="48">
        <f>SUM(C8:C9)</f>
        <v>0</v>
      </c>
      <c r="D10" s="48">
        <f>SUM(D8:D9)</f>
        <v>0</v>
      </c>
      <c r="E10" s="48">
        <f>SUM(E8:E9)</f>
        <v>0</v>
      </c>
      <c r="F10" s="48">
        <f>SUM(F8:F9)</f>
        <v>0</v>
      </c>
      <c r="G10" s="48">
        <f t="shared" ref="G10:J10" si="0">SUM(G8:G9)</f>
        <v>0</v>
      </c>
      <c r="H10" s="48">
        <f t="shared" si="0"/>
        <v>0</v>
      </c>
      <c r="I10" s="48">
        <f>SUM(I8:I9)</f>
        <v>0</v>
      </c>
      <c r="J10" s="48">
        <f t="shared" si="0"/>
        <v>0</v>
      </c>
      <c r="K10" s="48">
        <f>SUM(K8:K9)</f>
        <v>0</v>
      </c>
      <c r="L10" s="48">
        <f>SUM(L8:L9)</f>
        <v>0</v>
      </c>
      <c r="M10" s="54">
        <f>SUM(M8:M9)</f>
        <v>0</v>
      </c>
      <c r="N10" s="54">
        <f>SUM(N8:N9)</f>
        <v>0</v>
      </c>
      <c r="O10" s="54">
        <f>SUM(O8:O9)</f>
        <v>0</v>
      </c>
      <c r="P10" s="54">
        <f t="shared" ref="P10:S10" si="1">SUM(P8:P9)</f>
        <v>0</v>
      </c>
      <c r="Q10" s="54">
        <f t="shared" si="1"/>
        <v>0</v>
      </c>
      <c r="R10" s="54">
        <f t="shared" si="1"/>
        <v>0</v>
      </c>
      <c r="S10" s="54">
        <f t="shared" si="1"/>
        <v>0</v>
      </c>
      <c r="T10" s="54">
        <f>SUM(T8:T9)</f>
        <v>0</v>
      </c>
      <c r="U10" s="54">
        <f>SUM(U8:U9)</f>
        <v>0</v>
      </c>
    </row>
    <row r="11" spans="2:27">
      <c r="B11" s="98" t="s">
        <v>368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2:27">
      <c r="B12" s="45"/>
      <c r="C12" s="22" t="s">
        <v>369</v>
      </c>
      <c r="D12" s="22" t="s">
        <v>370</v>
      </c>
      <c r="E12" s="22" t="s">
        <v>371</v>
      </c>
      <c r="F12" s="22" t="s">
        <v>372</v>
      </c>
      <c r="G12" s="22" t="s">
        <v>373</v>
      </c>
      <c r="H12" s="22" t="s">
        <v>374</v>
      </c>
      <c r="I12" s="22" t="s">
        <v>375</v>
      </c>
      <c r="J12" s="22" t="s">
        <v>376</v>
      </c>
      <c r="K12" s="22" t="s">
        <v>377</v>
      </c>
      <c r="L12" s="22" t="s">
        <v>378</v>
      </c>
      <c r="M12" s="22" t="s">
        <v>379</v>
      </c>
      <c r="N12" s="22" t="s">
        <v>380</v>
      </c>
      <c r="O12" s="22" t="s">
        <v>381</v>
      </c>
      <c r="P12" s="22" t="s">
        <v>382</v>
      </c>
      <c r="Q12" s="22" t="s">
        <v>383</v>
      </c>
      <c r="R12" s="22" t="s">
        <v>384</v>
      </c>
      <c r="S12" s="22" t="s">
        <v>385</v>
      </c>
      <c r="T12" s="22" t="s">
        <v>386</v>
      </c>
      <c r="U12" s="22" t="s">
        <v>387</v>
      </c>
    </row>
    <row r="13" spans="2:27">
      <c r="B13" s="39" t="s">
        <v>58</v>
      </c>
      <c r="C13" s="49">
        <f>IFERROR((C8/C10),0)</f>
        <v>0</v>
      </c>
      <c r="D13" s="49">
        <f>IFERROR((D8/D10),0)</f>
        <v>0</v>
      </c>
      <c r="E13" s="49">
        <f>IFERROR((E8/E10),0)</f>
        <v>0</v>
      </c>
      <c r="F13" s="49">
        <f t="shared" ref="F13:G13" si="2">IFERROR((F8/F10),0)</f>
        <v>0</v>
      </c>
      <c r="G13" s="49">
        <f t="shared" si="2"/>
        <v>0</v>
      </c>
      <c r="H13" s="49">
        <f>IFERROR((H8/H10),0)</f>
        <v>0</v>
      </c>
      <c r="I13" s="49">
        <f>IFERROR((I8/I10),0)</f>
        <v>0</v>
      </c>
      <c r="J13" s="49">
        <f>IFERROR((J8/J10),0)</f>
        <v>0</v>
      </c>
      <c r="K13" s="49">
        <f t="shared" ref="K13" si="3">IFERROR((K8/K10),0)</f>
        <v>0</v>
      </c>
      <c r="L13" s="49">
        <f>IFERROR((L8/L10),0)</f>
        <v>0</v>
      </c>
      <c r="M13" s="49">
        <f>IFERROR((M8/M10),0)</f>
        <v>0</v>
      </c>
      <c r="N13" s="49">
        <f t="shared" ref="N13:S13" si="4">IFERROR((N8/N10),0)</f>
        <v>0</v>
      </c>
      <c r="O13" s="49">
        <f t="shared" si="4"/>
        <v>0</v>
      </c>
      <c r="P13" s="49">
        <f t="shared" si="4"/>
        <v>0</v>
      </c>
      <c r="Q13" s="49">
        <f t="shared" si="4"/>
        <v>0</v>
      </c>
      <c r="R13" s="49">
        <f t="shared" si="4"/>
        <v>0</v>
      </c>
      <c r="S13" s="49">
        <f t="shared" si="4"/>
        <v>0</v>
      </c>
      <c r="T13" s="49">
        <f>IFERROR((T8/T10),0)</f>
        <v>0</v>
      </c>
      <c r="U13" s="49">
        <f>IFERROR((U8/U10),0)</f>
        <v>0</v>
      </c>
    </row>
    <row r="14" spans="2:27">
      <c r="B14" s="24" t="s">
        <v>25</v>
      </c>
      <c r="C14" s="49">
        <f>IFERROR((C9/C10),0)</f>
        <v>0</v>
      </c>
      <c r="D14" s="49">
        <f>IFERROR((D9/D10),0)</f>
        <v>0</v>
      </c>
      <c r="E14" s="49">
        <f>IFERROR((E9/E10),0)</f>
        <v>0</v>
      </c>
      <c r="F14" s="49">
        <f t="shared" ref="F14:H14" si="5">IFERROR((F9/F10),0)</f>
        <v>0</v>
      </c>
      <c r="G14" s="49">
        <f t="shared" si="5"/>
        <v>0</v>
      </c>
      <c r="H14" s="49">
        <f t="shared" si="5"/>
        <v>0</v>
      </c>
      <c r="I14" s="49">
        <f>IFERROR((I9/I10),0)</f>
        <v>0</v>
      </c>
      <c r="J14" s="49">
        <f>IFERROR((J9/J10),0)</f>
        <v>0</v>
      </c>
      <c r="K14" s="49">
        <f t="shared" ref="K14" si="6">IFERROR((K9/K10),0)</f>
        <v>0</v>
      </c>
      <c r="L14" s="49">
        <f>IFERROR((L9/L10),0)</f>
        <v>0</v>
      </c>
      <c r="M14" s="49">
        <f>IFERROR((M9/M10),0)</f>
        <v>0</v>
      </c>
      <c r="N14" s="49">
        <f t="shared" ref="N14:S14" si="7">IFERROR((N9/N10),0)</f>
        <v>0</v>
      </c>
      <c r="O14" s="49">
        <f t="shared" si="7"/>
        <v>0</v>
      </c>
      <c r="P14" s="49">
        <f t="shared" si="7"/>
        <v>0</v>
      </c>
      <c r="Q14" s="49">
        <f t="shared" si="7"/>
        <v>0</v>
      </c>
      <c r="R14" s="49">
        <f t="shared" si="7"/>
        <v>0</v>
      </c>
      <c r="S14" s="49">
        <f t="shared" si="7"/>
        <v>0</v>
      </c>
      <c r="T14" s="49">
        <f>IFERROR((T9/T10),0)</f>
        <v>0</v>
      </c>
      <c r="U14" s="49">
        <f>IFERROR((U9/U10),0)</f>
        <v>0</v>
      </c>
    </row>
    <row r="15" spans="2:27">
      <c r="B15" s="47" t="s">
        <v>388</v>
      </c>
      <c r="C15" s="50">
        <f>SUM(C13:C14)</f>
        <v>0</v>
      </c>
      <c r="D15" s="50">
        <f>SUM(D13:D14)</f>
        <v>0</v>
      </c>
      <c r="E15" s="50">
        <f>SUM(E13:E14)</f>
        <v>0</v>
      </c>
      <c r="F15" s="50">
        <f>SUM(F13:F14)</f>
        <v>0</v>
      </c>
      <c r="G15" s="50">
        <f t="shared" ref="G15:H15" si="8">SUM(G13:G14)</f>
        <v>0</v>
      </c>
      <c r="H15" s="50">
        <f t="shared" si="8"/>
        <v>0</v>
      </c>
      <c r="I15" s="50">
        <f>SUM(I13:I14)</f>
        <v>0</v>
      </c>
      <c r="J15" s="50">
        <f t="shared" ref="J15" si="9">SUM(J13:J14)</f>
        <v>0</v>
      </c>
      <c r="K15" s="50">
        <f>SUM(K13:K14)</f>
        <v>0</v>
      </c>
      <c r="L15" s="50">
        <f>SUM(L13:L14)</f>
        <v>0</v>
      </c>
      <c r="M15" s="50">
        <f>SUM(M13:M14)</f>
        <v>0</v>
      </c>
      <c r="N15" s="50">
        <f t="shared" ref="N15:S15" si="10">SUM(N13:N14)</f>
        <v>0</v>
      </c>
      <c r="O15" s="50">
        <f t="shared" si="10"/>
        <v>0</v>
      </c>
      <c r="P15" s="50">
        <f t="shared" si="10"/>
        <v>0</v>
      </c>
      <c r="Q15" s="50">
        <f t="shared" si="10"/>
        <v>0</v>
      </c>
      <c r="R15" s="50">
        <f t="shared" si="10"/>
        <v>0</v>
      </c>
      <c r="S15" s="50">
        <f t="shared" si="10"/>
        <v>0</v>
      </c>
      <c r="T15" s="50">
        <f>SUM(T13:T14)</f>
        <v>0</v>
      </c>
      <c r="U15" s="50">
        <f>SUM(U13:U14)</f>
        <v>0</v>
      </c>
    </row>
    <row r="16" spans="2:27">
      <c r="B16" s="51" t="s">
        <v>389</v>
      </c>
      <c r="C16" s="52">
        <v>0.8</v>
      </c>
      <c r="D16" s="52">
        <v>0.8</v>
      </c>
      <c r="E16" s="52">
        <v>0.8</v>
      </c>
      <c r="F16" s="52">
        <v>0.8</v>
      </c>
      <c r="G16" s="52">
        <v>0.8</v>
      </c>
      <c r="H16" s="52">
        <v>0.8</v>
      </c>
      <c r="I16" s="52">
        <v>0.8</v>
      </c>
      <c r="J16" s="52">
        <v>0.8</v>
      </c>
      <c r="K16" s="52">
        <v>0.8</v>
      </c>
      <c r="L16" s="52">
        <v>0.8</v>
      </c>
      <c r="M16" s="52">
        <v>0.8</v>
      </c>
      <c r="N16" s="52">
        <v>0.8</v>
      </c>
      <c r="O16" s="52">
        <v>0.8</v>
      </c>
      <c r="P16" s="52">
        <v>0.8</v>
      </c>
      <c r="Q16" s="52">
        <v>0.8</v>
      </c>
      <c r="R16" s="52">
        <v>0.8</v>
      </c>
      <c r="S16" s="52">
        <v>0.8</v>
      </c>
      <c r="T16" s="52">
        <v>0.8</v>
      </c>
      <c r="U16" s="52">
        <v>0.8</v>
      </c>
    </row>
    <row r="37" spans="2:21">
      <c r="B37" s="98" t="s">
        <v>390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</row>
    <row r="38" spans="2:21">
      <c r="B38" s="45"/>
      <c r="C38" s="22" t="s">
        <v>369</v>
      </c>
      <c r="D38" s="22" t="s">
        <v>370</v>
      </c>
      <c r="E38" s="22" t="s">
        <v>371</v>
      </c>
      <c r="F38" s="22" t="s">
        <v>372</v>
      </c>
      <c r="G38" s="22" t="s">
        <v>373</v>
      </c>
      <c r="H38" s="22" t="s">
        <v>374</v>
      </c>
      <c r="I38" s="22" t="s">
        <v>375</v>
      </c>
      <c r="J38" s="22" t="s">
        <v>376</v>
      </c>
      <c r="K38" s="22" t="s">
        <v>377</v>
      </c>
      <c r="L38" s="22" t="s">
        <v>378</v>
      </c>
      <c r="M38" s="22" t="s">
        <v>379</v>
      </c>
      <c r="N38" s="22" t="s">
        <v>380</v>
      </c>
      <c r="O38" s="22" t="s">
        <v>381</v>
      </c>
      <c r="P38" s="22" t="s">
        <v>382</v>
      </c>
      <c r="Q38" s="22" t="s">
        <v>383</v>
      </c>
      <c r="R38" s="22" t="s">
        <v>384</v>
      </c>
      <c r="S38" s="22" t="s">
        <v>385</v>
      </c>
      <c r="T38" s="22" t="s">
        <v>386</v>
      </c>
      <c r="U38" s="22" t="s">
        <v>387</v>
      </c>
    </row>
    <row r="39" spans="2:21">
      <c r="B39" s="39" t="s">
        <v>58</v>
      </c>
      <c r="C39" s="46">
        <f>COUNTIFS(Tabla1[MES DE SELECCIÓN],C38,Tabla1[ESTATUS],Estatuss,Tabla1[EN TIEMPO O FUERA DE TIEMPO],EN_TIEMPO,Tabla1[EMPRESA],TM)</f>
        <v>0</v>
      </c>
      <c r="D39" s="46">
        <f>COUNTIFS(Tabla1[MES DE SELECCIÓN],D38,Tabla1[ESTATUS],Estatuss,Tabla1[EN TIEMPO O FUERA DE TIEMPO],EN_TIEMPO,Tabla1[EMPRESA],TM)</f>
        <v>0</v>
      </c>
      <c r="E39" s="46">
        <f>COUNTIFS(Tabla1[MES DE SELECCIÓN],E38,Tabla1[ESTATUS],Estatuss,Tabla1[EN TIEMPO O FUERA DE TIEMPO],EN_TIEMPO,Tabla1[EMPRESA],TM)</f>
        <v>0</v>
      </c>
      <c r="F39" s="46">
        <f>COUNTIFS(Tabla1[MES DE SELECCIÓN],F38,Tabla1[ESTATUS],Estatuss,Tabla1[EN TIEMPO O FUERA DE TIEMPO],EN_TIEMPO,Tabla1[EMPRESA],TM)</f>
        <v>0</v>
      </c>
      <c r="G39" s="46">
        <f>COUNTIFS(Tabla1[MES DE SELECCIÓN],G38,Tabla1[ESTATUS],Estatuss,Tabla1[EN TIEMPO O FUERA DE TIEMPO],EN_TIEMPO,Tabla1[EMPRESA],TM)</f>
        <v>0</v>
      </c>
      <c r="H39" s="46">
        <f>COUNTIFS(Tabla1[MES DE SELECCIÓN],H38,Tabla1[ESTATUS],Estatuss,Tabla1[EN TIEMPO O FUERA DE TIEMPO],EN_TIEMPO,Tabla1[EMPRESA],TM)</f>
        <v>0</v>
      </c>
      <c r="I39" s="46">
        <f>SUM(C39:H39)</f>
        <v>0</v>
      </c>
      <c r="J39" s="46">
        <f>COUNTIFS(Tabla1[MES DE SELECCIÓN],J38,Tabla1[ESTATUS],Estatuss,Tabla1[EN TIEMPO O FUERA DE TIEMPO],EN_TIEMPO,Tabla1[EMPRESA],TM)</f>
        <v>0</v>
      </c>
      <c r="K39" s="46">
        <f>COUNTIFS(Tabla1[MES DE SELECCIÓN],K38,Tabla1[ESTATUS],Estatuss,Tabla1[EN TIEMPO O FUERA DE TIEMPO],EN_TIEMPO,Tabla1[EMPRESA],TM)</f>
        <v>0</v>
      </c>
      <c r="L39" s="46">
        <f>COUNTIFS(Tabla1[MES DE SELECCIÓN],L38,Tabla1[ESTATUS],Estatuss,Tabla1[EN TIEMPO O FUERA DE TIEMPO],EN_TIEMPO,Tabla1[EMPRESA],TM)</f>
        <v>0</v>
      </c>
      <c r="M39" s="46">
        <f>COUNTIFS(Tabla1[MES DE SELECCIÓN],M38,Tabla1[ESTATUS],Estatuss,Tabla1[EN TIEMPO O FUERA DE TIEMPO],EN_TIEMPO,Tabla1[EMPRESA],TM)</f>
        <v>0</v>
      </c>
      <c r="N39" s="46">
        <f>COUNTIFS(Tabla1[MES DE SELECCIÓN],N38,Tabla1[ESTATUS],Estatuss,Tabla1[EN TIEMPO O FUERA DE TIEMPO],EN_TIEMPO,Tabla1[EMPRESA],TM)</f>
        <v>0</v>
      </c>
      <c r="O39" s="46">
        <f>COUNTIFS(Tabla1[MES DE SELECCIÓN],O38,Tabla1[ESTATUS],Estatuss,Tabla1[EN TIEMPO O FUERA DE TIEMPO],EN_TIEMPO,Tabla1[EMPRESA],TM)</f>
        <v>0</v>
      </c>
      <c r="P39" s="46">
        <f>COUNTIFS(Tabla1[MES DE SELECCIÓN],P38,Tabla1[ESTATUS],Estatuss,Tabla1[EN TIEMPO O FUERA DE TIEMPO],EN_TIEMPO,Tabla1[EMPRESA],TM)</f>
        <v>0</v>
      </c>
      <c r="Q39" s="46">
        <f>COUNTIFS(Tabla1[MES DE SELECCIÓN],Q38,Tabla1[ESTATUS],Estatuss,Tabla1[EN TIEMPO O FUERA DE TIEMPO],EN_TIEMPO,Tabla1[EMPRESA],TM)</f>
        <v>0</v>
      </c>
      <c r="R39" s="46">
        <f>COUNTIFS(Tabla1[MES DE SELECCIÓN],R38,Tabla1[ESTATUS],Estatuss,Tabla1[EN TIEMPO O FUERA DE TIEMPO],EN_TIEMPO,Tabla1[EMPRESA],TM)</f>
        <v>0</v>
      </c>
      <c r="S39" s="46">
        <f>COUNTIFS(Tabla1[MES DE SELECCIÓN],S38,Tabla1[ESTATUS],Estatuss,Tabla1[EN TIEMPO O FUERA DE TIEMPO],EN_TIEMPO,Tabla1[EMPRESA],TM)</f>
        <v>0</v>
      </c>
      <c r="T39" s="46">
        <f>COUNTIFS(Tabla1[MES DE SELECCIÓN],T38,Tabla1[ESTATUS],Estatuss,Tabla1[EN TIEMPO O FUERA DE TIEMPO],EN_TIEMPO,Tabla1[EMPRESA],TM)</f>
        <v>0</v>
      </c>
      <c r="U39" s="46">
        <f>SUM(J39:T39)</f>
        <v>0</v>
      </c>
    </row>
    <row r="40" spans="2:21">
      <c r="B40" s="24" t="s">
        <v>25</v>
      </c>
      <c r="C40" s="46">
        <f>COUNTIFS(Tabla1[MES DE SELECCIÓN],C38,Tabla1[ESTATUS],Estatuss,Tabla1[EN TIEMPO O FUERA DE TIEMPO],FUERA_DE_TIEMPO,Tabla1[EMPRESA],TM)</f>
        <v>0</v>
      </c>
      <c r="D40" s="46">
        <f>COUNTIFS(Tabla1[MES DE SELECCIÓN],D38,Tabla1[ESTATUS],Estatuss,Tabla1[EN TIEMPO O FUERA DE TIEMPO],FUERA_DE_TIEMPO,Tabla1[EMPRESA],TM)</f>
        <v>0</v>
      </c>
      <c r="E40" s="46">
        <f>COUNTIFS(Tabla1[MES DE SELECCIÓN],E38,Tabla1[ESTATUS],Estatuss,Tabla1[EN TIEMPO O FUERA DE TIEMPO],FUERA_DE_TIEMPO,Tabla1[EMPRESA],TM)</f>
        <v>0</v>
      </c>
      <c r="F40" s="46">
        <f>COUNTIFS(Tabla1[MES DE SELECCIÓN],F38,Tabla1[ESTATUS],Estatuss,Tabla1[EN TIEMPO O FUERA DE TIEMPO],FUERA_DE_TIEMPO,Tabla1[EMPRESA],TM)</f>
        <v>0</v>
      </c>
      <c r="G40" s="46">
        <f>COUNTIFS(Tabla1[MES DE SELECCIÓN],G38,Tabla1[ESTATUS],Estatuss,Tabla1[EN TIEMPO O FUERA DE TIEMPO],FUERA_DE_TIEMPO,Tabla1[EMPRESA],TM)</f>
        <v>0</v>
      </c>
      <c r="H40" s="46">
        <f>COUNTIFS(Tabla1[MES DE SELECCIÓN],H38,Tabla1[ESTATUS],Estatuss,Tabla1[EN TIEMPO O FUERA DE TIEMPO],FUERA_DE_TIEMPO,Tabla1[EMPRESA],TM)</f>
        <v>0</v>
      </c>
      <c r="I40" s="46">
        <f>SUM(C40:H40)</f>
        <v>0</v>
      </c>
      <c r="J40" s="46">
        <f>COUNTIFS(Tabla1[MES DE SELECCIÓN],J38,Tabla1[ESTATUS],Estatuss,Tabla1[EN TIEMPO O FUERA DE TIEMPO],FUERA_DE_TIEMPO,Tabla1[EMPRESA],TM)</f>
        <v>0</v>
      </c>
      <c r="K40" s="46">
        <f>COUNTIFS(Tabla1[MES DE SELECCIÓN],K38,Tabla1[ESTATUS],Estatuss,Tabla1[EN TIEMPO O FUERA DE TIEMPO],FUERA_DE_TIEMPO,Tabla1[EMPRESA],TM)</f>
        <v>0</v>
      </c>
      <c r="L40" s="46">
        <f>COUNTIFS(Tabla1[MES DE SELECCIÓN],L38,Tabla1[ESTATUS],Estatuss,Tabla1[EN TIEMPO O FUERA DE TIEMPO],FUERA_DE_TIEMPO,Tabla1[EMPRESA],TM)</f>
        <v>0</v>
      </c>
      <c r="M40" s="46">
        <f>COUNTIFS(Tabla1[MES DE SELECCIÓN],M38,Tabla1[ESTATUS],Estatuss,Tabla1[EN TIEMPO O FUERA DE TIEMPO],FUERA_DE_TIEMPO,Tabla1[EMPRESA],TM)</f>
        <v>0</v>
      </c>
      <c r="N40" s="46">
        <f>COUNTIFS(Tabla1[MES DE SELECCIÓN],N38,Tabla1[ESTATUS],Estatuss,Tabla1[EN TIEMPO O FUERA DE TIEMPO],FUERA_DE_TIEMPO,Tabla1[EMPRESA],TM)</f>
        <v>0</v>
      </c>
      <c r="O40" s="46">
        <f>COUNTIFS(Tabla1[MES DE SELECCIÓN],O38,Tabla1[ESTATUS],Estatuss,Tabla1[EN TIEMPO O FUERA DE TIEMPO],FUERA_DE_TIEMPO,Tabla1[EMPRESA],TM)</f>
        <v>0</v>
      </c>
      <c r="P40" s="46">
        <f>COUNTIFS(Tabla1[MES DE SELECCIÓN],P38,Tabla1[ESTATUS],Estatuss,Tabla1[EN TIEMPO O FUERA DE TIEMPO],FUERA_DE_TIEMPO,Tabla1[EMPRESA],TM)</f>
        <v>0</v>
      </c>
      <c r="Q40" s="46">
        <f>COUNTIFS(Tabla1[MES DE SELECCIÓN],Q38,Tabla1[ESTATUS],Estatuss,Tabla1[EN TIEMPO O FUERA DE TIEMPO],FUERA_DE_TIEMPO,Tabla1[EMPRESA],TM)</f>
        <v>0</v>
      </c>
      <c r="R40" s="46">
        <f>COUNTIFS(Tabla1[MES DE SELECCIÓN],R38,Tabla1[ESTATUS],Estatuss,Tabla1[EN TIEMPO O FUERA DE TIEMPO],FUERA_DE_TIEMPO,Tabla1[EMPRESA],TM)</f>
        <v>0</v>
      </c>
      <c r="S40" s="46">
        <f>COUNTIFS(Tabla1[MES DE SELECCIÓN],S38,Tabla1[ESTATUS],Estatuss,Tabla1[EN TIEMPO O FUERA DE TIEMPO],FUERA_DE_TIEMPO,Tabla1[EMPRESA],TM)</f>
        <v>0</v>
      </c>
      <c r="T40" s="46">
        <f>COUNTIFS(Tabla1[MES DE SELECCIÓN],T38,Tabla1[ESTATUS],Estatuss,Tabla1[EN TIEMPO O FUERA DE TIEMPO],FUERA_DE_TIEMPO,Tabla1[EMPRESA],TM)</f>
        <v>0</v>
      </c>
      <c r="U40" s="53">
        <f>SUM(J40:T40)</f>
        <v>0</v>
      </c>
    </row>
    <row r="41" spans="2:21">
      <c r="B41" s="47" t="s">
        <v>388</v>
      </c>
      <c r="C41" s="48">
        <f>SUM(C39:C40)</f>
        <v>0</v>
      </c>
      <c r="D41" s="48">
        <f t="shared" ref="D41:J41" si="11">SUM(D39:D40)</f>
        <v>0</v>
      </c>
      <c r="E41" s="48">
        <f t="shared" si="11"/>
        <v>0</v>
      </c>
      <c r="F41" s="48">
        <f t="shared" si="11"/>
        <v>0</v>
      </c>
      <c r="G41" s="48">
        <f t="shared" si="11"/>
        <v>0</v>
      </c>
      <c r="H41" s="48">
        <f t="shared" si="11"/>
        <v>0</v>
      </c>
      <c r="I41" s="48">
        <f>SUM(I39:I40)</f>
        <v>0</v>
      </c>
      <c r="J41" s="48">
        <f t="shared" si="11"/>
        <v>0</v>
      </c>
      <c r="K41" s="48">
        <f>SUM(K39:K40)</f>
        <v>0</v>
      </c>
      <c r="L41" s="48">
        <f>SUM(L39:L40)</f>
        <v>0</v>
      </c>
      <c r="M41" s="54">
        <f>SUM(M39:M40)</f>
        <v>0</v>
      </c>
      <c r="N41" s="54">
        <f t="shared" ref="N41:T41" si="12">SUM(N39:N40)</f>
        <v>0</v>
      </c>
      <c r="O41" s="54">
        <f t="shared" si="12"/>
        <v>0</v>
      </c>
      <c r="P41" s="54">
        <f t="shared" si="12"/>
        <v>0</v>
      </c>
      <c r="Q41" s="54">
        <f t="shared" si="12"/>
        <v>0</v>
      </c>
      <c r="R41" s="54">
        <f t="shared" si="12"/>
        <v>0</v>
      </c>
      <c r="S41" s="54">
        <f t="shared" si="12"/>
        <v>0</v>
      </c>
      <c r="T41" s="54">
        <f t="shared" si="12"/>
        <v>0</v>
      </c>
      <c r="U41" s="48">
        <f>SUM(U39:U40)</f>
        <v>0</v>
      </c>
    </row>
    <row r="42" spans="2:21">
      <c r="B42" s="98" t="s">
        <v>391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</row>
    <row r="43" spans="2:21">
      <c r="B43" s="45"/>
      <c r="C43" s="22" t="s">
        <v>369</v>
      </c>
      <c r="D43" s="22" t="s">
        <v>370</v>
      </c>
      <c r="E43" s="22" t="s">
        <v>371</v>
      </c>
      <c r="F43" s="22" t="s">
        <v>372</v>
      </c>
      <c r="G43" s="22" t="s">
        <v>373</v>
      </c>
      <c r="H43" s="22" t="s">
        <v>374</v>
      </c>
      <c r="I43" s="22" t="s">
        <v>375</v>
      </c>
      <c r="J43" s="22" t="s">
        <v>376</v>
      </c>
      <c r="K43" s="22" t="s">
        <v>377</v>
      </c>
      <c r="L43" s="22" t="s">
        <v>378</v>
      </c>
      <c r="M43" s="22" t="s">
        <v>379</v>
      </c>
      <c r="N43" s="22" t="s">
        <v>380</v>
      </c>
      <c r="O43" s="22" t="s">
        <v>381</v>
      </c>
      <c r="P43" s="22" t="s">
        <v>382</v>
      </c>
      <c r="Q43" s="22" t="s">
        <v>383</v>
      </c>
      <c r="R43" s="22" t="s">
        <v>384</v>
      </c>
      <c r="S43" s="22" t="s">
        <v>385</v>
      </c>
      <c r="T43" s="22" t="s">
        <v>386</v>
      </c>
      <c r="U43" s="22" t="s">
        <v>387</v>
      </c>
    </row>
    <row r="44" spans="2:21">
      <c r="B44" s="39" t="s">
        <v>58</v>
      </c>
      <c r="C44" s="49">
        <f>IFERROR((C39/C41),0)</f>
        <v>0</v>
      </c>
      <c r="D44" s="49">
        <f>IFERROR((D39/D41),0)</f>
        <v>0</v>
      </c>
      <c r="E44" s="49">
        <f>IFERROR((E39/E41),0)</f>
        <v>0</v>
      </c>
      <c r="F44" s="49">
        <f t="shared" ref="F44" si="13">IFERROR((F39/F41),0)</f>
        <v>0</v>
      </c>
      <c r="G44" s="49">
        <f t="shared" ref="G44:M44" si="14">IFERROR((G39/G41),0)</f>
        <v>0</v>
      </c>
      <c r="H44" s="49">
        <f t="shared" si="14"/>
        <v>0</v>
      </c>
      <c r="I44" s="49">
        <f t="shared" si="14"/>
        <v>0</v>
      </c>
      <c r="J44" s="49">
        <f t="shared" si="14"/>
        <v>0</v>
      </c>
      <c r="K44" s="49">
        <f t="shared" si="14"/>
        <v>0</v>
      </c>
      <c r="L44" s="49">
        <f t="shared" si="14"/>
        <v>0</v>
      </c>
      <c r="M44" s="49">
        <f t="shared" si="14"/>
        <v>0</v>
      </c>
      <c r="N44" s="49">
        <f t="shared" ref="N44:T44" si="15">IFERROR((N39/N41),0)</f>
        <v>0</v>
      </c>
      <c r="O44" s="49">
        <f t="shared" si="15"/>
        <v>0</v>
      </c>
      <c r="P44" s="49">
        <f t="shared" si="15"/>
        <v>0</v>
      </c>
      <c r="Q44" s="49">
        <f t="shared" si="15"/>
        <v>0</v>
      </c>
      <c r="R44" s="49">
        <f t="shared" si="15"/>
        <v>0</v>
      </c>
      <c r="S44" s="49">
        <f t="shared" si="15"/>
        <v>0</v>
      </c>
      <c r="T44" s="49">
        <f t="shared" si="15"/>
        <v>0</v>
      </c>
      <c r="U44" s="49">
        <f>IFERROR((U39/U41),0)</f>
        <v>0</v>
      </c>
    </row>
    <row r="45" spans="2:21">
      <c r="B45" s="24" t="s">
        <v>25</v>
      </c>
      <c r="C45" s="49">
        <f>IFERROR((C40/C41),0)</f>
        <v>0</v>
      </c>
      <c r="D45" s="49">
        <f>IFERROR((D40/D41),0)</f>
        <v>0</v>
      </c>
      <c r="E45" s="49">
        <f>IFERROR((E40/E41),0)</f>
        <v>0</v>
      </c>
      <c r="F45" s="49">
        <f t="shared" ref="F45:H45" si="16">IFERROR((F40/F41),0)</f>
        <v>0</v>
      </c>
      <c r="G45" s="49">
        <f t="shared" si="16"/>
        <v>0</v>
      </c>
      <c r="H45" s="49">
        <f t="shared" si="16"/>
        <v>0</v>
      </c>
      <c r="I45" s="49">
        <f>IFERROR((I40/I41),0)</f>
        <v>0</v>
      </c>
      <c r="J45" s="49">
        <f>IFERROR((J40/J41),0)</f>
        <v>0</v>
      </c>
      <c r="K45" s="49">
        <f>IFERROR((K40/K41),0)</f>
        <v>0</v>
      </c>
      <c r="L45" s="49">
        <f>IFERROR((L40/L41),0)</f>
        <v>0</v>
      </c>
      <c r="M45" s="49">
        <f>IFERROR((M40/M41),0)</f>
        <v>0</v>
      </c>
      <c r="N45" s="49">
        <f t="shared" ref="N45:T45" si="17">IFERROR((N40/N41),0)</f>
        <v>0</v>
      </c>
      <c r="O45" s="49">
        <f t="shared" si="17"/>
        <v>0</v>
      </c>
      <c r="P45" s="49">
        <f t="shared" si="17"/>
        <v>0</v>
      </c>
      <c r="Q45" s="49">
        <f t="shared" si="17"/>
        <v>0</v>
      </c>
      <c r="R45" s="49">
        <f t="shared" si="17"/>
        <v>0</v>
      </c>
      <c r="S45" s="49">
        <f t="shared" si="17"/>
        <v>0</v>
      </c>
      <c r="T45" s="49">
        <f t="shared" si="17"/>
        <v>0</v>
      </c>
      <c r="U45" s="49">
        <f>IFERROR((U40/U41),0)</f>
        <v>0</v>
      </c>
    </row>
    <row r="46" spans="2:21">
      <c r="B46" s="47" t="s">
        <v>388</v>
      </c>
      <c r="C46" s="50">
        <f>SUM(C44:C45)</f>
        <v>0</v>
      </c>
      <c r="D46" s="50">
        <f>SUM(D44:D45)</f>
        <v>0</v>
      </c>
      <c r="E46" s="50">
        <f>SUM(E44:E45)</f>
        <v>0</v>
      </c>
      <c r="F46" s="50">
        <f>SUM(F44:F45)</f>
        <v>0</v>
      </c>
      <c r="G46" s="50">
        <f t="shared" ref="G46" si="18">SUM(G44:G45)</f>
        <v>0</v>
      </c>
      <c r="H46" s="50">
        <f t="shared" ref="H46:M46" si="19">SUM(H44:H45)</f>
        <v>0</v>
      </c>
      <c r="I46" s="50">
        <f t="shared" si="19"/>
        <v>0</v>
      </c>
      <c r="J46" s="50">
        <f t="shared" si="19"/>
        <v>0</v>
      </c>
      <c r="K46" s="50">
        <f t="shared" si="19"/>
        <v>0</v>
      </c>
      <c r="L46" s="50">
        <f t="shared" si="19"/>
        <v>0</v>
      </c>
      <c r="M46" s="50">
        <f t="shared" si="19"/>
        <v>0</v>
      </c>
      <c r="N46" s="50">
        <f t="shared" ref="N46:S46" si="20">SUM(N44:N45)</f>
        <v>0</v>
      </c>
      <c r="O46" s="50">
        <f t="shared" si="20"/>
        <v>0</v>
      </c>
      <c r="P46" s="50">
        <f t="shared" si="20"/>
        <v>0</v>
      </c>
      <c r="Q46" s="50">
        <f t="shared" si="20"/>
        <v>0</v>
      </c>
      <c r="R46" s="50">
        <f t="shared" si="20"/>
        <v>0</v>
      </c>
      <c r="S46" s="50">
        <f t="shared" si="20"/>
        <v>0</v>
      </c>
      <c r="T46" s="50">
        <f>SUM(T44:T45)</f>
        <v>0</v>
      </c>
      <c r="U46" s="50">
        <f>SUM(U44:U45)</f>
        <v>0</v>
      </c>
    </row>
    <row r="47" spans="2:21">
      <c r="B47" s="51" t="s">
        <v>389</v>
      </c>
      <c r="C47" s="52">
        <v>0.8</v>
      </c>
      <c r="D47" s="52">
        <v>0.8</v>
      </c>
      <c r="E47" s="52">
        <v>0.8</v>
      </c>
      <c r="F47" s="52">
        <v>0.8</v>
      </c>
      <c r="G47" s="52">
        <v>0.8</v>
      </c>
      <c r="H47" s="52">
        <v>0.8</v>
      </c>
      <c r="I47" s="52">
        <v>0.8</v>
      </c>
      <c r="J47" s="52">
        <v>0.8</v>
      </c>
      <c r="K47" s="52">
        <v>0.8</v>
      </c>
      <c r="L47" s="52">
        <v>0.8</v>
      </c>
      <c r="M47" s="52">
        <v>0.8</v>
      </c>
      <c r="N47" s="52">
        <v>0.8</v>
      </c>
      <c r="O47" s="52">
        <v>0.8</v>
      </c>
      <c r="P47" s="52">
        <v>0.8</v>
      </c>
      <c r="Q47" s="52">
        <v>0.8</v>
      </c>
      <c r="R47" s="52">
        <v>0.8</v>
      </c>
      <c r="S47" s="52">
        <v>0.8</v>
      </c>
      <c r="T47" s="52">
        <v>0.8</v>
      </c>
      <c r="U47" s="52">
        <v>0.8</v>
      </c>
    </row>
    <row r="61" spans="2:21">
      <c r="B61" s="98" t="s">
        <v>392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</row>
    <row r="62" spans="2:21">
      <c r="B62" s="45"/>
      <c r="C62" s="22" t="s">
        <v>369</v>
      </c>
      <c r="D62" s="22" t="s">
        <v>370</v>
      </c>
      <c r="E62" s="22" t="s">
        <v>371</v>
      </c>
      <c r="F62" s="22" t="s">
        <v>372</v>
      </c>
      <c r="G62" s="22" t="s">
        <v>373</v>
      </c>
      <c r="H62" s="22" t="s">
        <v>374</v>
      </c>
      <c r="I62" s="22" t="s">
        <v>375</v>
      </c>
      <c r="J62" s="22" t="s">
        <v>376</v>
      </c>
      <c r="K62" s="22" t="s">
        <v>377</v>
      </c>
      <c r="L62" s="22" t="s">
        <v>378</v>
      </c>
      <c r="M62" s="22" t="s">
        <v>379</v>
      </c>
      <c r="N62" s="22" t="s">
        <v>380</v>
      </c>
      <c r="O62" s="22" t="s">
        <v>381</v>
      </c>
      <c r="P62" s="22" t="s">
        <v>382</v>
      </c>
      <c r="Q62" s="22" t="s">
        <v>383</v>
      </c>
      <c r="R62" s="22" t="s">
        <v>384</v>
      </c>
      <c r="S62" s="22" t="s">
        <v>385</v>
      </c>
      <c r="T62" s="22" t="s">
        <v>386</v>
      </c>
      <c r="U62" s="22" t="s">
        <v>387</v>
      </c>
    </row>
    <row r="63" spans="2:21">
      <c r="B63" s="24" t="s">
        <v>58</v>
      </c>
      <c r="C63" s="54">
        <f>COUNTIFS(Tabla1[MES DE SELECCIÓN],C62,Tabla1[ESTATUS],Estatuss,Tabla1[EN TIEMPO O FUERA DE TIEMPO],EN_TIEMPO,Tabla1[EMPRESA],IAL)</f>
        <v>0</v>
      </c>
      <c r="D63" s="54">
        <f>COUNTIFS(Tabla1[MES DE SELECCIÓN],D62,Tabla1[ESTATUS],Estatuss,Tabla1[EN TIEMPO O FUERA DE TIEMPO],EN_TIEMPO,Tabla1[EMPRESA],IAL)</f>
        <v>0</v>
      </c>
      <c r="E63" s="54">
        <f>COUNTIFS(Tabla1[MES DE SELECCIÓN],E62,Tabla1[ESTATUS],Estatuss,Tabla1[EN TIEMPO O FUERA DE TIEMPO],EN_TIEMPO,Tabla1[EMPRESA],IAL)</f>
        <v>0</v>
      </c>
      <c r="F63" s="54">
        <f>COUNTIFS(Tabla1[MES DE SELECCIÓN],F62,Tabla1[ESTATUS],Estatuss,Tabla1[EN TIEMPO O FUERA DE TIEMPO],EN_TIEMPO,Tabla1[EMPRESA],IAL)</f>
        <v>0</v>
      </c>
      <c r="G63" s="54">
        <f>COUNTIFS(Tabla1[MES DE SELECCIÓN],G62,Tabla1[ESTATUS],Estatuss,Tabla1[EN TIEMPO O FUERA DE TIEMPO],EN_TIEMPO,Tabla1[EMPRESA],IAL)</f>
        <v>0</v>
      </c>
      <c r="H63" s="54">
        <f>COUNTIFS(Tabla1[MES DE SELECCIÓN],H62,Tabla1[ESTATUS],Estatuss,Tabla1[EN TIEMPO O FUERA DE TIEMPO],EN_TIEMPO,Tabla1[EMPRESA],IAL)</f>
        <v>0</v>
      </c>
      <c r="I63" s="54">
        <f>SUM(C63:H63)</f>
        <v>0</v>
      </c>
      <c r="J63" s="54">
        <f>COUNTIFS(Tabla1[MES DE SELECCIÓN],J62,Tabla1[ESTATUS],Estatuss,Tabla1[EN TIEMPO O FUERA DE TIEMPO],EN_TIEMPO,Tabla1[EMPRESA],IAL)</f>
        <v>0</v>
      </c>
      <c r="K63" s="54">
        <f>COUNTIFS(Tabla1[MES DE SELECCIÓN],K62,Tabla1[ESTATUS],Estatuss,Tabla1[EN TIEMPO O FUERA DE TIEMPO],EN_TIEMPO,Tabla1[EMPRESA],IAL)</f>
        <v>0</v>
      </c>
      <c r="L63" s="54">
        <f>COUNTIFS(Tabla1[MES DE SELECCIÓN],L62,Tabla1[ESTATUS],Estatuss,Tabla1[EN TIEMPO O FUERA DE TIEMPO],EN_TIEMPO,Tabla1[EMPRESA],IAL)</f>
        <v>0</v>
      </c>
      <c r="M63" s="54">
        <f>COUNTIFS(Tabla1[MES DE SELECCIÓN],M62,Tabla1[ESTATUS],Estatuss,Tabla1[EN TIEMPO O FUERA DE TIEMPO],EN_TIEMPO,Tabla1[EMPRESA],IAL)</f>
        <v>0</v>
      </c>
      <c r="N63" s="54">
        <f>COUNTIFS(Tabla1[MES DE SELECCIÓN],N62,Tabla1[ESTATUS],Estatuss,Tabla1[EN TIEMPO O FUERA DE TIEMPO],EN_TIEMPO,Tabla1[EMPRESA],IAL)</f>
        <v>0</v>
      </c>
      <c r="O63" s="54">
        <f>COUNTIFS(Tabla1[MES DE SELECCIÓN],O62,Tabla1[ESTATUS],Estatuss,Tabla1[EN TIEMPO O FUERA DE TIEMPO],EN_TIEMPO,Tabla1[EMPRESA],IAL)</f>
        <v>0</v>
      </c>
      <c r="P63" s="54">
        <f>COUNTIFS(Tabla1[MES DE SELECCIÓN],P62,Tabla1[ESTATUS],Estatuss,Tabla1[EN TIEMPO O FUERA DE TIEMPO],EN_TIEMPO,Tabla1[EMPRESA],IAL)</f>
        <v>0</v>
      </c>
      <c r="Q63" s="54">
        <f>COUNTIFS(Tabla1[MES DE SELECCIÓN],Q62,Tabla1[ESTATUS],Estatuss,Tabla1[EN TIEMPO O FUERA DE TIEMPO],EN_TIEMPO,Tabla1[EMPRESA],IAL)</f>
        <v>0</v>
      </c>
      <c r="R63" s="54">
        <f>COUNTIFS(Tabla1[MES DE SELECCIÓN],R62,Tabla1[ESTATUS],Estatuss,Tabla1[EN TIEMPO O FUERA DE TIEMPO],EN_TIEMPO,Tabla1[EMPRESA],IAL)</f>
        <v>0</v>
      </c>
      <c r="S63" s="54">
        <f>COUNTIFS(Tabla1[MES DE SELECCIÓN],S62,Tabla1[ESTATUS],Estatuss,Tabla1[EN TIEMPO O FUERA DE TIEMPO],EN_TIEMPO,Tabla1[EMPRESA],IAL)</f>
        <v>0</v>
      </c>
      <c r="T63" s="54">
        <f>COUNTIFS(Tabla1[MES DE SELECCIÓN],T62,Tabla1[ESTATUS],Estatuss,Tabla1[EN TIEMPO O FUERA DE TIEMPO],EN_TIEMPO,Tabla1[EMPRESA],IAL)</f>
        <v>0</v>
      </c>
      <c r="U63" s="54">
        <f>SUM(J63:T63)</f>
        <v>0</v>
      </c>
    </row>
    <row r="64" spans="2:21">
      <c r="B64" s="24" t="s">
        <v>25</v>
      </c>
      <c r="C64" s="54">
        <f>COUNTIFS(Tabla1[MES DE SELECCIÓN],C62,Tabla1[ESTATUS],Estatuss,Tabla1[EN TIEMPO O FUERA DE TIEMPO],FUERA_DE_TIEMPO,Tabla1[EMPRESA],IAL)</f>
        <v>0</v>
      </c>
      <c r="D64" s="54">
        <f>COUNTIFS(Tabla1[MES DE SELECCIÓN],D62,Tabla1[ESTATUS],Estatuss,Tabla1[EN TIEMPO O FUERA DE TIEMPO],FUERA_DE_TIEMPO,Tabla1[EMPRESA],IAL)</f>
        <v>0</v>
      </c>
      <c r="E64" s="54">
        <f>COUNTIFS(Tabla1[MES DE SELECCIÓN],E62,Tabla1[ESTATUS],Estatuss,Tabla1[EN TIEMPO O FUERA DE TIEMPO],FUERA_DE_TIEMPO,Tabla1[EMPRESA],IAL)</f>
        <v>0</v>
      </c>
      <c r="F64" s="54">
        <f>COUNTIFS(Tabla1[MES DE SELECCIÓN],F62,Tabla1[ESTATUS],Estatuss,Tabla1[EN TIEMPO O FUERA DE TIEMPO],FUERA_DE_TIEMPO,Tabla1[EMPRESA],IAL)</f>
        <v>0</v>
      </c>
      <c r="G64" s="54">
        <f>COUNTIFS(Tabla1[MES DE SELECCIÓN],G62,Tabla1[ESTATUS],Estatuss,Tabla1[EN TIEMPO O FUERA DE TIEMPO],FUERA_DE_TIEMPO,Tabla1[EMPRESA],IAL)</f>
        <v>0</v>
      </c>
      <c r="H64" s="54">
        <f>COUNTIFS(Tabla1[MES DE SELECCIÓN],H62,Tabla1[ESTATUS],Estatuss,Tabla1[EN TIEMPO O FUERA DE TIEMPO],FUERA_DE_TIEMPO,Tabla1[EMPRESA],IAL)</f>
        <v>0</v>
      </c>
      <c r="I64" s="54">
        <f>SUM(C64:H64)</f>
        <v>0</v>
      </c>
      <c r="J64" s="54">
        <f>COUNTIFS(Tabla1[MES DE SELECCIÓN],J62,Tabla1[ESTATUS],Estatuss,Tabla1[EN TIEMPO O FUERA DE TIEMPO],FUERA_DE_TIEMPO,Tabla1[EMPRESA],IAL)</f>
        <v>0</v>
      </c>
      <c r="K64" s="54">
        <f>COUNTIFS(Tabla1[MES DE SELECCIÓN],K62,Tabla1[ESTATUS],Estatuss,Tabla1[EN TIEMPO O FUERA DE TIEMPO],FUERA_DE_TIEMPO,Tabla1[EMPRESA],IAL)</f>
        <v>0</v>
      </c>
      <c r="L64" s="54">
        <f>COUNTIFS(Tabla1[MES DE SELECCIÓN],L62,Tabla1[ESTATUS],Estatuss,Tabla1[EN TIEMPO O FUERA DE TIEMPO],FUERA_DE_TIEMPO,Tabla1[EMPRESA],IAL)</f>
        <v>0</v>
      </c>
      <c r="M64" s="54">
        <f>COUNTIFS(Tabla1[MES DE SELECCIÓN],M62,Tabla1[ESTATUS],Estatuss,Tabla1[EN TIEMPO O FUERA DE TIEMPO],FUERA_DE_TIEMPO,Tabla1[EMPRESA],IAL)</f>
        <v>0</v>
      </c>
      <c r="N64" s="54">
        <f>COUNTIFS(Tabla1[MES DE SELECCIÓN],N62,Tabla1[ESTATUS],Estatuss,Tabla1[EN TIEMPO O FUERA DE TIEMPO],FUERA_DE_TIEMPO,Tabla1[EMPRESA],IAL)</f>
        <v>0</v>
      </c>
      <c r="O64" s="54">
        <f>COUNTIFS(Tabla1[MES DE SELECCIÓN],O62,Tabla1[ESTATUS],Estatuss,Tabla1[EN TIEMPO O FUERA DE TIEMPO],FUERA_DE_TIEMPO,Tabla1[EMPRESA],IAL)</f>
        <v>0</v>
      </c>
      <c r="P64" s="54">
        <f>COUNTIFS(Tabla1[MES DE SELECCIÓN],P62,Tabla1[ESTATUS],Estatuss,Tabla1[EN TIEMPO O FUERA DE TIEMPO],FUERA_DE_TIEMPO,Tabla1[EMPRESA],IAL)</f>
        <v>0</v>
      </c>
      <c r="Q64" s="54">
        <f>COUNTIFS(Tabla1[MES DE SELECCIÓN],Q62,Tabla1[ESTATUS],Estatuss,Tabla1[EN TIEMPO O FUERA DE TIEMPO],FUERA_DE_TIEMPO,Tabla1[EMPRESA],IAL)</f>
        <v>0</v>
      </c>
      <c r="R64" s="54">
        <f>COUNTIFS(Tabla1[MES DE SELECCIÓN],R62,Tabla1[ESTATUS],Estatuss,Tabla1[EN TIEMPO O FUERA DE TIEMPO],FUERA_DE_TIEMPO,Tabla1[EMPRESA],IAL)</f>
        <v>0</v>
      </c>
      <c r="S64" s="54">
        <f>COUNTIFS(Tabla1[MES DE SELECCIÓN],S62,Tabla1[ESTATUS],Estatuss,Tabla1[EN TIEMPO O FUERA DE TIEMPO],FUERA_DE_TIEMPO,Tabla1[EMPRESA],IAL)</f>
        <v>0</v>
      </c>
      <c r="T64" s="54">
        <f>COUNTIFS(Tabla1[MES DE SELECCIÓN],T62,Tabla1[ESTATUS],Estatuss,Tabla1[EN TIEMPO O FUERA DE TIEMPO],FUERA_DE_TIEMPO,Tabla1[EMPRESA],IAL)</f>
        <v>0</v>
      </c>
      <c r="U64" s="54">
        <f>SUM(J64:T64)</f>
        <v>0</v>
      </c>
    </row>
    <row r="65" spans="2:21">
      <c r="B65" s="55" t="s">
        <v>388</v>
      </c>
      <c r="C65" s="54">
        <f>SUM(C63:C64)</f>
        <v>0</v>
      </c>
      <c r="D65" s="54">
        <f t="shared" ref="D65:J65" si="21">SUM(D63:D64)</f>
        <v>0</v>
      </c>
      <c r="E65" s="54">
        <f t="shared" si="21"/>
        <v>0</v>
      </c>
      <c r="F65" s="54">
        <f t="shared" si="21"/>
        <v>0</v>
      </c>
      <c r="G65" s="54">
        <f t="shared" si="21"/>
        <v>0</v>
      </c>
      <c r="H65" s="54">
        <f t="shared" si="21"/>
        <v>0</v>
      </c>
      <c r="I65" s="54">
        <f>SUM(I63:I64)</f>
        <v>0</v>
      </c>
      <c r="J65" s="54">
        <f t="shared" si="21"/>
        <v>0</v>
      </c>
      <c r="K65" s="54">
        <f>SUM(K63:K64)</f>
        <v>0</v>
      </c>
      <c r="L65" s="54">
        <f>SUM(L63:L64)</f>
        <v>0</v>
      </c>
      <c r="M65" s="54">
        <f t="shared" ref="M65:T65" si="22">SUM(M63:M64)</f>
        <v>0</v>
      </c>
      <c r="N65" s="54">
        <f t="shared" si="22"/>
        <v>0</v>
      </c>
      <c r="O65" s="54">
        <f t="shared" si="22"/>
        <v>0</v>
      </c>
      <c r="P65" s="54">
        <f t="shared" si="22"/>
        <v>0</v>
      </c>
      <c r="Q65" s="54">
        <f t="shared" si="22"/>
        <v>0</v>
      </c>
      <c r="R65" s="54">
        <f t="shared" si="22"/>
        <v>0</v>
      </c>
      <c r="S65" s="54">
        <f t="shared" si="22"/>
        <v>0</v>
      </c>
      <c r="T65" s="54">
        <f t="shared" si="22"/>
        <v>0</v>
      </c>
      <c r="U65" s="54">
        <f>SUM(U63:U64)</f>
        <v>0</v>
      </c>
    </row>
    <row r="66" spans="2:21">
      <c r="B66" s="99" t="s">
        <v>393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</row>
    <row r="67" spans="2:21">
      <c r="B67" s="45"/>
      <c r="C67" s="22" t="s">
        <v>369</v>
      </c>
      <c r="D67" s="22" t="s">
        <v>370</v>
      </c>
      <c r="E67" s="22" t="s">
        <v>371</v>
      </c>
      <c r="F67" s="22" t="s">
        <v>372</v>
      </c>
      <c r="G67" s="22" t="s">
        <v>373</v>
      </c>
      <c r="H67" s="22" t="s">
        <v>374</v>
      </c>
      <c r="I67" s="22" t="s">
        <v>375</v>
      </c>
      <c r="J67" s="22" t="s">
        <v>376</v>
      </c>
      <c r="K67" s="22" t="s">
        <v>377</v>
      </c>
      <c r="L67" s="22" t="s">
        <v>378</v>
      </c>
      <c r="M67" s="22" t="s">
        <v>379</v>
      </c>
      <c r="N67" s="22" t="s">
        <v>380</v>
      </c>
      <c r="O67" s="22" t="s">
        <v>381</v>
      </c>
      <c r="P67" s="22" t="s">
        <v>382</v>
      </c>
      <c r="Q67" s="22" t="s">
        <v>383</v>
      </c>
      <c r="R67" s="22" t="s">
        <v>384</v>
      </c>
      <c r="S67" s="22" t="s">
        <v>385</v>
      </c>
      <c r="T67" s="22" t="s">
        <v>386</v>
      </c>
      <c r="U67" s="22" t="s">
        <v>387</v>
      </c>
    </row>
    <row r="68" spans="2:21">
      <c r="B68" s="39" t="s">
        <v>58</v>
      </c>
      <c r="C68" s="49">
        <f>IFERROR((C63/C65),0)</f>
        <v>0</v>
      </c>
      <c r="D68" s="49">
        <f>IFERROR((D63/D65),0)</f>
        <v>0</v>
      </c>
      <c r="E68" s="49">
        <f>IFERROR((E63/E65),0)</f>
        <v>0</v>
      </c>
      <c r="F68" s="49">
        <f t="shared" ref="F68" si="23">IFERROR((F63/F65),0)</f>
        <v>0</v>
      </c>
      <c r="G68" s="49">
        <f>IFERROR((G63/G65),0)</f>
        <v>0</v>
      </c>
      <c r="H68" s="49">
        <f>IFERROR((H63/H65),0)</f>
        <v>0</v>
      </c>
      <c r="I68" s="49">
        <f>IFERROR((I63/I65),0)</f>
        <v>0</v>
      </c>
      <c r="J68" s="49">
        <f>IFERROR((J63/J65),0)</f>
        <v>0</v>
      </c>
      <c r="K68" s="49">
        <f t="shared" ref="K68" si="24">IFERROR((K63/K65),0)</f>
        <v>0</v>
      </c>
      <c r="L68" s="49">
        <f>IFERROR((L63/L65),0)</f>
        <v>0</v>
      </c>
      <c r="M68" s="49">
        <f>IFERROR((M63/M65),0)</f>
        <v>0</v>
      </c>
      <c r="N68" s="49">
        <f t="shared" ref="N68:T68" si="25">IFERROR((N63/N65),0)</f>
        <v>0</v>
      </c>
      <c r="O68" s="49">
        <f t="shared" si="25"/>
        <v>0</v>
      </c>
      <c r="P68" s="49">
        <f t="shared" si="25"/>
        <v>0</v>
      </c>
      <c r="Q68" s="49">
        <f t="shared" si="25"/>
        <v>0</v>
      </c>
      <c r="R68" s="49">
        <f t="shared" si="25"/>
        <v>0</v>
      </c>
      <c r="S68" s="49">
        <f t="shared" si="25"/>
        <v>0</v>
      </c>
      <c r="T68" s="49">
        <f t="shared" si="25"/>
        <v>0</v>
      </c>
      <c r="U68" s="49">
        <f>IFERROR((U63/U65),0)</f>
        <v>0</v>
      </c>
    </row>
    <row r="69" spans="2:21">
      <c r="B69" s="24" t="s">
        <v>25</v>
      </c>
      <c r="C69" s="49">
        <f>IFERROR((C64/C65),0)</f>
        <v>0</v>
      </c>
      <c r="D69" s="49">
        <f>IFERROR((D64/D65),0)</f>
        <v>0</v>
      </c>
      <c r="E69" s="49">
        <f>IFERROR((E64/E65),0)</f>
        <v>0</v>
      </c>
      <c r="F69" s="49">
        <f t="shared" ref="F69:H69" si="26">IFERROR((F64/F65),0)</f>
        <v>0</v>
      </c>
      <c r="G69" s="49">
        <f t="shared" si="26"/>
        <v>0</v>
      </c>
      <c r="H69" s="49">
        <f t="shared" si="26"/>
        <v>0</v>
      </c>
      <c r="I69" s="49">
        <f>IFERROR((I64/I65),0)</f>
        <v>0</v>
      </c>
      <c r="J69" s="49">
        <f>IFERROR((J64/J65),0)</f>
        <v>0</v>
      </c>
      <c r="K69" s="49">
        <f t="shared" ref="K69" si="27">IFERROR((K64/K65),0)</f>
        <v>0</v>
      </c>
      <c r="L69" s="49">
        <f>IFERROR((L64/L65),0)</f>
        <v>0</v>
      </c>
      <c r="M69" s="49">
        <f t="shared" ref="M69:T69" si="28">IFERROR((M64/M65),0)</f>
        <v>0</v>
      </c>
      <c r="N69" s="49">
        <f t="shared" si="28"/>
        <v>0</v>
      </c>
      <c r="O69" s="49">
        <f t="shared" si="28"/>
        <v>0</v>
      </c>
      <c r="P69" s="49">
        <f t="shared" si="28"/>
        <v>0</v>
      </c>
      <c r="Q69" s="49">
        <f t="shared" si="28"/>
        <v>0</v>
      </c>
      <c r="R69" s="49">
        <f t="shared" si="28"/>
        <v>0</v>
      </c>
      <c r="S69" s="49">
        <f>IFERROR((S64/S65),0)</f>
        <v>0</v>
      </c>
      <c r="T69" s="49">
        <f t="shared" si="28"/>
        <v>0</v>
      </c>
      <c r="U69" s="49">
        <f>IFERROR((U64/U65),0)</f>
        <v>0</v>
      </c>
    </row>
    <row r="70" spans="2:21">
      <c r="B70" s="47" t="s">
        <v>388</v>
      </c>
      <c r="C70" s="50">
        <f>SUM(C68:C69)</f>
        <v>0</v>
      </c>
      <c r="D70" s="50">
        <f>SUM(D68:D69)</f>
        <v>0</v>
      </c>
      <c r="E70" s="50">
        <f>SUM(E68:E69)</f>
        <v>0</v>
      </c>
      <c r="F70" s="50">
        <f>SUM(F68:F69)</f>
        <v>0</v>
      </c>
      <c r="G70" s="50">
        <f t="shared" ref="G70" si="29">SUM(G68:G69)</f>
        <v>0</v>
      </c>
      <c r="H70" s="50">
        <f>SUM(H68:H69)</f>
        <v>0</v>
      </c>
      <c r="I70" s="50">
        <f>SUM(I68:I69)</f>
        <v>0</v>
      </c>
      <c r="J70" s="50">
        <f t="shared" ref="J70" si="30">SUM(J68:J69)</f>
        <v>0</v>
      </c>
      <c r="K70" s="50">
        <f>SUM(K68:K69)</f>
        <v>0</v>
      </c>
      <c r="L70" s="50">
        <f>SUM(L68:L69)</f>
        <v>0</v>
      </c>
      <c r="M70" s="50">
        <f t="shared" ref="M70:S70" si="31">SUM(M68:M69)</f>
        <v>0</v>
      </c>
      <c r="N70" s="50">
        <f t="shared" si="31"/>
        <v>0</v>
      </c>
      <c r="O70" s="50">
        <f t="shared" si="31"/>
        <v>0</v>
      </c>
      <c r="P70" s="50">
        <f t="shared" si="31"/>
        <v>0</v>
      </c>
      <c r="Q70" s="50">
        <f t="shared" si="31"/>
        <v>0</v>
      </c>
      <c r="R70" s="50">
        <f t="shared" si="31"/>
        <v>0</v>
      </c>
      <c r="S70" s="50">
        <f t="shared" si="31"/>
        <v>0</v>
      </c>
      <c r="T70" s="50">
        <f>SUM(T68:T69)</f>
        <v>0</v>
      </c>
      <c r="U70" s="50">
        <f>SUM(U68:U69)</f>
        <v>0</v>
      </c>
    </row>
    <row r="71" spans="2:21">
      <c r="B71" s="51" t="s">
        <v>389</v>
      </c>
      <c r="C71" s="52">
        <v>0.8</v>
      </c>
      <c r="D71" s="52">
        <v>0.8</v>
      </c>
      <c r="E71" s="52">
        <v>0.8</v>
      </c>
      <c r="F71" s="52">
        <v>0.8</v>
      </c>
      <c r="G71" s="52">
        <v>0.8</v>
      </c>
      <c r="H71" s="52">
        <v>0.8</v>
      </c>
      <c r="I71" s="52">
        <v>0.8</v>
      </c>
      <c r="J71" s="52">
        <v>0.8</v>
      </c>
      <c r="K71" s="52">
        <v>0.8</v>
      </c>
      <c r="L71" s="52">
        <v>0.8</v>
      </c>
      <c r="M71" s="52">
        <v>0.8</v>
      </c>
      <c r="N71" s="52">
        <v>0.8</v>
      </c>
      <c r="O71" s="52">
        <v>0.8</v>
      </c>
      <c r="P71" s="52">
        <v>0.8</v>
      </c>
      <c r="Q71" s="52">
        <v>0.8</v>
      </c>
      <c r="R71" s="52">
        <v>0.8</v>
      </c>
      <c r="S71" s="52">
        <v>0.8</v>
      </c>
      <c r="T71" s="52">
        <v>0.8</v>
      </c>
      <c r="U71" s="52">
        <v>0.8</v>
      </c>
    </row>
    <row r="92" spans="2:21">
      <c r="B92" s="98" t="s">
        <v>394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</row>
    <row r="93" spans="2:21">
      <c r="B93" s="45"/>
      <c r="C93" s="22" t="s">
        <v>369</v>
      </c>
      <c r="D93" s="22" t="s">
        <v>370</v>
      </c>
      <c r="E93" s="22" t="s">
        <v>371</v>
      </c>
      <c r="F93" s="22" t="s">
        <v>372</v>
      </c>
      <c r="G93" s="22" t="s">
        <v>373</v>
      </c>
      <c r="H93" s="22" t="s">
        <v>374</v>
      </c>
      <c r="I93" s="22" t="s">
        <v>375</v>
      </c>
      <c r="J93" s="22" t="s">
        <v>376</v>
      </c>
      <c r="K93" s="22" t="s">
        <v>377</v>
      </c>
      <c r="L93" s="22" t="s">
        <v>378</v>
      </c>
      <c r="M93" s="22" t="s">
        <v>379</v>
      </c>
      <c r="N93" s="22" t="s">
        <v>380</v>
      </c>
      <c r="O93" s="22" t="s">
        <v>381</v>
      </c>
      <c r="P93" s="22" t="s">
        <v>382</v>
      </c>
      <c r="Q93" s="22" t="s">
        <v>383</v>
      </c>
      <c r="R93" s="22" t="s">
        <v>384</v>
      </c>
      <c r="S93" s="22" t="s">
        <v>385</v>
      </c>
      <c r="T93" s="22" t="s">
        <v>386</v>
      </c>
      <c r="U93" s="22" t="s">
        <v>387</v>
      </c>
    </row>
    <row r="94" spans="2:21">
      <c r="B94" s="39" t="s">
        <v>58</v>
      </c>
      <c r="C94" s="46">
        <f>COUNTIFS(Tabla1[MES DE SELECCIÓN],C93,Tabla1[ESTATUS],Estatuss,Tabla1[EN TIEMPO O FUERA DE TIEMPO],EN_TIEMPO,Tabla1[EMPRESA],GL)</f>
        <v>0</v>
      </c>
      <c r="D94" s="46">
        <f>COUNTIFS(Tabla1[MES DE SELECCIÓN],D93,Tabla1[ESTATUS],Estatuss,Tabla1[EN TIEMPO O FUERA DE TIEMPO],EN_TIEMPO,Tabla1[EMPRESA],GL)</f>
        <v>0</v>
      </c>
      <c r="E94" s="46">
        <f>COUNTIFS(Tabla1[MES DE SELECCIÓN],E93,Tabla1[ESTATUS],Estatuss,Tabla1[EN TIEMPO O FUERA DE TIEMPO],EN_TIEMPO,Tabla1[EMPRESA],GL)</f>
        <v>0</v>
      </c>
      <c r="F94" s="46">
        <f>COUNTIFS(Tabla1[MES DE SELECCIÓN],F93,Tabla1[ESTATUS],Estatuss,Tabla1[EN TIEMPO O FUERA DE TIEMPO],EN_TIEMPO,Tabla1[EMPRESA],GL)</f>
        <v>0</v>
      </c>
      <c r="G94" s="46">
        <f>COUNTIFS(Tabla1[MES DE SELECCIÓN],G93,Tabla1[ESTATUS],Estatuss,Tabla1[EN TIEMPO O FUERA DE TIEMPO],EN_TIEMPO,Tabla1[EMPRESA],GL)</f>
        <v>0</v>
      </c>
      <c r="H94" s="46">
        <f>COUNTIFS(Tabla1[MES DE SELECCIÓN],H93,Tabla1[ESTATUS],Estatuss,Tabla1[EN TIEMPO O FUERA DE TIEMPO],EN_TIEMPO,Tabla1[EMPRESA],GL)</f>
        <v>0</v>
      </c>
      <c r="I94" s="46">
        <f>SUM(C94:H94)</f>
        <v>0</v>
      </c>
      <c r="J94" s="46">
        <f>COUNTIFS(Tabla1[MES DE SELECCIÓN],J93,Tabla1[ESTATUS],Estatuss,Tabla1[EN TIEMPO O FUERA DE TIEMPO],EN_TIEMPO,Tabla1[EMPRESA],GL)</f>
        <v>0</v>
      </c>
      <c r="K94" s="46">
        <f>COUNTIFS(Tabla1[MES DE SELECCIÓN],K93,Tabla1[ESTATUS],Estatuss,Tabla1[EN TIEMPO O FUERA DE TIEMPO],EN_TIEMPO,Tabla1[EMPRESA],GL)</f>
        <v>0</v>
      </c>
      <c r="L94" s="46">
        <f>COUNTIFS(Tabla1[MES DE SELECCIÓN],L93,Tabla1[ESTATUS],Estatuss,Tabla1[EN TIEMPO O FUERA DE TIEMPO],EN_TIEMPO,Tabla1[EMPRESA],GL)</f>
        <v>0</v>
      </c>
      <c r="M94" s="46">
        <f>COUNTIFS(Tabla1[MES DE SELECCIÓN],M93,Tabla1[ESTATUS],Estatuss,Tabla1[EN TIEMPO O FUERA DE TIEMPO],EN_TIEMPO,Tabla1[EMPRESA],GL)</f>
        <v>0</v>
      </c>
      <c r="N94" s="46">
        <f>COUNTIFS(Tabla1[MES DE SELECCIÓN],N93,Tabla1[ESTATUS],Estatuss,Tabla1[EN TIEMPO O FUERA DE TIEMPO],EN_TIEMPO,Tabla1[EMPRESA],GL)</f>
        <v>0</v>
      </c>
      <c r="O94" s="46">
        <f>COUNTIFS(Tabla1[MES DE SELECCIÓN],O93,Tabla1[ESTATUS],Estatuss,Tabla1[EN TIEMPO O FUERA DE TIEMPO],EN_TIEMPO,Tabla1[EMPRESA],GL)</f>
        <v>0</v>
      </c>
      <c r="P94" s="46">
        <f>COUNTIFS(Tabla1[MES DE SELECCIÓN],P93,Tabla1[ESTATUS],Estatuss,Tabla1[EN TIEMPO O FUERA DE TIEMPO],EN_TIEMPO,Tabla1[EMPRESA],GL)</f>
        <v>0</v>
      </c>
      <c r="Q94" s="46">
        <f>COUNTIFS(Tabla1[MES DE SELECCIÓN],Q93,Tabla1[ESTATUS],Estatuss,Tabla1[EN TIEMPO O FUERA DE TIEMPO],EN_TIEMPO,Tabla1[EMPRESA],GL)</f>
        <v>0</v>
      </c>
      <c r="R94" s="46">
        <f>COUNTIFS(Tabla1[MES DE SELECCIÓN],R93,Tabla1[ESTATUS],Estatuss,Tabla1[EN TIEMPO O FUERA DE TIEMPO],EN_TIEMPO,Tabla1[EMPRESA],GL)</f>
        <v>0</v>
      </c>
      <c r="S94" s="46">
        <f>COUNTIFS(Tabla1[MES DE SELECCIÓN],S93,Tabla1[ESTATUS],Estatuss,Tabla1[EN TIEMPO O FUERA DE TIEMPO],EN_TIEMPO,Tabla1[EMPRESA],GL)</f>
        <v>0</v>
      </c>
      <c r="T94" s="46">
        <f>COUNTIFS(Tabla1[MES DE SELECCIÓN],T93,Tabla1[ESTATUS],Estatuss,Tabla1[EN TIEMPO O FUERA DE TIEMPO],EN_TIEMPO,Tabla1[EMPRESA],GL)</f>
        <v>0</v>
      </c>
      <c r="U94" s="46">
        <f>SUM(J94:T94)</f>
        <v>0</v>
      </c>
    </row>
    <row r="95" spans="2:21">
      <c r="B95" s="24" t="s">
        <v>25</v>
      </c>
      <c r="C95" s="46">
        <f>COUNTIFS(Tabla1[MES DE SELECCIÓN],C93,Tabla1[ESTATUS],Estatuss,Tabla1[EN TIEMPO O FUERA DE TIEMPO],FUERA_DE_TIEMPO,Tabla1[EMPRESA],GL)</f>
        <v>0</v>
      </c>
      <c r="D95" s="46">
        <f>COUNTIFS(Tabla1[MES DE SELECCIÓN],D93,Tabla1[ESTATUS],Estatuss,Tabla1[EN TIEMPO O FUERA DE TIEMPO],FUERA_DE_TIEMPO,Tabla1[EMPRESA],GL)</f>
        <v>0</v>
      </c>
      <c r="E95" s="46">
        <f>COUNTIFS(Tabla1[MES DE SELECCIÓN],E93,Tabla1[ESTATUS],Estatuss,Tabla1[EN TIEMPO O FUERA DE TIEMPO],FUERA_DE_TIEMPO,Tabla1[EMPRESA],GL)</f>
        <v>0</v>
      </c>
      <c r="F95" s="46">
        <f>COUNTIFS(Tabla1[MES DE SELECCIÓN],F93,Tabla1[ESTATUS],Estatuss,Tabla1[EN TIEMPO O FUERA DE TIEMPO],FUERA_DE_TIEMPO,Tabla1[EMPRESA],GL)</f>
        <v>0</v>
      </c>
      <c r="G95" s="46">
        <f>COUNTIFS(Tabla1[MES DE SELECCIÓN],G93,Tabla1[ESTATUS],Estatuss,Tabla1[EN TIEMPO O FUERA DE TIEMPO],FUERA_DE_TIEMPO,Tabla1[EMPRESA],GL)</f>
        <v>0</v>
      </c>
      <c r="H95" s="46">
        <f>COUNTIFS(Tabla1[MES DE SELECCIÓN],H93,Tabla1[ESTATUS],Estatuss,Tabla1[EN TIEMPO O FUERA DE TIEMPO],FUERA_DE_TIEMPO,Tabla1[EMPRESA],GL)</f>
        <v>0</v>
      </c>
      <c r="I95" s="46">
        <f>SUM(C95:H95)</f>
        <v>0</v>
      </c>
      <c r="J95" s="46">
        <f>COUNTIFS(Tabla1[MES DE SELECCIÓN],J93,Tabla1[ESTATUS],Estatuss,Tabla1[EN TIEMPO O FUERA DE TIEMPO],FUERA_DE_TIEMPO,Tabla1[EMPRESA],GL)</f>
        <v>0</v>
      </c>
      <c r="K95" s="46">
        <f>COUNTIFS(Tabla1[MES DE SELECCIÓN],K93,Tabla1[ESTATUS],Estatuss,Tabla1[EN TIEMPO O FUERA DE TIEMPO],FUERA_DE_TIEMPO,Tabla1[EMPRESA],GL)</f>
        <v>0</v>
      </c>
      <c r="L95" s="46">
        <f>COUNTIFS(Tabla1[MES DE SELECCIÓN],L93,Tabla1[ESTATUS],Estatuss,Tabla1[EN TIEMPO O FUERA DE TIEMPO],FUERA_DE_TIEMPO,Tabla1[EMPRESA],GL)</f>
        <v>0</v>
      </c>
      <c r="M95" s="46">
        <f>COUNTIFS(Tabla1[MES DE SELECCIÓN],M93,Tabla1[ESTATUS],Estatuss,Tabla1[EN TIEMPO O FUERA DE TIEMPO],FUERA_DE_TIEMPO,Tabla1[EMPRESA],GL)</f>
        <v>0</v>
      </c>
      <c r="N95" s="46">
        <f>COUNTIFS(Tabla1[MES DE SELECCIÓN],N93,Tabla1[ESTATUS],Estatuss,Tabla1[EN TIEMPO O FUERA DE TIEMPO],FUERA_DE_TIEMPO,Tabla1[EMPRESA],GL)</f>
        <v>0</v>
      </c>
      <c r="O95" s="46">
        <f>COUNTIFS(Tabla1[MES DE SELECCIÓN],O93,Tabla1[ESTATUS],Estatuss,Tabla1[EN TIEMPO O FUERA DE TIEMPO],FUERA_DE_TIEMPO,Tabla1[EMPRESA],GL)</f>
        <v>0</v>
      </c>
      <c r="P95" s="46">
        <f>COUNTIFS(Tabla1[MES DE SELECCIÓN],P93,Tabla1[ESTATUS],Estatuss,Tabla1[EN TIEMPO O FUERA DE TIEMPO],FUERA_DE_TIEMPO,Tabla1[EMPRESA],GL)</f>
        <v>0</v>
      </c>
      <c r="Q95" s="46">
        <f>COUNTIFS(Tabla1[MES DE SELECCIÓN],Q93,Tabla1[ESTATUS],Estatuss,Tabla1[EN TIEMPO O FUERA DE TIEMPO],FUERA_DE_TIEMPO,Tabla1[EMPRESA],GL)</f>
        <v>0</v>
      </c>
      <c r="R95" s="46">
        <f>COUNTIFS(Tabla1[MES DE SELECCIÓN],R93,Tabla1[ESTATUS],Estatuss,Tabla1[EN TIEMPO O FUERA DE TIEMPO],FUERA_DE_TIEMPO,Tabla1[EMPRESA],GL)</f>
        <v>0</v>
      </c>
      <c r="S95" s="46">
        <f>COUNTIFS(Tabla1[MES DE SELECCIÓN],S93,Tabla1[ESTATUS],Estatuss,Tabla1[EN TIEMPO O FUERA DE TIEMPO],FUERA_DE_TIEMPO,Tabla1[EMPRESA],GL)</f>
        <v>0</v>
      </c>
      <c r="T95" s="46">
        <f>COUNTIFS(Tabla1[MES DE SELECCIÓN],T93,Tabla1[ESTATUS],Estatuss,Tabla1[EN TIEMPO O FUERA DE TIEMPO],FUERA_DE_TIEMPO,Tabla1[EMPRESA],GL)</f>
        <v>0</v>
      </c>
      <c r="U95" s="46">
        <f>SUM(J95:T95)</f>
        <v>0</v>
      </c>
    </row>
    <row r="96" spans="2:21">
      <c r="B96" s="47" t="s">
        <v>388</v>
      </c>
      <c r="C96" s="48">
        <f>SUM(C94:C95)</f>
        <v>0</v>
      </c>
      <c r="D96" s="48">
        <f>SUM(D94:D95)</f>
        <v>0</v>
      </c>
      <c r="E96" s="48">
        <f>SUM(E94:E95)</f>
        <v>0</v>
      </c>
      <c r="F96" s="48">
        <f>SUM(F94:F95)</f>
        <v>0</v>
      </c>
      <c r="G96" s="48">
        <f t="shared" ref="G96:H96" si="32">SUM(G94:G95)</f>
        <v>0</v>
      </c>
      <c r="H96" s="48">
        <f t="shared" si="32"/>
        <v>0</v>
      </c>
      <c r="I96" s="48">
        <f t="shared" ref="I96:O96" si="33">SUM(I94:I95)</f>
        <v>0</v>
      </c>
      <c r="J96" s="48">
        <f t="shared" si="33"/>
        <v>0</v>
      </c>
      <c r="K96" s="48">
        <f t="shared" si="33"/>
        <v>0</v>
      </c>
      <c r="L96" s="48">
        <f t="shared" si="33"/>
        <v>0</v>
      </c>
      <c r="M96" s="54">
        <f t="shared" si="33"/>
        <v>0</v>
      </c>
      <c r="N96" s="54">
        <f t="shared" si="33"/>
        <v>0</v>
      </c>
      <c r="O96" s="54">
        <f t="shared" si="33"/>
        <v>0</v>
      </c>
      <c r="P96" s="54">
        <f t="shared" ref="P96:S96" si="34">SUM(P94:P95)</f>
        <v>0</v>
      </c>
      <c r="Q96" s="54">
        <f t="shared" si="34"/>
        <v>0</v>
      </c>
      <c r="R96" s="54">
        <f t="shared" si="34"/>
        <v>0</v>
      </c>
      <c r="S96" s="54">
        <f t="shared" si="34"/>
        <v>0</v>
      </c>
      <c r="T96" s="54">
        <f>SUM(T94:T95)</f>
        <v>0</v>
      </c>
      <c r="U96" s="54">
        <f>SUM(U94:U95)</f>
        <v>0</v>
      </c>
    </row>
    <row r="97" spans="2:21">
      <c r="B97" s="98" t="s">
        <v>394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</row>
    <row r="98" spans="2:21">
      <c r="B98" s="45"/>
      <c r="C98" s="22" t="s">
        <v>369</v>
      </c>
      <c r="D98" s="22" t="s">
        <v>370</v>
      </c>
      <c r="E98" s="22" t="s">
        <v>371</v>
      </c>
      <c r="F98" s="22" t="s">
        <v>372</v>
      </c>
      <c r="G98" s="22" t="s">
        <v>373</v>
      </c>
      <c r="H98" s="22" t="s">
        <v>374</v>
      </c>
      <c r="I98" s="22" t="s">
        <v>375</v>
      </c>
      <c r="J98" s="22" t="s">
        <v>376</v>
      </c>
      <c r="K98" s="22" t="s">
        <v>377</v>
      </c>
      <c r="L98" s="22" t="s">
        <v>378</v>
      </c>
      <c r="M98" s="22" t="s">
        <v>379</v>
      </c>
      <c r="N98" s="22" t="s">
        <v>380</v>
      </c>
      <c r="O98" s="22" t="s">
        <v>381</v>
      </c>
      <c r="P98" s="22" t="s">
        <v>382</v>
      </c>
      <c r="Q98" s="22" t="s">
        <v>383</v>
      </c>
      <c r="R98" s="22" t="s">
        <v>384</v>
      </c>
      <c r="S98" s="22" t="s">
        <v>385</v>
      </c>
      <c r="T98" s="22" t="s">
        <v>386</v>
      </c>
      <c r="U98" s="22" t="s">
        <v>387</v>
      </c>
    </row>
    <row r="99" spans="2:21">
      <c r="B99" s="39" t="s">
        <v>58</v>
      </c>
      <c r="C99" s="49">
        <f>IFERROR((C94/C96),0)</f>
        <v>0</v>
      </c>
      <c r="D99" s="49">
        <f>IFERROR((D94/D96),0)</f>
        <v>0</v>
      </c>
      <c r="E99" s="49">
        <f>IFERROR((E94/E96),0)</f>
        <v>0</v>
      </c>
      <c r="F99" s="49">
        <f t="shared" ref="F99" si="35">IFERROR((F94/F96),0)</f>
        <v>0</v>
      </c>
      <c r="G99" s="49">
        <f>IFERROR((G94/G96),0)</f>
        <v>0</v>
      </c>
      <c r="H99" s="49">
        <f>IFERROR((H94/H96),0)</f>
        <v>0</v>
      </c>
      <c r="I99" s="49">
        <f>IFERROR((I94/I96),0)</f>
        <v>0</v>
      </c>
      <c r="J99" s="49">
        <f>IFERROR((J94/J96),0)</f>
        <v>0</v>
      </c>
      <c r="K99" s="49">
        <f t="shared" ref="K99" si="36">IFERROR((K94/K96),0)</f>
        <v>0</v>
      </c>
      <c r="L99" s="49">
        <f>IFERROR((L94/L96),0)</f>
        <v>0</v>
      </c>
      <c r="M99" s="49">
        <f>IFERROR((M94/M96),0)</f>
        <v>0</v>
      </c>
      <c r="N99" s="49">
        <f t="shared" ref="N99:S99" si="37">IFERROR((N94/N96),0)</f>
        <v>0</v>
      </c>
      <c r="O99" s="49">
        <f t="shared" si="37"/>
        <v>0</v>
      </c>
      <c r="P99" s="49">
        <f t="shared" si="37"/>
        <v>0</v>
      </c>
      <c r="Q99" s="49">
        <f t="shared" si="37"/>
        <v>0</v>
      </c>
      <c r="R99" s="49">
        <f t="shared" si="37"/>
        <v>0</v>
      </c>
      <c r="S99" s="49">
        <f t="shared" si="37"/>
        <v>0</v>
      </c>
      <c r="T99" s="49">
        <f>IFERROR((T94/T96),0)</f>
        <v>0</v>
      </c>
      <c r="U99" s="49">
        <f>IFERROR((U94/U96),0)</f>
        <v>0</v>
      </c>
    </row>
    <row r="100" spans="2:21">
      <c r="B100" s="24" t="s">
        <v>25</v>
      </c>
      <c r="C100" s="49">
        <f>IFERROR((C95/C96),0)</f>
        <v>0</v>
      </c>
      <c r="D100" s="49">
        <f>IFERROR((D95/D96),0)</f>
        <v>0</v>
      </c>
      <c r="E100" s="49">
        <f>IFERROR((E95/E96),0)</f>
        <v>0</v>
      </c>
      <c r="F100" s="49">
        <f t="shared" ref="F100:H100" si="38">IFERROR((F95/F96),0)</f>
        <v>0</v>
      </c>
      <c r="G100" s="49">
        <f t="shared" si="38"/>
        <v>0</v>
      </c>
      <c r="H100" s="49">
        <f t="shared" si="38"/>
        <v>0</v>
      </c>
      <c r="I100" s="49">
        <f>IFERROR((I95/I96),0)</f>
        <v>0</v>
      </c>
      <c r="J100" s="49">
        <f>IFERROR((J95/J96),0)</f>
        <v>0</v>
      </c>
      <c r="K100" s="49">
        <f>IFERROR((K95/K96),0)</f>
        <v>0</v>
      </c>
      <c r="L100" s="49">
        <f>IFERROR((L95/L96),0)</f>
        <v>0</v>
      </c>
      <c r="M100" s="49">
        <f>IFERROR((M95/M96),0)</f>
        <v>0</v>
      </c>
      <c r="N100" s="49">
        <f t="shared" ref="N100:S100" si="39">IFERROR((N95/N96),0)</f>
        <v>0</v>
      </c>
      <c r="O100" s="49">
        <f t="shared" si="39"/>
        <v>0</v>
      </c>
      <c r="P100" s="49">
        <f t="shared" si="39"/>
        <v>0</v>
      </c>
      <c r="Q100" s="49">
        <f t="shared" si="39"/>
        <v>0</v>
      </c>
      <c r="R100" s="49">
        <f t="shared" si="39"/>
        <v>0</v>
      </c>
      <c r="S100" s="49">
        <f t="shared" si="39"/>
        <v>0</v>
      </c>
      <c r="T100" s="49">
        <f>IFERROR((T95/T96),0)</f>
        <v>0</v>
      </c>
      <c r="U100" s="49">
        <f>IFERROR((U95/U96),0)</f>
        <v>0</v>
      </c>
    </row>
    <row r="101" spans="2:21">
      <c r="B101" s="47" t="s">
        <v>388</v>
      </c>
      <c r="C101" s="50">
        <f>SUM(C99:C100)</f>
        <v>0</v>
      </c>
      <c r="D101" s="50">
        <f>SUM(D99:D100)</f>
        <v>0</v>
      </c>
      <c r="E101" s="50">
        <f>SUM(E99:E100)</f>
        <v>0</v>
      </c>
      <c r="F101" s="50">
        <f>SUM(F99:F100)</f>
        <v>0</v>
      </c>
      <c r="G101" s="50">
        <f t="shared" ref="G101:H101" si="40">SUM(G99:G100)</f>
        <v>0</v>
      </c>
      <c r="H101" s="50">
        <f t="shared" si="40"/>
        <v>0</v>
      </c>
      <c r="I101" s="50">
        <f>SUM(I99:I100)</f>
        <v>0</v>
      </c>
      <c r="J101" s="50">
        <f>SUM(J99:J100)</f>
        <v>0</v>
      </c>
      <c r="K101" s="50">
        <f>SUM(K99:K100)</f>
        <v>0</v>
      </c>
      <c r="L101" s="50">
        <f>SUM(L99:L100)</f>
        <v>0</v>
      </c>
      <c r="M101" s="50">
        <f>SUM(M99:M100)</f>
        <v>0</v>
      </c>
      <c r="N101" s="50">
        <f t="shared" ref="N101:S101" si="41">SUM(N99:N100)</f>
        <v>0</v>
      </c>
      <c r="O101" s="50">
        <f t="shared" si="41"/>
        <v>0</v>
      </c>
      <c r="P101" s="50">
        <f t="shared" si="41"/>
        <v>0</v>
      </c>
      <c r="Q101" s="50">
        <f t="shared" si="41"/>
        <v>0</v>
      </c>
      <c r="R101" s="50">
        <f t="shared" si="41"/>
        <v>0</v>
      </c>
      <c r="S101" s="50">
        <f t="shared" si="41"/>
        <v>0</v>
      </c>
      <c r="T101" s="50">
        <f>SUM(T99:T100)</f>
        <v>0</v>
      </c>
      <c r="U101" s="50">
        <f>SUM(U99:U100)</f>
        <v>0</v>
      </c>
    </row>
    <row r="102" spans="2:21">
      <c r="B102" s="51" t="s">
        <v>389</v>
      </c>
      <c r="C102" s="52">
        <v>0.8</v>
      </c>
      <c r="D102" s="52">
        <v>0.8</v>
      </c>
      <c r="E102" s="52">
        <v>0.8</v>
      </c>
      <c r="F102" s="52">
        <v>0.8</v>
      </c>
      <c r="G102" s="52">
        <v>0.8</v>
      </c>
      <c r="H102" s="52">
        <v>0.8</v>
      </c>
      <c r="I102" s="52">
        <v>0.8</v>
      </c>
      <c r="J102" s="52">
        <v>0.8</v>
      </c>
      <c r="K102" s="52">
        <v>0.8</v>
      </c>
      <c r="L102" s="52">
        <v>0.8</v>
      </c>
      <c r="M102" s="52">
        <v>0.8</v>
      </c>
      <c r="N102" s="52">
        <v>0.8</v>
      </c>
      <c r="O102" s="52">
        <v>0.8</v>
      </c>
      <c r="P102" s="52">
        <v>0.8</v>
      </c>
      <c r="Q102" s="52">
        <v>0.8</v>
      </c>
      <c r="R102" s="52">
        <v>0.8</v>
      </c>
      <c r="S102" s="52">
        <v>0.8</v>
      </c>
      <c r="T102" s="52">
        <v>0.8</v>
      </c>
      <c r="U102" s="52">
        <v>0.8</v>
      </c>
    </row>
  </sheetData>
  <mergeCells count="8">
    <mergeCell ref="B92:U92"/>
    <mergeCell ref="B97:U97"/>
    <mergeCell ref="B6:U6"/>
    <mergeCell ref="B11:U11"/>
    <mergeCell ref="B42:U42"/>
    <mergeCell ref="B37:U37"/>
    <mergeCell ref="B66:U66"/>
    <mergeCell ref="B61:U61"/>
  </mergeCells>
  <pageMargins left="0.7" right="0.7" top="0.75" bottom="0.75" header="0.3" footer="0.3"/>
  <pageSetup paperSize="9" orientation="portrait" verticalDpi="0" r:id="rId1"/>
  <ignoredErrors>
    <ignoredError sqref="I8:I9 I39:I40 I63:I64 I94:I9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y g l x V P c B l N i i A A A A 9 g A A A B I A H A B D b 2 5 m a W c v U G F j a 2 F n Z S 5 4 b W w g o h g A K K A U A A A A A A A A A A A A A A A A A A A A A A A A A A A A h Y + x D o I w F E V / h X S n L X U x 5 F E G V 0 l M T A x r U 5 7 Q C M X Q Y v k 3 B z / J X x C j q J v j P f c M 9 9 6 v N 8 i n r o 0 u O D j T 2 4 w k l J M I r e 4 r Y + u M j P 4 Y r 0 k u Y a f 0 S d U Y z b J 1 6 e S q j D T e n 1 P G Q g g 0 r G g / 1 E x w n r C y 2 O 5 1 g 5 0 i H 9 n 8 l 2 N j n V d W I 5 F w e I 2 R g i Z c U M H n T c A W C I W x X 0 H M 3 b P 9 g b A Z W z 8 O K N H F R Q l s i c D e H + Q D U E s D B B Q A A g A I A M o J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C X F U Y a 0 W d q I A A A D Z A A A A E w A c A E Z v c m 1 1 b G F z L 1 N l Y 3 R p b 2 4 x L m 0 g o h g A K K A U A A A A A A A A A A A A A A A A A A A A A A A A A A A A b Y 2 9 C o M w F I X 3 Q N 4 h p I u C C N J R n K R r O z T Q Q R y i 3 r b B J F e S C B b x 3 Z u S t X c 5 c H 6 + 6 2 E M C i 2 7 J 6 1 q S i j x b + l g Y k I O W p 5 Z w z Q E S l i 8 m 1 M v s N G 5 b C P o s l 2 d A x s e 6 O Y B c c 7 y v b t K A w 1 P S 9 4 f X Y s 2 x E p f J M C J C 7 U g G 6 U Z l J y Q R 9 S v C 6 V w 0 v o n O t O i X o 0 V n w V 8 l t 4 V + 8 6 T K y t e s B A j F m A L x 5 F T o u x / c P 0 F U E s B A i 0 A F A A C A A g A y g l x V P c B l N i i A A A A 9 g A A A B I A A A A A A A A A A A A A A A A A A A A A A E N v b m Z p Z y 9 Q Y W N r Y W d l L n h t b F B L A Q I t A B Q A A g A I A M o J c V Q P y u m r p A A A A O k A A A A T A A A A A A A A A A A A A A A A A O 4 A A A B b Q 2 9 u d G V u d F 9 U e X B l c 1 0 u e G 1 s U E s B A i 0 A F A A C A A g A y g l x V G G t F n a i A A A A 2 Q A A A B M A A A A A A A A A A A A A A A A A 3 w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g A A A A A A A B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A 4 O j E 0 O j E y L j c x M z I y N z B a I i A v P j x F b n R y e S B U e X B l P S J G a W x s Q 2 9 s d W 1 u V H l w Z X M i I F Z h b H V l P S J z Q m c 9 P S I g L z 4 8 R W 5 0 c n k g V H l w Z T 0 i R m l s b E N v b H V t b k 5 h b W V z I i B W Y W x 1 Z T 0 i c 1 s m c X V v d D t D b 2 x 1 b W 5 h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U a X B v I G N h b W J p Y W R v L n t D b 2 x 1 b W 5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M v V G l w b y B j Y W 1 i a W F k b y 5 7 Q 2 9 s d W 1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6 s u W z e x C 9 H q 3 1 i K p E 2 s F M A A A A A A g A A A A A A E G Y A A A A B A A A g A A A A 6 + k Y w M Q c y s m e i i a k 9 V Q 8 A I k 0 d J 2 n d 1 j I T O + I V U J 6 V 5 o A A A A A D o A A A A A C A A A g A A A A e s B T S k s E 9 o 9 Q F l W B 2 S g Y X q r 2 X c 0 I 7 N A X S z 0 e x i X 9 J i N Q A A A A w q 9 9 / 8 D n t A E 3 m n C 4 3 g G F t V y R m i i e k X f F 4 w z x i v j 5 v D i H + S H j F X T P c I Y v c c T d C U 4 n Z k O I m V y 6 y b H Z R z P W M T V W H T S w / j T 0 z y f j I 4 9 8 k g J i X 7 N A A A A A 0 Q U / M G f i S l 2 F b N 6 u s D y y K a 7 / w l D e o u w i u V t v J E e T w G l Y Z h g m + f 1 f 0 C A W n 7 l S Q X / 6 Z x v z Z v Z u N i v F y 8 7 K G p R s e A = = < / D a t a M a s h u p > 
</file>

<file path=customXml/itemProps1.xml><?xml version="1.0" encoding="utf-8"?>
<ds:datastoreItem xmlns:ds="http://schemas.openxmlformats.org/officeDocument/2006/customXml" ds:itemID="{765D6D54-F36C-445A-9812-F532D817BA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CERVANTES</dc:creator>
  <cp:keywords/>
  <dc:description/>
  <cp:lastModifiedBy/>
  <cp:revision/>
  <dcterms:created xsi:type="dcterms:W3CDTF">2022-03-16T21:00:02Z</dcterms:created>
  <dcterms:modified xsi:type="dcterms:W3CDTF">2024-03-12T16:17:06Z</dcterms:modified>
  <cp:category/>
  <cp:contentStatus/>
</cp:coreProperties>
</file>