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Estimate" sheetId="1" r:id="rId4"/>
    <sheet state="visible" name="MarginAnalysis" sheetId="2" r:id="rId5"/>
  </sheets>
  <definedNames/>
  <calcPr/>
</workbook>
</file>

<file path=xl/sharedStrings.xml><?xml version="1.0" encoding="utf-8"?>
<sst xmlns="http://schemas.openxmlformats.org/spreadsheetml/2006/main" count="265" uniqueCount="115">
  <si>
    <t>Topic</t>
  </si>
  <si>
    <t>Nosotros</t>
  </si>
  <si>
    <t>Cliente</t>
  </si>
  <si>
    <t>Diego</t>
  </si>
  <si>
    <t>Do Hyun</t>
  </si>
  <si>
    <t>Andrés</t>
  </si>
  <si>
    <t>Andrew</t>
  </si>
  <si>
    <t>Emiliano</t>
  </si>
  <si>
    <t>Total</t>
  </si>
  <si>
    <t>Costo por actividad</t>
  </si>
  <si>
    <t>Project Management</t>
  </si>
  <si>
    <t>C</t>
  </si>
  <si>
    <t>O</t>
  </si>
  <si>
    <t>% PM del Total</t>
  </si>
  <si>
    <t>Project Definition</t>
  </si>
  <si>
    <t>Scoping</t>
  </si>
  <si>
    <t>% PD del Total</t>
  </si>
  <si>
    <t>Requirements and design</t>
  </si>
  <si>
    <t>PM debe ser el 10% del proyecto</t>
  </si>
  <si>
    <t>Validation</t>
  </si>
  <si>
    <t>Unit testing</t>
  </si>
  <si>
    <t>S</t>
  </si>
  <si>
    <t>PD debe ser el 20% del proyecto</t>
  </si>
  <si>
    <t>Component testing</t>
  </si>
  <si>
    <t>Architecture testing</t>
  </si>
  <si>
    <t>User acceptance testing</t>
  </si>
  <si>
    <t>System Integration Testing (SIT)</t>
  </si>
  <si>
    <t>Pentesting</t>
  </si>
  <si>
    <t>Drop validation</t>
  </si>
  <si>
    <t>Con esto sale la ruta crítica y de ahí hacemos el gantt</t>
  </si>
  <si>
    <t>Automatic document validation</t>
  </si>
  <si>
    <t>La ruta critica es el maximo de MD por cada actividad</t>
  </si>
  <si>
    <t>Type validation</t>
  </si>
  <si>
    <t>Backend</t>
  </si>
  <si>
    <t>Payment API</t>
  </si>
  <si>
    <t>Database connection</t>
  </si>
  <si>
    <t>Connection with document validation libraries</t>
  </si>
  <si>
    <t>Connection with agencies</t>
  </si>
  <si>
    <t>Frontend</t>
  </si>
  <si>
    <t>UI/UX design</t>
  </si>
  <si>
    <t xml:space="preserve">Framework implementation </t>
  </si>
  <si>
    <t>Responsive design</t>
  </si>
  <si>
    <t>Statistics per access level</t>
  </si>
  <si>
    <t>Natural language search</t>
  </si>
  <si>
    <t>Guiding questions search</t>
  </si>
  <si>
    <t>Financing plan search</t>
  </si>
  <si>
    <t>Component creation</t>
  </si>
  <si>
    <t>Database</t>
  </si>
  <si>
    <t>E-R diagram design</t>
  </si>
  <si>
    <t>Schema definition</t>
  </si>
  <si>
    <t>Architecture</t>
  </si>
  <si>
    <t>Server setup</t>
  </si>
  <si>
    <t>Notification system</t>
  </si>
  <si>
    <t>User authentication integration</t>
  </si>
  <si>
    <t>NLP pipeline</t>
  </si>
  <si>
    <t>Security Integration</t>
  </si>
  <si>
    <t>User data encryption</t>
  </si>
  <si>
    <t>% Ejecución del Total</t>
  </si>
  <si>
    <t>Document decomposition</t>
  </si>
  <si>
    <t>S = support, C = collaborator, O = owner</t>
  </si>
  <si>
    <t>20 Man Day per month</t>
  </si>
  <si>
    <t>Days in the project: 75 (15 weeks, 5-day work weeks)</t>
  </si>
  <si>
    <t>Max Total MD: 375</t>
  </si>
  <si>
    <t>Project Margin analysis</t>
  </si>
  <si>
    <t>% del trabajo</t>
  </si>
  <si>
    <t>Esfuerzo total en MD</t>
  </si>
  <si>
    <t>Target CPI</t>
  </si>
  <si>
    <t>Costo Operacional Diego</t>
  </si>
  <si>
    <t>Colegiatura + Gasolina</t>
  </si>
  <si>
    <t>Costo Operacional Do Hyun</t>
  </si>
  <si>
    <t xml:space="preserve">Colegiatura + Comidas + Gasolina + Desgaste Mental + Desgaste Físico </t>
  </si>
  <si>
    <t>Costo Operacional Andrew</t>
  </si>
  <si>
    <t xml:space="preserve">Colegiatura + Gasolina </t>
  </si>
  <si>
    <t>Costo Operacional Emiliano</t>
  </si>
  <si>
    <t>Colegiatura + Transporte + Comida</t>
  </si>
  <si>
    <t>Costo Operacional Andrés</t>
  </si>
  <si>
    <t>Colegiatura + Transporte</t>
  </si>
  <si>
    <t>Revenue ($)</t>
  </si>
  <si>
    <t>Total internal cost ($)</t>
  </si>
  <si>
    <t>Total profit ($)</t>
  </si>
  <si>
    <t>Margin (%)</t>
  </si>
  <si>
    <t>Un margen debe quedar alrededor de 50%</t>
  </si>
  <si>
    <t xml:space="preserve">Account 10 years margin analysis </t>
  </si>
  <si>
    <t>Revenue</t>
  </si>
  <si>
    <t>Item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</si>
  <si>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</si>
  <si>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</si>
  <si>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</si>
  <si>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</si>
  <si>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</si>
  <si>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</si>
  <si>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</si>
  <si>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</si>
  <si>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</si>
  <si>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</si>
  <si>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License</t>
  </si>
  <si>
    <t>Maintenance</t>
  </si>
  <si>
    <t>Rentals</t>
  </si>
  <si>
    <t>Implementation Payments by Client</t>
  </si>
  <si>
    <t>Sub-Total</t>
  </si>
  <si>
    <t>After Royalties</t>
  </si>
  <si>
    <t>Cost (Open Source route)</t>
  </si>
  <si>
    <t xml:space="preserve">Implemenation </t>
  </si>
  <si>
    <t>Apache Solr</t>
  </si>
  <si>
    <t>Cost (Half premium route)</t>
  </si>
  <si>
    <t>Cost (Full premium route)</t>
  </si>
  <si>
    <t>AWS Dynamo DB</t>
  </si>
  <si>
    <t>AWS Amazon Comprehend</t>
  </si>
  <si>
    <t>AWS Amazon Rekognition</t>
  </si>
  <si>
    <t>AWS App Runner</t>
  </si>
  <si>
    <t>Cash Flow per Year (before Royalties)</t>
  </si>
  <si>
    <t>Rate</t>
  </si>
  <si>
    <t>NPV</t>
  </si>
  <si>
    <t>IRR</t>
  </si>
  <si>
    <t>MNA Cash Flow per Year (after Royalties)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</si>
</sst>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 &quot;MD&quot;"/>
    <numFmt numFmtId="165" formatCode="&quot;$&quot;#,##0_);\(&quot;$&quot;#,##0\)"/>
    <numFmt numFmtId="166" formatCode="0.0"/>
    <numFmt numFmtId="167" formatCode="&quot;$&quot;#,##0;[Red]\-&quot;$&quot;#,##0"/>
    <numFmt numFmtId="168" formatCode="&quot;$&quot;#,##0.00;[Red]\-&quot;$&quot;#,##0.00"/>
    <numFmt numFmtId="169" formatCode="&quot;$&quot;#,##0.0;[Red]\-&quot;$&quot;#,##0.0"/>
    <numFmt numFmtId="170" formatCode="&quot;$&quot;#,##0.0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b/>
      <i/>
      <sz val="11.0"/>
      <color theme="1"/>
      <name val="Calibri"/>
    </font>
    <font>
      <b/>
      <sz val="11.0"/>
      <color rgb="FFFFFFFF"/>
      <name val="Calibri"/>
    </font>
    <font>
      <sz val="11.0"/>
      <color rgb="FFFFFFFF"/>
      <name val="Calibri"/>
    </font>
    <font>
      <color theme="1"/>
      <name val="Times New Roman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4" xfId="0" applyBorder="1" applyFont="1" applyNumberFormat="1"/>
    <xf borderId="2" fillId="2" fontId="2" numFmtId="0" xfId="0" applyAlignment="1" applyBorder="1" applyFont="1">
      <alignment readingOrder="0" vertical="center"/>
    </xf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3" numFmtId="0" xfId="0" applyBorder="1" applyFont="1"/>
    <xf borderId="5" fillId="0" fontId="1" numFmtId="0" xfId="0" applyAlignment="1" applyBorder="1" applyFont="1">
      <alignment readingOrder="0"/>
    </xf>
    <xf borderId="6" fillId="0" fontId="3" numFmtId="0" xfId="0" applyBorder="1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5" numFmtId="0" xfId="0" applyAlignment="1" applyBorder="1" applyFont="1">
      <alignment readingOrder="0" vertical="bottom"/>
    </xf>
    <xf borderId="1" fillId="2" fontId="5" numFmtId="0" xfId="0" applyAlignment="1" applyBorder="1" applyFont="1">
      <alignment vertical="bottom"/>
    </xf>
    <xf borderId="1" fillId="0" fontId="5" numFmtId="1" xfId="0" applyAlignment="1" applyBorder="1" applyFont="1" applyNumberFormat="1">
      <alignment vertical="bottom"/>
    </xf>
    <xf borderId="1" fillId="0" fontId="5" numFmtId="10" xfId="0" applyAlignment="1" applyBorder="1" applyFont="1" applyNumberFormat="1">
      <alignment vertical="bottom"/>
    </xf>
    <xf borderId="0" fillId="0" fontId="5" numFmtId="3" xfId="0" applyAlignment="1" applyFont="1" applyNumberFormat="1">
      <alignment vertical="bottom"/>
    </xf>
    <xf borderId="1" fillId="0" fontId="5" numFmtId="0" xfId="0" applyAlignment="1" applyBorder="1" applyFont="1">
      <alignment vertical="bottom"/>
    </xf>
    <xf borderId="0" fillId="0" fontId="5" numFmtId="1" xfId="0" applyAlignment="1" applyFont="1" applyNumberFormat="1">
      <alignment vertical="bottom"/>
    </xf>
    <xf borderId="1" fillId="0" fontId="5" numFmtId="165" xfId="0" applyAlignment="1" applyBorder="1" applyFont="1" applyNumberFormat="1">
      <alignment readingOrder="0" vertical="bottom"/>
    </xf>
    <xf borderId="0" fillId="0" fontId="5" numFmtId="165" xfId="0" applyAlignment="1" applyFont="1" applyNumberFormat="1">
      <alignment readingOrder="0" vertical="bottom"/>
    </xf>
    <xf borderId="0" fillId="0" fontId="5" numFmtId="166" xfId="0" applyAlignment="1" applyFont="1" applyNumberFormat="1">
      <alignment vertical="bottom"/>
    </xf>
    <xf borderId="0" fillId="0" fontId="5" numFmtId="2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165" xfId="0" applyAlignment="1" applyFont="1" applyNumberFormat="1">
      <alignment vertical="bottom"/>
    </xf>
    <xf borderId="1" fillId="0" fontId="5" numFmtId="165" xfId="0" applyAlignment="1" applyBorder="1" applyFont="1" applyNumberFormat="1">
      <alignment vertical="bottom"/>
    </xf>
    <xf borderId="1" fillId="3" fontId="6" numFmtId="9" xfId="0" applyAlignment="1" applyBorder="1" applyFill="1" applyFont="1" applyNumberFormat="1">
      <alignment vertical="bottom"/>
    </xf>
    <xf borderId="0" fillId="0" fontId="7" numFmtId="0" xfId="0" applyAlignment="1" applyFont="1">
      <alignment vertical="bottom"/>
    </xf>
    <xf borderId="0" fillId="4" fontId="8" numFmtId="0" xfId="0" applyFill="1" applyFont="1"/>
    <xf borderId="0" fillId="4" fontId="9" numFmtId="0" xfId="0" applyAlignment="1" applyFont="1">
      <alignment horizontal="center"/>
    </xf>
    <xf borderId="0" fillId="0" fontId="4" numFmtId="0" xfId="0" applyFont="1"/>
    <xf borderId="0" fillId="0" fontId="5" numFmtId="167" xfId="0" applyAlignment="1" applyFont="1" applyNumberFormat="1">
      <alignment horizontal="center"/>
    </xf>
    <xf borderId="0" fillId="0" fontId="5" numFmtId="0" xfId="0" applyFont="1"/>
    <xf borderId="7" fillId="0" fontId="4" numFmtId="0" xfId="0" applyBorder="1" applyFont="1"/>
    <xf borderId="7" fillId="0" fontId="5" numFmtId="167" xfId="0" applyAlignment="1" applyBorder="1" applyFont="1" applyNumberFormat="1">
      <alignment horizontal="center"/>
    </xf>
    <xf borderId="7" fillId="0" fontId="5" numFmtId="0" xfId="0" applyBorder="1" applyFont="1"/>
    <xf borderId="0" fillId="0" fontId="5" numFmtId="168" xfId="0" applyAlignment="1" applyFont="1" applyNumberFormat="1">
      <alignment horizontal="right" vertical="bottom"/>
    </xf>
    <xf borderId="0" fillId="0" fontId="5" numFmtId="168" xfId="0" applyAlignment="1" applyFont="1" applyNumberFormat="1">
      <alignment vertical="bottom"/>
    </xf>
    <xf borderId="0" fillId="0" fontId="5" numFmtId="169" xfId="0" applyAlignment="1" applyFont="1" applyNumberFormat="1">
      <alignment horizontal="right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0" numFmtId="170" xfId="0" applyAlignment="1" applyFont="1" applyNumberFormat="1">
      <alignment horizontal="right" readingOrder="0"/>
    </xf>
    <xf borderId="0" fillId="0" fontId="10" numFmtId="170" xfId="0" applyAlignment="1" applyFont="1" applyNumberFormat="1">
      <alignment horizontal="right"/>
    </xf>
    <xf borderId="0" fillId="0" fontId="11" numFmtId="167" xfId="0" applyAlignment="1" applyFont="1" applyNumberFormat="1">
      <alignment horizontal="center"/>
    </xf>
    <xf borderId="7" fillId="0" fontId="5" numFmtId="170" xfId="0" applyBorder="1" applyFont="1" applyNumberFormat="1"/>
    <xf borderId="7" fillId="0" fontId="10" numFmtId="170" xfId="0" applyAlignment="1" applyBorder="1" applyFont="1" applyNumberFormat="1">
      <alignment horizontal="right"/>
    </xf>
    <xf borderId="7" fillId="0" fontId="11" numFmtId="167" xfId="0" applyAlignment="1" applyBorder="1" applyFont="1" applyNumberFormat="1">
      <alignment horizontal="center"/>
    </xf>
    <xf borderId="7" fillId="0" fontId="5" numFmtId="0" xfId="0" applyAlignment="1" applyBorder="1" applyFont="1">
      <alignment vertical="bottom"/>
    </xf>
    <xf borderId="7" fillId="0" fontId="5" numFmtId="167" xfId="0" applyAlignment="1" applyBorder="1" applyFont="1" applyNumberFormat="1">
      <alignment vertical="bottom"/>
    </xf>
    <xf borderId="8" fillId="0" fontId="4" numFmtId="0" xfId="0" applyBorder="1" applyFont="1"/>
    <xf borderId="9" fillId="0" fontId="5" numFmtId="0" xfId="0" applyAlignment="1" applyBorder="1" applyFont="1">
      <alignment vertical="bottom"/>
    </xf>
    <xf borderId="8" fillId="4" fontId="5" numFmtId="0" xfId="0" applyBorder="1" applyFont="1"/>
    <xf borderId="9" fillId="4" fontId="9" numFmtId="0" xfId="0" applyAlignment="1" applyBorder="1" applyFont="1">
      <alignment horizontal="center"/>
    </xf>
    <xf borderId="9" fillId="0" fontId="5" numFmtId="167" xfId="0" applyAlignment="1" applyBorder="1" applyFont="1" applyNumberFormat="1">
      <alignment horizontal="center"/>
    </xf>
    <xf borderId="8" fillId="0" fontId="5" numFmtId="0" xfId="0" applyAlignment="1" applyBorder="1" applyFont="1">
      <alignment vertical="bottom"/>
    </xf>
    <xf borderId="0" fillId="0" fontId="5" numFmtId="9" xfId="0" applyFont="1" applyNumberFormat="1"/>
    <xf borderId="0" fillId="0" fontId="5" numFmtId="168" xfId="0" applyFont="1" applyNumberFormat="1"/>
    <xf borderId="10" fillId="0" fontId="4" numFmtId="0" xfId="0" applyBorder="1" applyFont="1"/>
    <xf borderId="7" fillId="0" fontId="5" numFmtId="9" xfId="0" applyBorder="1" applyFont="1" applyNumberFormat="1"/>
    <xf borderId="11" fillId="0" fontId="5" numFmtId="0" xfId="0" applyAlignment="1" applyBorder="1" applyFont="1">
      <alignment vertical="bottom"/>
    </xf>
    <xf borderId="8" fillId="0" fontId="4" numFmtId="0" xfId="0" applyAlignment="1" applyBorder="1" applyFont="1">
      <alignment shrinkToFit="0" wrapText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6.13"/>
    <col customWidth="1" min="11" max="11" width="21.75"/>
    <col customWidth="1" min="13" max="13" width="17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M1" s="3" t="s">
        <v>9</v>
      </c>
    </row>
    <row r="2">
      <c r="A2" s="4" t="s">
        <v>10</v>
      </c>
      <c r="B2" s="5" t="s">
        <v>10</v>
      </c>
      <c r="C2" s="5" t="s">
        <v>11</v>
      </c>
      <c r="D2" s="5" t="s">
        <v>12</v>
      </c>
      <c r="E2" s="6">
        <v>8.0</v>
      </c>
      <c r="F2" s="6">
        <v>10.0</v>
      </c>
      <c r="G2" s="6">
        <v>10.0</v>
      </c>
      <c r="H2" s="6">
        <v>5.0</v>
      </c>
      <c r="I2" s="6">
        <v>3.0</v>
      </c>
      <c r="J2" s="7">
        <f t="shared" ref="J2:J33" si="1">sum(E2:I2)</f>
        <v>36</v>
      </c>
      <c r="K2" s="5">
        <f>((J2)/J34)*100</f>
        <v>10.22727273</v>
      </c>
      <c r="L2" s="3" t="s">
        <v>13</v>
      </c>
      <c r="M2" s="1">
        <f>(E2*MarginAnalysis!$B$11)+(F2*MarginAnalysis!$B$12)+(G2*MarginAnalysis!$B$15)+(H2*MarginAnalysis!$B$13)+(I2*MarginAnalysis!$B$14)</f>
        <v>-44904.5</v>
      </c>
    </row>
    <row r="3">
      <c r="A3" s="8" t="s">
        <v>14</v>
      </c>
      <c r="B3" s="5" t="s">
        <v>15</v>
      </c>
      <c r="C3" s="5" t="s">
        <v>12</v>
      </c>
      <c r="D3" s="5" t="s">
        <v>11</v>
      </c>
      <c r="E3" s="6">
        <v>4.0</v>
      </c>
      <c r="F3" s="7"/>
      <c r="G3" s="6">
        <v>13.0</v>
      </c>
      <c r="H3" s="6"/>
      <c r="I3" s="6">
        <v>4.0</v>
      </c>
      <c r="J3" s="7">
        <f t="shared" si="1"/>
        <v>21</v>
      </c>
      <c r="K3" s="1">
        <f>((J3+J4)/J34)*100</f>
        <v>16.76136364</v>
      </c>
      <c r="L3" s="3" t="s">
        <v>16</v>
      </c>
      <c r="M3" s="1">
        <f>(E3*MarginAnalysis!$B$11)+(F3*MarginAnalysis!$B$12)+(G3*MarginAnalysis!$B$15)+(H3*MarginAnalysis!$B$13)+(I3*MarginAnalysis!$B$14)</f>
        <v>-25688.25</v>
      </c>
    </row>
    <row r="4">
      <c r="A4" s="9"/>
      <c r="B4" s="5" t="s">
        <v>17</v>
      </c>
      <c r="C4" s="5" t="s">
        <v>12</v>
      </c>
      <c r="D4" s="5" t="s">
        <v>11</v>
      </c>
      <c r="E4" s="6">
        <v>17.0</v>
      </c>
      <c r="F4" s="6">
        <v>1.0</v>
      </c>
      <c r="G4" s="6">
        <v>10.0</v>
      </c>
      <c r="H4" s="6">
        <v>5.0</v>
      </c>
      <c r="I4" s="6">
        <v>5.0</v>
      </c>
      <c r="J4" s="7">
        <f t="shared" si="1"/>
        <v>38</v>
      </c>
      <c r="K4" s="10" t="s">
        <v>18</v>
      </c>
      <c r="M4" s="1">
        <f>(E4*MarginAnalysis!$B$11)+(F4*MarginAnalysis!$B$12)+(G4*MarginAnalysis!$B$15)+(H4*MarginAnalysis!$B$13)+(I4*MarginAnalysis!$B$14)</f>
        <v>-46807.5</v>
      </c>
    </row>
    <row r="5">
      <c r="A5" s="8" t="s">
        <v>19</v>
      </c>
      <c r="B5" s="5" t="s">
        <v>20</v>
      </c>
      <c r="C5" s="5" t="s">
        <v>12</v>
      </c>
      <c r="D5" s="5" t="s">
        <v>21</v>
      </c>
      <c r="E5" s="6">
        <v>10.0</v>
      </c>
      <c r="F5" s="7"/>
      <c r="G5" s="6"/>
      <c r="H5" s="7"/>
      <c r="I5" s="7"/>
      <c r="J5" s="7">
        <f t="shared" si="1"/>
        <v>10</v>
      </c>
      <c r="K5" s="10" t="s">
        <v>22</v>
      </c>
      <c r="M5" s="1">
        <f>(E5*MarginAnalysis!$B$11)+(F5*MarginAnalysis!$B$12)+(G5*MarginAnalysis!$B$15)+(H5*MarginAnalysis!$B$13)+(I5*MarginAnalysis!$B$14)</f>
        <v>-12750</v>
      </c>
    </row>
    <row r="6">
      <c r="A6" s="11"/>
      <c r="B6" s="5" t="s">
        <v>23</v>
      </c>
      <c r="C6" s="5" t="s">
        <v>12</v>
      </c>
      <c r="D6" s="5" t="s">
        <v>21</v>
      </c>
      <c r="E6" s="6"/>
      <c r="F6" s="7"/>
      <c r="G6" s="6"/>
      <c r="H6" s="6">
        <v>10.0</v>
      </c>
      <c r="I6" s="7"/>
      <c r="J6" s="7">
        <f t="shared" si="1"/>
        <v>10</v>
      </c>
      <c r="M6" s="1">
        <f>(E6*MarginAnalysis!$B$11)+(F6*MarginAnalysis!$B$12)+(G6*MarginAnalysis!$B$15)+(H6*MarginAnalysis!$B$13)+(I6*MarginAnalysis!$B$14)</f>
        <v>-10740</v>
      </c>
    </row>
    <row r="7">
      <c r="A7" s="11"/>
      <c r="B7" s="5" t="s">
        <v>24</v>
      </c>
      <c r="C7" s="5" t="s">
        <v>12</v>
      </c>
      <c r="D7" s="5" t="s">
        <v>21</v>
      </c>
      <c r="E7" s="6"/>
      <c r="F7" s="7"/>
      <c r="G7" s="6">
        <v>5.0</v>
      </c>
      <c r="H7" s="7"/>
      <c r="I7" s="7"/>
      <c r="J7" s="7">
        <f t="shared" si="1"/>
        <v>5</v>
      </c>
      <c r="M7" s="1">
        <f>(E7*MarginAnalysis!$B$11)+(F7*MarginAnalysis!$B$12)+(G7*MarginAnalysis!$B$15)+(H7*MarginAnalysis!$B$13)+(I7*MarginAnalysis!$B$14)</f>
        <v>-5866.25</v>
      </c>
    </row>
    <row r="8">
      <c r="A8" s="11"/>
      <c r="B8" s="5" t="s">
        <v>25</v>
      </c>
      <c r="C8" s="5" t="s">
        <v>21</v>
      </c>
      <c r="D8" s="5" t="s">
        <v>12</v>
      </c>
      <c r="E8" s="6"/>
      <c r="F8" s="7"/>
      <c r="G8" s="6"/>
      <c r="H8" s="6">
        <v>10.0</v>
      </c>
      <c r="I8" s="7"/>
      <c r="J8" s="7">
        <f t="shared" si="1"/>
        <v>10</v>
      </c>
      <c r="M8" s="1">
        <f>(E8*MarginAnalysis!$B$11)+(F8*MarginAnalysis!$B$12)+(G8*MarginAnalysis!$B$15)+(H8*MarginAnalysis!$B$13)+(I8*MarginAnalysis!$B$14)</f>
        <v>-10740</v>
      </c>
    </row>
    <row r="9">
      <c r="A9" s="11"/>
      <c r="B9" s="5" t="s">
        <v>26</v>
      </c>
      <c r="C9" s="5" t="s">
        <v>21</v>
      </c>
      <c r="D9" s="5" t="s">
        <v>12</v>
      </c>
      <c r="E9" s="6"/>
      <c r="F9" s="6">
        <v>1.0</v>
      </c>
      <c r="G9" s="6"/>
      <c r="H9" s="6">
        <v>5.0</v>
      </c>
      <c r="I9" s="7"/>
      <c r="J9" s="7">
        <f t="shared" si="1"/>
        <v>6</v>
      </c>
      <c r="M9" s="1">
        <f>(E9*MarginAnalysis!$B$11)+(F9*MarginAnalysis!$B$12)+(G9*MarginAnalysis!$B$15)+(H9*MarginAnalysis!$B$13)+(I9*MarginAnalysis!$B$14)</f>
        <v>-6730</v>
      </c>
    </row>
    <row r="10">
      <c r="A10" s="11"/>
      <c r="B10" s="5" t="s">
        <v>27</v>
      </c>
      <c r="C10" s="5" t="s">
        <v>12</v>
      </c>
      <c r="D10" s="5" t="s">
        <v>21</v>
      </c>
      <c r="E10" s="6">
        <v>10.0</v>
      </c>
      <c r="F10" s="7"/>
      <c r="G10" s="6"/>
      <c r="H10" s="7"/>
      <c r="I10" s="7"/>
      <c r="J10" s="7">
        <f t="shared" si="1"/>
        <v>10</v>
      </c>
      <c r="M10" s="1">
        <f>(E10*MarginAnalysis!$B$11)+(F10*MarginAnalysis!$B$12)+(G10*MarginAnalysis!$B$15)+(H10*MarginAnalysis!$B$13)+(I10*MarginAnalysis!$B$14)</f>
        <v>-12750</v>
      </c>
    </row>
    <row r="11">
      <c r="A11" s="11"/>
      <c r="B11" s="5" t="s">
        <v>28</v>
      </c>
      <c r="C11" s="5" t="s">
        <v>11</v>
      </c>
      <c r="D11" s="5" t="s">
        <v>12</v>
      </c>
      <c r="E11" s="6"/>
      <c r="F11" s="7"/>
      <c r="G11" s="6"/>
      <c r="H11" s="6">
        <v>5.0</v>
      </c>
      <c r="I11" s="7"/>
      <c r="J11" s="7">
        <f t="shared" si="1"/>
        <v>5</v>
      </c>
      <c r="K11" s="10" t="s">
        <v>29</v>
      </c>
      <c r="M11" s="1">
        <f>(E11*MarginAnalysis!$B$11)+(F11*MarginAnalysis!$B$12)+(G11*MarginAnalysis!$B$15)+(H11*MarginAnalysis!$B$13)+(I11*MarginAnalysis!$B$14)</f>
        <v>-5370</v>
      </c>
    </row>
    <row r="12">
      <c r="A12" s="11"/>
      <c r="B12" s="5" t="s">
        <v>30</v>
      </c>
      <c r="C12" s="5" t="s">
        <v>12</v>
      </c>
      <c r="D12" s="5" t="s">
        <v>21</v>
      </c>
      <c r="E12" s="6"/>
      <c r="F12" s="7"/>
      <c r="G12" s="6"/>
      <c r="H12" s="6">
        <v>10.0</v>
      </c>
      <c r="I12" s="7"/>
      <c r="J12" s="7">
        <f t="shared" si="1"/>
        <v>10</v>
      </c>
      <c r="K12" s="10" t="s">
        <v>31</v>
      </c>
      <c r="M12" s="1">
        <f>(E12*MarginAnalysis!$B$11)+(F12*MarginAnalysis!$B$12)+(G12*MarginAnalysis!$B$15)+(H12*MarginAnalysis!$B$13)+(I12*MarginAnalysis!$B$14)</f>
        <v>-10740</v>
      </c>
    </row>
    <row r="13">
      <c r="A13" s="9"/>
      <c r="B13" s="5" t="s">
        <v>32</v>
      </c>
      <c r="C13" s="5" t="s">
        <v>12</v>
      </c>
      <c r="D13" s="5" t="s">
        <v>21</v>
      </c>
      <c r="E13" s="6">
        <v>10.0</v>
      </c>
      <c r="F13" s="7"/>
      <c r="G13" s="6"/>
      <c r="H13" s="7"/>
      <c r="I13" s="7"/>
      <c r="J13" s="7">
        <f t="shared" si="1"/>
        <v>10</v>
      </c>
      <c r="M13" s="1">
        <f>(E13*MarginAnalysis!$B$11)+(F13*MarginAnalysis!$B$12)+(G13*MarginAnalysis!$B$15)+(H13*MarginAnalysis!$B$13)+(I13*MarginAnalysis!$B$14)</f>
        <v>-12750</v>
      </c>
    </row>
    <row r="14">
      <c r="A14" s="8" t="s">
        <v>33</v>
      </c>
      <c r="B14" s="5" t="s">
        <v>34</v>
      </c>
      <c r="C14" s="5" t="s">
        <v>12</v>
      </c>
      <c r="D14" s="5" t="s">
        <v>21</v>
      </c>
      <c r="E14" s="6">
        <v>10.0</v>
      </c>
      <c r="F14" s="6">
        <v>10.0</v>
      </c>
      <c r="G14" s="6"/>
      <c r="H14" s="7"/>
      <c r="I14" s="6">
        <v>5.0</v>
      </c>
      <c r="J14" s="7">
        <f t="shared" si="1"/>
        <v>25</v>
      </c>
      <c r="M14" s="1">
        <f>(E14*MarginAnalysis!$B$11)+(F14*MarginAnalysis!$B$12)+(G14*MarginAnalysis!$B$15)+(H14*MarginAnalysis!$B$13)+(I14*MarginAnalysis!$B$14)</f>
        <v>-33020</v>
      </c>
    </row>
    <row r="15">
      <c r="A15" s="11"/>
      <c r="B15" s="5" t="s">
        <v>35</v>
      </c>
      <c r="C15" s="5" t="s">
        <v>12</v>
      </c>
      <c r="D15" s="5" t="s">
        <v>21</v>
      </c>
      <c r="E15" s="6"/>
      <c r="F15" s="6">
        <v>5.0</v>
      </c>
      <c r="G15" s="6">
        <v>5.0</v>
      </c>
      <c r="H15" s="7"/>
      <c r="I15" s="7"/>
      <c r="J15" s="7">
        <f t="shared" si="1"/>
        <v>10</v>
      </c>
      <c r="M15" s="1">
        <f>(E15*MarginAnalysis!$B$11)+(F15*MarginAnalysis!$B$12)+(G15*MarginAnalysis!$B$15)+(H15*MarginAnalysis!$B$13)+(I15*MarginAnalysis!$B$14)</f>
        <v>-12666.25</v>
      </c>
    </row>
    <row r="16">
      <c r="A16" s="11"/>
      <c r="B16" s="5" t="s">
        <v>36</v>
      </c>
      <c r="C16" s="5" t="s">
        <v>12</v>
      </c>
      <c r="D16" s="5" t="s">
        <v>11</v>
      </c>
      <c r="E16" s="7"/>
      <c r="F16" s="6">
        <v>5.0</v>
      </c>
      <c r="G16" s="6">
        <v>5.0</v>
      </c>
      <c r="H16" s="6">
        <v>5.0</v>
      </c>
      <c r="I16" s="6">
        <v>4.0</v>
      </c>
      <c r="J16" s="7">
        <f t="shared" si="1"/>
        <v>19</v>
      </c>
      <c r="M16" s="1">
        <f>(E16*MarginAnalysis!$B$11)+(F16*MarginAnalysis!$B$12)+(G16*MarginAnalysis!$B$15)+(H16*MarginAnalysis!$B$13)+(I16*MarginAnalysis!$B$14)</f>
        <v>-23372.25</v>
      </c>
    </row>
    <row r="17">
      <c r="A17" s="9"/>
      <c r="B17" s="10" t="s">
        <v>37</v>
      </c>
      <c r="C17" s="5" t="s">
        <v>12</v>
      </c>
      <c r="D17" s="5" t="s">
        <v>11</v>
      </c>
      <c r="E17" s="7"/>
      <c r="F17" s="7"/>
      <c r="G17" s="6"/>
      <c r="H17" s="7"/>
      <c r="I17" s="6">
        <v>4.0</v>
      </c>
      <c r="J17" s="7">
        <f t="shared" si="1"/>
        <v>4</v>
      </c>
      <c r="M17" s="1">
        <f>(E17*MarginAnalysis!$B$11)+(F17*MarginAnalysis!$B$12)+(G17*MarginAnalysis!$B$15)+(H17*MarginAnalysis!$B$13)+(I17*MarginAnalysis!$B$14)</f>
        <v>-5336</v>
      </c>
    </row>
    <row r="18">
      <c r="A18" s="8" t="s">
        <v>38</v>
      </c>
      <c r="B18" s="5" t="s">
        <v>39</v>
      </c>
      <c r="C18" s="5" t="s">
        <v>12</v>
      </c>
      <c r="D18" s="5" t="s">
        <v>21</v>
      </c>
      <c r="E18" s="7"/>
      <c r="F18" s="6">
        <v>7.0</v>
      </c>
      <c r="G18" s="6"/>
      <c r="H18" s="7"/>
      <c r="I18" s="6">
        <v>4.0</v>
      </c>
      <c r="J18" s="7">
        <f t="shared" si="1"/>
        <v>11</v>
      </c>
      <c r="M18" s="1">
        <f>(E18*MarginAnalysis!$B$11)+(F18*MarginAnalysis!$B$12)+(G18*MarginAnalysis!$B$15)+(H18*MarginAnalysis!$B$13)+(I18*MarginAnalysis!$B$14)</f>
        <v>-14856</v>
      </c>
    </row>
    <row r="19">
      <c r="A19" s="11"/>
      <c r="B19" s="5" t="s">
        <v>40</v>
      </c>
      <c r="C19" s="5" t="s">
        <v>12</v>
      </c>
      <c r="D19" s="5" t="s">
        <v>21</v>
      </c>
      <c r="E19" s="7"/>
      <c r="F19" s="6">
        <v>5.0</v>
      </c>
      <c r="G19" s="6"/>
      <c r="H19" s="7"/>
      <c r="I19" s="6">
        <v>6.0</v>
      </c>
      <c r="J19" s="7">
        <f t="shared" si="1"/>
        <v>11</v>
      </c>
      <c r="M19" s="1">
        <f>(E19*MarginAnalysis!$B$11)+(F19*MarginAnalysis!$B$12)+(G19*MarginAnalysis!$B$15)+(H19*MarginAnalysis!$B$13)+(I19*MarginAnalysis!$B$14)</f>
        <v>-14804</v>
      </c>
    </row>
    <row r="20">
      <c r="A20" s="11"/>
      <c r="B20" s="5" t="s">
        <v>41</v>
      </c>
      <c r="C20" s="5" t="s">
        <v>12</v>
      </c>
      <c r="D20" s="5" t="s">
        <v>21</v>
      </c>
      <c r="E20" s="7"/>
      <c r="F20" s="6">
        <v>4.0</v>
      </c>
      <c r="G20" s="6"/>
      <c r="H20" s="7"/>
      <c r="I20" s="6">
        <v>6.0</v>
      </c>
      <c r="J20" s="7">
        <f t="shared" si="1"/>
        <v>10</v>
      </c>
      <c r="M20" s="1">
        <f>(E20*MarginAnalysis!$B$11)+(F20*MarginAnalysis!$B$12)+(G20*MarginAnalysis!$B$15)+(H20*MarginAnalysis!$B$13)+(I20*MarginAnalysis!$B$14)</f>
        <v>-13444</v>
      </c>
    </row>
    <row r="21">
      <c r="A21" s="11"/>
      <c r="B21" s="5" t="s">
        <v>42</v>
      </c>
      <c r="C21" s="5" t="s">
        <v>12</v>
      </c>
      <c r="D21" s="5" t="s">
        <v>21</v>
      </c>
      <c r="E21" s="7"/>
      <c r="F21" s="7"/>
      <c r="G21" s="6"/>
      <c r="H21" s="7"/>
      <c r="I21" s="6">
        <v>5.0</v>
      </c>
      <c r="J21" s="7">
        <f t="shared" si="1"/>
        <v>5</v>
      </c>
      <c r="M21" s="1">
        <f>(E21*MarginAnalysis!$B$11)+(F21*MarginAnalysis!$B$12)+(G21*MarginAnalysis!$B$15)+(H21*MarginAnalysis!$B$13)+(I21*MarginAnalysis!$B$14)</f>
        <v>-6670</v>
      </c>
    </row>
    <row r="22">
      <c r="A22" s="11"/>
      <c r="B22" s="5" t="s">
        <v>43</v>
      </c>
      <c r="C22" s="5" t="s">
        <v>12</v>
      </c>
      <c r="D22" s="5" t="s">
        <v>21</v>
      </c>
      <c r="E22" s="7"/>
      <c r="F22" s="6">
        <v>2.0</v>
      </c>
      <c r="G22" s="6">
        <v>5.0</v>
      </c>
      <c r="H22" s="7"/>
      <c r="I22" s="7"/>
      <c r="J22" s="7">
        <f t="shared" si="1"/>
        <v>7</v>
      </c>
      <c r="M22" s="1">
        <f>(E22*MarginAnalysis!$B$11)+(F22*MarginAnalysis!$B$12)+(G22*MarginAnalysis!$B$15)+(H22*MarginAnalysis!$B$13)+(I22*MarginAnalysis!$B$14)</f>
        <v>-8586.25</v>
      </c>
    </row>
    <row r="23">
      <c r="A23" s="11"/>
      <c r="B23" s="5" t="s">
        <v>44</v>
      </c>
      <c r="C23" s="5" t="s">
        <v>12</v>
      </c>
      <c r="D23" s="5" t="s">
        <v>21</v>
      </c>
      <c r="E23" s="7"/>
      <c r="F23" s="6">
        <v>2.0</v>
      </c>
      <c r="G23" s="6"/>
      <c r="H23" s="7"/>
      <c r="I23" s="7"/>
      <c r="J23" s="7">
        <f t="shared" si="1"/>
        <v>2</v>
      </c>
      <c r="M23" s="1">
        <f>(E23*MarginAnalysis!$B$11)+(F23*MarginAnalysis!$B$12)+(G23*MarginAnalysis!$B$15)+(H23*MarginAnalysis!$B$13)+(I23*MarginAnalysis!$B$14)</f>
        <v>-2720</v>
      </c>
    </row>
    <row r="24">
      <c r="A24" s="11"/>
      <c r="B24" s="5" t="s">
        <v>45</v>
      </c>
      <c r="C24" s="5" t="s">
        <v>12</v>
      </c>
      <c r="D24" s="5" t="s">
        <v>21</v>
      </c>
      <c r="E24" s="7"/>
      <c r="F24" s="6">
        <v>2.0</v>
      </c>
      <c r="G24" s="6"/>
      <c r="H24" s="7"/>
      <c r="I24" s="7"/>
      <c r="J24" s="7">
        <f t="shared" si="1"/>
        <v>2</v>
      </c>
      <c r="M24" s="1">
        <f>(E24*MarginAnalysis!$B$11)+(F24*MarginAnalysis!$B$12)+(G24*MarginAnalysis!$B$15)+(H24*MarginAnalysis!$B$13)+(I24*MarginAnalysis!$B$14)</f>
        <v>-2720</v>
      </c>
    </row>
    <row r="25">
      <c r="A25" s="9"/>
      <c r="B25" s="5" t="s">
        <v>46</v>
      </c>
      <c r="C25" s="5" t="s">
        <v>12</v>
      </c>
      <c r="D25" s="5" t="s">
        <v>21</v>
      </c>
      <c r="E25" s="7"/>
      <c r="F25" s="6">
        <v>5.0</v>
      </c>
      <c r="G25" s="6"/>
      <c r="H25" s="7"/>
      <c r="I25" s="7"/>
      <c r="J25" s="7">
        <f t="shared" si="1"/>
        <v>5</v>
      </c>
      <c r="M25" s="1">
        <f>(E25*MarginAnalysis!$B$11)+(F25*MarginAnalysis!$B$12)+(G25*MarginAnalysis!$B$15)+(H25*MarginAnalysis!$B$13)+(I25*MarginAnalysis!$B$14)</f>
        <v>-6800</v>
      </c>
    </row>
    <row r="26">
      <c r="A26" s="8" t="s">
        <v>47</v>
      </c>
      <c r="B26" s="5" t="s">
        <v>48</v>
      </c>
      <c r="C26" s="5" t="s">
        <v>12</v>
      </c>
      <c r="D26" s="5" t="s">
        <v>11</v>
      </c>
      <c r="E26" s="7"/>
      <c r="F26" s="7"/>
      <c r="G26" s="6">
        <v>2.0</v>
      </c>
      <c r="H26" s="7"/>
      <c r="I26" s="7"/>
      <c r="J26" s="7">
        <f t="shared" si="1"/>
        <v>2</v>
      </c>
      <c r="M26" s="1">
        <f>(E26*MarginAnalysis!$B$11)+(F26*MarginAnalysis!$B$12)+(G26*MarginAnalysis!$B$15)+(H26*MarginAnalysis!$B$13)+(I26*MarginAnalysis!$B$14)</f>
        <v>-2346.5</v>
      </c>
    </row>
    <row r="27">
      <c r="A27" s="9"/>
      <c r="B27" s="5" t="s">
        <v>49</v>
      </c>
      <c r="C27" s="5" t="s">
        <v>12</v>
      </c>
      <c r="D27" s="5" t="s">
        <v>21</v>
      </c>
      <c r="E27" s="7"/>
      <c r="F27" s="7"/>
      <c r="G27" s="6">
        <v>5.0</v>
      </c>
      <c r="H27" s="7"/>
      <c r="I27" s="7"/>
      <c r="J27" s="7">
        <f t="shared" si="1"/>
        <v>5</v>
      </c>
      <c r="M27" s="1">
        <f>(E27*MarginAnalysis!$B$11)+(F27*MarginAnalysis!$B$12)+(G27*MarginAnalysis!$B$15)+(H27*MarginAnalysis!$B$13)+(I27*MarginAnalysis!$B$14)</f>
        <v>-5866.25</v>
      </c>
    </row>
    <row r="28">
      <c r="A28" s="8" t="s">
        <v>50</v>
      </c>
      <c r="B28" s="5" t="s">
        <v>51</v>
      </c>
      <c r="C28" s="5" t="s">
        <v>11</v>
      </c>
      <c r="D28" s="5" t="s">
        <v>12</v>
      </c>
      <c r="E28" s="7"/>
      <c r="F28" s="6">
        <v>5.0</v>
      </c>
      <c r="G28" s="6"/>
      <c r="H28" s="7"/>
      <c r="I28" s="6">
        <v>6.0</v>
      </c>
      <c r="J28" s="7">
        <f t="shared" si="1"/>
        <v>11</v>
      </c>
      <c r="M28" s="1">
        <f>(E28*MarginAnalysis!$B$11)+(F28*MarginAnalysis!$B$12)+(G28*MarginAnalysis!$B$15)+(H28*MarginAnalysis!$B$13)+(I28*MarginAnalysis!$B$14)</f>
        <v>-14804</v>
      </c>
    </row>
    <row r="29">
      <c r="A29" s="11"/>
      <c r="B29" s="5" t="s">
        <v>52</v>
      </c>
      <c r="C29" s="5" t="s">
        <v>12</v>
      </c>
      <c r="D29" s="5" t="s">
        <v>21</v>
      </c>
      <c r="E29" s="7"/>
      <c r="F29" s="6">
        <v>2.0</v>
      </c>
      <c r="G29" s="6"/>
      <c r="H29" s="7"/>
      <c r="I29" s="6">
        <v>4.0</v>
      </c>
      <c r="J29" s="7">
        <f t="shared" si="1"/>
        <v>6</v>
      </c>
      <c r="M29" s="1">
        <f>(E29*MarginAnalysis!$B$11)+(F29*MarginAnalysis!$B$12)+(G29*MarginAnalysis!$B$15)+(H29*MarginAnalysis!$B$13)+(I29*MarginAnalysis!$B$14)</f>
        <v>-8056</v>
      </c>
    </row>
    <row r="30">
      <c r="A30" s="11"/>
      <c r="B30" s="5" t="s">
        <v>53</v>
      </c>
      <c r="C30" s="5" t="s">
        <v>12</v>
      </c>
      <c r="D30" s="5" t="s">
        <v>21</v>
      </c>
      <c r="E30" s="7"/>
      <c r="F30" s="6">
        <v>3.0</v>
      </c>
      <c r="G30" s="6"/>
      <c r="H30" s="7"/>
      <c r="I30" s="6">
        <v>4.0</v>
      </c>
      <c r="J30" s="7">
        <f t="shared" si="1"/>
        <v>7</v>
      </c>
      <c r="M30" s="1">
        <f>(E30*MarginAnalysis!$B$11)+(F30*MarginAnalysis!$B$12)+(G30*MarginAnalysis!$B$15)+(H30*MarginAnalysis!$B$13)+(I30*MarginAnalysis!$B$14)</f>
        <v>-9416</v>
      </c>
    </row>
    <row r="31">
      <c r="A31" s="9"/>
      <c r="B31" s="5" t="s">
        <v>54</v>
      </c>
      <c r="C31" s="5" t="s">
        <v>12</v>
      </c>
      <c r="D31" s="5" t="s">
        <v>21</v>
      </c>
      <c r="E31" s="6"/>
      <c r="F31" s="6">
        <v>3.0</v>
      </c>
      <c r="G31" s="6">
        <v>10.0</v>
      </c>
      <c r="H31" s="6">
        <v>10.0</v>
      </c>
      <c r="I31" s="7"/>
      <c r="J31" s="7">
        <f t="shared" si="1"/>
        <v>23</v>
      </c>
      <c r="M31" s="1">
        <f>(E31*MarginAnalysis!$B$11)+(F31*MarginAnalysis!$B$12)+(G31*MarginAnalysis!$B$15)+(H31*MarginAnalysis!$B$13)+(I31*MarginAnalysis!$B$14)</f>
        <v>-26552.5</v>
      </c>
    </row>
    <row r="32">
      <c r="A32" s="8" t="s">
        <v>55</v>
      </c>
      <c r="B32" s="5" t="s">
        <v>56</v>
      </c>
      <c r="C32" s="5" t="s">
        <v>12</v>
      </c>
      <c r="D32" s="5" t="s">
        <v>21</v>
      </c>
      <c r="E32" s="7"/>
      <c r="F32" s="7"/>
      <c r="G32" s="6"/>
      <c r="H32" s="6">
        <v>5.0</v>
      </c>
      <c r="I32" s="6">
        <v>4.0</v>
      </c>
      <c r="J32" s="7">
        <f t="shared" si="1"/>
        <v>9</v>
      </c>
      <c r="K32" s="3" t="s">
        <v>57</v>
      </c>
      <c r="M32" s="1">
        <f>(E32*MarginAnalysis!$B$11)+(F32*MarginAnalysis!$B$12)+(G32*MarginAnalysis!$B$15)+(H32*MarginAnalysis!$B$13)+(I32*MarginAnalysis!$B$14)</f>
        <v>-10706</v>
      </c>
    </row>
    <row r="33">
      <c r="A33" s="9"/>
      <c r="B33" s="5" t="s">
        <v>58</v>
      </c>
      <c r="C33" s="5" t="s">
        <v>12</v>
      </c>
      <c r="D33" s="5" t="s">
        <v>21</v>
      </c>
      <c r="E33" s="7"/>
      <c r="F33" s="7"/>
      <c r="G33" s="6"/>
      <c r="H33" s="7"/>
      <c r="I33" s="6">
        <v>7.0</v>
      </c>
      <c r="J33" s="7">
        <f t="shared" si="1"/>
        <v>7</v>
      </c>
      <c r="K33" s="1">
        <f>(SUM(J5:J33)/J34)*100</f>
        <v>73.01136364</v>
      </c>
      <c r="M33" s="1">
        <f>(E33*MarginAnalysis!$B$11)+(F33*MarginAnalysis!$B$12)+(G33*MarginAnalysis!$B$15)+(H33*MarginAnalysis!$B$13)+(I33*MarginAnalysis!$B$14)</f>
        <v>-9338</v>
      </c>
    </row>
    <row r="34">
      <c r="D34" s="3" t="s">
        <v>8</v>
      </c>
      <c r="E34" s="7">
        <f t="shared" ref="E34:J34" si="2">SUM(E2:E33)</f>
        <v>69</v>
      </c>
      <c r="F34" s="7">
        <f t="shared" si="2"/>
        <v>72</v>
      </c>
      <c r="G34" s="7">
        <f t="shared" si="2"/>
        <v>70</v>
      </c>
      <c r="H34" s="7">
        <f t="shared" si="2"/>
        <v>70</v>
      </c>
      <c r="I34" s="7">
        <f t="shared" si="2"/>
        <v>71</v>
      </c>
      <c r="J34" s="7">
        <f t="shared" si="2"/>
        <v>352</v>
      </c>
      <c r="M34" s="1">
        <f>(E34*MarginAnalysis!$B$11)+(F34*MarginAnalysis!$B$12)+(G34*MarginAnalysis!$B$15)+(H34*MarginAnalysis!$B$13)+(I34*MarginAnalysis!$B$14)</f>
        <v>-437916.5</v>
      </c>
    </row>
    <row r="35">
      <c r="B35" s="10" t="s">
        <v>59</v>
      </c>
    </row>
    <row r="37">
      <c r="B37" s="5" t="s">
        <v>60</v>
      </c>
    </row>
    <row r="38">
      <c r="B38" s="12" t="s">
        <v>61</v>
      </c>
      <c r="C38" s="13"/>
    </row>
    <row r="39">
      <c r="B39" s="5" t="s">
        <v>62</v>
      </c>
    </row>
  </sheetData>
  <mergeCells count="8">
    <mergeCell ref="A3:A4"/>
    <mergeCell ref="A5:A13"/>
    <mergeCell ref="A14:A17"/>
    <mergeCell ref="A18:A25"/>
    <mergeCell ref="A26:A27"/>
    <mergeCell ref="A28:A31"/>
    <mergeCell ref="A32:A33"/>
    <mergeCell ref="B38:C38"/>
  </mergeCells>
  <conditionalFormatting sqref="J2:J33">
    <cfRule type="cellIs" dxfId="0" priority="1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1.63"/>
    <col customWidth="1" min="3" max="3" width="10.75"/>
    <col customWidth="1" min="4" max="4" width="9.88"/>
    <col customWidth="1" min="5" max="11" width="10.25"/>
    <col customWidth="1" min="12" max="12" width="11.63"/>
  </cols>
  <sheetData>
    <row r="1">
      <c r="A1" s="14" t="s">
        <v>63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>
      <c r="A2" s="14"/>
      <c r="B2" s="15"/>
      <c r="C2" s="16" t="s">
        <v>64</v>
      </c>
      <c r="D2" s="15"/>
      <c r="E2" s="15"/>
      <c r="F2" s="15"/>
      <c r="G2" s="15"/>
      <c r="H2" s="15"/>
      <c r="I2" s="15"/>
      <c r="J2" s="15"/>
      <c r="K2" s="15"/>
      <c r="L2" s="15"/>
    </row>
    <row r="3">
      <c r="A3" s="17" t="s">
        <v>65</v>
      </c>
      <c r="B3" s="18">
        <f>EffortEstimate!J34</f>
        <v>352</v>
      </c>
      <c r="C3" s="19">
        <f t="shared" ref="C3:C8" si="1">B3/$B$3</f>
        <v>1</v>
      </c>
      <c r="D3" s="15"/>
      <c r="E3" s="20"/>
      <c r="F3" s="15"/>
      <c r="G3" s="15"/>
      <c r="H3" s="15"/>
      <c r="I3" s="15"/>
      <c r="J3" s="15"/>
      <c r="K3" s="15"/>
      <c r="L3" s="15"/>
    </row>
    <row r="4">
      <c r="A4" s="16" t="s">
        <v>3</v>
      </c>
      <c r="B4" s="18">
        <f>EffortEstimate!E34</f>
        <v>69</v>
      </c>
      <c r="C4" s="19">
        <f t="shared" si="1"/>
        <v>0.1960227273</v>
      </c>
      <c r="D4" s="15"/>
      <c r="E4" s="15"/>
      <c r="F4" s="15"/>
      <c r="G4" s="15"/>
      <c r="H4" s="15"/>
      <c r="I4" s="15"/>
      <c r="J4" s="15"/>
      <c r="K4" s="15"/>
      <c r="L4" s="15"/>
    </row>
    <row r="5">
      <c r="A5" s="16" t="s">
        <v>4</v>
      </c>
      <c r="B5" s="18">
        <f>EffortEstimate!F34</f>
        <v>72</v>
      </c>
      <c r="C5" s="19">
        <f t="shared" si="1"/>
        <v>0.2045454545</v>
      </c>
      <c r="D5" s="15"/>
      <c r="E5" s="15"/>
      <c r="F5" s="15"/>
      <c r="G5" s="15"/>
      <c r="H5" s="15"/>
      <c r="I5" s="15"/>
      <c r="J5" s="15"/>
      <c r="K5" s="15"/>
      <c r="L5" s="15"/>
    </row>
    <row r="6">
      <c r="A6" s="16" t="s">
        <v>6</v>
      </c>
      <c r="B6" s="18">
        <f>EffortEstimate!H34</f>
        <v>70</v>
      </c>
      <c r="C6" s="19">
        <f t="shared" si="1"/>
        <v>0.1988636364</v>
      </c>
      <c r="D6" s="15"/>
      <c r="E6" s="15"/>
      <c r="F6" s="15"/>
      <c r="G6" s="15"/>
      <c r="H6" s="15"/>
      <c r="I6" s="15"/>
      <c r="J6" s="15"/>
      <c r="K6" s="15"/>
      <c r="L6" s="15"/>
    </row>
    <row r="7">
      <c r="A7" s="16" t="s">
        <v>7</v>
      </c>
      <c r="B7" s="18">
        <f>EffortEstimate!I34</f>
        <v>71</v>
      </c>
      <c r="C7" s="19">
        <f t="shared" si="1"/>
        <v>0.2017045455</v>
      </c>
      <c r="D7" s="15"/>
      <c r="E7" s="15"/>
      <c r="F7" s="15"/>
      <c r="G7" s="15"/>
      <c r="H7" s="15"/>
      <c r="I7" s="15"/>
      <c r="J7" s="15"/>
      <c r="K7" s="15"/>
      <c r="L7" s="15"/>
    </row>
    <row r="8">
      <c r="A8" s="16" t="s">
        <v>5</v>
      </c>
      <c r="B8" s="18">
        <f>EffortEstimate!G34</f>
        <v>70</v>
      </c>
      <c r="C8" s="19">
        <f t="shared" si="1"/>
        <v>0.1988636364</v>
      </c>
      <c r="D8" s="15"/>
      <c r="E8" s="15"/>
      <c r="F8" s="15"/>
      <c r="G8" s="15"/>
      <c r="H8" s="15"/>
      <c r="I8" s="15"/>
      <c r="J8" s="15"/>
      <c r="K8" s="15"/>
      <c r="L8" s="15"/>
    </row>
    <row r="9">
      <c r="A9" s="17" t="s">
        <v>66</v>
      </c>
      <c r="B9" s="18">
        <v>1.0</v>
      </c>
      <c r="C9" s="21"/>
      <c r="D9" s="15"/>
      <c r="E9" s="20"/>
      <c r="F9" s="15"/>
      <c r="G9" s="15"/>
      <c r="H9" s="15"/>
      <c r="I9" s="15"/>
      <c r="J9" s="15"/>
      <c r="K9" s="15"/>
      <c r="L9" s="15"/>
    </row>
    <row r="10">
      <c r="A10" s="15"/>
      <c r="B10" s="15"/>
      <c r="C10" s="15"/>
      <c r="D10" s="15"/>
      <c r="E10" s="22"/>
      <c r="F10" s="15"/>
      <c r="G10" s="15"/>
      <c r="H10" s="15"/>
      <c r="I10" s="15"/>
      <c r="J10" s="15"/>
      <c r="K10" s="15"/>
      <c r="L10" s="15"/>
    </row>
    <row r="11">
      <c r="A11" s="16" t="s">
        <v>67</v>
      </c>
      <c r="B11" s="23">
        <f>-((25000+500)/20)</f>
        <v>-1275</v>
      </c>
      <c r="C11" s="24" t="s">
        <v>68</v>
      </c>
      <c r="D11" s="15"/>
      <c r="E11" s="25"/>
      <c r="F11" s="15"/>
      <c r="G11" s="15"/>
      <c r="H11" s="15"/>
      <c r="I11" s="15"/>
      <c r="J11" s="15"/>
      <c r="K11" s="15"/>
      <c r="L11" s="15"/>
    </row>
    <row r="12">
      <c r="A12" s="16" t="s">
        <v>69</v>
      </c>
      <c r="B12" s="23">
        <f>-(960+100+300)</f>
        <v>-1360</v>
      </c>
      <c r="C12" s="24" t="s">
        <v>70</v>
      </c>
      <c r="D12" s="15"/>
      <c r="E12" s="25"/>
      <c r="F12" s="15"/>
      <c r="G12" s="15"/>
      <c r="H12" s="15"/>
      <c r="I12" s="15"/>
      <c r="J12" s="15"/>
      <c r="K12" s="15"/>
      <c r="L12" s="15"/>
    </row>
    <row r="13">
      <c r="A13" s="16" t="s">
        <v>71</v>
      </c>
      <c r="B13" s="23">
        <v>-1074.0</v>
      </c>
      <c r="C13" s="24" t="s">
        <v>72</v>
      </c>
      <c r="D13" s="15"/>
      <c r="E13" s="26"/>
      <c r="F13" s="15"/>
      <c r="G13" s="15"/>
      <c r="H13" s="15"/>
      <c r="I13" s="15"/>
      <c r="J13" s="15"/>
      <c r="K13" s="15"/>
      <c r="L13" s="15"/>
    </row>
    <row r="14">
      <c r="A14" s="16" t="s">
        <v>73</v>
      </c>
      <c r="B14" s="23">
        <v>-1334.0</v>
      </c>
      <c r="C14" s="27" t="s">
        <v>74</v>
      </c>
      <c r="D14" s="15"/>
      <c r="E14" s="15"/>
      <c r="F14" s="15"/>
      <c r="G14" s="15"/>
      <c r="H14" s="15"/>
      <c r="I14" s="15"/>
      <c r="J14" s="15"/>
      <c r="K14" s="15"/>
      <c r="L14" s="15"/>
    </row>
    <row r="15">
      <c r="A15" s="16" t="s">
        <v>75</v>
      </c>
      <c r="B15" s="23">
        <f>-(23125+(30*8+5*20))/20</f>
        <v>-1173.25</v>
      </c>
      <c r="C15" s="27" t="s">
        <v>76</v>
      </c>
      <c r="D15" s="15"/>
      <c r="E15" s="15"/>
      <c r="F15" s="15"/>
      <c r="G15" s="15"/>
      <c r="H15" s="15"/>
      <c r="I15" s="15"/>
      <c r="J15" s="15"/>
      <c r="K15" s="15"/>
      <c r="L15" s="15"/>
    </row>
    <row r="16">
      <c r="A16" s="27"/>
      <c r="B16" s="22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>
      <c r="A17" s="15"/>
      <c r="B17" s="22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>
      <c r="A18" s="17" t="s">
        <v>77</v>
      </c>
      <c r="B18" s="22">
        <f>B21*2*-1</f>
        <v>875833</v>
      </c>
      <c r="C18" s="22"/>
      <c r="D18" s="15"/>
      <c r="E18" s="15"/>
      <c r="F18" s="15"/>
      <c r="G18" s="15"/>
      <c r="H18" s="15"/>
      <c r="I18" s="15"/>
      <c r="J18" s="15"/>
      <c r="K18" s="15"/>
      <c r="L18" s="15"/>
    </row>
    <row r="19">
      <c r="A19" s="15"/>
      <c r="B19" s="28"/>
      <c r="C19" s="22"/>
      <c r="D19" s="15"/>
      <c r="E19" s="15"/>
      <c r="F19" s="15"/>
      <c r="G19" s="15"/>
      <c r="H19" s="15"/>
      <c r="I19" s="15"/>
      <c r="J19" s="15"/>
      <c r="K19" s="15"/>
      <c r="L19" s="15"/>
    </row>
    <row r="20">
      <c r="A20" s="15"/>
      <c r="B20" s="28"/>
      <c r="C20" s="22"/>
      <c r="D20" s="15"/>
      <c r="E20" s="15"/>
      <c r="F20" s="15"/>
      <c r="G20" s="15"/>
      <c r="H20" s="15"/>
      <c r="I20" s="15"/>
      <c r="J20" s="15"/>
      <c r="K20" s="15"/>
      <c r="L20" s="15"/>
    </row>
    <row r="21">
      <c r="A21" s="17" t="s">
        <v>78</v>
      </c>
      <c r="B21" s="29">
        <f>(B4)*B11+(B5)*B12+(B6)*B13+(B7)*B14+(B8)*B15</f>
        <v>-437916.5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>
      <c r="A22" s="16" t="s">
        <v>79</v>
      </c>
      <c r="B22" s="29">
        <f>SUM(B18:B21)</f>
        <v>437916.5</v>
      </c>
      <c r="C22" s="28"/>
      <c r="D22" s="15"/>
      <c r="E22" s="15"/>
      <c r="F22" s="15"/>
      <c r="G22" s="15"/>
      <c r="H22" s="15"/>
      <c r="I22" s="15"/>
      <c r="J22" s="15"/>
      <c r="K22" s="15"/>
      <c r="L22" s="15"/>
    </row>
    <row r="23">
      <c r="A23" s="17" t="s">
        <v>80</v>
      </c>
      <c r="B23" s="30">
        <f>B22/B18</f>
        <v>0.5</v>
      </c>
      <c r="C23" s="24" t="s">
        <v>81</v>
      </c>
      <c r="D23" s="15"/>
      <c r="E23" s="15"/>
      <c r="F23" s="15"/>
      <c r="G23" s="15"/>
      <c r="H23" s="15"/>
      <c r="I23" s="15"/>
      <c r="J23" s="15"/>
      <c r="K23" s="15"/>
      <c r="L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>
      <c r="A27" s="14" t="s">
        <v>82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>
      <c r="A29" s="31" t="s">
        <v>83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>
      <c r="A30" s="32" t="s">
        <v>84</v>
      </c>
      <c r="B30" s="33" t="s">
        <v>85</v>
      </c>
      <c r="C30" s="33" t="s">
        <v>86</v>
      </c>
      <c r="D30" s="33" t="s">
        <v>87</v>
      </c>
      <c r="E30" s="33" t="s">
        <v>88</v>
      </c>
      <c r="F30" s="33" t="s">
        <v>89</v>
      </c>
      <c r="G30" s="33" t="s">
        <v>90</v>
      </c>
      <c r="H30" s="33" t="s">
        <v>91</v>
      </c>
      <c r="I30" s="33" t="s">
        <v>92</v>
      </c>
      <c r="J30" s="33" t="s">
        <v>93</v>
      </c>
      <c r="K30" s="33" t="s">
        <v>94</v>
      </c>
      <c r="L30" s="33" t="s">
        <v>8</v>
      </c>
    </row>
    <row r="31">
      <c r="A31" s="34" t="s">
        <v>95</v>
      </c>
      <c r="B31" s="35">
        <v>1440000.0</v>
      </c>
      <c r="C31" s="36"/>
      <c r="D31" s="36"/>
      <c r="E31" s="36"/>
      <c r="F31" s="36"/>
      <c r="G31" s="36"/>
      <c r="H31" s="36"/>
      <c r="I31" s="36"/>
      <c r="J31" s="36"/>
      <c r="K31" s="36"/>
      <c r="L31" s="35">
        <f t="shared" ref="L31:L34" si="2">SUM(B31:K31)</f>
        <v>1440000</v>
      </c>
    </row>
    <row r="32">
      <c r="A32" s="34" t="s">
        <v>96</v>
      </c>
      <c r="B32" s="36"/>
      <c r="C32" s="36"/>
      <c r="D32" s="36"/>
      <c r="E32" s="35">
        <v>288000.0</v>
      </c>
      <c r="F32" s="35">
        <v>288000.0</v>
      </c>
      <c r="G32" s="35">
        <v>288000.0</v>
      </c>
      <c r="H32" s="35">
        <v>288000.0</v>
      </c>
      <c r="I32" s="35">
        <v>288000.0</v>
      </c>
      <c r="J32" s="35">
        <v>288000.0</v>
      </c>
      <c r="K32" s="35">
        <v>288000.0</v>
      </c>
      <c r="L32" s="35">
        <f t="shared" si="2"/>
        <v>2016000</v>
      </c>
    </row>
    <row r="33">
      <c r="A33" s="34" t="s">
        <v>97</v>
      </c>
      <c r="B33" s="36"/>
      <c r="C33" s="36"/>
      <c r="D33" s="36"/>
      <c r="E33" s="35">
        <v>120000.0</v>
      </c>
      <c r="F33" s="35">
        <v>120000.0</v>
      </c>
      <c r="G33" s="35">
        <v>120000.0</v>
      </c>
      <c r="H33" s="35">
        <v>120000.0</v>
      </c>
      <c r="I33" s="35">
        <v>120000.0</v>
      </c>
      <c r="J33" s="35">
        <v>120000.0</v>
      </c>
      <c r="K33" s="35">
        <v>120000.0</v>
      </c>
      <c r="L33" s="35">
        <f t="shared" si="2"/>
        <v>840000</v>
      </c>
    </row>
    <row r="34">
      <c r="A34" s="37" t="s">
        <v>98</v>
      </c>
      <c r="B34" s="38">
        <v>500000.0</v>
      </c>
      <c r="C34" s="38">
        <v>1000000.0</v>
      </c>
      <c r="D34" s="38">
        <v>500000.0</v>
      </c>
      <c r="E34" s="39"/>
      <c r="F34" s="39"/>
      <c r="G34" s="39"/>
      <c r="H34" s="39"/>
      <c r="I34" s="39"/>
      <c r="J34" s="39"/>
      <c r="K34" s="39"/>
      <c r="L34" s="38">
        <f t="shared" si="2"/>
        <v>2000000</v>
      </c>
    </row>
    <row r="35">
      <c r="A35" s="37" t="s">
        <v>99</v>
      </c>
      <c r="B35" s="38">
        <f t="shared" ref="B35:L35" si="3">SUM(B31:B34)</f>
        <v>1940000</v>
      </c>
      <c r="C35" s="38">
        <f t="shared" si="3"/>
        <v>1000000</v>
      </c>
      <c r="D35" s="38">
        <f t="shared" si="3"/>
        <v>500000</v>
      </c>
      <c r="E35" s="38">
        <f t="shared" si="3"/>
        <v>408000</v>
      </c>
      <c r="F35" s="38">
        <f t="shared" si="3"/>
        <v>408000</v>
      </c>
      <c r="G35" s="38">
        <f t="shared" si="3"/>
        <v>408000</v>
      </c>
      <c r="H35" s="38">
        <f t="shared" si="3"/>
        <v>408000</v>
      </c>
      <c r="I35" s="38">
        <f t="shared" si="3"/>
        <v>408000</v>
      </c>
      <c r="J35" s="38">
        <f t="shared" si="3"/>
        <v>408000</v>
      </c>
      <c r="K35" s="38">
        <f t="shared" si="3"/>
        <v>408000</v>
      </c>
      <c r="L35" s="38">
        <f t="shared" si="3"/>
        <v>6296000</v>
      </c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>
      <c r="A37" s="32" t="s">
        <v>100</v>
      </c>
      <c r="B37" s="33" t="s">
        <v>85</v>
      </c>
      <c r="C37" s="33" t="s">
        <v>86</v>
      </c>
      <c r="D37" s="33" t="s">
        <v>87</v>
      </c>
      <c r="E37" s="33" t="s">
        <v>88</v>
      </c>
      <c r="F37" s="33" t="s">
        <v>89</v>
      </c>
      <c r="G37" s="33" t="s">
        <v>90</v>
      </c>
      <c r="H37" s="33" t="s">
        <v>91</v>
      </c>
      <c r="I37" s="33" t="s">
        <v>92</v>
      </c>
      <c r="J37" s="33" t="s">
        <v>93</v>
      </c>
      <c r="K37" s="33" t="s">
        <v>94</v>
      </c>
      <c r="L37" s="33" t="s">
        <v>8</v>
      </c>
    </row>
    <row r="38">
      <c r="A38" s="34" t="s">
        <v>95</v>
      </c>
      <c r="B38" s="40">
        <f>B31*0.45</f>
        <v>648000</v>
      </c>
      <c r="C38" s="41"/>
      <c r="D38" s="41"/>
      <c r="E38" s="41"/>
      <c r="F38" s="41"/>
      <c r="G38" s="41"/>
      <c r="H38" s="41"/>
      <c r="I38" s="41"/>
      <c r="J38" s="41"/>
      <c r="K38" s="41"/>
      <c r="L38" s="40">
        <f t="shared" ref="L38:L41" si="5">SUM(B38:K38)</f>
        <v>648000</v>
      </c>
    </row>
    <row r="39">
      <c r="A39" s="34" t="s">
        <v>96</v>
      </c>
      <c r="B39" s="15"/>
      <c r="C39" s="15"/>
      <c r="D39" s="15"/>
      <c r="E39" s="40">
        <f t="shared" ref="E39:K39" si="4">((E32*56.6%)+(E32*56.6%)*$O$46)</f>
        <v>163008</v>
      </c>
      <c r="F39" s="40">
        <f t="shared" si="4"/>
        <v>163008</v>
      </c>
      <c r="G39" s="40">
        <f t="shared" si="4"/>
        <v>163008</v>
      </c>
      <c r="H39" s="40">
        <f t="shared" si="4"/>
        <v>163008</v>
      </c>
      <c r="I39" s="40">
        <f t="shared" si="4"/>
        <v>163008</v>
      </c>
      <c r="J39" s="40">
        <f t="shared" si="4"/>
        <v>163008</v>
      </c>
      <c r="K39" s="40">
        <f t="shared" si="4"/>
        <v>163008</v>
      </c>
      <c r="L39" s="40">
        <f t="shared" si="5"/>
        <v>1141056</v>
      </c>
    </row>
    <row r="40">
      <c r="A40" s="34" t="s">
        <v>97</v>
      </c>
      <c r="B40" s="15"/>
      <c r="C40" s="15"/>
      <c r="D40" s="15"/>
      <c r="E40" s="42">
        <f t="shared" ref="E40:K40" si="6">((E33*50.3%)+(E33*50.3%)*$O$46)</f>
        <v>60360</v>
      </c>
      <c r="F40" s="42">
        <f t="shared" si="6"/>
        <v>60360</v>
      </c>
      <c r="G40" s="42">
        <f t="shared" si="6"/>
        <v>60360</v>
      </c>
      <c r="H40" s="42">
        <f t="shared" si="6"/>
        <v>60360</v>
      </c>
      <c r="I40" s="42">
        <f t="shared" si="6"/>
        <v>60360</v>
      </c>
      <c r="J40" s="42">
        <f t="shared" si="6"/>
        <v>60360</v>
      </c>
      <c r="K40" s="42">
        <f t="shared" si="6"/>
        <v>60360</v>
      </c>
      <c r="L40" s="40">
        <f t="shared" si="5"/>
        <v>422520</v>
      </c>
    </row>
    <row r="41">
      <c r="A41" s="37" t="s">
        <v>98</v>
      </c>
      <c r="B41" s="38">
        <v>500000.0</v>
      </c>
      <c r="C41" s="38">
        <v>1000000.0</v>
      </c>
      <c r="D41" s="38">
        <v>500000.0</v>
      </c>
      <c r="E41" s="39"/>
      <c r="F41" s="39"/>
      <c r="G41" s="39"/>
      <c r="H41" s="39"/>
      <c r="I41" s="39"/>
      <c r="J41" s="39"/>
      <c r="K41" s="39"/>
      <c r="L41" s="38">
        <f t="shared" si="5"/>
        <v>2000000</v>
      </c>
    </row>
    <row r="42">
      <c r="A42" s="37" t="s">
        <v>99</v>
      </c>
      <c r="B42" s="38">
        <f t="shared" ref="B42:L42" si="7">SUM(B38:B41)</f>
        <v>1148000</v>
      </c>
      <c r="C42" s="38">
        <f t="shared" si="7"/>
        <v>1000000</v>
      </c>
      <c r="D42" s="38">
        <f t="shared" si="7"/>
        <v>500000</v>
      </c>
      <c r="E42" s="38">
        <f t="shared" si="7"/>
        <v>223368</v>
      </c>
      <c r="F42" s="38">
        <f t="shared" si="7"/>
        <v>223368</v>
      </c>
      <c r="G42" s="38">
        <f t="shared" si="7"/>
        <v>223368</v>
      </c>
      <c r="H42" s="38">
        <f t="shared" si="7"/>
        <v>223368</v>
      </c>
      <c r="I42" s="38">
        <f t="shared" si="7"/>
        <v>223368</v>
      </c>
      <c r="J42" s="38">
        <f t="shared" si="7"/>
        <v>223368</v>
      </c>
      <c r="K42" s="38">
        <f t="shared" si="7"/>
        <v>223368</v>
      </c>
      <c r="L42" s="38">
        <f t="shared" si="7"/>
        <v>4211576</v>
      </c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>
      <c r="A44" s="43" t="s">
        <v>101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>
      <c r="A45" s="32" t="s">
        <v>102</v>
      </c>
      <c r="B45" s="33" t="s">
        <v>85</v>
      </c>
      <c r="C45" s="33" t="s">
        <v>86</v>
      </c>
      <c r="D45" s="33" t="s">
        <v>87</v>
      </c>
      <c r="E45" s="33" t="s">
        <v>88</v>
      </c>
      <c r="F45" s="33" t="s">
        <v>89</v>
      </c>
      <c r="G45" s="33" t="s">
        <v>90</v>
      </c>
      <c r="H45" s="33" t="s">
        <v>91</v>
      </c>
      <c r="I45" s="33" t="s">
        <v>92</v>
      </c>
      <c r="J45" s="33" t="s">
        <v>93</v>
      </c>
      <c r="K45" s="33" t="s">
        <v>94</v>
      </c>
      <c r="L45" s="33" t="s">
        <v>8</v>
      </c>
    </row>
    <row r="46">
      <c r="A46" s="44" t="s">
        <v>103</v>
      </c>
      <c r="B46" s="45"/>
      <c r="C46" s="46"/>
      <c r="D46" s="35"/>
      <c r="E46" s="36"/>
      <c r="F46" s="36"/>
      <c r="G46" s="36"/>
      <c r="H46" s="36"/>
      <c r="I46" s="36"/>
      <c r="J46" s="36"/>
      <c r="K46" s="36"/>
      <c r="L46" s="47"/>
    </row>
    <row r="47">
      <c r="A47" s="44"/>
      <c r="B47" s="45"/>
      <c r="C47" s="46"/>
      <c r="D47" s="35"/>
      <c r="E47" s="36"/>
      <c r="F47" s="36"/>
      <c r="G47" s="36"/>
      <c r="H47" s="36"/>
      <c r="I47" s="36"/>
      <c r="J47" s="36"/>
      <c r="K47" s="36"/>
      <c r="L47" s="47"/>
    </row>
    <row r="48">
      <c r="A48" s="44"/>
      <c r="B48" s="45"/>
      <c r="C48" s="46"/>
      <c r="D48" s="35"/>
      <c r="E48" s="36"/>
      <c r="F48" s="36"/>
      <c r="G48" s="36"/>
      <c r="H48" s="36"/>
      <c r="I48" s="36"/>
      <c r="J48" s="36"/>
      <c r="K48" s="36"/>
      <c r="L48" s="47"/>
    </row>
    <row r="49">
      <c r="A49" s="44"/>
      <c r="B49" s="45"/>
      <c r="C49" s="46"/>
      <c r="D49" s="35"/>
      <c r="E49" s="36"/>
      <c r="F49" s="36"/>
      <c r="G49" s="36"/>
      <c r="H49" s="36"/>
      <c r="I49" s="36"/>
      <c r="J49" s="36"/>
      <c r="K49" s="36"/>
      <c r="L49" s="47"/>
    </row>
    <row r="50">
      <c r="A50" s="37"/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50"/>
    </row>
    <row r="51">
      <c r="A51" s="37" t="s">
        <v>99</v>
      </c>
      <c r="B51" s="50">
        <f t="shared" ref="B51:L51" si="8">SUM(B46:B50)</f>
        <v>0</v>
      </c>
      <c r="C51" s="50">
        <f t="shared" si="8"/>
        <v>0</v>
      </c>
      <c r="D51" s="50">
        <f t="shared" si="8"/>
        <v>0</v>
      </c>
      <c r="E51" s="50">
        <f t="shared" si="8"/>
        <v>0</v>
      </c>
      <c r="F51" s="50">
        <f t="shared" si="8"/>
        <v>0</v>
      </c>
      <c r="G51" s="50">
        <f t="shared" si="8"/>
        <v>0</v>
      </c>
      <c r="H51" s="50">
        <f t="shared" si="8"/>
        <v>0</v>
      </c>
      <c r="I51" s="50">
        <f t="shared" si="8"/>
        <v>0</v>
      </c>
      <c r="J51" s="50">
        <f t="shared" si="8"/>
        <v>0</v>
      </c>
      <c r="K51" s="50">
        <f t="shared" si="8"/>
        <v>0</v>
      </c>
      <c r="L51" s="50">
        <f t="shared" si="8"/>
        <v>0</v>
      </c>
    </row>
    <row r="52">
      <c r="A52" s="34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</row>
    <row r="53">
      <c r="A53" s="43" t="s">
        <v>104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>
      <c r="A54" s="32" t="s">
        <v>102</v>
      </c>
      <c r="B54" s="33" t="s">
        <v>85</v>
      </c>
      <c r="C54" s="33" t="s">
        <v>86</v>
      </c>
      <c r="D54" s="33" t="s">
        <v>87</v>
      </c>
      <c r="E54" s="33" t="s">
        <v>88</v>
      </c>
      <c r="F54" s="33" t="s">
        <v>89</v>
      </c>
      <c r="G54" s="33" t="s">
        <v>90</v>
      </c>
      <c r="H54" s="33" t="s">
        <v>91</v>
      </c>
      <c r="I54" s="33" t="s">
        <v>92</v>
      </c>
      <c r="J54" s="33" t="s">
        <v>93</v>
      </c>
      <c r="K54" s="33" t="s">
        <v>94</v>
      </c>
      <c r="L54" s="33" t="s">
        <v>8</v>
      </c>
    </row>
    <row r="55">
      <c r="A55" s="44"/>
      <c r="B55" s="45"/>
      <c r="C55" s="46"/>
      <c r="D55" s="35"/>
      <c r="E55" s="36"/>
      <c r="F55" s="36"/>
      <c r="G55" s="36"/>
      <c r="H55" s="36"/>
      <c r="I55" s="36"/>
      <c r="J55" s="36"/>
      <c r="K55" s="36"/>
      <c r="L55" s="47"/>
    </row>
    <row r="56">
      <c r="A56" s="44"/>
      <c r="B56" s="45"/>
      <c r="C56" s="46"/>
      <c r="D56" s="35"/>
      <c r="E56" s="36"/>
      <c r="F56" s="36"/>
      <c r="G56" s="36"/>
      <c r="H56" s="36"/>
      <c r="I56" s="36"/>
      <c r="J56" s="36"/>
      <c r="K56" s="36"/>
      <c r="L56" s="47"/>
    </row>
    <row r="57">
      <c r="A57" s="44"/>
      <c r="B57" s="45"/>
      <c r="C57" s="46"/>
      <c r="D57" s="35"/>
      <c r="E57" s="36"/>
      <c r="F57" s="36"/>
      <c r="G57" s="36"/>
      <c r="H57" s="36"/>
      <c r="I57" s="36"/>
      <c r="J57" s="36"/>
      <c r="K57" s="36"/>
      <c r="L57" s="47"/>
    </row>
    <row r="58">
      <c r="A58" s="44"/>
      <c r="B58" s="45"/>
      <c r="C58" s="46"/>
      <c r="D58" s="35"/>
      <c r="E58" s="36"/>
      <c r="F58" s="36"/>
      <c r="G58" s="36"/>
      <c r="H58" s="36"/>
      <c r="I58" s="36"/>
      <c r="J58" s="36"/>
      <c r="K58" s="36"/>
      <c r="L58" s="47"/>
    </row>
    <row r="59">
      <c r="A59" s="37"/>
      <c r="B59" s="48"/>
      <c r="C59" s="49"/>
      <c r="D59" s="49"/>
      <c r="E59" s="49"/>
      <c r="F59" s="49"/>
      <c r="G59" s="49"/>
      <c r="H59" s="49"/>
      <c r="I59" s="49"/>
      <c r="J59" s="49"/>
      <c r="K59" s="49"/>
      <c r="L59" s="50"/>
    </row>
    <row r="60">
      <c r="A60" s="37" t="s">
        <v>99</v>
      </c>
      <c r="B60" s="50">
        <f t="shared" ref="B60:L60" si="9">SUM(B55:B59)</f>
        <v>0</v>
      </c>
      <c r="C60" s="50">
        <f t="shared" si="9"/>
        <v>0</v>
      </c>
      <c r="D60" s="50">
        <f t="shared" si="9"/>
        <v>0</v>
      </c>
      <c r="E60" s="50">
        <f t="shared" si="9"/>
        <v>0</v>
      </c>
      <c r="F60" s="50">
        <f t="shared" si="9"/>
        <v>0</v>
      </c>
      <c r="G60" s="50">
        <f t="shared" si="9"/>
        <v>0</v>
      </c>
      <c r="H60" s="50">
        <f t="shared" si="9"/>
        <v>0</v>
      </c>
      <c r="I60" s="50">
        <f t="shared" si="9"/>
        <v>0</v>
      </c>
      <c r="J60" s="50">
        <f t="shared" si="9"/>
        <v>0</v>
      </c>
      <c r="K60" s="50">
        <f t="shared" si="9"/>
        <v>0</v>
      </c>
      <c r="L60" s="50">
        <f t="shared" si="9"/>
        <v>0</v>
      </c>
    </row>
    <row r="61">
      <c r="A61" s="37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</row>
    <row r="62">
      <c r="A62" s="43" t="s">
        <v>105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>
      <c r="A63" s="32" t="s">
        <v>102</v>
      </c>
      <c r="B63" s="33" t="s">
        <v>85</v>
      </c>
      <c r="C63" s="33" t="s">
        <v>86</v>
      </c>
      <c r="D63" s="33" t="s">
        <v>87</v>
      </c>
      <c r="E63" s="33" t="s">
        <v>88</v>
      </c>
      <c r="F63" s="33" t="s">
        <v>89</v>
      </c>
      <c r="G63" s="33" t="s">
        <v>90</v>
      </c>
      <c r="H63" s="33" t="s">
        <v>91</v>
      </c>
      <c r="I63" s="33" t="s">
        <v>92</v>
      </c>
      <c r="J63" s="33" t="s">
        <v>93</v>
      </c>
      <c r="K63" s="33" t="s">
        <v>94</v>
      </c>
      <c r="L63" s="33" t="s">
        <v>8</v>
      </c>
    </row>
    <row r="64">
      <c r="A64" s="44" t="s">
        <v>106</v>
      </c>
      <c r="B64" s="45"/>
      <c r="C64" s="46"/>
      <c r="D64" s="35"/>
      <c r="E64" s="36"/>
      <c r="F64" s="36"/>
      <c r="G64" s="36"/>
      <c r="H64" s="36"/>
      <c r="I64" s="36"/>
      <c r="J64" s="36"/>
      <c r="K64" s="36"/>
      <c r="L64" s="47"/>
    </row>
    <row r="65">
      <c r="A65" s="44" t="s">
        <v>107</v>
      </c>
      <c r="B65" s="45"/>
      <c r="C65" s="46"/>
      <c r="D65" s="35"/>
      <c r="E65" s="36"/>
      <c r="F65" s="36"/>
      <c r="G65" s="36"/>
      <c r="H65" s="36"/>
      <c r="I65" s="36"/>
      <c r="J65" s="36"/>
      <c r="K65" s="36"/>
      <c r="L65" s="47"/>
    </row>
    <row r="66">
      <c r="A66" s="44" t="s">
        <v>108</v>
      </c>
      <c r="B66" s="45"/>
      <c r="C66" s="46"/>
      <c r="D66" s="35"/>
      <c r="E66" s="36"/>
      <c r="F66" s="36"/>
      <c r="G66" s="36"/>
      <c r="H66" s="36"/>
      <c r="I66" s="36"/>
      <c r="J66" s="36"/>
      <c r="K66" s="36"/>
      <c r="L66" s="47"/>
    </row>
    <row r="67">
      <c r="A67" s="44" t="s">
        <v>109</v>
      </c>
      <c r="B67" s="45"/>
      <c r="C67" s="46"/>
      <c r="D67" s="35"/>
      <c r="E67" s="36"/>
      <c r="F67" s="36"/>
      <c r="G67" s="36"/>
      <c r="H67" s="36"/>
      <c r="I67" s="36"/>
      <c r="J67" s="36"/>
      <c r="K67" s="36"/>
      <c r="L67" s="47"/>
    </row>
    <row r="68">
      <c r="A68" s="37"/>
      <c r="B68" s="48"/>
      <c r="C68" s="49"/>
      <c r="D68" s="49"/>
      <c r="E68" s="49"/>
      <c r="F68" s="49"/>
      <c r="G68" s="49"/>
      <c r="H68" s="49"/>
      <c r="I68" s="49"/>
      <c r="J68" s="49"/>
      <c r="K68" s="49"/>
      <c r="L68" s="50"/>
    </row>
    <row r="69">
      <c r="A69" s="37" t="s">
        <v>99</v>
      </c>
      <c r="B69" s="50">
        <f t="shared" ref="B69:L69" si="10">SUM(B64:B68)</f>
        <v>0</v>
      </c>
      <c r="C69" s="50">
        <f t="shared" si="10"/>
        <v>0</v>
      </c>
      <c r="D69" s="50">
        <f t="shared" si="10"/>
        <v>0</v>
      </c>
      <c r="E69" s="50">
        <f t="shared" si="10"/>
        <v>0</v>
      </c>
      <c r="F69" s="50">
        <f t="shared" si="10"/>
        <v>0</v>
      </c>
      <c r="G69" s="50">
        <f t="shared" si="10"/>
        <v>0</v>
      </c>
      <c r="H69" s="50">
        <f t="shared" si="10"/>
        <v>0</v>
      </c>
      <c r="I69" s="50">
        <f t="shared" si="10"/>
        <v>0</v>
      </c>
      <c r="J69" s="50">
        <f t="shared" si="10"/>
        <v>0</v>
      </c>
      <c r="K69" s="50">
        <f t="shared" si="10"/>
        <v>0</v>
      </c>
      <c r="L69" s="50">
        <f t="shared" si="10"/>
        <v>0</v>
      </c>
    </row>
    <row r="70">
      <c r="A70" s="51"/>
      <c r="B70" s="52"/>
      <c r="C70" s="51"/>
      <c r="D70" s="51"/>
      <c r="E70" s="51"/>
      <c r="F70" s="51"/>
      <c r="G70" s="51"/>
      <c r="H70" s="51"/>
      <c r="I70" s="51"/>
      <c r="J70" s="51"/>
      <c r="K70" s="51"/>
      <c r="L70" s="51"/>
    </row>
    <row r="71">
      <c r="A71" s="53" t="s">
        <v>110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54"/>
    </row>
    <row r="72">
      <c r="A72" s="55"/>
      <c r="B72" s="33" t="s">
        <v>85</v>
      </c>
      <c r="C72" s="33" t="s">
        <v>86</v>
      </c>
      <c r="D72" s="33" t="s">
        <v>87</v>
      </c>
      <c r="E72" s="33" t="s">
        <v>88</v>
      </c>
      <c r="F72" s="33" t="s">
        <v>89</v>
      </c>
      <c r="G72" s="33" t="s">
        <v>90</v>
      </c>
      <c r="H72" s="33" t="s">
        <v>91</v>
      </c>
      <c r="I72" s="33" t="s">
        <v>92</v>
      </c>
      <c r="J72" s="33" t="s">
        <v>93</v>
      </c>
      <c r="K72" s="33" t="s">
        <v>94</v>
      </c>
      <c r="L72" s="56" t="s">
        <v>8</v>
      </c>
    </row>
    <row r="73">
      <c r="A73" s="53" t="s">
        <v>8</v>
      </c>
      <c r="B73" s="35">
        <f t="shared" ref="B73:L73" si="11">B35+B51</f>
        <v>1940000</v>
      </c>
      <c r="C73" s="47">
        <f t="shared" si="11"/>
        <v>1000000</v>
      </c>
      <c r="D73" s="35">
        <f t="shared" si="11"/>
        <v>500000</v>
      </c>
      <c r="E73" s="35">
        <f t="shared" si="11"/>
        <v>408000</v>
      </c>
      <c r="F73" s="35">
        <f t="shared" si="11"/>
        <v>408000</v>
      </c>
      <c r="G73" s="35">
        <f t="shared" si="11"/>
        <v>408000</v>
      </c>
      <c r="H73" s="35">
        <f t="shared" si="11"/>
        <v>408000</v>
      </c>
      <c r="I73" s="35">
        <f t="shared" si="11"/>
        <v>408000</v>
      </c>
      <c r="J73" s="35">
        <f t="shared" si="11"/>
        <v>408000</v>
      </c>
      <c r="K73" s="35">
        <f t="shared" si="11"/>
        <v>408000</v>
      </c>
      <c r="L73" s="57">
        <f t="shared" si="11"/>
        <v>6296000</v>
      </c>
    </row>
    <row r="74">
      <c r="A74" s="5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54"/>
    </row>
    <row r="75">
      <c r="A75" s="53" t="s">
        <v>111</v>
      </c>
      <c r="B75" s="59">
        <v>0.05</v>
      </c>
      <c r="C75" s="15"/>
      <c r="D75" s="15"/>
      <c r="E75" s="15"/>
      <c r="F75" s="15"/>
      <c r="G75" s="15"/>
      <c r="H75" s="15"/>
      <c r="I75" s="15"/>
      <c r="J75" s="15"/>
      <c r="K75" s="15"/>
      <c r="L75" s="54"/>
    </row>
    <row r="76">
      <c r="A76" s="53" t="s">
        <v>112</v>
      </c>
      <c r="B76" s="60">
        <f t="array" ref="B76">NPV(B75,B73:K73)</f>
        <v>5225949.98</v>
      </c>
      <c r="C76" s="15"/>
      <c r="D76" s="15"/>
      <c r="E76" s="15"/>
      <c r="F76" s="15"/>
      <c r="G76" s="15"/>
      <c r="H76" s="15"/>
      <c r="I76" s="15"/>
      <c r="J76" s="15"/>
      <c r="K76" s="15"/>
      <c r="L76" s="54"/>
    </row>
    <row r="77">
      <c r="A77" s="61" t="s">
        <v>113</v>
      </c>
      <c r="B77" s="62" t="str">
        <f>IRR(B73:K73)</f>
        <v>#NUM!</v>
      </c>
      <c r="C77" s="51"/>
      <c r="D77" s="51"/>
      <c r="E77" s="51"/>
      <c r="F77" s="51"/>
      <c r="G77" s="51"/>
      <c r="H77" s="51"/>
      <c r="I77" s="51"/>
      <c r="J77" s="51"/>
      <c r="K77" s="51"/>
      <c r="L77" s="63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</row>
    <row r="79">
      <c r="A79" s="64" t="s">
        <v>114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54"/>
    </row>
    <row r="80">
      <c r="A80" s="55"/>
      <c r="B80" s="33" t="s">
        <v>85</v>
      </c>
      <c r="C80" s="33" t="s">
        <v>86</v>
      </c>
      <c r="D80" s="33" t="s">
        <v>87</v>
      </c>
      <c r="E80" s="33" t="s">
        <v>88</v>
      </c>
      <c r="F80" s="33" t="s">
        <v>89</v>
      </c>
      <c r="G80" s="33" t="s">
        <v>90</v>
      </c>
      <c r="H80" s="33" t="s">
        <v>91</v>
      </c>
      <c r="I80" s="33" t="s">
        <v>92</v>
      </c>
      <c r="J80" s="33" t="s">
        <v>93</v>
      </c>
      <c r="K80" s="33" t="s">
        <v>94</v>
      </c>
      <c r="L80" s="56" t="s">
        <v>8</v>
      </c>
    </row>
    <row r="81">
      <c r="A81" s="53" t="s">
        <v>8</v>
      </c>
      <c r="B81" s="35">
        <f t="shared" ref="B81:K81" si="12">B42+B51</f>
        <v>1148000</v>
      </c>
      <c r="C81" s="47">
        <f t="shared" si="12"/>
        <v>1000000</v>
      </c>
      <c r="D81" s="35">
        <f t="shared" si="12"/>
        <v>500000</v>
      </c>
      <c r="E81" s="35">
        <f t="shared" si="12"/>
        <v>223368</v>
      </c>
      <c r="F81" s="35">
        <f t="shared" si="12"/>
        <v>223368</v>
      </c>
      <c r="G81" s="35">
        <f t="shared" si="12"/>
        <v>223368</v>
      </c>
      <c r="H81" s="35">
        <f t="shared" si="12"/>
        <v>223368</v>
      </c>
      <c r="I81" s="35">
        <f t="shared" si="12"/>
        <v>223368</v>
      </c>
      <c r="J81" s="35">
        <f t="shared" si="12"/>
        <v>223368</v>
      </c>
      <c r="K81" s="35">
        <f t="shared" si="12"/>
        <v>223368</v>
      </c>
      <c r="L81" s="57">
        <f>SUM(B81:K81)</f>
        <v>4211576</v>
      </c>
    </row>
    <row r="82">
      <c r="A82" s="5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54"/>
    </row>
    <row r="83">
      <c r="A83" s="53" t="s">
        <v>111</v>
      </c>
      <c r="B83" s="59">
        <v>0.05</v>
      </c>
      <c r="C83" s="15"/>
      <c r="D83" s="15"/>
      <c r="E83" s="15"/>
      <c r="F83" s="15"/>
      <c r="G83" s="15"/>
      <c r="H83" s="15"/>
      <c r="I83" s="15"/>
      <c r="J83" s="15"/>
      <c r="K83" s="15"/>
      <c r="L83" s="54"/>
    </row>
    <row r="84">
      <c r="A84" s="53" t="s">
        <v>112</v>
      </c>
      <c r="B84" s="60">
        <f t="array" ref="B84">NPV(B83,B81:K81)</f>
        <v>3548783.633</v>
      </c>
      <c r="C84" s="15"/>
      <c r="D84" s="15"/>
      <c r="E84" s="15"/>
      <c r="F84" s="15"/>
      <c r="G84" s="15"/>
      <c r="H84" s="15"/>
      <c r="I84" s="15"/>
      <c r="J84" s="15"/>
      <c r="K84" s="15"/>
      <c r="L84" s="54"/>
    </row>
    <row r="85">
      <c r="A85" s="61" t="s">
        <v>113</v>
      </c>
      <c r="B85" s="62" t="str">
        <f>IRR(B81:K81)</f>
        <v>#NUM!</v>
      </c>
      <c r="C85" s="51"/>
      <c r="D85" s="51"/>
      <c r="E85" s="51"/>
      <c r="F85" s="51"/>
      <c r="G85" s="51"/>
      <c r="H85" s="51"/>
      <c r="I85" s="51"/>
      <c r="J85" s="51"/>
      <c r="K85" s="51"/>
      <c r="L85" s="63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</sheetData>
  <drawing r:id="rId1"/>
</worksheet>
</file>