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xchim0nasfs01\!BUSINESS\John Deere\Industrial Eng\000.-CARPETAS DE INGENIERIA INDUSTRIAL\6.-ERGONOMIA\ESTUDIOS ERGONOMICOS ISO 7\"/>
    </mc:Choice>
  </mc:AlternateContent>
  <xr:revisionPtr revIDLastSave="0" documentId="13_ncr:1_{DD006E09-A536-4917-8B23-BFF0FFA91720}" xr6:coauthVersionLast="47" xr6:coauthVersionMax="47" xr10:uidLastSave="{00000000-0000-0000-0000-000000000000}"/>
  <bookViews>
    <workbookView xWindow="-120" yWindow="-120" windowWidth="29040" windowHeight="15720" tabRatio="729" xr2:uid="{00000000-000D-0000-FFFF-FFFF00000000}"/>
  </bookViews>
  <sheets>
    <sheet name="Mov" sheetId="11" r:id="rId1"/>
    <sheet name="Levantamiento (1)" sheetId="5" r:id="rId2"/>
    <sheet name="Transporte (2)" sheetId="6" r:id="rId3"/>
    <sheet name="Equipo (3)" sheetId="7" r:id="rId4"/>
    <sheet name="sin auxiliar (4)" sheetId="8" r:id="rId5"/>
    <sheet name="con auxiliar (5)" sheetId="9" r:id="rId6"/>
    <sheet name="Resultado" sheetId="17" r:id="rId7"/>
    <sheet name="OBSERVACIONES Y MEJORAS" sheetId="4" r:id="rId8"/>
  </sheets>
  <definedNames>
    <definedName name="_xlnm._FilterDatabase" localSheetId="3" hidden="1">'Equipo (3)'!$A$8:$N$159</definedName>
    <definedName name="_xlnm._FilterDatabase" localSheetId="1" hidden="1">'Levantamiento (1)'!$A$2:$N$179</definedName>
    <definedName name="_xlnm._FilterDatabase" localSheetId="0" hidden="1">Mov!$P$96:$P$103</definedName>
    <definedName name="_xlnm._FilterDatabase" localSheetId="2" hidden="1">'Transporte (2)'!$A$7:$O$169</definedName>
    <definedName name="_xleta.AND" hidden="1" xlm="1">#NAME?</definedName>
    <definedName name="_xlnm.Print_Area" localSheetId="5">'con auxiliar (5)'!$A$1:$H$211</definedName>
    <definedName name="_xlnm.Print_Area" localSheetId="3">'Equipo (3)'!$A$1:$H$173</definedName>
    <definedName name="_xlnm.Print_Area" localSheetId="1">'Levantamiento (1)'!$A$1:$H$193</definedName>
    <definedName name="_xlnm.Print_Area" localSheetId="0">Mov!$A$1:$M$224</definedName>
    <definedName name="_xlnm.Print_Area" localSheetId="4">'sin auxiliar (4)'!$A$1:$H$160</definedName>
    <definedName name="_xlnm.Print_Area" localSheetId="2">'Transporte (2)'!$A$1:$H$183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11" l="1"/>
  <c r="L206" i="11" l="1"/>
  <c r="Q191" i="11"/>
  <c r="L187" i="11" s="1"/>
  <c r="L57" i="11"/>
  <c r="L214" i="11"/>
  <c r="F4" i="5"/>
  <c r="F3" i="6"/>
  <c r="F3" i="7"/>
  <c r="F3" i="8"/>
  <c r="F3" i="9"/>
  <c r="C4" i="9"/>
  <c r="C5" i="9"/>
  <c r="C6" i="9"/>
  <c r="C3" i="9"/>
  <c r="C4" i="8"/>
  <c r="C5" i="8"/>
  <c r="C6" i="8"/>
  <c r="C3" i="8"/>
  <c r="C4" i="7"/>
  <c r="C5" i="7"/>
  <c r="C6" i="7"/>
  <c r="C3" i="7"/>
  <c r="C4" i="6"/>
  <c r="C5" i="6"/>
  <c r="C6" i="6"/>
  <c r="C3" i="6"/>
  <c r="C5" i="5"/>
  <c r="C6" i="5"/>
  <c r="C7" i="5"/>
  <c r="C4" i="5"/>
  <c r="I13" i="17" l="1"/>
  <c r="I12" i="17"/>
  <c r="I11" i="17"/>
  <c r="I9" i="17"/>
  <c r="I8" i="17"/>
  <c r="I7" i="17"/>
  <c r="I6" i="17"/>
  <c r="I5" i="17"/>
  <c r="I4" i="17"/>
  <c r="I3" i="17"/>
  <c r="I2" i="17"/>
  <c r="I1" i="17"/>
  <c r="E2" i="17"/>
  <c r="P50" i="11" l="1"/>
  <c r="P49" i="11"/>
  <c r="P48" i="11"/>
  <c r="P47" i="11"/>
  <c r="P39" i="11"/>
  <c r="P38" i="11"/>
  <c r="I10" i="17" l="1"/>
  <c r="E128" i="17"/>
  <c r="E129" i="17"/>
  <c r="E130" i="17"/>
  <c r="E131" i="17"/>
  <c r="E132" i="17"/>
  <c r="E133" i="17"/>
  <c r="E134" i="17"/>
  <c r="E127" i="17"/>
  <c r="E119" i="17"/>
  <c r="E120" i="17"/>
  <c r="E121" i="17"/>
  <c r="E122" i="17"/>
  <c r="E123" i="17"/>
  <c r="E124" i="17"/>
  <c r="E118" i="17"/>
  <c r="E109" i="17"/>
  <c r="E110" i="17"/>
  <c r="E111" i="17"/>
  <c r="E112" i="17"/>
  <c r="E113" i="17"/>
  <c r="E114" i="17"/>
  <c r="E115" i="17"/>
  <c r="E108" i="17"/>
  <c r="E99" i="17"/>
  <c r="E100" i="17"/>
  <c r="E101" i="17"/>
  <c r="E102" i="17"/>
  <c r="E103" i="17"/>
  <c r="E104" i="17"/>
  <c r="E105" i="17"/>
  <c r="E87" i="17" l="1"/>
  <c r="E79" i="17"/>
  <c r="E80" i="17"/>
  <c r="E78" i="17"/>
  <c r="E76" i="17"/>
  <c r="E75" i="17"/>
  <c r="E74" i="17"/>
  <c r="E70" i="17"/>
  <c r="E71" i="17"/>
  <c r="E72" i="17"/>
  <c r="E69" i="17"/>
  <c r="E65" i="17"/>
  <c r="E64" i="17"/>
  <c r="E63" i="17"/>
  <c r="E62" i="17"/>
  <c r="E61" i="17"/>
  <c r="E59" i="17"/>
  <c r="E58" i="17"/>
  <c r="E57" i="17"/>
  <c r="E56" i="17"/>
  <c r="E55" i="17"/>
  <c r="E54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83" i="17" l="1"/>
  <c r="J8" i="17"/>
  <c r="E85" i="17"/>
  <c r="E82" i="17"/>
  <c r="E86" i="17"/>
  <c r="E84" i="17"/>
  <c r="P41" i="11"/>
  <c r="E6" i="17" l="1"/>
  <c r="Q79" i="11"/>
  <c r="E13" i="17"/>
  <c r="E14" i="17"/>
  <c r="E12" i="17" l="1"/>
  <c r="E15" i="17"/>
  <c r="Q83" i="11"/>
  <c r="Q86" i="11"/>
  <c r="Q84" i="11"/>
  <c r="Q85" i="11"/>
  <c r="P44" i="11"/>
  <c r="P43" i="11" s="1"/>
  <c r="P51" i="11" s="1"/>
  <c r="E8" i="17" l="1"/>
  <c r="E4" i="17"/>
  <c r="E3" i="17"/>
  <c r="E16" i="17" l="1"/>
  <c r="J2" i="17" s="1"/>
  <c r="E5" i="17"/>
  <c r="L51" i="11" l="1"/>
  <c r="L30" i="11" s="1"/>
  <c r="P61" i="11"/>
  <c r="P62" i="11"/>
  <c r="P63" i="11"/>
  <c r="P64" i="11"/>
  <c r="P65" i="11"/>
  <c r="P66" i="11"/>
  <c r="P67" i="11"/>
  <c r="P68" i="11"/>
  <c r="P69" i="11"/>
  <c r="P70" i="11"/>
  <c r="P71" i="11"/>
  <c r="P72" i="11"/>
  <c r="P60" i="11"/>
  <c r="P56" i="11" l="1"/>
  <c r="L58" i="11" s="1"/>
  <c r="E17" i="17" s="1"/>
  <c r="AG2" i="11"/>
  <c r="R135" i="11"/>
  <c r="S202" i="11" l="1"/>
  <c r="D201" i="11"/>
  <c r="D199" i="11"/>
  <c r="H193" i="11"/>
  <c r="S185" i="11"/>
  <c r="H185" i="11"/>
  <c r="S184" i="11"/>
  <c r="H184" i="11"/>
  <c r="S183" i="11"/>
  <c r="H183" i="11"/>
  <c r="S182" i="11"/>
  <c r="H182" i="11"/>
  <c r="AQ79" i="11"/>
  <c r="R97" i="11"/>
  <c r="AO151" i="11" s="1"/>
  <c r="P91" i="11"/>
  <c r="P90" i="11"/>
  <c r="P89" i="11"/>
  <c r="AQ83" i="11"/>
  <c r="V82" i="11"/>
  <c r="P86" i="11"/>
  <c r="AQ81" i="11"/>
  <c r="P85" i="11"/>
  <c r="AQ80" i="11"/>
  <c r="V80" i="11"/>
  <c r="V81" i="11" s="1"/>
  <c r="P84" i="11"/>
  <c r="AF79" i="11"/>
  <c r="AE79" i="11"/>
  <c r="AD79" i="11"/>
  <c r="AC79" i="11"/>
  <c r="V79" i="11"/>
  <c r="P83" i="11"/>
  <c r="AF78" i="11"/>
  <c r="AE78" i="11"/>
  <c r="AD78" i="11"/>
  <c r="AC78" i="11"/>
  <c r="AQ77" i="11"/>
  <c r="AF77" i="11"/>
  <c r="AE77" i="11"/>
  <c r="AD77" i="11"/>
  <c r="AC77" i="11"/>
  <c r="AF76" i="11"/>
  <c r="AE76" i="11"/>
  <c r="AD76" i="11"/>
  <c r="AC76" i="11"/>
  <c r="P76" i="11"/>
  <c r="AQ75" i="11"/>
  <c r="AF75" i="11"/>
  <c r="AE75" i="11"/>
  <c r="AD75" i="11"/>
  <c r="AC75" i="11"/>
  <c r="W75" i="11"/>
  <c r="P75" i="11"/>
  <c r="W74" i="11"/>
  <c r="AQ73" i="11"/>
  <c r="W73" i="11"/>
  <c r="AQ72" i="11"/>
  <c r="V72" i="11"/>
  <c r="AQ71" i="11"/>
  <c r="W71" i="11"/>
  <c r="W70" i="11"/>
  <c r="V70" i="11"/>
  <c r="V71" i="11" s="1"/>
  <c r="AQ69" i="11"/>
  <c r="W69" i="11"/>
  <c r="V69" i="11"/>
  <c r="AQ68" i="11"/>
  <c r="AQ67" i="11"/>
  <c r="AC66" i="11"/>
  <c r="V66" i="11"/>
  <c r="AQ65" i="11"/>
  <c r="AB64" i="11"/>
  <c r="AA64" i="11"/>
  <c r="Z64" i="11"/>
  <c r="Y64" i="11"/>
  <c r="X64" i="11"/>
  <c r="W64" i="11"/>
  <c r="V64" i="11"/>
  <c r="AQ63" i="11"/>
  <c r="AQ62" i="11"/>
  <c r="AQ60" i="11"/>
  <c r="R60" i="11"/>
  <c r="AQ58" i="11"/>
  <c r="AQ57" i="11"/>
  <c r="AQ55" i="11"/>
  <c r="AQ54" i="11"/>
  <c r="AQ53" i="11"/>
  <c r="AQ51" i="11"/>
  <c r="AQ49" i="11"/>
  <c r="AQ48" i="11"/>
  <c r="AQ47" i="11"/>
  <c r="AQ45" i="11"/>
  <c r="AQ44" i="11"/>
  <c r="X43" i="11"/>
  <c r="X44" i="11" s="1"/>
  <c r="AQ42" i="11"/>
  <c r="AQ41" i="11"/>
  <c r="AQ40" i="11"/>
  <c r="AQ38" i="11"/>
  <c r="AQ37" i="11"/>
  <c r="AQ36" i="11"/>
  <c r="AQ35" i="11"/>
  <c r="X34" i="11"/>
  <c r="X35" i="11" s="1"/>
  <c r="X36" i="11" s="1"/>
  <c r="X37" i="11" s="1"/>
  <c r="X38" i="11" s="1"/>
  <c r="AQ33" i="11"/>
  <c r="AQ32" i="11"/>
  <c r="AQ31" i="11"/>
  <c r="AQ30" i="11"/>
  <c r="AQ29" i="11"/>
  <c r="AQ28" i="11"/>
  <c r="AQ27" i="11"/>
  <c r="AQ26" i="11"/>
  <c r="AQ25" i="11"/>
  <c r="AQ24" i="11"/>
  <c r="AQ22" i="11"/>
  <c r="AQ21" i="11"/>
  <c r="AQ20" i="11"/>
  <c r="AQ19" i="11"/>
  <c r="AQ18" i="11"/>
  <c r="AQ17" i="11"/>
  <c r="AQ15" i="11"/>
  <c r="AQ14" i="11"/>
  <c r="AQ13" i="11"/>
  <c r="AQ12" i="11"/>
  <c r="AG9" i="11"/>
  <c r="AG8" i="11"/>
  <c r="AG6" i="11"/>
  <c r="AG4" i="11"/>
  <c r="L197" i="11" l="1"/>
  <c r="E81" i="17" s="1"/>
  <c r="J7" i="17" s="1"/>
  <c r="L181" i="11"/>
  <c r="E73" i="17" s="1"/>
  <c r="J5" i="17" s="1"/>
  <c r="E77" i="17"/>
  <c r="J6" i="17" s="1"/>
  <c r="R83" i="11"/>
  <c r="AO47" i="11"/>
  <c r="AO18" i="11"/>
  <c r="AO28" i="11"/>
  <c r="AO12" i="11"/>
  <c r="S75" i="11"/>
  <c r="AO58" i="11"/>
  <c r="AO43" i="11"/>
  <c r="AO103" i="11"/>
  <c r="AO25" i="11"/>
  <c r="AO37" i="11"/>
  <c r="AO38" i="11"/>
  <c r="AO52" i="11"/>
  <c r="AO82" i="11"/>
  <c r="AO105" i="11"/>
  <c r="AO63" i="11"/>
  <c r="AO14" i="11"/>
  <c r="AO33" i="11"/>
  <c r="AO73" i="11"/>
  <c r="AO78" i="11"/>
  <c r="AG11" i="11"/>
  <c r="AO16" i="11"/>
  <c r="AO23" i="11"/>
  <c r="AO42" i="11"/>
  <c r="AO48" i="11"/>
  <c r="AO30" i="11"/>
  <c r="AO34" i="11"/>
  <c r="AO39" i="11"/>
  <c r="AO44" i="11"/>
  <c r="AO55" i="11"/>
  <c r="AO60" i="11"/>
  <c r="AO67" i="11"/>
  <c r="AO69" i="11"/>
  <c r="AO71" i="11"/>
  <c r="AO107" i="11"/>
  <c r="AO21" i="11"/>
  <c r="AO26" i="11"/>
  <c r="AO35" i="11"/>
  <c r="AO40" i="11"/>
  <c r="AO50" i="11"/>
  <c r="AO123" i="11"/>
  <c r="AO31" i="11"/>
  <c r="AO51" i="11"/>
  <c r="AO57" i="11"/>
  <c r="AO65" i="11"/>
  <c r="AO127" i="11"/>
  <c r="AO17" i="11"/>
  <c r="AO22" i="11"/>
  <c r="AO46" i="11"/>
  <c r="AO61" i="11"/>
  <c r="AO68" i="11"/>
  <c r="AO87" i="11"/>
  <c r="AO146" i="11"/>
  <c r="AO152" i="11"/>
  <c r="AO115" i="11"/>
  <c r="AO136" i="11"/>
  <c r="AO19" i="11"/>
  <c r="AO24" i="11"/>
  <c r="AO36" i="11"/>
  <c r="AO49" i="11"/>
  <c r="AO54" i="11"/>
  <c r="AO59" i="11"/>
  <c r="AO62" i="11"/>
  <c r="AO72" i="11"/>
  <c r="AO15" i="11"/>
  <c r="AO29" i="11"/>
  <c r="AO41" i="11"/>
  <c r="AO45" i="11"/>
  <c r="AG81" i="11"/>
  <c r="AO99" i="11"/>
  <c r="AO121" i="11"/>
  <c r="AO144" i="11"/>
  <c r="P30" i="11"/>
  <c r="AO129" i="11"/>
  <c r="AO154" i="11"/>
  <c r="AO88" i="11"/>
  <c r="AO111" i="11"/>
  <c r="AO131" i="11"/>
  <c r="AO80" i="11"/>
  <c r="AO96" i="11"/>
  <c r="AO113" i="11"/>
  <c r="AO84" i="11"/>
  <c r="AO85" i="11"/>
  <c r="AO97" i="11"/>
  <c r="AO119" i="11"/>
  <c r="AO138" i="11"/>
  <c r="S60" i="11"/>
  <c r="V77" i="11"/>
  <c r="V52" i="11" s="1"/>
  <c r="S89" i="11"/>
  <c r="AG82" i="11"/>
  <c r="U64" i="11"/>
  <c r="AO92" i="11"/>
  <c r="AO98" i="11"/>
  <c r="AO106" i="11"/>
  <c r="AO114" i="11"/>
  <c r="AO122" i="11"/>
  <c r="AO130" i="11"/>
  <c r="AO137" i="11"/>
  <c r="AO145" i="11"/>
  <c r="AO153" i="11"/>
  <c r="AQ82" i="11"/>
  <c r="AO93" i="11"/>
  <c r="AO100" i="11"/>
  <c r="AO108" i="11"/>
  <c r="AO116" i="11"/>
  <c r="AO124" i="11"/>
  <c r="AO132" i="11"/>
  <c r="AO139" i="11"/>
  <c r="AO147" i="11"/>
  <c r="AO155" i="11"/>
  <c r="AO64" i="11"/>
  <c r="AO66" i="11"/>
  <c r="AO70" i="11"/>
  <c r="AO74" i="11"/>
  <c r="AO76" i="11"/>
  <c r="AQ78" i="11"/>
  <c r="AO79" i="11"/>
  <c r="AQ52" i="11"/>
  <c r="AO56" i="11"/>
  <c r="AQ59" i="11"/>
  <c r="AQ61" i="11"/>
  <c r="AO86" i="11"/>
  <c r="AO94" i="11"/>
  <c r="AO101" i="11"/>
  <c r="AO109" i="11"/>
  <c r="AO117" i="11"/>
  <c r="AO125" i="11"/>
  <c r="AO133" i="11"/>
  <c r="AO140" i="11"/>
  <c r="AO148" i="11"/>
  <c r="AO156" i="11"/>
  <c r="AO13" i="11"/>
  <c r="AQ16" i="11"/>
  <c r="AO20" i="11"/>
  <c r="AQ23" i="11"/>
  <c r="AO27" i="11"/>
  <c r="AO32" i="11"/>
  <c r="AQ34" i="11"/>
  <c r="AQ39" i="11"/>
  <c r="AQ43" i="11"/>
  <c r="AQ46" i="11"/>
  <c r="AQ50" i="11"/>
  <c r="AO53" i="11"/>
  <c r="AQ56" i="11"/>
  <c r="AQ64" i="11"/>
  <c r="AQ66" i="11"/>
  <c r="AQ70" i="11"/>
  <c r="AQ74" i="11"/>
  <c r="AO75" i="11"/>
  <c r="AQ76" i="11"/>
  <c r="AO77" i="11"/>
  <c r="AO81" i="11"/>
  <c r="AO83" i="11"/>
  <c r="AO95" i="11"/>
  <c r="AO102" i="11"/>
  <c r="AO110" i="11"/>
  <c r="AO118" i="11"/>
  <c r="AO126" i="11"/>
  <c r="AO134" i="11"/>
  <c r="AO141" i="11"/>
  <c r="AO149" i="11"/>
  <c r="AO157" i="11"/>
  <c r="AO142" i="11"/>
  <c r="AO150" i="11"/>
  <c r="AO158" i="11"/>
  <c r="AO104" i="11"/>
  <c r="AO112" i="11"/>
  <c r="AO120" i="11"/>
  <c r="AO128" i="11"/>
  <c r="AO135" i="11"/>
  <c r="AO143" i="11"/>
  <c r="L8" i="11" l="1"/>
  <c r="E1" i="17" s="1"/>
  <c r="J1" i="17" s="1"/>
  <c r="L93" i="11"/>
  <c r="L54" i="11" s="1"/>
  <c r="W72" i="11"/>
  <c r="W77" i="11" s="1"/>
  <c r="X52" i="11" s="1"/>
  <c r="AQ85" i="11"/>
  <c r="AS14" i="11" s="1"/>
  <c r="AS21" i="11" s="1"/>
  <c r="AO160" i="11"/>
  <c r="AS12" i="11" s="1"/>
  <c r="AS19" i="11" s="1"/>
  <c r="E53" i="17" l="1"/>
  <c r="J3" i="17" s="1"/>
  <c r="E52" i="17"/>
  <c r="AS25" i="11"/>
  <c r="X77" i="11"/>
  <c r="Y52" i="11" s="1"/>
  <c r="AS34" i="11" l="1"/>
  <c r="L172" i="11"/>
  <c r="E66" i="17" s="1"/>
  <c r="AS29" i="11"/>
  <c r="AS30" i="11"/>
  <c r="AS32" i="11"/>
  <c r="AS33" i="11"/>
  <c r="AS31" i="11"/>
  <c r="AS28" i="11"/>
  <c r="AS37" i="11" l="1"/>
  <c r="L174" i="11" s="1"/>
  <c r="L95" i="11" s="1"/>
  <c r="E68" i="17" l="1"/>
  <c r="J4" i="17" s="1"/>
  <c r="E67" i="17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G214" i="9" l="1"/>
  <c r="E160" i="9"/>
  <c r="E182" i="9" s="1"/>
  <c r="F182" i="9" s="1"/>
  <c r="E151" i="9"/>
  <c r="E181" i="9" s="1"/>
  <c r="F181" i="9" s="1"/>
  <c r="AX214" i="9" s="1"/>
  <c r="E135" i="9"/>
  <c r="E180" i="9" s="1"/>
  <c r="F180" i="9" s="1"/>
  <c r="AW214" i="9" s="1"/>
  <c r="E122" i="9"/>
  <c r="E179" i="9" s="1"/>
  <c r="F179" i="9" s="1"/>
  <c r="AV214" i="9" s="1"/>
  <c r="E113" i="9"/>
  <c r="E178" i="9" s="1"/>
  <c r="F178" i="9" s="1"/>
  <c r="AU214" i="9" s="1"/>
  <c r="E97" i="9"/>
  <c r="E177" i="9" s="1"/>
  <c r="F177" i="9" s="1"/>
  <c r="AT214" i="9" s="1"/>
  <c r="E79" i="9"/>
  <c r="E176" i="9" s="1"/>
  <c r="F176" i="9" s="1"/>
  <c r="AS214" i="9" s="1"/>
  <c r="E51" i="9"/>
  <c r="E175" i="9" s="1"/>
  <c r="F175" i="9" s="1"/>
  <c r="AR214" i="9" s="1"/>
  <c r="E11" i="9"/>
  <c r="E174" i="9" s="1"/>
  <c r="E109" i="8"/>
  <c r="E129" i="8" s="1"/>
  <c r="E125" i="17" s="1"/>
  <c r="E126" i="17" s="1"/>
  <c r="J12" i="17" s="1"/>
  <c r="E101" i="8"/>
  <c r="E128" i="8" s="1"/>
  <c r="E87" i="8"/>
  <c r="E127" i="8" s="1"/>
  <c r="E79" i="8"/>
  <c r="E126" i="8" s="1"/>
  <c r="E68" i="8"/>
  <c r="E125" i="8" s="1"/>
  <c r="E54" i="8"/>
  <c r="E124" i="8" s="1"/>
  <c r="E36" i="8"/>
  <c r="E123" i="8" s="1"/>
  <c r="E13" i="8"/>
  <c r="E122" i="8" s="1"/>
  <c r="AI214" i="9" s="1"/>
  <c r="E122" i="7"/>
  <c r="E142" i="7" s="1"/>
  <c r="F142" i="7" s="1"/>
  <c r="E111" i="7"/>
  <c r="E141" i="7" s="1"/>
  <c r="F141" i="7" s="1"/>
  <c r="AG214" i="9" s="1"/>
  <c r="E100" i="7"/>
  <c r="E140" i="7" s="1"/>
  <c r="F140" i="7" s="1"/>
  <c r="AF214" i="9" s="1"/>
  <c r="E83" i="7"/>
  <c r="E139" i="7" s="1"/>
  <c r="F139" i="7" s="1"/>
  <c r="AE214" i="9" s="1"/>
  <c r="E73" i="7"/>
  <c r="E138" i="7" s="1"/>
  <c r="F138" i="7" s="1"/>
  <c r="AD214" i="9" s="1"/>
  <c r="E61" i="7"/>
  <c r="E137" i="7" s="1"/>
  <c r="F137" i="7" s="1"/>
  <c r="AC214" i="9" s="1"/>
  <c r="E42" i="7"/>
  <c r="E136" i="7" s="1"/>
  <c r="F136" i="7" s="1"/>
  <c r="AB214" i="9" s="1"/>
  <c r="E23" i="7"/>
  <c r="E135" i="7" s="1"/>
  <c r="F135" i="7" s="1"/>
  <c r="AA214" i="9" s="1"/>
  <c r="E12" i="7"/>
  <c r="E134" i="7" s="1"/>
  <c r="E126" i="6"/>
  <c r="E152" i="6" s="1"/>
  <c r="F152" i="6" s="1"/>
  <c r="E117" i="6"/>
  <c r="E151" i="6" s="1"/>
  <c r="F151" i="6" s="1"/>
  <c r="X214" i="9" s="1"/>
  <c r="E103" i="6"/>
  <c r="E150" i="6" s="1"/>
  <c r="F150" i="6" s="1"/>
  <c r="W214" i="9" s="1"/>
  <c r="E93" i="6"/>
  <c r="E149" i="6" s="1"/>
  <c r="F149" i="6" s="1"/>
  <c r="V214" i="9" s="1"/>
  <c r="E79" i="6"/>
  <c r="E148" i="6" s="1"/>
  <c r="F148" i="6" s="1"/>
  <c r="U214" i="9" s="1"/>
  <c r="E68" i="6"/>
  <c r="E147" i="6" s="1"/>
  <c r="F147" i="6" s="1"/>
  <c r="T214" i="9" s="1"/>
  <c r="E52" i="6"/>
  <c r="E146" i="6" s="1"/>
  <c r="F146" i="6" s="1"/>
  <c r="S214" i="9" s="1"/>
  <c r="E35" i="6"/>
  <c r="E145" i="6" s="1"/>
  <c r="F145" i="6" s="1"/>
  <c r="R214" i="9" s="1"/>
  <c r="E13" i="6"/>
  <c r="E144" i="6" s="1"/>
  <c r="F144" i="6" s="1"/>
  <c r="E140" i="5"/>
  <c r="E162" i="5" s="1"/>
  <c r="F162" i="5" s="1"/>
  <c r="E130" i="5"/>
  <c r="E161" i="5" s="1"/>
  <c r="F161" i="5" s="1"/>
  <c r="E109" i="5"/>
  <c r="E160" i="5" s="1"/>
  <c r="F160" i="5" s="1"/>
  <c r="E98" i="5"/>
  <c r="E159" i="5" s="1"/>
  <c r="F159" i="5" s="1"/>
  <c r="E77" i="5"/>
  <c r="E158" i="5" s="1"/>
  <c r="F158" i="5" s="1"/>
  <c r="E61" i="5"/>
  <c r="E157" i="5" s="1"/>
  <c r="F157" i="5" s="1"/>
  <c r="E42" i="5"/>
  <c r="E156" i="5" s="1"/>
  <c r="F156" i="5" s="1"/>
  <c r="E14" i="5"/>
  <c r="E155" i="5" s="1"/>
  <c r="K214" i="9" l="1"/>
  <c r="E91" i="17"/>
  <c r="J214" i="9"/>
  <c r="E90" i="17"/>
  <c r="AH214" i="9"/>
  <c r="E116" i="17"/>
  <c r="E117" i="17" s="1"/>
  <c r="J11" i="17" s="1"/>
  <c r="Y214" i="9"/>
  <c r="E106" i="17"/>
  <c r="L214" i="9"/>
  <c r="E92" i="17"/>
  <c r="AY214" i="9"/>
  <c r="E135" i="17"/>
  <c r="E136" i="17" s="1"/>
  <c r="J13" i="17" s="1"/>
  <c r="M214" i="9"/>
  <c r="E93" i="17"/>
  <c r="N214" i="9"/>
  <c r="E94" i="17"/>
  <c r="O214" i="9"/>
  <c r="E95" i="17"/>
  <c r="Q214" i="9"/>
  <c r="E98" i="17"/>
  <c r="E107" i="17" s="1"/>
  <c r="J10" i="17" s="1"/>
  <c r="P214" i="9"/>
  <c r="E96" i="17"/>
  <c r="F123" i="8"/>
  <c r="AJ214" i="9"/>
  <c r="F124" i="8"/>
  <c r="AK214" i="9"/>
  <c r="F125" i="8"/>
  <c r="AL214" i="9"/>
  <c r="F126" i="8"/>
  <c r="AM214" i="9"/>
  <c r="F127" i="8"/>
  <c r="AN214" i="9"/>
  <c r="F128" i="8"/>
  <c r="AO214" i="9"/>
  <c r="F129" i="8"/>
  <c r="AP214" i="9"/>
  <c r="E130" i="8"/>
  <c r="E131" i="8" s="1"/>
  <c r="F122" i="8"/>
  <c r="E183" i="9"/>
  <c r="E184" i="9" s="1"/>
  <c r="F174" i="9"/>
  <c r="AQ214" i="9" s="1"/>
  <c r="F155" i="5"/>
  <c r="E163" i="5"/>
  <c r="E164" i="5" s="1"/>
  <c r="E143" i="7"/>
  <c r="E144" i="7" s="1"/>
  <c r="F134" i="7"/>
  <c r="Z214" i="9" s="1"/>
  <c r="E153" i="6"/>
  <c r="E154" i="6" s="1"/>
  <c r="I214" i="9" l="1"/>
  <c r="E89" i="17"/>
  <c r="E97" i="17" s="1"/>
  <c r="J9" i="17" s="1"/>
  <c r="K12" i="4"/>
  <c r="K20" i="4"/>
  <c r="K28" i="4"/>
  <c r="K36" i="4"/>
  <c r="K44" i="4"/>
  <c r="K23" i="4"/>
  <c r="K39" i="4"/>
  <c r="K24" i="4"/>
  <c r="K40" i="4"/>
  <c r="K35" i="4"/>
  <c r="K13" i="4"/>
  <c r="K21" i="4"/>
  <c r="K29" i="4"/>
  <c r="K37" i="4"/>
  <c r="K45" i="4"/>
  <c r="K15" i="4"/>
  <c r="K31" i="4"/>
  <c r="K11" i="4"/>
  <c r="K14" i="4"/>
  <c r="K22" i="4"/>
  <c r="K30" i="4"/>
  <c r="K38" i="4"/>
  <c r="K46" i="4"/>
  <c r="K47" i="4"/>
  <c r="K32" i="4"/>
  <c r="K48" i="4"/>
  <c r="K27" i="4"/>
  <c r="K16" i="4"/>
  <c r="K9" i="4"/>
  <c r="K17" i="4"/>
  <c r="K25" i="4"/>
  <c r="K33" i="4"/>
  <c r="K41" i="4"/>
  <c r="K49" i="4"/>
  <c r="K18" i="4"/>
  <c r="K26" i="4"/>
  <c r="K42" i="4"/>
  <c r="K50" i="4"/>
  <c r="K19" i="4"/>
  <c r="K10" i="4"/>
  <c r="K34" i="4"/>
  <c r="K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7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ejemplo, espacio reducido entre los miembros del equipo
ejemplo 2, un transportador de monorriel excesivamente 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ejemplo, trabajo en áreas confinadas como una bodega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ejemplo de buena comunicación sería poder oír a los trabajadores contar "uno, dos, tres" etc. antes de levantar una carga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ejemplo, dos carretillas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por ejemplo, jaulas con ruedas, contenedores con ruedas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por ejemplo, patines o sistema de rieles superiores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SierraL</author>
    <author>HERNAN ESPARZA</author>
  </authors>
  <commentList>
    <comment ref="C1" authorId="0" shapeId="0" xr:uid="{00000000-0006-0000-0600-000001000000}">
      <text>
        <r>
          <rPr>
            <sz val="12"/>
            <color indexed="81"/>
            <rFont val="Arial"/>
            <family val="2"/>
          </rPr>
          <t xml:space="preserve">Seleccione el identificador del Factor evaluado:
Por ejemplo:
A,B, etc..
</t>
        </r>
      </text>
    </comment>
    <comment ref="D1" authorId="0" shapeId="0" xr:uid="{00000000-0006-0000-0600-000002000000}">
      <text>
        <r>
          <rPr>
            <b/>
            <sz val="12"/>
            <color indexed="81"/>
            <rFont val="Arial"/>
            <family val="2"/>
          </rPr>
          <t xml:space="preserve">PROBLEMA
</t>
        </r>
        <r>
          <rPr>
            <sz val="12"/>
            <color indexed="81"/>
            <rFont val="Arial"/>
            <family val="2"/>
          </rPr>
          <t xml:space="preserve">Describa el problema del identificador.
</t>
        </r>
      </text>
    </comment>
    <comment ref="E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
SOLUCION - MEJORAS
Describa las mejoras que solucionen o mejoren el problema detectado.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600-000004000000}">
      <text>
        <r>
          <rPr>
            <sz val="12"/>
            <color indexed="81"/>
            <rFont val="Arial"/>
            <family val="2"/>
          </rPr>
          <t>Fecha en la que se terminan las
 Mejoras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<sst xmlns="http://schemas.openxmlformats.org/spreadsheetml/2006/main" count="1353" uniqueCount="533">
  <si>
    <t>EVALUACION DE ERGONOMIA [Ingeniería de proceso]</t>
  </si>
  <si>
    <t>origen de archivos</t>
  </si>
  <si>
    <t>C:\Users\1407730\Desktop\New folder</t>
  </si>
  <si>
    <t>r2</t>
  </si>
  <si>
    <t>C:\Users\1407730\Desktop\ergonomia</t>
  </si>
  <si>
    <t>r3</t>
  </si>
  <si>
    <t>C:\Users\1407730\Desktop\ergonomia\cumplimiento_NOM036test.xlsm</t>
  </si>
  <si>
    <t>Der 4</t>
  </si>
  <si>
    <t>Der 3</t>
  </si>
  <si>
    <t>Der 2</t>
  </si>
  <si>
    <t>Izq 4</t>
  </si>
  <si>
    <t>Izq 3</t>
  </si>
  <si>
    <t>Izq 2</t>
  </si>
  <si>
    <t>Izq 1</t>
  </si>
  <si>
    <t>arriba I</t>
  </si>
  <si>
    <t>arriba D</t>
  </si>
  <si>
    <t>Realizado por</t>
  </si>
  <si>
    <t>r</t>
  </si>
  <si>
    <t>archivo</t>
  </si>
  <si>
    <t>Der 1</t>
  </si>
  <si>
    <t>A</t>
  </si>
  <si>
    <t>Marcar las area en donde se toma el material</t>
  </si>
  <si>
    <t>r2 ruta carpeta</t>
  </si>
  <si>
    <t>r3 resul</t>
  </si>
  <si>
    <t>si</t>
  </si>
  <si>
    <t>no</t>
  </si>
  <si>
    <t>&lt;1 por min</t>
  </si>
  <si>
    <t>&lt;6 seg</t>
  </si>
  <si>
    <t>Ligero</t>
  </si>
  <si>
    <t>1-5 por min</t>
  </si>
  <si>
    <t>6 - 20 seg</t>
  </si>
  <si>
    <t>Moderado</t>
  </si>
  <si>
    <t>5-15 por min</t>
  </si>
  <si>
    <t>20 - 30 seg</t>
  </si>
  <si>
    <t>Alto</t>
  </si>
  <si>
    <t>&gt;15min</t>
  </si>
  <si>
    <t>&gt;30 seg</t>
  </si>
  <si>
    <t>Muy Alto</t>
  </si>
  <si>
    <t>Segun esquema</t>
  </si>
  <si>
    <t>B</t>
  </si>
  <si>
    <t>Area de trabajo</t>
  </si>
  <si>
    <t>otra manera</t>
  </si>
  <si>
    <t>Medidas en mm</t>
  </si>
  <si>
    <t>Altura de mesa de trabajo 970mm</t>
  </si>
  <si>
    <t>sentado de pie</t>
  </si>
  <si>
    <t>Sentado</t>
  </si>
  <si>
    <t>Espacio para las piernas, profundidad</t>
  </si>
  <si>
    <t>Espacio para las piernas ancho</t>
  </si>
  <si>
    <t>Presicion</t>
  </si>
  <si>
    <t>95-120</t>
  </si>
  <si>
    <t>Altura del reposapiés</t>
  </si>
  <si>
    <t>liviano</t>
  </si>
  <si>
    <t>85-110</t>
  </si>
  <si>
    <t>Pesado</t>
  </si>
  <si>
    <t>65-95</t>
  </si>
  <si>
    <t>Espacio para el asiento</t>
  </si>
  <si>
    <t>a</t>
  </si>
  <si>
    <t>Espesor de la mesa de trabajo</t>
  </si>
  <si>
    <t>b</t>
  </si>
  <si>
    <t>x</t>
  </si>
  <si>
    <t>c</t>
  </si>
  <si>
    <t>Trabajar en 2 estaciones simultaneas</t>
  </si>
  <si>
    <t>Sin mov</t>
  </si>
  <si>
    <t>d</t>
  </si>
  <si>
    <t>Espacio para los pies</t>
  </si>
  <si>
    <t>Mov &lt; 500 mm</t>
  </si>
  <si>
    <t>e</t>
  </si>
  <si>
    <t>Movimiento del operador</t>
  </si>
  <si>
    <t>Mov &gt; 500mm</t>
  </si>
  <si>
    <t>f</t>
  </si>
  <si>
    <t>Si</t>
  </si>
  <si>
    <t>g</t>
  </si>
  <si>
    <t>No</t>
  </si>
  <si>
    <t>h</t>
  </si>
  <si>
    <t>Con pedal</t>
  </si>
  <si>
    <t>ok</t>
  </si>
  <si>
    <t>i</t>
  </si>
  <si>
    <t>Cambio cada 2 horas</t>
  </si>
  <si>
    <t>p</t>
  </si>
  <si>
    <t>s</t>
  </si>
  <si>
    <t>C</t>
  </si>
  <si>
    <t>j</t>
  </si>
  <si>
    <t>k</t>
  </si>
  <si>
    <t>D</t>
  </si>
  <si>
    <t>Altura de mesa</t>
  </si>
  <si>
    <t>1 pie</t>
  </si>
  <si>
    <t>2 sent</t>
  </si>
  <si>
    <t>pedal</t>
  </si>
  <si>
    <t>piernas ancho</t>
  </si>
  <si>
    <t xml:space="preserve">cambio </t>
  </si>
  <si>
    <t>reposapies</t>
  </si>
  <si>
    <t>mov op</t>
  </si>
  <si>
    <t>asiento</t>
  </si>
  <si>
    <t>espesor</t>
  </si>
  <si>
    <t>2 est</t>
  </si>
  <si>
    <t>H</t>
  </si>
  <si>
    <t>HF</t>
  </si>
  <si>
    <t>HC</t>
  </si>
  <si>
    <t>VF</t>
  </si>
  <si>
    <t>VC</t>
  </si>
  <si>
    <t>mov</t>
  </si>
  <si>
    <t>pie</t>
  </si>
  <si>
    <t>sent</t>
  </si>
  <si>
    <t>sent-pie</t>
  </si>
  <si>
    <t>Frec</t>
  </si>
  <si>
    <t>Critico</t>
  </si>
  <si>
    <t>Muy alto</t>
  </si>
  <si>
    <t>E</t>
  </si>
  <si>
    <t xml:space="preserve">Accesibilidad </t>
  </si>
  <si>
    <t>Acceso al area de trabajo</t>
  </si>
  <si>
    <t>Acceso &gt;= 800 mm</t>
  </si>
  <si>
    <t>Distancia entre dos operadores</t>
  </si>
  <si>
    <t>Distancia entre 2 operadores &gt;= 800 mm (1)</t>
  </si>
  <si>
    <t>Libertad de miembros superiores</t>
  </si>
  <si>
    <t>Se mueven facilmente (1) obstaculizado (5)</t>
  </si>
  <si>
    <t>Libertad de miembros inferiores</t>
  </si>
  <si>
    <t>F</t>
  </si>
  <si>
    <t>Visual - Señalización</t>
  </si>
  <si>
    <t>X</t>
  </si>
  <si>
    <t>Distancia minima  a la ayuda visual 40cm</t>
  </si>
  <si>
    <t>altura entre 1,200 y 1600 mm  o 1700 y 1900 mm</t>
  </si>
  <si>
    <t>altura entre 1,100 y 1200 mm</t>
  </si>
  <si>
    <t>≤≥</t>
  </si>
  <si>
    <t>Buena</t>
  </si>
  <si>
    <t>Visualización</t>
  </si>
  <si>
    <t>G</t>
  </si>
  <si>
    <t>Iluminacion</t>
  </si>
  <si>
    <t>Actividad</t>
  </si>
  <si>
    <t xml:space="preserve">1 Empaque, oficinas. </t>
  </si>
  <si>
    <t>2 Laboratorios, maquinado y ensamble</t>
  </si>
  <si>
    <t>Reflexion</t>
  </si>
  <si>
    <t>3 Ensambles de precisión, manejo de piezas pequeñas</t>
  </si>
  <si>
    <t>4 Alta distinción de detalles, OBA - inspección con lupa</t>
  </si>
  <si>
    <t>Mala</t>
  </si>
  <si>
    <t>I</t>
  </si>
  <si>
    <t>J</t>
  </si>
  <si>
    <t>Medio</t>
  </si>
  <si>
    <t>K</t>
  </si>
  <si>
    <t>Evaluacion del Operador</t>
  </si>
  <si>
    <t/>
  </si>
  <si>
    <t>Muy bien</t>
  </si>
  <si>
    <t>Bien</t>
  </si>
  <si>
    <t>Algunas Mejoras a Realizar</t>
  </si>
  <si>
    <t>Molesto</t>
  </si>
  <si>
    <t>Muy doloroso, mal de espalda, cuello, hombros, piernas, manos, muñecas etc.</t>
  </si>
  <si>
    <t>Modelo y Línea</t>
  </si>
  <si>
    <t>Fecha</t>
  </si>
  <si>
    <t>Puesto</t>
  </si>
  <si>
    <t>No. del operador</t>
  </si>
  <si>
    <t>Estimación del riesgo de actividades que impliquen levantamiento/descenso de cargas</t>
  </si>
  <si>
    <t>a)</t>
  </si>
  <si>
    <r>
      <t xml:space="preserve">Peso de la carga y frecuencia: </t>
    </r>
    <r>
      <rPr>
        <sz val="12"/>
        <color theme="1"/>
        <rFont val="Times New Roman"/>
        <family val="1"/>
      </rPr>
      <t xml:space="preserve">Registrar el peso y la frecuencia de levantamiento de la carga. </t>
    </r>
  </si>
  <si>
    <t>Verde</t>
  </si>
  <si>
    <t>Naranja</t>
  </si>
  <si>
    <t>Rojo</t>
  </si>
  <si>
    <t>Morado</t>
  </si>
  <si>
    <t>Peso de la carga/frecuencia,</t>
  </si>
  <si>
    <t>Gráfica para operaciones de levantamiento</t>
  </si>
  <si>
    <r>
      <t xml:space="preserve">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</si>
  <si>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b)</t>
  </si>
  <si>
    <t xml:space="preserve">Distancia horizontal entre las manos y la parte inferior de la espalda: </t>
  </si>
  <si>
    <t xml:space="preserve">Observar la tarea y examinar la distancia horizontal que existe entre las manos del trabajador y la parte inferior </t>
  </si>
  <si>
    <t>de su espalda</t>
  </si>
  <si>
    <t>c)</t>
  </si>
  <si>
    <t>Región de levantamiento vertical</t>
  </si>
  <si>
    <t>Observar la posición de las manos del trabajador al inicio del levantamiento y a medida que la operación progresa</t>
  </si>
  <si>
    <t>d)</t>
  </si>
  <si>
    <t>Torsión y flexión lateral del torso</t>
  </si>
  <si>
    <t>Observar el torso del trabajador a medida que levanta la carga. Si el torso se tuerce en relación con las caderas y los muslos o el trabajador se inclina hacia un lado a medida que levanta la carga, el color de la banda es naranja. Si el torso se tuerce y se dobla hacia un lado a medida que se levanta la carga, el color de la banda es rojo.</t>
  </si>
  <si>
    <t>e)</t>
  </si>
  <si>
    <t>Restricciones posturales</t>
  </si>
  <si>
    <t>Si los movimientos del trabajador no están obstaculizados - verde</t>
  </si>
  <si>
    <t>El trabajador adopta posturas incómodas o forzadas en el levantamiento de una carga debido al espacio disponible - amarillo</t>
  </si>
  <si>
    <t>Si la postura es severamente restringida - rojo</t>
  </si>
  <si>
    <t>f)</t>
  </si>
  <si>
    <t>Acoplamiento mano-carga (elementos de sujeción)</t>
  </si>
  <si>
    <t>g)</t>
  </si>
  <si>
    <t>Superficie de trabajo</t>
  </si>
  <si>
    <t>Este factor considera las propiedades de la superficie donde el trabajador camina o permanece de pie</t>
  </si>
  <si>
    <t>h)</t>
  </si>
  <si>
    <t>Otros factores ambientales</t>
  </si>
  <si>
    <t>Calificar si la operación de levantamiento se lleva a cabo bajo: temperaturas extremas; con fuerte circulación del aire; o en condiciones de iluminación extremas  - amarillo</t>
  </si>
  <si>
    <t>Si dos o más factores de riesgo están presentes - Rojo</t>
  </si>
  <si>
    <t>Si no existe ningún factor presente - Verde</t>
  </si>
  <si>
    <t>Estimación del nivel de riesgo</t>
  </si>
  <si>
    <t>Registrar el color y valor obtenido en cada uno de los factores analizados para cada tipo de actividad</t>
  </si>
  <si>
    <t>Factores de riesgo</t>
  </si>
  <si>
    <t>Levantar</t>
  </si>
  <si>
    <t>Color</t>
  </si>
  <si>
    <t>Valor</t>
  </si>
  <si>
    <t xml:space="preserve">Peso y ascenso de la carga/ frecuencia de transporte </t>
  </si>
  <si>
    <t xml:space="preserve">Distancia horizontal entre las manos desde la parte inferior de la espalda </t>
  </si>
  <si>
    <t xml:space="preserve">Región de levantamiento vertical </t>
  </si>
  <si>
    <t>Torsión y flexión lateral del torso; Carga asimétrica sobre el torso (transporte)</t>
  </si>
  <si>
    <t>Restricciones posturales (posturas incómodas, forzadas, o restringidas)</t>
  </si>
  <si>
    <t xml:space="preserve">Superficie de trabajo </t>
  </si>
  <si>
    <t xml:space="preserve">Otros factores ambientales </t>
  </si>
  <si>
    <t>Puntuación</t>
  </si>
  <si>
    <t>Nivel de Riesgo</t>
  </si>
  <si>
    <t>Determinar el nivel de riesgo conforme a lo siguiente</t>
  </si>
  <si>
    <t>Definir las acciones, conforme al nivel de riesgo obtenido</t>
  </si>
  <si>
    <t>Transporte</t>
  </si>
  <si>
    <t>Estimación del riesgo de operaciones de transporte de cargas</t>
  </si>
  <si>
    <t>Peso de la carga y frecuencia</t>
  </si>
  <si>
    <t>Registrar el peso y la frecuencia de la operación de transporte</t>
  </si>
  <si>
    <r>
      <t xml:space="preserve">Se 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</si>
  <si>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Distancia horizontal entre las manos y la parte inferior de la espalda</t>
  </si>
  <si>
    <t>Examine la distancia horizontal entre las manos del trabajador y su espalda inferior</t>
  </si>
  <si>
    <t>Carga asimétrica sobre el torso</t>
  </si>
  <si>
    <t>Las posturas del trabajador y la estabilidad de la carga.</t>
  </si>
  <si>
    <t>Si el trabajador adopta posturas forzadas o incomodas durante el transporte de cargas - amarillo</t>
  </si>
  <si>
    <t>Considera el diseño de la carga y su interacción con las manos del trabajador</t>
  </si>
  <si>
    <t>Propiedades de la superficie donde el trabajador camina o permanece de pie</t>
  </si>
  <si>
    <t>Observar el ambiente de trabajo y determinar si la operación de levantamiento se lleva a cabo en: temperaturas extremas; con fuerte circulación del aire; o en condiciones de iluminación extremas (demasiado oscuro o brillante). Si uno de los factores de riesgo está presente el color de la banda será amarillo.</t>
  </si>
  <si>
    <t>Si dos o más factores de riesgo están presentes el color de la banda será rojo</t>
  </si>
  <si>
    <t>Si no existe ningún factor presente el color de la banda será verde</t>
  </si>
  <si>
    <t>Distancia de transporte</t>
  </si>
  <si>
    <t>Estimar la distancia total que la carga (trayectoria total) es transportada, en metros</t>
  </si>
  <si>
    <t>j)</t>
  </si>
  <si>
    <t>Obstáculos en la ruta</t>
  </si>
  <si>
    <t>Si el trabajador tiene que llevar una carga y se presenta un solo factor de riesgo - naranja</t>
  </si>
  <si>
    <t>Si la tarea involucra transportar la carga subiendo escaleras - rojo</t>
  </si>
  <si>
    <t>Si la tarea involucra más de uno de los factores de riesgo  - rojo</t>
  </si>
  <si>
    <t>Si no existe ningún factor el color será verde</t>
  </si>
  <si>
    <t xml:space="preserve">Distancia de transporte </t>
  </si>
  <si>
    <r>
      <t>Obstáculos en la ruta (</t>
    </r>
    <r>
      <rPr>
        <b/>
        <sz val="11"/>
        <color theme="1"/>
        <rFont val="Arial"/>
        <family val="2"/>
      </rPr>
      <t>sólo en transporte</t>
    </r>
    <r>
      <rPr>
        <sz val="11"/>
        <color theme="1"/>
        <rFont val="Arial"/>
        <family val="2"/>
      </rPr>
      <t>)</t>
    </r>
  </si>
  <si>
    <t>En equipo</t>
  </si>
  <si>
    <t>Modelo y línea</t>
  </si>
  <si>
    <t>Evaluación del riesgo de operaciones de manejo manual de cargas en equipo</t>
  </si>
  <si>
    <t>Peso de la carga</t>
  </si>
  <si>
    <t>Registre la masa de la carga (en kg) y el número de operadores que realizan la tarea</t>
  </si>
  <si>
    <t xml:space="preserve">Distancia horizontal entre las manos de cada trabajador y la parte inferior de su espalda, considerar "el peor de los casos". </t>
  </si>
  <si>
    <t xml:space="preserve">Posición de las manos del trabajador al inicio del levantamiento y a medida que la operación progresa. Siempre evalúe el "peor de los casos". </t>
  </si>
  <si>
    <t>A medida que levanta la carga. Si el torso se tuerce en relación con las caderas y los muslos o el trabajador se inclina hacia un lado a medida que levanta la carga - amarillo</t>
  </si>
  <si>
    <t>El torso se tuerce y se dobla hacia un lado a medida que se levanta la carga. - Rojo</t>
  </si>
  <si>
    <t>Si los movimientos del trabajador no están obstaculizados. - verde</t>
  </si>
  <si>
    <t>Adopta posturas incómodas o forzadas durante el levantamiento de una carga debido al espacio disponible o el diseño de la estación de trabajo. - amarillo</t>
  </si>
  <si>
    <t>Si la postura es severamente restringida y la puntuación numérica será 3 . - rojo</t>
  </si>
  <si>
    <t>Considera las propiedades geométricas y de diseño de la carga que se va a manejar, en cuanto a su interacción con las manos del trabajador</t>
  </si>
  <si>
    <t>Considera las propiedades de la superficie donde el trabajador camina o permanece de pie</t>
  </si>
  <si>
    <t>Si la operación de levantamiento se lleva a cabo bajo: temperaturas extremas; con fuerte circulación del aire; o en condiciones de iluminación extremas. - amarillo</t>
  </si>
  <si>
    <t>Si dos o más factores de riesgo están presentes. - rojo</t>
  </si>
  <si>
    <t>Si no existe factor de riesgo. - verde</t>
  </si>
  <si>
    <t>i)</t>
  </si>
  <si>
    <t>Comunicación, coordinación y control</t>
  </si>
  <si>
    <t>La comunicación entre los trabajadores es esencial cuando el levantar una carga se realiza en grupo</t>
  </si>
  <si>
    <t>Equipo</t>
  </si>
  <si>
    <r>
      <t>Comunicación, coordinación y control (</t>
    </r>
    <r>
      <rPr>
        <b/>
        <sz val="11"/>
        <color theme="1"/>
        <rFont val="Arial"/>
        <family val="2"/>
      </rPr>
      <t>sólo manejo manual de cargas en equipo</t>
    </r>
    <r>
      <rPr>
        <sz val="11"/>
        <color theme="1"/>
        <rFont val="Arial"/>
        <family val="2"/>
      </rPr>
      <t>)</t>
    </r>
  </si>
  <si>
    <t>Evaluacion para el manejo de cargas</t>
  </si>
  <si>
    <t>ESTIMACIÓN DEL RIESGO POR EMPUJE Y ARRASTRE DE CARGAS CON O SIN EQUIPO AUXILIAR</t>
  </si>
  <si>
    <t>Evaluación del riesgo de actividades que impliquen empuje o arrastre de cargas sin uso de equipo auxiliar</t>
  </si>
  <si>
    <t>Actividad y peso de la carga (kg)</t>
  </si>
  <si>
    <t>Bajo</t>
  </si>
  <si>
    <t>Identificar la actividad. Si se realizan dos o más actividades (por ejemplo, rodando y girando sobre su base), realice una evaluación para cada tipo de actividad;</t>
  </si>
  <si>
    <t xml:space="preserve">Averiguar la masa de la carga movida </t>
  </si>
  <si>
    <t>Evaluar la masa total a mover, si dos o más cargas son movidas a la vez</t>
  </si>
  <si>
    <t>Evaluar la actividad con la carga de mayor masa</t>
  </si>
  <si>
    <t>Rodando</t>
  </si>
  <si>
    <t>Girando sobre su base (Las cargas se mueven girando/rodando a lo largo de los bordes de su base)</t>
  </si>
  <si>
    <t>Arrastrar/jalar o deslizar</t>
  </si>
  <si>
    <t>Postura</t>
  </si>
  <si>
    <t>Observar la posición general de las manos y del cuerpo durante la operación</t>
  </si>
  <si>
    <t>Acoplamiento de la mano-carga</t>
  </si>
  <si>
    <t>Observar cómo es el agarre con las manos o cómo están en contacto con la carga durante el empuje</t>
  </si>
  <si>
    <t xml:space="preserve"> o la tracción. </t>
  </si>
  <si>
    <t>Patrón de trabajo</t>
  </si>
  <si>
    <t xml:space="preserve">Identificar si la operación es repetitiva (cinco o más traslados por minuto) y si el trabajador establece </t>
  </si>
  <si>
    <t>el ritmo de trabajo</t>
  </si>
  <si>
    <t>Distancia por viaje</t>
  </si>
  <si>
    <t>Distancia desde el principio hasta el final para un solo viaje</t>
  </si>
  <si>
    <t>Hacer una evaluación para el viaje más largo, si la operación no es repetitiva</t>
  </si>
  <si>
    <t>Distancia promedio para al menos cinco viajes, si la operación es repetitiva</t>
  </si>
  <si>
    <t>Condición en que se encuentran las superficies de trabajo a lo largo de la ruta</t>
  </si>
  <si>
    <t>Obstáculos a lo largo de la ruta</t>
  </si>
  <si>
    <t>Verificar en la ruta si hay obstáculos</t>
  </si>
  <si>
    <t>Contar cada tipo de obstáculo sólo una vez, sin importar cuántas veces se pase por éste</t>
  </si>
  <si>
    <t>Otros factores</t>
  </si>
  <si>
    <t>La carga es inestable</t>
  </si>
  <si>
    <t xml:space="preserve">La carga es grande y obstruye la vista del trabajador </t>
  </si>
  <si>
    <t>La carga presenta bordes filosos, está caliente o es potencialmente dañina al tacto</t>
  </si>
  <si>
    <t>Hay malas condiciones de iluminación</t>
  </si>
  <si>
    <t>Hay temperaturas extremas calientes o frías o alta humedad</t>
  </si>
  <si>
    <t>Hay ráfagas de viento u otros movimientos fuertes del aire</t>
  </si>
  <si>
    <t>El equipo de protección personal hacen que el arrastre y empuje de la carga sea más complicado</t>
  </si>
  <si>
    <t>Estimación del nivel de riesgo de actividades que impliquen empuje o arrastre de cargas sin uso de equipo auxiliar</t>
  </si>
  <si>
    <t xml:space="preserve">Agarre de la mano </t>
  </si>
  <si>
    <t xml:space="preserve">Patrón de trabajo </t>
  </si>
  <si>
    <t xml:space="preserve">Nivel de riesgo </t>
  </si>
  <si>
    <t>C)</t>
  </si>
  <si>
    <t>Nivel de acción, para cada factor de riesgo</t>
  </si>
  <si>
    <t>Evaluación del riesgo de actividades que impliquen empujar o jalar cargas con el uso de equipo auxiliar</t>
  </si>
  <si>
    <t>Tipo de equipo auxiliar y peso de la carga (kg)</t>
  </si>
  <si>
    <t xml:space="preserve">Evaluar la masa total movida, si se mueve más de un equipo de carga </t>
  </si>
  <si>
    <t>Conocer y determinar la carga total movida, masa del equipo auxiliar y masa de las cargas transportadas</t>
  </si>
  <si>
    <t>Evaluar el equipo con la carga de mayor masa que es probable que se mueva</t>
  </si>
  <si>
    <t>Pequeño con una o dos ruedas</t>
  </si>
  <si>
    <t>Mediano, con tres o más ruedas fijas y/o ruedas móviles</t>
  </si>
  <si>
    <t>Grande, dirigible o sobre rieles</t>
  </si>
  <si>
    <t>Clasificar como Inaceptable la actividad, si la carga excede la capacidad nominal</t>
  </si>
  <si>
    <t>No se deberà realizar la actividad hasta que esta condición se haya modificado, en la hoja de evaluación</t>
  </si>
  <si>
    <t xml:space="preserve">Cómo es el agarre con las manos o cómo están en contacto con la carga en el empuje o el arrastre </t>
  </si>
  <si>
    <t>Observar el trabajo, identificar si la operación es repetitiva (cinco o más traslados por minuto)</t>
  </si>
  <si>
    <t>Determinar la distancia desde el principio hasta el final para un solo viaje</t>
  </si>
  <si>
    <t>Hacer una evaluación para el viaje más largo, si no es repetitiva.</t>
  </si>
  <si>
    <t>Determinar la distancia promedio para al menos cinco viajes, si es repetitivo.</t>
  </si>
  <si>
    <t>Condición del equipo auxiliar</t>
  </si>
  <si>
    <t xml:space="preserve">Consultar el manual de mantenimiento y observar el estado general de conservación del equipo </t>
  </si>
  <si>
    <t xml:space="preserve">Contar cada tipo de obstáculo sólo una vez, sin importar cuántas veces se pase </t>
  </si>
  <si>
    <t>k)</t>
  </si>
  <si>
    <t>El equipo auxiliar o la carga es inestable</t>
  </si>
  <si>
    <t>La carga es grande y obstruye la vista del trabajador de donde se está moviendo</t>
  </si>
  <si>
    <t>El equipo auxiliar o la carga presenta bordes filosos, está caliente o es potencialmente dañina al tacto</t>
  </si>
  <si>
    <t>El equipo de protección personal o la vestimenta hacen que el uso del equipo sea complicado</t>
  </si>
  <si>
    <t>AII.6</t>
  </si>
  <si>
    <t>Estimación del nivel de riesgo de actividades que impliquen empuje o arrastre de cargas con el uso de equipo auxiliar</t>
  </si>
  <si>
    <t>Equipo Pequeño</t>
  </si>
  <si>
    <t xml:space="preserve">Acoplamiento mano-carga </t>
  </si>
  <si>
    <t xml:space="preserve">Condición del equipo auxiliar </t>
  </si>
  <si>
    <t>J:\Industrial Engineering\1.4 Ergonomia\2021\HP\</t>
  </si>
  <si>
    <t>L-A</t>
  </si>
  <si>
    <t>L-B</t>
  </si>
  <si>
    <t>L-C</t>
  </si>
  <si>
    <t>L-D</t>
  </si>
  <si>
    <t>L-E</t>
  </si>
  <si>
    <t>L-F</t>
  </si>
  <si>
    <t>L-G</t>
  </si>
  <si>
    <t>L-H</t>
  </si>
  <si>
    <t>T-A</t>
  </si>
  <si>
    <t>T-B</t>
  </si>
  <si>
    <t>T-C</t>
  </si>
  <si>
    <t>T-D</t>
  </si>
  <si>
    <t>T-E</t>
  </si>
  <si>
    <t>T-F</t>
  </si>
  <si>
    <t>T-G</t>
  </si>
  <si>
    <t>T-H</t>
  </si>
  <si>
    <t>T-J</t>
  </si>
  <si>
    <t>E-A</t>
  </si>
  <si>
    <t>E-B</t>
  </si>
  <si>
    <t>E-C</t>
  </si>
  <si>
    <t>E-D</t>
  </si>
  <si>
    <t>E-E</t>
  </si>
  <si>
    <t>E-F</t>
  </si>
  <si>
    <t>E-G</t>
  </si>
  <si>
    <t>E-H</t>
  </si>
  <si>
    <t>E-I</t>
  </si>
  <si>
    <t>S-A</t>
  </si>
  <si>
    <t>S-B</t>
  </si>
  <si>
    <t>S-C</t>
  </si>
  <si>
    <t>S-D</t>
  </si>
  <si>
    <t>S-E</t>
  </si>
  <si>
    <t>S-F</t>
  </si>
  <si>
    <t>S-G</t>
  </si>
  <si>
    <t>S-H</t>
  </si>
  <si>
    <t>C-A</t>
  </si>
  <si>
    <t>C-B</t>
  </si>
  <si>
    <t>C-C</t>
  </si>
  <si>
    <t>C-D</t>
  </si>
  <si>
    <t>C-E</t>
  </si>
  <si>
    <t>C-F</t>
  </si>
  <si>
    <t>C-I</t>
  </si>
  <si>
    <t>C-J</t>
  </si>
  <si>
    <t>C-K</t>
  </si>
  <si>
    <t>J:\Industrial Engineering\1.4 Ergonomia\2021\HP\16-PE80-6500-00014(HP).xlsm</t>
  </si>
  <si>
    <t>J:\Industrial Engineering\1.4 Ergonomia\Resul</t>
  </si>
  <si>
    <t>J:\Industrial Engineering\1.4 Ergonomia\Resul\ResultadosHP.xlsm</t>
  </si>
  <si>
    <t># Evaluación</t>
  </si>
  <si>
    <t>Identificador</t>
  </si>
  <si>
    <t xml:space="preserve">Problema </t>
  </si>
  <si>
    <t xml:space="preserve"> Solución - Mejoras</t>
  </si>
  <si>
    <t>Responsable</t>
  </si>
  <si>
    <t>Fecha compromiso</t>
  </si>
  <si>
    <t>Días</t>
  </si>
  <si>
    <t>Mov</t>
  </si>
  <si>
    <t>Del 1-5 o Mov</t>
  </si>
  <si>
    <t>Inciso</t>
  </si>
  <si>
    <t>Descripción</t>
  </si>
  <si>
    <t>Plan</t>
  </si>
  <si>
    <t>Dueño de la acción</t>
  </si>
  <si>
    <t>Dia</t>
  </si>
  <si>
    <t>Mes</t>
  </si>
  <si>
    <t>Año</t>
  </si>
  <si>
    <t>Tiempo</t>
  </si>
  <si>
    <t xml:space="preserve">altura entre 1,400 y 1600 mm </t>
  </si>
  <si>
    <t>Equipos</t>
  </si>
  <si>
    <t>Obstruccion por:</t>
  </si>
  <si>
    <t>Tapete antifatia</t>
  </si>
  <si>
    <t>Altura de area de trabajo</t>
  </si>
  <si>
    <t xml:space="preserve">Espacio para las piernas </t>
  </si>
  <si>
    <t>Profundida</t>
  </si>
  <si>
    <t>Ancho</t>
  </si>
  <si>
    <t>Altura de reposa pies</t>
  </si>
  <si>
    <t>95cm</t>
  </si>
  <si>
    <t>(P)</t>
  </si>
  <si>
    <t>(P)(S)</t>
  </si>
  <si>
    <t>(S)</t>
  </si>
  <si>
    <t>≥15cm</t>
  </si>
  <si>
    <t>Profundidad del reposa pies</t>
  </si>
  <si>
    <t>&gt;21 y &lt;37cm</t>
  </si>
  <si>
    <t>&lt;10 cm</t>
  </si>
  <si>
    <t>% de tiempo en la posición</t>
  </si>
  <si>
    <t>Trabajo de presicion, ligero o esfuerzo</t>
  </si>
  <si>
    <t>160cm</t>
  </si>
  <si>
    <t>130cm</t>
  </si>
  <si>
    <t>Tipo de acción/postura</t>
  </si>
  <si>
    <t>Herramientas manuales (una mano, agarre de potencia)</t>
  </si>
  <si>
    <t>Trabajo con brazo (sentado, hacia arriba)</t>
  </si>
  <si>
    <t>Trabajo con brazo (sentado, hacia abajo)</t>
  </si>
  <si>
    <t>Trabajo con brazo (sentado, hacia afuera)</t>
  </si>
  <si>
    <t>Trabajo con brazo (sentado, hacia adentro)</t>
  </si>
  <si>
    <t>Empujar (con soporte de tronco)</t>
  </si>
  <si>
    <t>Empujar (sin soporte de tronco)</t>
  </si>
  <si>
    <t>Jalar (con soporte de tronco)</t>
  </si>
  <si>
    <t>Jalar (sin soporte de tronco)</t>
  </si>
  <si>
    <t>Trabajo completo de pie: empujar</t>
  </si>
  <si>
    <t>Trabajo completo de pie: jalar</t>
  </si>
  <si>
    <t>Uso de pedal - movimiento de talon</t>
  </si>
  <si>
    <t>Uso de pedal - movimiento de pierna</t>
  </si>
  <si>
    <t>Límite Doméstico (N)</t>
  </si>
  <si>
    <t>lb</t>
  </si>
  <si>
    <t>kg</t>
  </si>
  <si>
    <t>Velocidad de movimiento</t>
  </si>
  <si>
    <t>Inmovilidad o movimiento muy lento</t>
  </si>
  <si>
    <t>Movimiento apreciable</t>
  </si>
  <si>
    <t>Frecuencia (acciones/min)</t>
  </si>
  <si>
    <t>≤ 1</t>
  </si>
  <si>
    <t>Duración de la tarea (Horas)</t>
  </si>
  <si>
    <t>&gt; 1-2</t>
  </si>
  <si>
    <t>&gt; 2</t>
  </si>
  <si>
    <t>Factor</t>
  </si>
  <si>
    <t>TABLA F</t>
  </si>
  <si>
    <t>TABLA A</t>
  </si>
  <si>
    <t>TABLA B</t>
  </si>
  <si>
    <t>PUNTUACIÓN C</t>
  </si>
  <si>
    <t>7+</t>
  </si>
  <si>
    <t>PUNTUACIÓN D</t>
  </si>
  <si>
    <t>PUNTUACIÓN C2</t>
  </si>
  <si>
    <t>8+</t>
  </si>
  <si>
    <t>PUNTUACIÓN D2</t>
  </si>
  <si>
    <t>PUNTUACIÓN FINAL</t>
  </si>
  <si>
    <t>NIVEL DE RIESGO</t>
  </si>
  <si>
    <t>Puntuacion del antebrazo</t>
  </si>
  <si>
    <t>Puntuación de la muñeca</t>
  </si>
  <si>
    <t>Puntuación giro de muñeca</t>
  </si>
  <si>
    <t>Puntuación del tipo de actividad muscular (Grupo A):</t>
  </si>
  <si>
    <t>Puntuación de carga / fuerza (Grupo A):</t>
  </si>
  <si>
    <t>(B) Analisis de cuello, tronco y pierna</t>
  </si>
  <si>
    <t>Puntuacion del brazo</t>
  </si>
  <si>
    <t>(A) Análisis del brazo, antebrazo y muñeca</t>
  </si>
  <si>
    <t>Puntuacion del cuello</t>
  </si>
  <si>
    <t>Puntuación del tronco</t>
  </si>
  <si>
    <t>Puntuación de las piernas</t>
  </si>
  <si>
    <t>Puntuación del tipo de actividad muscular (Grupo B)</t>
  </si>
  <si>
    <t>Puntuación de carga / fuerza (Grupo B)</t>
  </si>
  <si>
    <t>Puntuación final RULA(1-7):</t>
  </si>
  <si>
    <t>Nivel de riesgo(1-4) :</t>
  </si>
  <si>
    <t>falta duracion de la actividad en segundos</t>
  </si>
  <si>
    <t>resultado de la pagina .95</t>
  </si>
  <si>
    <t xml:space="preserve">cambiar formiula y quitar puntos 4 y 5 de piernas </t>
  </si>
  <si>
    <t>IF(AE2=FALSE,0,5)</t>
  </si>
  <si>
    <t xml:space="preserve">nw f </t>
  </si>
  <si>
    <t xml:space="preserve">Lb </t>
  </si>
  <si>
    <t xml:space="preserve">Kg </t>
  </si>
  <si>
    <t>Fuerza</t>
  </si>
  <si>
    <t>Fuerza aplicada / Requerida (Nw)</t>
  </si>
  <si>
    <t>Precisión</t>
  </si>
  <si>
    <t xml:space="preserve"> Ligero</t>
  </si>
  <si>
    <t>Esfuerzo</t>
  </si>
  <si>
    <t>&gt; 4hrs</t>
  </si>
  <si>
    <t>≤ 4hrs</t>
  </si>
  <si>
    <t>≤ 4hrsEsfuerzo&gt;120&lt;130</t>
  </si>
  <si>
    <t>≤ 4hrs Ligero&gt;120&lt;130</t>
  </si>
  <si>
    <t>≤ 4hrsPrecisión&gt;120&lt;130</t>
  </si>
  <si>
    <t>&gt;120&lt;130</t>
  </si>
  <si>
    <t>&gt; 4hrsPrecisión&gt;120&lt;130</t>
  </si>
  <si>
    <t>&gt;4hrsPrecisión&gt;120&lt;130</t>
  </si>
  <si>
    <t>&gt; 4hrsEsfuerzo&gt;120&lt;130</t>
  </si>
  <si>
    <t>&gt; 4hrs Ligero&gt;120&lt;130</t>
  </si>
  <si>
    <t>&gt;55cm</t>
  </si>
  <si>
    <t>&gt;60cm</t>
  </si>
  <si>
    <t>&gt;30 cm</t>
  </si>
  <si>
    <t>&gt;96, &lt;120</t>
  </si>
  <si>
    <t>120cm</t>
  </si>
  <si>
    <t>xxxx</t>
  </si>
  <si>
    <t>Duración</t>
  </si>
  <si>
    <t>Menos a 3 segundos</t>
  </si>
  <si>
    <t>Mayor a 3 segundos</t>
  </si>
  <si>
    <t>0.2 o menos</t>
  </si>
  <si>
    <t>0.2 – 2</t>
  </si>
  <si>
    <t>2 – 20</t>
  </si>
  <si>
    <t>mas de 20</t>
  </si>
  <si>
    <t>&lt;1400mm o &gt;1600mm</t>
  </si>
  <si>
    <t>&gt; 4h  o ≤ 4h</t>
  </si>
  <si>
    <r>
      <t>15cm</t>
    </r>
    <r>
      <rPr>
        <b/>
        <sz val="10"/>
        <color theme="1"/>
        <rFont val="Aptos Narrow"/>
        <family val="2"/>
      </rPr>
      <t>±</t>
    </r>
    <r>
      <rPr>
        <b/>
        <sz val="10"/>
        <color theme="1"/>
        <rFont val="Calibri"/>
        <family val="2"/>
      </rPr>
      <t>2</t>
    </r>
  </si>
  <si>
    <t xml:space="preserve">5 o 0 </t>
  </si>
  <si>
    <t>5 o 1</t>
  </si>
  <si>
    <t>Levantamiento</t>
  </si>
  <si>
    <t>Sin auxiliar</t>
  </si>
  <si>
    <t>Con auxiliar</t>
  </si>
  <si>
    <t>Obstáculos en la ruta (sólo en transporte)</t>
  </si>
  <si>
    <t>Comunicación, coordinación y control (sólo manejo manual de cargas en equipo)</t>
  </si>
  <si>
    <t>Sentado (S)</t>
  </si>
  <si>
    <t>Sentado o de pie</t>
  </si>
  <si>
    <t>Pie</t>
  </si>
  <si>
    <t>Combinado</t>
  </si>
  <si>
    <t>Altura de area de trabajo (cm)</t>
  </si>
  <si>
    <t>≤ 4hrsEsfuerzo&gt;95&lt;120</t>
  </si>
  <si>
    <t>≤ 4hrsEsfuerzo&lt;95&gt;130</t>
  </si>
  <si>
    <t>≤ 4hrs Ligero&gt;95&lt;120</t>
  </si>
  <si>
    <t>≤ 4hrs Ligero&lt;95&gt;130</t>
  </si>
  <si>
    <t>≤ 4hrsPrecisión&gt;95&lt;120</t>
  </si>
  <si>
    <t>≤ 4hrsPrecisión&lt;95&gt;130</t>
  </si>
  <si>
    <t>&gt; 4hrsEsfuerzo&gt;95&lt;120</t>
  </si>
  <si>
    <t>&gt; 4hrsEsfuerzo&lt;95&gt;130</t>
  </si>
  <si>
    <t>&gt; 4hrs Ligero&gt;95&lt;120</t>
  </si>
  <si>
    <t>&gt; 4hrs Ligero&lt;95&gt;130</t>
  </si>
  <si>
    <t>&gt; 4hrsPrecisión&gt;95&lt;120</t>
  </si>
  <si>
    <t>&gt; 4hrsPrecisión&lt;95&gt;130</t>
  </si>
  <si>
    <t>&gt;95&lt;120</t>
  </si>
  <si>
    <t>&lt;95&gt;130</t>
  </si>
  <si>
    <t>1V</t>
  </si>
  <si>
    <t>3A</t>
  </si>
  <si>
    <t>5R</t>
  </si>
  <si>
    <t>Acceso al area de trabajo, por lo menos 800mm</t>
  </si>
  <si>
    <t>Fecha (dd/mmm/aaaa)</t>
  </si>
  <si>
    <t>Linea</t>
  </si>
  <si>
    <t>Area</t>
  </si>
  <si>
    <t>Modelo</t>
  </si>
  <si>
    <t>Negocio</t>
  </si>
  <si>
    <t>John Deere</t>
  </si>
  <si>
    <t>Jacqueline Legarda M.</t>
  </si>
  <si>
    <t>Cuarto Limpio ISO 7</t>
  </si>
  <si>
    <t>000000-9521-684</t>
  </si>
  <si>
    <t xml:space="preserve">Estación de BOT ASSY GECKO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</si>
</sst>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2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2"/>
      <color indexed="8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Arial"/>
      <family val="2"/>
    </font>
    <font>
      <b/>
      <sz val="14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Arial"/>
      <family val="2"/>
    </font>
    <font>
      <sz val="11"/>
      <color theme="1"/>
      <name val="Aptos Narrow"/>
      <family val="2"/>
    </font>
    <font>
      <sz val="11"/>
      <color rgb="FF002060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Aharoni"/>
      <charset val="177"/>
    </font>
    <font>
      <b/>
      <sz val="10"/>
      <color theme="1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EF80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28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2" borderId="3" xfId="0" applyFill="1" applyBorder="1" applyProtection="1">
      <protection locked="0" hidden="1"/>
    </xf>
    <xf numFmtId="0" fontId="0" fillId="2" borderId="6" xfId="0" applyFill="1" applyBorder="1" applyProtection="1">
      <protection locked="0" hidden="1"/>
    </xf>
    <xf numFmtId="0" fontId="0" fillId="2" borderId="7" xfId="0" applyFill="1" applyBorder="1" applyProtection="1"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2" fillId="2" borderId="3" xfId="0" applyFont="1" applyFill="1" applyBorder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1" fillId="2" borderId="3" xfId="0" applyFont="1" applyFill="1" applyBorder="1" applyProtection="1">
      <protection locked="0" hidden="1"/>
    </xf>
    <xf numFmtId="2" fontId="1" fillId="2" borderId="3" xfId="0" applyNumberFormat="1" applyFont="1" applyFill="1" applyBorder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7" fillId="0" borderId="3" xfId="0" applyFont="1" applyBorder="1" applyAlignment="1" applyProtection="1">
      <alignment horizontal="center" vertical="center"/>
      <protection locked="0" hidden="1"/>
    </xf>
    <xf numFmtId="0" fontId="9" fillId="2" borderId="0" xfId="0" applyFont="1" applyFill="1" applyProtection="1">
      <protection locked="0" hidden="1"/>
    </xf>
    <xf numFmtId="0" fontId="0" fillId="5" borderId="0" xfId="0" applyFill="1" applyAlignment="1" applyProtection="1">
      <alignment horizontal="center"/>
      <protection locked="0" hidden="1"/>
    </xf>
    <xf numFmtId="0" fontId="6" fillId="2" borderId="0" xfId="0" applyFont="1" applyFill="1" applyProtection="1">
      <protection locked="0" hidden="1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10" borderId="0" xfId="0" applyFill="1"/>
    <xf numFmtId="0" fontId="18" fillId="10" borderId="0" xfId="0" applyFont="1" applyFill="1"/>
    <xf numFmtId="0" fontId="17" fillId="10" borderId="14" xfId="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0" fontId="2" fillId="10" borderId="0" xfId="0" applyFont="1" applyFill="1" applyProtection="1"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locked="0" hidden="1"/>
    </xf>
    <xf numFmtId="0" fontId="12" fillId="10" borderId="0" xfId="0" applyFont="1" applyFill="1" applyAlignment="1" applyProtection="1">
      <alignment horizontal="right"/>
      <protection hidden="1"/>
    </xf>
    <xf numFmtId="0" fontId="0" fillId="10" borderId="0" xfId="0" applyFill="1" applyProtection="1">
      <protection locked="0"/>
    </xf>
    <xf numFmtId="0" fontId="0" fillId="9" borderId="0" xfId="0" applyFill="1"/>
    <xf numFmtId="0" fontId="0" fillId="9" borderId="0" xfId="0" applyFill="1" applyAlignment="1" applyProtection="1">
      <alignment horizontal="center"/>
      <protection locked="0" hidden="1"/>
    </xf>
    <xf numFmtId="0" fontId="0" fillId="9" borderId="0" xfId="0" applyFill="1" applyAlignment="1" applyProtection="1">
      <alignment horizontal="center"/>
      <protection hidden="1"/>
    </xf>
    <xf numFmtId="0" fontId="5" fillId="2" borderId="0" xfId="0" applyFont="1" applyFill="1" applyProtection="1">
      <protection locked="0" hidden="1"/>
    </xf>
    <xf numFmtId="0" fontId="6" fillId="0" borderId="0" xfId="0" applyFont="1" applyProtection="1"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9" fillId="4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6" fillId="0" borderId="12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12" fillId="6" borderId="3" xfId="0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 applyProtection="1">
      <alignment horizontal="center"/>
      <protection hidden="1"/>
    </xf>
    <xf numFmtId="0" fontId="12" fillId="3" borderId="3" xfId="0" applyFont="1" applyFill="1" applyBorder="1" applyAlignment="1" applyProtection="1">
      <alignment horizontal="center"/>
      <protection hidden="1"/>
    </xf>
    <xf numFmtId="0" fontId="12" fillId="12" borderId="4" xfId="0" applyFont="1" applyFill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9" fillId="4" borderId="0" xfId="0" applyFont="1" applyFill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top"/>
      <protection hidden="1"/>
    </xf>
    <xf numFmtId="0" fontId="22" fillId="0" borderId="12" xfId="0" applyFont="1" applyBorder="1" applyProtection="1"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13" borderId="13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6" fillId="14" borderId="17" xfId="0" applyFont="1" applyFill="1" applyBorder="1" applyAlignment="1" applyProtection="1">
      <alignment horizontal="left" vertical="center" wrapText="1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 wrapText="1"/>
      <protection hidden="1"/>
    </xf>
    <xf numFmtId="0" fontId="24" fillId="0" borderId="17" xfId="0" applyFont="1" applyBorder="1" applyAlignment="1" applyProtection="1">
      <alignment horizontal="right" vertical="center" wrapText="1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6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28" fillId="4" borderId="0" xfId="0" applyFont="1" applyFill="1" applyProtection="1"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25" fillId="13" borderId="2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right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12" fillId="12" borderId="3" xfId="0" applyFont="1" applyFill="1" applyBorder="1" applyAlignment="1" applyProtection="1">
      <alignment horizontal="center"/>
      <protection hidden="1"/>
    </xf>
    <xf numFmtId="0" fontId="19" fillId="4" borderId="12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21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5" fillId="13" borderId="1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30" fillId="0" borderId="12" xfId="0" applyFont="1" applyBorder="1" applyAlignment="1" applyProtection="1">
      <alignment horizontal="center" vertical="center"/>
      <protection hidden="1"/>
    </xf>
    <xf numFmtId="0" fontId="31" fillId="6" borderId="3" xfId="0" applyFont="1" applyFill="1" applyBorder="1" applyAlignment="1">
      <alignment horizontal="center" vertical="center" wrapText="1"/>
    </xf>
    <xf numFmtId="0" fontId="28" fillId="15" borderId="3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23" fillId="13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32" fillId="13" borderId="17" xfId="0" applyFont="1" applyFill="1" applyBorder="1" applyAlignment="1" applyProtection="1">
      <alignment horizontal="justify" vertical="center" wrapText="1"/>
      <protection hidden="1"/>
    </xf>
    <xf numFmtId="0" fontId="23" fillId="16" borderId="17" xfId="0" applyFont="1" applyFill="1" applyBorder="1" applyAlignment="1" applyProtection="1">
      <alignment horizontal="right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/>
    <xf numFmtId="0" fontId="31" fillId="17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wrapText="1"/>
    </xf>
    <xf numFmtId="0" fontId="23" fillId="13" borderId="21" xfId="0" applyFont="1" applyFill="1" applyBorder="1" applyAlignment="1">
      <alignment horizontal="center" vertical="center" wrapText="1"/>
    </xf>
    <xf numFmtId="0" fontId="32" fillId="13" borderId="17" xfId="0" applyFont="1" applyFill="1" applyBorder="1" applyAlignment="1">
      <alignment horizontal="justify" vertical="center" wrapText="1"/>
    </xf>
    <xf numFmtId="0" fontId="32" fillId="0" borderId="21" xfId="0" applyFont="1" applyBorder="1" applyAlignment="1">
      <alignment horizontal="justify" vertical="center" wrapText="1"/>
    </xf>
    <xf numFmtId="0" fontId="23" fillId="16" borderId="17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18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10" borderId="13" xfId="0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7" fillId="10" borderId="24" xfId="2" applyFont="1" applyFill="1" applyBorder="1" applyAlignment="1" applyProtection="1">
      <alignment horizontal="center" vertical="center"/>
      <protection hidden="1"/>
    </xf>
    <xf numFmtId="0" fontId="6" fillId="18" borderId="3" xfId="0" applyFont="1" applyFill="1" applyBorder="1" applyAlignment="1">
      <alignment horizontal="center" wrapText="1"/>
    </xf>
    <xf numFmtId="0" fontId="6" fillId="18" borderId="3" xfId="0" applyFont="1" applyFill="1" applyBorder="1" applyAlignment="1">
      <alignment horizontal="center"/>
    </xf>
    <xf numFmtId="0" fontId="17" fillId="10" borderId="1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2" fillId="10" borderId="0" xfId="0" applyFont="1" applyFill="1" applyAlignment="1" applyProtection="1">
      <alignment horizontal="left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/>
    <xf numFmtId="0" fontId="1" fillId="9" borderId="0" xfId="0" applyFont="1" applyFill="1"/>
    <xf numFmtId="0" fontId="34" fillId="2" borderId="0" xfId="0" applyFont="1" applyFill="1" applyProtection="1">
      <protection locked="0" hidden="1"/>
    </xf>
    <xf numFmtId="0" fontId="0" fillId="0" borderId="3" xfId="0" applyBorder="1" applyAlignment="1">
      <alignment horizontal="center"/>
    </xf>
    <xf numFmtId="0" fontId="0" fillId="19" borderId="0" xfId="0" applyFill="1" applyProtection="1">
      <protection locked="0"/>
    </xf>
    <xf numFmtId="0" fontId="36" fillId="0" borderId="25" xfId="0" applyFont="1" applyBorder="1" applyAlignment="1">
      <alignment horizontal="center"/>
    </xf>
    <xf numFmtId="0" fontId="0" fillId="20" borderId="0" xfId="0" applyFill="1"/>
    <xf numFmtId="0" fontId="36" fillId="0" borderId="26" xfId="0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5" fillId="0" borderId="0" xfId="0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11" xfId="0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1" borderId="0" xfId="0" applyFont="1" applyFill="1"/>
    <xf numFmtId="0" fontId="0" fillId="21" borderId="0" xfId="0" applyFill="1"/>
    <xf numFmtId="0" fontId="37" fillId="10" borderId="0" xfId="0" applyFont="1" applyFill="1" applyProtection="1">
      <protection hidden="1"/>
    </xf>
    <xf numFmtId="0" fontId="6" fillId="21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13" fillId="24" borderId="1" xfId="0" applyFont="1" applyFill="1" applyBorder="1"/>
    <xf numFmtId="0" fontId="13" fillId="24" borderId="0" xfId="0" applyFont="1" applyFill="1"/>
    <xf numFmtId="0" fontId="19" fillId="0" borderId="0" xfId="0" applyFont="1"/>
    <xf numFmtId="0" fontId="6" fillId="0" borderId="1" xfId="0" applyFont="1" applyBorder="1"/>
    <xf numFmtId="0" fontId="0" fillId="0" borderId="1" xfId="0" applyBorder="1"/>
    <xf numFmtId="0" fontId="13" fillId="0" borderId="0" xfId="0" applyFont="1"/>
    <xf numFmtId="0" fontId="39" fillId="0" borderId="3" xfId="0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25" borderId="3" xfId="0" applyFont="1" applyFill="1" applyBorder="1" applyAlignment="1">
      <alignment horizontal="center"/>
    </xf>
    <xf numFmtId="0" fontId="33" fillId="2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0" fontId="0" fillId="22" borderId="0" xfId="0" applyFill="1" applyProtection="1">
      <protection locked="0" hidden="1"/>
    </xf>
    <xf numFmtId="0" fontId="0" fillId="27" borderId="0" xfId="0" applyFill="1"/>
    <xf numFmtId="0" fontId="0" fillId="26" borderId="0" xfId="0" applyFill="1"/>
    <xf numFmtId="0" fontId="40" fillId="0" borderId="0" xfId="0" applyFont="1" applyAlignment="1">
      <alignment horizontal="center"/>
    </xf>
    <xf numFmtId="0" fontId="0" fillId="25" borderId="3" xfId="0" applyFill="1" applyBorder="1" applyAlignment="1" applyProtection="1">
      <alignment horizontal="center"/>
      <protection locked="0"/>
    </xf>
    <xf numFmtId="0" fontId="0" fillId="21" borderId="3" xfId="0" applyFill="1" applyBorder="1" applyAlignment="1" applyProtection="1">
      <alignment horizontal="center"/>
      <protection locked="0"/>
    </xf>
    <xf numFmtId="0" fontId="0" fillId="23" borderId="3" xfId="0" applyFill="1" applyBorder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28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6" fillId="23" borderId="0" xfId="0" applyFont="1" applyFill="1" applyAlignment="1">
      <alignment wrapText="1"/>
    </xf>
    <xf numFmtId="0" fontId="42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6" fillId="2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4" xfId="0" applyFont="1" applyBorder="1"/>
    <xf numFmtId="0" fontId="8" fillId="0" borderId="2" xfId="0" applyFont="1" applyBorder="1"/>
    <xf numFmtId="0" fontId="0" fillId="0" borderId="0" xfId="0" applyAlignment="1">
      <alignment horizontal="left" wrapText="1"/>
    </xf>
    <xf numFmtId="0" fontId="0" fillId="0" borderId="1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23" borderId="0" xfId="0" applyFill="1" applyAlignment="1">
      <alignment wrapText="1"/>
    </xf>
    <xf numFmtId="0" fontId="0" fillId="22" borderId="0" xfId="0" applyFill="1" applyAlignment="1">
      <alignment wrapText="1"/>
    </xf>
    <xf numFmtId="0" fontId="19" fillId="2" borderId="0" xfId="0" applyFont="1" applyFill="1"/>
    <xf numFmtId="14" fontId="0" fillId="2" borderId="0" xfId="0" applyNumberFormat="1" applyFill="1"/>
    <xf numFmtId="0" fontId="38" fillId="24" borderId="1" xfId="0" applyFont="1" applyFill="1" applyBorder="1" applyAlignment="1">
      <alignment horizontal="center"/>
    </xf>
    <xf numFmtId="0" fontId="38" fillId="24" borderId="0" xfId="0" applyFont="1" applyFill="1" applyAlignment="1">
      <alignment horizontal="center"/>
    </xf>
    <xf numFmtId="15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0" fillId="2" borderId="4" xfId="0" applyFont="1" applyFill="1" applyBorder="1" applyAlignment="1" applyProtection="1">
      <alignment horizontal="left"/>
      <protection locked="0" hidden="1"/>
    </xf>
    <xf numFmtId="0" fontId="10" fillId="2" borderId="2" xfId="0" applyFont="1" applyFill="1" applyBorder="1" applyAlignment="1" applyProtection="1">
      <alignment horizontal="left"/>
      <protection locked="0" hidden="1"/>
    </xf>
    <xf numFmtId="0" fontId="10" fillId="2" borderId="8" xfId="0" applyFont="1" applyFill="1" applyBorder="1" applyAlignment="1" applyProtection="1">
      <alignment horizontal="left"/>
      <protection locked="0" hidden="1"/>
    </xf>
    <xf numFmtId="0" fontId="0" fillId="0" borderId="3" xfId="0" applyBorder="1" applyAlignment="1">
      <alignment horizontal="center"/>
    </xf>
    <xf numFmtId="0" fontId="8" fillId="2" borderId="4" xfId="0" applyFont="1" applyFill="1" applyBorder="1" applyAlignment="1" applyProtection="1">
      <alignment horizontal="left"/>
      <protection locked="0" hidden="1"/>
    </xf>
    <xf numFmtId="0" fontId="8" fillId="2" borderId="2" xfId="0" applyFont="1" applyFill="1" applyBorder="1" applyAlignment="1" applyProtection="1">
      <alignment horizontal="left"/>
      <protection locked="0" hidden="1"/>
    </xf>
    <xf numFmtId="0" fontId="8" fillId="2" borderId="8" xfId="0" applyFont="1" applyFill="1" applyBorder="1" applyAlignment="1" applyProtection="1">
      <alignment horizontal="left"/>
      <protection locked="0" hidden="1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/>
      <protection hidden="1"/>
    </xf>
    <xf numFmtId="0" fontId="24" fillId="13" borderId="15" xfId="0" applyFont="1" applyFill="1" applyBorder="1" applyAlignment="1" applyProtection="1">
      <alignment horizontal="center" vertical="center"/>
      <protection hidden="1"/>
    </xf>
    <xf numFmtId="0" fontId="24" fillId="13" borderId="17" xfId="0" applyFont="1" applyFill="1" applyBorder="1" applyAlignment="1" applyProtection="1">
      <alignment horizontal="center" vertical="center"/>
      <protection hidden="1"/>
    </xf>
    <xf numFmtId="0" fontId="25" fillId="13" borderId="14" xfId="0" applyFont="1" applyFill="1" applyBorder="1" applyAlignment="1" applyProtection="1">
      <alignment horizontal="center" vertical="center" wrapText="1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6" xfId="0" applyFont="1" applyBorder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left" wrapText="1"/>
      <protection hidden="1"/>
    </xf>
    <xf numFmtId="0" fontId="22" fillId="0" borderId="11" xfId="0" applyFont="1" applyBorder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11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4" fillId="0" borderId="14" xfId="0" applyFont="1" applyBorder="1" applyAlignment="1" applyProtection="1">
      <alignment horizontal="right" vertical="center" wrapText="1"/>
      <protection hidden="1"/>
    </xf>
    <xf numFmtId="0" fontId="24" fillId="0" borderId="16" xfId="0" applyFont="1" applyBorder="1" applyAlignment="1" applyProtection="1">
      <alignment horizontal="right" vertical="center" wrapText="1"/>
      <protection hidden="1"/>
    </xf>
    <xf numFmtId="0" fontId="26" fillId="14" borderId="14" xfId="0" applyFont="1" applyFill="1" applyBorder="1" applyAlignment="1" applyProtection="1">
      <alignment horizontal="left" vertical="center" wrapText="1"/>
      <protection hidden="1"/>
    </xf>
    <xf numFmtId="0" fontId="26" fillId="14" borderId="16" xfId="0" applyFont="1" applyFill="1" applyBorder="1" applyAlignment="1" applyProtection="1">
      <alignment horizontal="left" vertical="center" wrapText="1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4" fillId="13" borderId="18" xfId="0" applyFont="1" applyFill="1" applyBorder="1" applyAlignment="1" applyProtection="1">
      <alignment horizontal="center" vertical="center"/>
      <protection hidden="1"/>
    </xf>
    <xf numFmtId="0" fontId="24" fillId="13" borderId="19" xfId="0" applyFont="1" applyFill="1" applyBorder="1" applyAlignment="1" applyProtection="1">
      <alignment horizontal="center" vertical="center"/>
      <protection hidden="1"/>
    </xf>
    <xf numFmtId="0" fontId="24" fillId="13" borderId="20" xfId="0" applyFont="1" applyFill="1" applyBorder="1" applyAlignment="1" applyProtection="1">
      <alignment horizontal="center" vertical="center"/>
      <protection hidden="1"/>
    </xf>
    <xf numFmtId="0" fontId="24" fillId="13" borderId="21" xfId="0" applyFont="1" applyFill="1" applyBorder="1" applyAlignment="1" applyProtection="1">
      <alignment horizontal="center" vertical="center"/>
      <protection hidden="1"/>
    </xf>
    <xf numFmtId="0" fontId="23" fillId="13" borderId="15" xfId="0" applyFont="1" applyFill="1" applyBorder="1" applyAlignment="1" applyProtection="1">
      <alignment horizontal="left" vertical="center"/>
      <protection hidden="1"/>
    </xf>
    <xf numFmtId="0" fontId="23" fillId="13" borderId="17" xfId="0" applyFont="1" applyFill="1" applyBorder="1" applyAlignment="1" applyProtection="1">
      <alignment horizontal="left" vertical="center"/>
      <protection hidden="1"/>
    </xf>
    <xf numFmtId="0" fontId="23" fillId="13" borderId="14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6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 wrapText="1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0" borderId="12" xfId="0" applyFont="1" applyBorder="1" applyAlignment="1" applyProtection="1">
      <alignment horizontal="left"/>
      <protection hidden="1"/>
    </xf>
    <xf numFmtId="0" fontId="32" fillId="0" borderId="1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 wrapText="1"/>
    </xf>
    <xf numFmtId="0" fontId="23" fillId="13" borderId="16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left" wrapText="1"/>
    </xf>
    <xf numFmtId="0" fontId="21" fillId="0" borderId="0" xfId="0" applyFont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24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 2" xfId="2" xr:uid="{00000000-0005-0000-0000-000001000000}"/>
    <cellStyle name="Normal 3 20" xfId="1" xr:uid="{00000000-0005-0000-0000-000002000000}"/>
  </cellStyles>
  <dxfs count="204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7EB22"/>
      </font>
      <fill>
        <patternFill>
          <bgColor rgb="FF5BEC0A"/>
        </patternFill>
      </fill>
    </dxf>
    <dxf>
      <font>
        <color rgb="FF07EB22"/>
      </font>
      <fill>
        <patternFill>
          <bgColor rgb="FF07EB22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740EC"/>
      <color rgb="FFE7E200"/>
      <color rgb="FFFFFF00"/>
      <color rgb="FF99B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AD$9" lockText="1"/>
</file>

<file path=xl/ctrlProps/ctrlProp2.xml><?xml version="1.0" encoding="utf-8"?>
<formControlPr xmlns="http://schemas.microsoft.com/office/spreadsheetml/2009/9/main" objectType="CheckBox" checked="Checked" fmlaLink="$AE$9" lockText="1"/>
</file>

<file path=xl/ctrlProps/ctrlProp3.xml><?xml version="1.0" encoding="utf-8"?>
<formControlPr xmlns="http://schemas.microsoft.com/office/spreadsheetml/2009/9/main" objectType="CheckBox" fmlaLink="$AD$8" lockText="1"/>
</file>

<file path=xl/ctrlProps/ctrlProp4.xml><?xml version="1.0" encoding="utf-8"?>
<formControlPr xmlns="http://schemas.microsoft.com/office/spreadsheetml/2009/9/main" objectType="CheckBox" fmlaLink="$AE$8" lockText="1"/>
</file>

<file path=xl/ctrlProps/ctrlProp5.xml><?xml version="1.0" encoding="utf-8"?>
<formControlPr xmlns="http://schemas.microsoft.com/office/spreadsheetml/2009/9/main" objectType="CheckBox" fmlaLink="$AD$4" lockText="1"/>
</file>

<file path=xl/ctrlProps/ctrlProp6.xml><?xml version="1.0" encoding="utf-8"?>
<formControlPr xmlns="http://schemas.microsoft.com/office/spreadsheetml/2009/9/main" objectType="CheckBox" fmlaLink="$AE$4" lockText="1"/>
</file>

<file path=xl/ctrlProps/ctrlProp7.xml><?xml version="1.0" encoding="utf-8"?>
<formControlPr xmlns="http://schemas.microsoft.com/office/spreadsheetml/2009/9/main" objectType="CheckBox" fmlaLink="$AD$6" lockText="1"/>
</file>

<file path=xl/ctrlProps/ctrlProp8.xml><?xml version="1.0" encoding="utf-8"?>
<formControlPr xmlns="http://schemas.microsoft.com/office/spreadsheetml/2009/9/main" objectType="CheckBox" fmlaLink="$AE$6" lockText="1"/>
</file>

<file path=xl/ctrlProps/ctrlProp9.xml><?xml version="1.0" encoding="utf-8"?>
<formControlPr xmlns="http://schemas.microsoft.com/office/spreadsheetml/2009/9/main" objectType="CheckBox" fmlaLink="$AB$8" lockText="1"/>
</file>

<file path=xl/ctrlProps/ctrlProp10.xml><?xml version="1.0" encoding="utf-8"?>
<formControlPr xmlns="http://schemas.microsoft.com/office/spreadsheetml/2009/9/main" objectType="CheckBox" fmlaLink="$AC$8" lockText="1"/>
</file>

<file path=xl/ctrlProps/ctrlProp11.xml><?xml version="1.0" encoding="utf-8"?>
<formControlPr xmlns="http://schemas.microsoft.com/office/spreadsheetml/2009/9/main" objectType="CheckBox" checked="Checked" fmlaLink="$AA$6" lockText="1"/>
</file>

<file path=xl/ctrlProps/ctrlProp12.xml><?xml version="1.0" encoding="utf-8"?>
<formControlPr xmlns="http://schemas.microsoft.com/office/spreadsheetml/2009/9/main" objectType="CheckBox" fmlaLink="$Y$4" lockText="1"/>
</file>

<file path=xl/ctrlProps/ctrlProp13.xml><?xml version="1.0" encoding="utf-8"?>
<formControlPr xmlns="http://schemas.microsoft.com/office/spreadsheetml/2009/9/main" objectType="CheckBox" fmlaLink="$AA$4" lockText="1"/>
</file>

<file path=xl/ctrlProps/ctrlProp14.xml><?xml version="1.0" encoding="utf-8"?>
<formControlPr xmlns="http://schemas.microsoft.com/office/spreadsheetml/2009/9/main" objectType="CheckBox" fmlaLink="$AB$4" lockText="1"/>
</file>

<file path=xl/ctrlProps/ctrlProp15.xml><?xml version="1.0" encoding="utf-8"?>
<formControlPr xmlns="http://schemas.microsoft.com/office/spreadsheetml/2009/9/main" objectType="CheckBox" fmlaLink="$AB$6" lockText="1"/>
</file>

<file path=xl/ctrlProps/ctrlProp16.xml><?xml version="1.0" encoding="utf-8"?>
<formControlPr xmlns="http://schemas.microsoft.com/office/spreadsheetml/2009/9/main" objectType="CheckBox" fmlaLink="$Z$4" lockText="1"/>
</file>

<file path=xl/ctrlProps/ctrlProp17.xml><?xml version="1.0" encoding="utf-8"?>
<formControlPr xmlns="http://schemas.microsoft.com/office/spreadsheetml/2009/9/main" objectType="CheckBox" fmlaLink="$W$4" lockText="1"/>
</file>

<file path=xl/ctrlProps/ctrlProp18.xml><?xml version="1.0" encoding="utf-8"?>
<formControlPr xmlns="http://schemas.microsoft.com/office/spreadsheetml/2009/9/main" objectType="CheckBox" fmlaLink="$V$4" lockText="1"/>
</file>

<file path=xl/ctrlProps/ctrlProp19.xml><?xml version="1.0" encoding="utf-8"?>
<formControlPr xmlns="http://schemas.microsoft.com/office/spreadsheetml/2009/9/main" objectType="CheckBox" fmlaLink="$X$4" lockText="1"/>
</file>

<file path=xl/ctrlProps/ctrlProp20.xml><?xml version="1.0" encoding="utf-8"?>
<formControlPr xmlns="http://schemas.microsoft.com/office/spreadsheetml/2009/9/main" objectType="CheckBox" fmlaLink="$Z$6" lockText="1"/>
</file>

<file path=xl/ctrlProps/ctrlProp21.xml><?xml version="1.0" encoding="utf-8"?>
<formControlPr xmlns="http://schemas.microsoft.com/office/spreadsheetml/2009/9/main" objectType="CheckBox" checked="Checked" fmlaLink="$AC$6" lockText="1"/>
</file>

<file path=xl/ctrlProps/ctrlProp22.xml><?xml version="1.0" encoding="utf-8"?>
<formControlPr xmlns="http://schemas.microsoft.com/office/spreadsheetml/2009/9/main" objectType="CheckBox" fmlaLink="$AC$4" lockText="1"/>
</file>

<file path=xl/ctrlProps/ctrlProp23.xml><?xml version="1.0" encoding="utf-8"?>
<formControlPr xmlns="http://schemas.microsoft.com/office/spreadsheetml/2009/9/main" objectType="CheckBox" fmlaLink="$AE$2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1.png"/><Relationship Id="rId7" Type="http://schemas.openxmlformats.org/officeDocument/2006/relationships/image" Target="../media/image27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6.png"/><Relationship Id="rId11" Type="http://schemas.openxmlformats.org/officeDocument/2006/relationships/image" Target="../media/image37.png"/><Relationship Id="rId5" Type="http://schemas.openxmlformats.org/officeDocument/2006/relationships/image" Target="../media/image33.png"/><Relationship Id="rId10" Type="http://schemas.openxmlformats.org/officeDocument/2006/relationships/image" Target="../media/image36.png"/><Relationship Id="rId4" Type="http://schemas.openxmlformats.org/officeDocument/2006/relationships/image" Target="../media/image32.png"/><Relationship Id="rId9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10" Type="http://schemas.openxmlformats.org/officeDocument/2006/relationships/image" Target="../media/image45.png"/><Relationship Id="rId4" Type="http://schemas.openxmlformats.org/officeDocument/2006/relationships/image" Target="../media/image41.png"/><Relationship Id="rId9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58.pn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png"/><Relationship Id="rId17" Type="http://schemas.openxmlformats.org/officeDocument/2006/relationships/image" Target="../media/image62.png"/><Relationship Id="rId2" Type="http://schemas.openxmlformats.org/officeDocument/2006/relationships/image" Target="../media/image47.png"/><Relationship Id="rId16" Type="http://schemas.openxmlformats.org/officeDocument/2006/relationships/image" Target="../media/image61.png"/><Relationship Id="rId1" Type="http://schemas.openxmlformats.org/officeDocument/2006/relationships/image" Target="../media/image46.png"/><Relationship Id="rId6" Type="http://schemas.openxmlformats.org/officeDocument/2006/relationships/image" Target="../media/image51.pn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5" Type="http://schemas.openxmlformats.org/officeDocument/2006/relationships/image" Target="../media/image60.png"/><Relationship Id="rId10" Type="http://schemas.openxmlformats.org/officeDocument/2006/relationships/image" Target="../media/image55.png"/><Relationship Id="rId4" Type="http://schemas.openxmlformats.org/officeDocument/2006/relationships/image" Target="../media/image49.png"/><Relationship Id="rId9" Type="http://schemas.openxmlformats.org/officeDocument/2006/relationships/image" Target="../media/image54.png"/><Relationship Id="rId1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13" Type="http://schemas.openxmlformats.org/officeDocument/2006/relationships/image" Target="../media/image75.png"/><Relationship Id="rId18" Type="http://schemas.openxmlformats.org/officeDocument/2006/relationships/image" Target="../media/image80.pn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12" Type="http://schemas.openxmlformats.org/officeDocument/2006/relationships/image" Target="../media/image74.png"/><Relationship Id="rId17" Type="http://schemas.openxmlformats.org/officeDocument/2006/relationships/image" Target="../media/image79.png"/><Relationship Id="rId2" Type="http://schemas.openxmlformats.org/officeDocument/2006/relationships/image" Target="../media/image64.png"/><Relationship Id="rId16" Type="http://schemas.openxmlformats.org/officeDocument/2006/relationships/image" Target="../media/image78.png"/><Relationship Id="rId1" Type="http://schemas.openxmlformats.org/officeDocument/2006/relationships/image" Target="../media/image63.png"/><Relationship Id="rId6" Type="http://schemas.openxmlformats.org/officeDocument/2006/relationships/image" Target="../media/image68.png"/><Relationship Id="rId11" Type="http://schemas.openxmlformats.org/officeDocument/2006/relationships/image" Target="../media/image73.png"/><Relationship Id="rId5" Type="http://schemas.openxmlformats.org/officeDocument/2006/relationships/image" Target="../media/image67.png"/><Relationship Id="rId15" Type="http://schemas.openxmlformats.org/officeDocument/2006/relationships/image" Target="../media/image77.png"/><Relationship Id="rId10" Type="http://schemas.openxmlformats.org/officeDocument/2006/relationships/image" Target="../media/image72.png"/><Relationship Id="rId4" Type="http://schemas.openxmlformats.org/officeDocument/2006/relationships/image" Target="../media/image66.png"/><Relationship Id="rId9" Type="http://schemas.openxmlformats.org/officeDocument/2006/relationships/image" Target="../media/image71.png"/><Relationship Id="rId14" Type="http://schemas.openxmlformats.org/officeDocument/2006/relationships/image" Target="../media/image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54701</xdr:colOff>
      <xdr:row>7</xdr:row>
      <xdr:rowOff>149770</xdr:rowOff>
    </xdr:from>
    <xdr:to>
      <xdr:col>10</xdr:col>
      <xdr:colOff>496558</xdr:colOff>
      <xdr:row>27</xdr:row>
      <xdr:rowOff>73957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673826" y="1540420"/>
          <a:ext cx="6490232" cy="3677037"/>
          <a:chOff x="647700" y="971550"/>
          <a:chExt cx="6649591" cy="406750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duotone>
              <a:prstClr val="black"/>
              <a:schemeClr val="accent1">
                <a:tint val="45000"/>
                <a:satMod val="400000"/>
              </a:schemeClr>
            </a:duotone>
          </a:blip>
          <a:srcRect t="67816"/>
          <a:stretch/>
        </xdr:blipFill>
        <xdr:spPr>
          <a:xfrm>
            <a:off x="647700" y="971550"/>
            <a:ext cx="6649591" cy="40675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Check Box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000-000001540000}"/>
                  </a:ext>
                </a:extLst>
              </xdr:cNvPr>
              <xdr:cNvSpPr/>
            </xdr:nvSpPr>
            <xdr:spPr bwMode="auto">
              <a:xfrm>
                <a:off x="3047999" y="286702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Check Box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000-000002540000}"/>
                  </a:ext>
                </a:extLst>
              </xdr:cNvPr>
              <xdr:cNvSpPr/>
            </xdr:nvSpPr>
            <xdr:spPr bwMode="auto">
              <a:xfrm>
                <a:off x="4552950" y="28574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Check Box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000-000003540000}"/>
                  </a:ext>
                </a:extLst>
              </xdr:cNvPr>
              <xdr:cNvSpPr/>
            </xdr:nvSpPr>
            <xdr:spPr bwMode="auto">
              <a:xfrm>
                <a:off x="3486149" y="2305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Check Box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000-000004540000}"/>
                  </a:ext>
                </a:extLst>
              </xdr:cNvPr>
              <xdr:cNvSpPr/>
            </xdr:nvSpPr>
            <xdr:spPr bwMode="auto">
              <a:xfrm>
                <a:off x="4057651" y="228599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Check Box 5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000-000005540000}"/>
                  </a:ext>
                </a:extLst>
              </xdr:cNvPr>
              <xdr:cNvSpPr/>
            </xdr:nvSpPr>
            <xdr:spPr bwMode="auto">
              <a:xfrm>
                <a:off x="2419351" y="188594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Check Box 6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000-000006540000}"/>
                  </a:ext>
                </a:extLst>
              </xdr:cNvPr>
              <xdr:cNvSpPr/>
            </xdr:nvSpPr>
            <xdr:spPr bwMode="auto">
              <a:xfrm>
                <a:off x="5229226" y="19145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Check Box 7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000-000007540000}"/>
                  </a:ext>
                </a:extLst>
              </xdr:cNvPr>
              <xdr:cNvSpPr/>
            </xdr:nvSpPr>
            <xdr:spPr bwMode="auto">
              <a:xfrm>
                <a:off x="1638299" y="2571750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Check Box 8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000-000008540000}"/>
                  </a:ext>
                </a:extLst>
              </xdr:cNvPr>
              <xdr:cNvSpPr/>
            </xdr:nvSpPr>
            <xdr:spPr bwMode="auto">
              <a:xfrm>
                <a:off x="5962650" y="259079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heck Box 9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000-000009540000}"/>
                  </a:ext>
                </a:extLst>
              </xdr:cNvPr>
              <xdr:cNvSpPr/>
            </xdr:nvSpPr>
            <xdr:spPr bwMode="auto">
              <a:xfrm>
                <a:off x="5734051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heck Box 10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000-00000A540000}"/>
                  </a:ext>
                </a:extLst>
              </xdr:cNvPr>
              <xdr:cNvSpPr/>
            </xdr:nvSpPr>
            <xdr:spPr bwMode="auto">
              <a:xfrm>
                <a:off x="1971675" y="29051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Check Box 11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000-00000B540000}"/>
                  </a:ext>
                </a:extLst>
              </xdr:cNvPr>
              <xdr:cNvSpPr/>
            </xdr:nvSpPr>
            <xdr:spPr bwMode="auto">
              <a:xfrm>
                <a:off x="5857875" y="33718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Check Box 12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000-00000C540000}"/>
                  </a:ext>
                </a:extLst>
              </xdr:cNvPr>
              <xdr:cNvSpPr/>
            </xdr:nvSpPr>
            <xdr:spPr bwMode="auto">
              <a:xfrm>
                <a:off x="6734177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heck Box 13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000-00000D540000}"/>
                  </a:ext>
                </a:extLst>
              </xdr:cNvPr>
              <xdr:cNvSpPr/>
            </xdr:nvSpPr>
            <xdr:spPr bwMode="auto">
              <a:xfrm>
                <a:off x="1323975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8" name="Check Box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304925" y="39242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9" name="Check Box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2343150" y="3914776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0" name="Check Box 16" hidden="1">
                <a:extLst>
                  <a:ext uri="{63B3BB69-23CF-44E3-9099-C40C66FF867C}">
                    <a14:compatExt spid="_x0000_s21520"/>
                  </a:ext>
                  <a:ext uri="{FF2B5EF4-FFF2-40B4-BE49-F238E27FC236}">
                    <a16:creationId xmlns:a16="http://schemas.microsoft.com/office/drawing/2014/main" id="{00000000-0008-0000-0000-000010540000}"/>
                  </a:ext>
                </a:extLst>
              </xdr:cNvPr>
              <xdr:cNvSpPr/>
            </xdr:nvSpPr>
            <xdr:spPr bwMode="auto">
              <a:xfrm>
                <a:off x="2362201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1" name="Check Box 17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000-000011540000}"/>
                  </a:ext>
                </a:extLst>
              </xdr:cNvPr>
              <xdr:cNvSpPr/>
            </xdr:nvSpPr>
            <xdr:spPr bwMode="auto">
              <a:xfrm>
                <a:off x="6781799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2" name="Check Box 18" hidden="1">
                <a:extLst>
                  <a:ext uri="{63B3BB69-23CF-44E3-9099-C40C66FF867C}">
                    <a14:compatExt spid="_x0000_s21522"/>
                  </a:ext>
                  <a:ext uri="{FF2B5EF4-FFF2-40B4-BE49-F238E27FC236}">
                    <a16:creationId xmlns:a16="http://schemas.microsoft.com/office/drawing/2014/main" id="{00000000-0008-0000-0000-000012540000}"/>
                  </a:ext>
                </a:extLst>
              </xdr:cNvPr>
              <xdr:cNvSpPr/>
            </xdr:nvSpPr>
            <xdr:spPr bwMode="auto">
              <a:xfrm>
                <a:off x="5905500" y="44481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3" name="Check Box 19" hidden="1">
                <a:extLst>
                  <a:ext uri="{63B3BB69-23CF-44E3-9099-C40C66FF867C}">
                    <a14:compatExt spid="_x0000_s21523"/>
                  </a:ext>
                  <a:ext uri="{FF2B5EF4-FFF2-40B4-BE49-F238E27FC236}">
                    <a16:creationId xmlns:a16="http://schemas.microsoft.com/office/drawing/2014/main" id="{00000000-0008-0000-0000-000013540000}"/>
                  </a:ext>
                </a:extLst>
              </xdr:cNvPr>
              <xdr:cNvSpPr/>
            </xdr:nvSpPr>
            <xdr:spPr bwMode="auto">
              <a:xfrm>
                <a:off x="6772276" y="387667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4" name="Check Box 20" hidden="1">
                <a:extLst>
                  <a:ext uri="{63B3BB69-23CF-44E3-9099-C40C66FF867C}">
                    <a14:compatExt spid="_x0000_s21524"/>
                  </a:ext>
                  <a:ext uri="{FF2B5EF4-FFF2-40B4-BE49-F238E27FC236}">
                    <a16:creationId xmlns:a16="http://schemas.microsoft.com/office/drawing/2014/main" id="{00000000-0008-0000-0000-000014540000}"/>
                  </a:ext>
                </a:extLst>
              </xdr:cNvPr>
              <xdr:cNvSpPr/>
            </xdr:nvSpPr>
            <xdr:spPr bwMode="auto">
              <a:xfrm>
                <a:off x="5867401" y="390524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5" name="Check Box 21" hidden="1">
                <a:extLst>
                  <a:ext uri="{63B3BB69-23CF-44E3-9099-C40C66FF867C}">
                    <a14:compatExt spid="_x0000_s21525"/>
                  </a:ext>
                  <a:ext uri="{FF2B5EF4-FFF2-40B4-BE49-F238E27FC236}">
                    <a16:creationId xmlns:a16="http://schemas.microsoft.com/office/drawing/2014/main" id="{00000000-0008-0000-0000-000015540000}"/>
                  </a:ext>
                </a:extLst>
              </xdr:cNvPr>
              <xdr:cNvSpPr/>
            </xdr:nvSpPr>
            <xdr:spPr bwMode="auto">
              <a:xfrm>
                <a:off x="1733550" y="34194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6" name="Check Box 22" hidden="1">
                <a:extLst>
                  <a:ext uri="{63B3BB69-23CF-44E3-9099-C40C66FF867C}">
                    <a14:compatExt spid="_x0000_s21526"/>
                  </a:ext>
                  <a:ext uri="{FF2B5EF4-FFF2-40B4-BE49-F238E27FC236}">
                    <a16:creationId xmlns:a16="http://schemas.microsoft.com/office/drawing/2014/main" id="{00000000-0008-0000-0000-000016540000}"/>
                  </a:ext>
                </a:extLst>
              </xdr:cNvPr>
              <xdr:cNvSpPr/>
            </xdr:nvSpPr>
            <xdr:spPr bwMode="auto">
              <a:xfrm>
                <a:off x="895350" y="30289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7" name="Check Box 23" hidden="1">
                <a:extLst>
                  <a:ext uri="{63B3BB69-23CF-44E3-9099-C40C66FF867C}">
                    <a14:compatExt spid="_x0000_s21527"/>
                  </a:ext>
                  <a:ext uri="{FF2B5EF4-FFF2-40B4-BE49-F238E27FC236}">
                    <a16:creationId xmlns:a16="http://schemas.microsoft.com/office/drawing/2014/main" id="{00000000-0008-0000-0000-000017540000}"/>
                  </a:ext>
                </a:extLst>
              </xdr:cNvPr>
              <xdr:cNvSpPr/>
            </xdr:nvSpPr>
            <xdr:spPr bwMode="auto">
              <a:xfrm>
                <a:off x="3686174" y="1543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</xdr:col>
      <xdr:colOff>562806</xdr:colOff>
      <xdr:row>188</xdr:row>
      <xdr:rowOff>22905</xdr:rowOff>
    </xdr:from>
    <xdr:to>
      <xdr:col>3</xdr:col>
      <xdr:colOff>517359</xdr:colOff>
      <xdr:row>196</xdr:row>
      <xdr:rowOff>15406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99" r="7574" b="1735"/>
        <a:stretch/>
      </xdr:blipFill>
      <xdr:spPr>
        <a:xfrm>
          <a:off x="1202886" y="37193265"/>
          <a:ext cx="1486173" cy="1539361"/>
        </a:xfrm>
        <a:prstGeom prst="rect">
          <a:avLst/>
        </a:prstGeom>
      </xdr:spPr>
    </xdr:pic>
    <xdr:clientData/>
  </xdr:twoCellAnchor>
  <xdr:twoCellAnchor editAs="absolute">
    <xdr:from>
      <xdr:col>9</xdr:col>
      <xdr:colOff>112606</xdr:colOff>
      <xdr:row>33</xdr:row>
      <xdr:rowOff>99222</xdr:rowOff>
    </xdr:from>
    <xdr:to>
      <xdr:col>10</xdr:col>
      <xdr:colOff>836295</xdr:colOff>
      <xdr:row>34</xdr:row>
      <xdr:rowOff>170150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spect="1"/>
        </xdr:cNvSpPr>
      </xdr:nvSpPr>
      <xdr:spPr>
        <a:xfrm>
          <a:off x="6237181" y="6143200"/>
          <a:ext cx="1487594" cy="251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Sentado-de pie (P)(S)</a:t>
          </a:r>
        </a:p>
      </xdr:txBody>
    </xdr:sp>
    <xdr:clientData/>
  </xdr:twoCellAnchor>
  <xdr:twoCellAnchor>
    <xdr:from>
      <xdr:col>5</xdr:col>
      <xdr:colOff>414617</xdr:colOff>
      <xdr:row>198</xdr:row>
      <xdr:rowOff>15207</xdr:rowOff>
    </xdr:from>
    <xdr:to>
      <xdr:col>6</xdr:col>
      <xdr:colOff>0</xdr:colOff>
      <xdr:row>201</xdr:row>
      <xdr:rowOff>183295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66477" y="39098187"/>
          <a:ext cx="50203" cy="71672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22412</xdr:colOff>
      <xdr:row>198</xdr:row>
      <xdr:rowOff>112059</xdr:rowOff>
    </xdr:from>
    <xdr:to>
      <xdr:col>5</xdr:col>
      <xdr:colOff>231321</xdr:colOff>
      <xdr:row>199</xdr:row>
      <xdr:rowOff>149679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834192" y="39195039"/>
          <a:ext cx="848989" cy="22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315018</xdr:colOff>
      <xdr:row>33</xdr:row>
      <xdr:rowOff>47345</xdr:rowOff>
    </xdr:from>
    <xdr:to>
      <xdr:col>52</xdr:col>
      <xdr:colOff>285392</xdr:colOff>
      <xdr:row>65</xdr:row>
      <xdr:rowOff>147651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6090005"/>
          <a:ext cx="0" cy="624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286147</xdr:colOff>
      <xdr:row>14</xdr:row>
      <xdr:rowOff>43529</xdr:rowOff>
    </xdr:from>
    <xdr:to>
      <xdr:col>50</xdr:col>
      <xdr:colOff>387138</xdr:colOff>
      <xdr:row>25</xdr:row>
      <xdr:rowOff>60739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0700" y="2657189"/>
          <a:ext cx="0" cy="2028890"/>
        </a:xfrm>
        <a:prstGeom prst="rect">
          <a:avLst/>
        </a:prstGeom>
      </xdr:spPr>
    </xdr:pic>
    <xdr:clientData/>
  </xdr:twoCellAnchor>
  <xdr:twoCellAnchor editAs="oneCell">
    <xdr:from>
      <xdr:col>0</xdr:col>
      <xdr:colOff>87050</xdr:colOff>
      <xdr:row>33</xdr:row>
      <xdr:rowOff>16534</xdr:rowOff>
    </xdr:from>
    <xdr:to>
      <xdr:col>4</xdr:col>
      <xdr:colOff>436162</xdr:colOff>
      <xdr:row>50</xdr:row>
      <xdr:rowOff>159640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50" y="6341134"/>
          <a:ext cx="3073262" cy="3400656"/>
        </a:xfrm>
        <a:prstGeom prst="rect">
          <a:avLst/>
        </a:prstGeom>
      </xdr:spPr>
    </xdr:pic>
    <xdr:clientData/>
  </xdr:twoCellAnchor>
  <xdr:twoCellAnchor>
    <xdr:from>
      <xdr:col>2</xdr:col>
      <xdr:colOff>535452</xdr:colOff>
      <xdr:row>39</xdr:row>
      <xdr:rowOff>135401</xdr:rowOff>
    </xdr:from>
    <xdr:to>
      <xdr:col>4</xdr:col>
      <xdr:colOff>345537</xdr:colOff>
      <xdr:row>41</xdr:row>
      <xdr:rowOff>73269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68977" y="7212476"/>
          <a:ext cx="1086435" cy="299818"/>
        </a:xfrm>
        <a:prstGeom prst="rect">
          <a:avLst/>
        </a:prstGeom>
        <a:solidFill>
          <a:schemeClr val="accent6">
            <a:lumMod val="60000"/>
            <a:lumOff val="40000"/>
            <a:alpha val="6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604630</xdr:colOff>
      <xdr:row>96</xdr:row>
      <xdr:rowOff>18170</xdr:rowOff>
    </xdr:from>
    <xdr:to>
      <xdr:col>7</xdr:col>
      <xdr:colOff>857581</xdr:colOff>
      <xdr:row>103</xdr:row>
      <xdr:rowOff>16078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4630" y="18231627"/>
          <a:ext cx="4800103" cy="14473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620357</xdr:colOff>
      <xdr:row>105</xdr:row>
      <xdr:rowOff>65554</xdr:rowOff>
    </xdr:from>
    <xdr:to>
      <xdr:col>7</xdr:col>
      <xdr:colOff>855456</xdr:colOff>
      <xdr:row>112</xdr:row>
      <xdr:rowOff>18602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357" y="20144254"/>
          <a:ext cx="4791859" cy="14465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627530</xdr:colOff>
      <xdr:row>114</xdr:row>
      <xdr:rowOff>22190</xdr:rowOff>
    </xdr:from>
    <xdr:to>
      <xdr:col>7</xdr:col>
      <xdr:colOff>855458</xdr:colOff>
      <xdr:row>121</xdr:row>
      <xdr:rowOff>16922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7530" y="22021130"/>
          <a:ext cx="4784688" cy="14882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123</xdr:row>
      <xdr:rowOff>0</xdr:rowOff>
    </xdr:from>
    <xdr:to>
      <xdr:col>7</xdr:col>
      <xdr:colOff>859268</xdr:colOff>
      <xdr:row>126</xdr:row>
      <xdr:rowOff>132341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0081" y="23919180"/>
          <a:ext cx="4775947" cy="7724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1</xdr:rowOff>
    </xdr:from>
    <xdr:to>
      <xdr:col>7</xdr:col>
      <xdr:colOff>859043</xdr:colOff>
      <xdr:row>130</xdr:row>
      <xdr:rowOff>172122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24985981"/>
          <a:ext cx="4775723" cy="598842"/>
        </a:xfrm>
        <a:prstGeom prst="rect">
          <a:avLst/>
        </a:prstGeom>
      </xdr:spPr>
    </xdr:pic>
    <xdr:clientData/>
  </xdr:twoCellAnchor>
  <xdr:twoCellAnchor editAs="oneCell">
    <xdr:from>
      <xdr:col>0</xdr:col>
      <xdr:colOff>627529</xdr:colOff>
      <xdr:row>132</xdr:row>
      <xdr:rowOff>56030</xdr:rowOff>
    </xdr:from>
    <xdr:to>
      <xdr:col>7</xdr:col>
      <xdr:colOff>819934</xdr:colOff>
      <xdr:row>135</xdr:row>
      <xdr:rowOff>151115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529" y="25895450"/>
          <a:ext cx="4749165" cy="735166"/>
        </a:xfrm>
        <a:prstGeom prst="rect">
          <a:avLst/>
        </a:prstGeom>
      </xdr:spPr>
    </xdr:pic>
    <xdr:clientData/>
  </xdr:twoCellAnchor>
  <xdr:twoCellAnchor editAs="oneCell">
    <xdr:from>
      <xdr:col>0</xdr:col>
      <xdr:colOff>586293</xdr:colOff>
      <xdr:row>162</xdr:row>
      <xdr:rowOff>33398</xdr:rowOff>
    </xdr:from>
    <xdr:to>
      <xdr:col>7</xdr:col>
      <xdr:colOff>820160</xdr:colOff>
      <xdr:row>165</xdr:row>
      <xdr:rowOff>56075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293" y="32273618"/>
          <a:ext cx="4790627" cy="662757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146</xdr:row>
      <xdr:rowOff>33618</xdr:rowOff>
    </xdr:from>
    <xdr:to>
      <xdr:col>7</xdr:col>
      <xdr:colOff>821840</xdr:colOff>
      <xdr:row>153</xdr:row>
      <xdr:rowOff>92249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118" y="28860078"/>
          <a:ext cx="4773482" cy="1552151"/>
        </a:xfrm>
        <a:prstGeom prst="rect">
          <a:avLst/>
        </a:prstGeom>
      </xdr:spPr>
    </xdr:pic>
    <xdr:clientData/>
  </xdr:twoCellAnchor>
  <xdr:twoCellAnchor editAs="oneCell">
    <xdr:from>
      <xdr:col>0</xdr:col>
      <xdr:colOff>597721</xdr:colOff>
      <xdr:row>155</xdr:row>
      <xdr:rowOff>0</xdr:rowOff>
    </xdr:from>
    <xdr:to>
      <xdr:col>7</xdr:col>
      <xdr:colOff>816915</xdr:colOff>
      <xdr:row>160</xdr:row>
      <xdr:rowOff>130885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7721" y="30746700"/>
          <a:ext cx="4775954" cy="11976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1</xdr:rowOff>
    </xdr:from>
    <xdr:to>
      <xdr:col>7</xdr:col>
      <xdr:colOff>816349</xdr:colOff>
      <xdr:row>170</xdr:row>
      <xdr:rowOff>94834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080" y="33307021"/>
          <a:ext cx="4733029" cy="734915"/>
        </a:xfrm>
        <a:prstGeom prst="rect">
          <a:avLst/>
        </a:prstGeom>
      </xdr:spPr>
    </xdr:pic>
    <xdr:clientData/>
  </xdr:twoCellAnchor>
  <xdr:twoCellAnchor editAs="oneCell">
    <xdr:from>
      <xdr:col>0</xdr:col>
      <xdr:colOff>304213</xdr:colOff>
      <xdr:row>57</xdr:row>
      <xdr:rowOff>148443</xdr:rowOff>
    </xdr:from>
    <xdr:to>
      <xdr:col>3</xdr:col>
      <xdr:colOff>458603</xdr:colOff>
      <xdr:row>68</xdr:row>
      <xdr:rowOff>19239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4213" y="10603962"/>
          <a:ext cx="2323159" cy="2194750"/>
        </a:xfrm>
        <a:prstGeom prst="rect">
          <a:avLst/>
        </a:prstGeom>
      </xdr:spPr>
    </xdr:pic>
    <xdr:clientData/>
  </xdr:twoCellAnchor>
  <xdr:twoCellAnchor editAs="absolute">
    <xdr:from>
      <xdr:col>7</xdr:col>
      <xdr:colOff>171661</xdr:colOff>
      <xdr:row>33</xdr:row>
      <xdr:rowOff>99222</xdr:rowOff>
    </xdr:from>
    <xdr:to>
      <xdr:col>8</xdr:col>
      <xdr:colOff>1905</xdr:colOff>
      <xdr:row>34</xdr:row>
      <xdr:rowOff>166340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4720801" y="6143200"/>
          <a:ext cx="767504" cy="247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 pie (P)</a:t>
          </a:r>
        </a:p>
      </xdr:txBody>
    </xdr:sp>
    <xdr:clientData/>
  </xdr:twoCellAnchor>
  <xdr:twoCellAnchor>
    <xdr:from>
      <xdr:col>0</xdr:col>
      <xdr:colOff>590101</xdr:colOff>
      <xdr:row>138</xdr:row>
      <xdr:rowOff>68917</xdr:rowOff>
    </xdr:from>
    <xdr:to>
      <xdr:col>7</xdr:col>
      <xdr:colOff>855232</xdr:colOff>
      <xdr:row>144</xdr:row>
      <xdr:rowOff>136154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101" y="27510442"/>
          <a:ext cx="4675206" cy="1324537"/>
          <a:chOff x="590101" y="27337631"/>
          <a:chExt cx="4815360" cy="1340866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0101" y="27337631"/>
            <a:ext cx="4815360" cy="1340866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79419" y="27642908"/>
            <a:ext cx="150768" cy="18261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2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496094" y="27624674"/>
            <a:ext cx="150768" cy="18642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3</a:t>
            </a:r>
          </a:p>
        </xdr:txBody>
      </xdr:sp>
    </xdr:grpSp>
    <xdr:clientData/>
  </xdr:twoCellAnchor>
  <xdr:oneCellAnchor>
    <xdr:from>
      <xdr:col>5</xdr:col>
      <xdr:colOff>247650</xdr:colOff>
      <xdr:row>30</xdr:row>
      <xdr:rowOff>161925</xdr:rowOff>
    </xdr:from>
    <xdr:ext cx="248602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058426E-93EA-316A-C9DB-364AF43CDAF4}"/>
            </a:ext>
          </a:extLst>
        </xdr:cNvPr>
        <xdr:cNvSpPr txBox="1"/>
      </xdr:nvSpPr>
      <xdr:spPr>
        <a:xfrm>
          <a:off x="3590925" y="5915025"/>
          <a:ext cx="24860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Tiempo</a:t>
          </a:r>
          <a:r>
            <a:rPr lang="en-US" sz="1100" baseline="0"/>
            <a:t> de op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57151</xdr:colOff>
      <xdr:row>4</xdr:row>
      <xdr:rowOff>85726</xdr:rowOff>
    </xdr:from>
    <xdr:to>
      <xdr:col>51</xdr:col>
      <xdr:colOff>479409</xdr:colOff>
      <xdr:row>24</xdr:row>
      <xdr:rowOff>2081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5426" y="638176"/>
          <a:ext cx="5908658" cy="3088180"/>
        </a:xfrm>
        <a:prstGeom prst="rect">
          <a:avLst/>
        </a:prstGeom>
      </xdr:spPr>
    </xdr:pic>
    <xdr:clientData/>
  </xdr:twoCellAnchor>
  <xdr:twoCellAnchor>
    <xdr:from>
      <xdr:col>3</xdr:col>
      <xdr:colOff>845484</xdr:colOff>
      <xdr:row>40</xdr:row>
      <xdr:rowOff>38100</xdr:rowOff>
    </xdr:from>
    <xdr:to>
      <xdr:col>3</xdr:col>
      <xdr:colOff>4307072</xdr:colOff>
      <xdr:row>55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334" y="5857875"/>
          <a:ext cx="3461588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843244</xdr:colOff>
      <xdr:row>58</xdr:row>
      <xdr:rowOff>63312</xdr:rowOff>
    </xdr:from>
    <xdr:to>
      <xdr:col>3</xdr:col>
      <xdr:colOff>4262958</xdr:colOff>
      <xdr:row>72</xdr:row>
      <xdr:rowOff>37534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094" y="8350062"/>
          <a:ext cx="3419714" cy="1736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883582</xdr:colOff>
      <xdr:row>77</xdr:row>
      <xdr:rowOff>36418</xdr:rowOff>
    </xdr:from>
    <xdr:to>
      <xdr:col>3</xdr:col>
      <xdr:colOff>4212569</xdr:colOff>
      <xdr:row>93</xdr:row>
      <xdr:rowOff>59816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0432" y="10923493"/>
          <a:ext cx="3328987" cy="1956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344582</xdr:colOff>
      <xdr:row>98</xdr:row>
      <xdr:rowOff>11207</xdr:rowOff>
    </xdr:from>
    <xdr:to>
      <xdr:col>3</xdr:col>
      <xdr:colOff>4735607</xdr:colOff>
      <xdr:row>104</xdr:row>
      <xdr:rowOff>73959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432" y="13698632"/>
          <a:ext cx="4391025" cy="9200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142874</xdr:colOff>
      <xdr:row>106</xdr:row>
      <xdr:rowOff>3073</xdr:rowOff>
    </xdr:from>
    <xdr:to>
      <xdr:col>3</xdr:col>
      <xdr:colOff>5259473</xdr:colOff>
      <xdr:row>125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2536"/>
        <a:stretch/>
      </xdr:blipFill>
      <xdr:spPr>
        <a:xfrm>
          <a:off x="1304924" y="14843023"/>
          <a:ext cx="5421399" cy="2463902"/>
        </a:xfrm>
        <a:prstGeom prst="rect">
          <a:avLst/>
        </a:prstGeom>
      </xdr:spPr>
    </xdr:pic>
    <xdr:clientData/>
  </xdr:twoCellAnchor>
  <xdr:twoCellAnchor>
    <xdr:from>
      <xdr:col>3</xdr:col>
      <xdr:colOff>4483</xdr:colOff>
      <xdr:row>128</xdr:row>
      <xdr:rowOff>26333</xdr:rowOff>
    </xdr:from>
    <xdr:to>
      <xdr:col>3</xdr:col>
      <xdr:colOff>5043208</xdr:colOff>
      <xdr:row>135</xdr:row>
      <xdr:rowOff>65553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333" y="17799983"/>
          <a:ext cx="5038725" cy="1144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301439</xdr:colOff>
      <xdr:row>140</xdr:row>
      <xdr:rowOff>56590</xdr:rowOff>
    </xdr:from>
    <xdr:to>
      <xdr:col>3</xdr:col>
      <xdr:colOff>5006789</xdr:colOff>
      <xdr:row>147</xdr:row>
      <xdr:rowOff>65840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489" y="20020990"/>
          <a:ext cx="5010150" cy="94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166</xdr:row>
      <xdr:rowOff>19051</xdr:rowOff>
    </xdr:from>
    <xdr:to>
      <xdr:col>3</xdr:col>
      <xdr:colOff>5963659</xdr:colOff>
      <xdr:row>174</xdr:row>
      <xdr:rowOff>96282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387" y="24860251"/>
          <a:ext cx="5322122" cy="1601231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176</xdr:row>
      <xdr:rowOff>2242</xdr:rowOff>
    </xdr:from>
    <xdr:to>
      <xdr:col>4</xdr:col>
      <xdr:colOff>60736</xdr:colOff>
      <xdr:row>192</xdr:row>
      <xdr:rowOff>155140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68581" y="26757967"/>
          <a:ext cx="5697855" cy="2696073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704851</xdr:colOff>
      <xdr:row>12</xdr:row>
      <xdr:rowOff>180975</xdr:rowOff>
    </xdr:from>
    <xdr:to>
      <xdr:col>3</xdr:col>
      <xdr:colOff>5621476</xdr:colOff>
      <xdr:row>35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7751" y="2105025"/>
          <a:ext cx="6040575" cy="3028950"/>
        </a:xfrm>
        <a:prstGeom prst="rect">
          <a:avLst/>
        </a:prstGeom>
      </xdr:spPr>
    </xdr:pic>
    <xdr:clientData/>
  </xdr:twoCellAnchor>
  <xdr:twoCellAnchor>
    <xdr:from>
      <xdr:col>3</xdr:col>
      <xdr:colOff>1901190</xdr:colOff>
      <xdr:row>0</xdr:row>
      <xdr:rowOff>127635</xdr:rowOff>
    </xdr:from>
    <xdr:to>
      <xdr:col>3</xdr:col>
      <xdr:colOff>4297680</xdr:colOff>
      <xdr:row>3</xdr:row>
      <xdr:rowOff>51435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368040" y="127635"/>
          <a:ext cx="239649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Levantamiento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536201</xdr:colOff>
      <xdr:row>33</xdr:row>
      <xdr:rowOff>2718</xdr:rowOff>
    </xdr:from>
    <xdr:to>
      <xdr:col>3</xdr:col>
      <xdr:colOff>3693459</xdr:colOff>
      <xdr:row>47</xdr:row>
      <xdr:rowOff>19780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8" b="1460"/>
        <a:stretch/>
      </xdr:blipFill>
      <xdr:spPr bwMode="auto">
        <a:xfrm>
          <a:off x="879101" y="5612943"/>
          <a:ext cx="4205008" cy="2270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167865</xdr:colOff>
      <xdr:row>68</xdr:row>
      <xdr:rowOff>20320</xdr:rowOff>
    </xdr:from>
    <xdr:to>
      <xdr:col>3</xdr:col>
      <xdr:colOff>4036920</xdr:colOff>
      <xdr:row>74</xdr:row>
      <xdr:rowOff>22070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39"/>
        <a:stretch/>
      </xdr:blipFill>
      <xdr:spPr bwMode="auto">
        <a:xfrm>
          <a:off x="499335" y="11446510"/>
          <a:ext cx="4928235" cy="956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110938</xdr:colOff>
      <xdr:row>90</xdr:row>
      <xdr:rowOff>174822</xdr:rowOff>
    </xdr:from>
    <xdr:to>
      <xdr:col>3</xdr:col>
      <xdr:colOff>3997138</xdr:colOff>
      <xdr:row>98</xdr:row>
      <xdr:rowOff>18442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48"/>
        <a:stretch/>
      </xdr:blipFill>
      <xdr:spPr bwMode="auto">
        <a:xfrm>
          <a:off x="453838" y="15273852"/>
          <a:ext cx="4933950" cy="1156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22412</xdr:colOff>
      <xdr:row>114</xdr:row>
      <xdr:rowOff>171116</xdr:rowOff>
    </xdr:from>
    <xdr:to>
      <xdr:col>3</xdr:col>
      <xdr:colOff>3908612</xdr:colOff>
      <xdr:row>121</xdr:row>
      <xdr:rowOff>56638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42" y="19196351"/>
          <a:ext cx="4933950" cy="999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187365</xdr:colOff>
      <xdr:row>128</xdr:row>
      <xdr:rowOff>712</xdr:rowOff>
    </xdr:from>
    <xdr:to>
      <xdr:col>3</xdr:col>
      <xdr:colOff>3539940</xdr:colOff>
      <xdr:row>137</xdr:row>
      <xdr:rowOff>57751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74" b="2447"/>
        <a:stretch/>
      </xdr:blipFill>
      <xdr:spPr bwMode="auto">
        <a:xfrm>
          <a:off x="530265" y="21255581"/>
          <a:ext cx="4400325" cy="12525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156</xdr:row>
      <xdr:rowOff>19051</xdr:rowOff>
    </xdr:from>
    <xdr:to>
      <xdr:col>5</xdr:col>
      <xdr:colOff>439159</xdr:colOff>
      <xdr:row>164</xdr:row>
      <xdr:rowOff>96282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2187" y="26393776"/>
          <a:ext cx="5316407" cy="158789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166</xdr:row>
      <xdr:rowOff>2242</xdr:rowOff>
    </xdr:from>
    <xdr:to>
      <xdr:col>6</xdr:col>
      <xdr:colOff>39781</xdr:colOff>
      <xdr:row>182</xdr:row>
      <xdr:rowOff>155140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2381" y="28291492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0</xdr:col>
      <xdr:colOff>300990</xdr:colOff>
      <xdr:row>106</xdr:row>
      <xdr:rowOff>16508</xdr:rowOff>
    </xdr:from>
    <xdr:to>
      <xdr:col>3</xdr:col>
      <xdr:colOff>4022687</xdr:colOff>
      <xdr:row>112</xdr:row>
      <xdr:rowOff>209904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17813018"/>
          <a:ext cx="5123777" cy="985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300991</xdr:colOff>
      <xdr:row>77</xdr:row>
      <xdr:rowOff>40362</xdr:rowOff>
    </xdr:from>
    <xdr:to>
      <xdr:col>3</xdr:col>
      <xdr:colOff>4301491</xdr:colOff>
      <xdr:row>88</xdr:row>
      <xdr:rowOff>21604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1" y="12880062"/>
          <a:ext cx="5391150" cy="1964347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10</xdr:row>
      <xdr:rowOff>38099</xdr:rowOff>
    </xdr:from>
    <xdr:to>
      <xdr:col>3</xdr:col>
      <xdr:colOff>4441340</xdr:colOff>
      <xdr:row>26</xdr:row>
      <xdr:rowOff>15458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415" t="2648" r="-1"/>
        <a:stretch/>
      </xdr:blipFill>
      <xdr:spPr>
        <a:xfrm>
          <a:off x="114300" y="1741393"/>
          <a:ext cx="5731585" cy="29035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576990</xdr:colOff>
      <xdr:row>50</xdr:row>
      <xdr:rowOff>41909</xdr:rowOff>
    </xdr:from>
    <xdr:to>
      <xdr:col>3</xdr:col>
      <xdr:colOff>3793302</xdr:colOff>
      <xdr:row>64</xdr:row>
      <xdr:rowOff>2579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9890" y="8366759"/>
          <a:ext cx="4275492" cy="2264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10197</xdr:colOff>
      <xdr:row>20</xdr:row>
      <xdr:rowOff>359497</xdr:rowOff>
    </xdr:from>
    <xdr:to>
      <xdr:col>3</xdr:col>
      <xdr:colOff>3959262</xdr:colOff>
      <xdr:row>37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22"/>
        <a:stretch/>
      </xdr:blipFill>
      <xdr:spPr bwMode="auto">
        <a:xfrm>
          <a:off x="1395132" y="3498937"/>
          <a:ext cx="3954780" cy="2317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303677</xdr:colOff>
      <xdr:row>39</xdr:row>
      <xdr:rowOff>396240</xdr:rowOff>
    </xdr:from>
    <xdr:to>
      <xdr:col>3</xdr:col>
      <xdr:colOff>3997360</xdr:colOff>
      <xdr:row>56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"/>
        <a:stretch/>
      </xdr:blipFill>
      <xdr:spPr bwMode="auto">
        <a:xfrm>
          <a:off x="1351427" y="6436995"/>
          <a:ext cx="4036583" cy="24784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111274</xdr:colOff>
      <xdr:row>60</xdr:row>
      <xdr:rowOff>10646</xdr:rowOff>
    </xdr:from>
    <xdr:to>
      <xdr:col>3</xdr:col>
      <xdr:colOff>4187190</xdr:colOff>
      <xdr:row>68</xdr:row>
      <xdr:rowOff>97155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4004"/>
        <a:stretch/>
      </xdr:blipFill>
      <xdr:spPr bwMode="auto">
        <a:xfrm>
          <a:off x="1159024" y="9787106"/>
          <a:ext cx="4418816" cy="1145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231625</xdr:colOff>
      <xdr:row>73</xdr:row>
      <xdr:rowOff>55244</xdr:rowOff>
    </xdr:from>
    <xdr:to>
      <xdr:col>3</xdr:col>
      <xdr:colOff>4422625</xdr:colOff>
      <xdr:row>78</xdr:row>
      <xdr:rowOff>24765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24"/>
        <a:stretch/>
      </xdr:blipFill>
      <xdr:spPr bwMode="auto">
        <a:xfrm>
          <a:off x="574525" y="12014834"/>
          <a:ext cx="5238750" cy="7315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276449</xdr:colOff>
      <xdr:row>99</xdr:row>
      <xdr:rowOff>673</xdr:rowOff>
    </xdr:from>
    <xdr:to>
      <xdr:col>3</xdr:col>
      <xdr:colOff>4263614</xdr:colOff>
      <xdr:row>105</xdr:row>
      <xdr:rowOff>22748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34" y="15979813"/>
          <a:ext cx="5040630" cy="1077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193861</xdr:colOff>
      <xdr:row>110</xdr:row>
      <xdr:rowOff>36643</xdr:rowOff>
    </xdr:from>
    <xdr:to>
      <xdr:col>3</xdr:col>
      <xdr:colOff>4346761</xdr:colOff>
      <xdr:row>116</xdr:row>
      <xdr:rowOff>15240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594"/>
        <a:stretch/>
      </xdr:blipFill>
      <xdr:spPr bwMode="auto">
        <a:xfrm>
          <a:off x="536761" y="18105568"/>
          <a:ext cx="5200650" cy="1032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229161</xdr:colOff>
      <xdr:row>120</xdr:row>
      <xdr:rowOff>20283</xdr:rowOff>
    </xdr:from>
    <xdr:to>
      <xdr:col>3</xdr:col>
      <xdr:colOff>4378251</xdr:colOff>
      <xdr:row>126</xdr:row>
      <xdr:rowOff>20507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3" b="9512"/>
        <a:stretch/>
      </xdr:blipFill>
      <xdr:spPr bwMode="auto">
        <a:xfrm>
          <a:off x="572061" y="19622733"/>
          <a:ext cx="5196840" cy="886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146</xdr:row>
      <xdr:rowOff>19051</xdr:rowOff>
    </xdr:from>
    <xdr:to>
      <xdr:col>4</xdr:col>
      <xdr:colOff>187699</xdr:colOff>
      <xdr:row>154</xdr:row>
      <xdr:rowOff>79137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2187" y="24612601"/>
          <a:ext cx="5308787" cy="158408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156</xdr:row>
      <xdr:rowOff>2242</xdr:rowOff>
    </xdr:from>
    <xdr:to>
      <xdr:col>4</xdr:col>
      <xdr:colOff>344581</xdr:colOff>
      <xdr:row>172</xdr:row>
      <xdr:rowOff>155140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2381" y="26510317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1</xdr:col>
      <xdr:colOff>186690</xdr:colOff>
      <xdr:row>10</xdr:row>
      <xdr:rowOff>112395</xdr:rowOff>
    </xdr:from>
    <xdr:to>
      <xdr:col>3</xdr:col>
      <xdr:colOff>4467226</xdr:colOff>
      <xdr:row>18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9115" y="1922145"/>
          <a:ext cx="5337811" cy="950595"/>
          <a:chOff x="1057275" y="46053375"/>
          <a:chExt cx="4981576" cy="971787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057275" y="46053375"/>
            <a:ext cx="1057275" cy="971550"/>
          </a:xfrm>
          <a:prstGeom prst="rect">
            <a:avLst/>
          </a:prstGeom>
          <a:solidFill>
            <a:srgbClr val="00D05E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/>
              <a:t>2 personas&lt;19</a:t>
            </a:r>
          </a:p>
          <a:p>
            <a:pPr algn="l"/>
            <a:r>
              <a:rPr lang="en-US" sz="1000" b="1"/>
              <a:t>3</a:t>
            </a:r>
            <a:r>
              <a:rPr lang="en-US" sz="1000" b="1" baseline="0"/>
              <a:t> personas&lt;23</a:t>
            </a:r>
          </a:p>
          <a:p>
            <a:pPr algn="l"/>
            <a:endParaRPr lang="en-US" sz="1000" b="1" baseline="0"/>
          </a:p>
          <a:p>
            <a:pPr algn="l"/>
            <a:r>
              <a:rPr lang="en-US" sz="1000" b="1" baseline="0"/>
              <a:t>Nivel: Verde </a:t>
            </a:r>
          </a:p>
          <a:p>
            <a:pPr algn="l"/>
            <a:r>
              <a:rPr lang="en-US" sz="1000" b="1" baseline="0"/>
              <a:t>Valor: 0</a:t>
            </a:r>
            <a:endParaRPr lang="en-US" sz="1000" b="1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52650" y="46053375"/>
            <a:ext cx="1381125" cy="971550"/>
          </a:xfrm>
          <a:prstGeom prst="rect">
            <a:avLst/>
          </a:prstGeom>
          <a:solidFill>
            <a:schemeClr val="accent4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2 personas ≥ 19 y &lt;28</a:t>
            </a:r>
          </a:p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3</a:t>
            </a:r>
            <a:r>
              <a:rPr lang="en-US" sz="1000" b="1" baseline="0">
                <a:solidFill>
                  <a:sysClr val="windowText" lastClr="000000"/>
                </a:solidFill>
              </a:rPr>
              <a:t> personas ≥ 23 y &lt;42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4 personas </a:t>
            </a:r>
            <a:r>
              <a:rPr lang="en-US" sz="1000" b="1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≥ 23 y &lt;56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Nivel: Naranja 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Valor: 4</a:t>
            </a:r>
            <a:endParaRPr lang="en-US" sz="1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81400" y="46055284"/>
            <a:ext cx="1381125" cy="969878"/>
          </a:xfrm>
          <a:prstGeom prst="rect">
            <a:avLst/>
          </a:prstGeom>
          <a:solidFill>
            <a:srgbClr val="FF000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28 y &lt;47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42 y &lt;71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≥56  y &lt;95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Rojo 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6</a:t>
            </a:r>
            <a:endParaRPr lang="en-US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5010151" y="46053375"/>
            <a:ext cx="1028700" cy="971550"/>
          </a:xfrm>
          <a:prstGeom prst="rect">
            <a:avLst/>
          </a:prstGeom>
          <a:solidFill>
            <a:srgbClr val="7030A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 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Morado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10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81</xdr:row>
      <xdr:rowOff>64770</xdr:rowOff>
    </xdr:from>
    <xdr:to>
      <xdr:col>3</xdr:col>
      <xdr:colOff>4696306</xdr:colOff>
      <xdr:row>95</xdr:row>
      <xdr:rowOff>15417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3400" y="13409295"/>
          <a:ext cx="5547841" cy="20404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28577</xdr:colOff>
      <xdr:row>15</xdr:row>
      <xdr:rowOff>180976</xdr:rowOff>
    </xdr:from>
    <xdr:to>
      <xdr:col>3</xdr:col>
      <xdr:colOff>272338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7" y="2952751"/>
          <a:ext cx="1329611" cy="771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409576</xdr:colOff>
      <xdr:row>15</xdr:row>
      <xdr:rowOff>28576</xdr:rowOff>
    </xdr:from>
    <xdr:to>
      <xdr:col>3</xdr:col>
      <xdr:colOff>3707916</xdr:colOff>
      <xdr:row>19</xdr:row>
      <xdr:rowOff>171146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6426" y="2800351"/>
          <a:ext cx="3290720" cy="921715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447677</xdr:colOff>
      <xdr:row>21</xdr:row>
      <xdr:rowOff>28577</xdr:rowOff>
    </xdr:from>
    <xdr:to>
      <xdr:col>3</xdr:col>
      <xdr:colOff>3669525</xdr:colOff>
      <xdr:row>25</xdr:row>
      <xdr:rowOff>110490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4527" y="3952877"/>
          <a:ext cx="3214228" cy="843913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438152</xdr:colOff>
      <xdr:row>27</xdr:row>
      <xdr:rowOff>9527</xdr:rowOff>
    </xdr:from>
    <xdr:to>
      <xdr:col>3</xdr:col>
      <xdr:colOff>3669030</xdr:colOff>
      <xdr:row>31</xdr:row>
      <xdr:rowOff>78105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2" y="5010152"/>
          <a:ext cx="3223258" cy="830578"/>
        </a:xfrm>
        <a:prstGeom prst="rect">
          <a:avLst/>
        </a:prstGeom>
      </xdr:spPr>
    </xdr:pic>
    <xdr:clientData/>
  </xdr:twoCellAnchor>
  <xdr:twoCellAnchor>
    <xdr:from>
      <xdr:col>1</xdr:col>
      <xdr:colOff>238126</xdr:colOff>
      <xdr:row>21</xdr:row>
      <xdr:rowOff>19053</xdr:rowOff>
    </xdr:from>
    <xdr:to>
      <xdr:col>2</xdr:col>
      <xdr:colOff>342894</xdr:colOff>
      <xdr:row>25</xdr:row>
      <xdr:rowOff>45728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3943353"/>
          <a:ext cx="790568" cy="78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180976</xdr:colOff>
      <xdr:row>27</xdr:row>
      <xdr:rowOff>1</xdr:rowOff>
    </xdr:from>
    <xdr:to>
      <xdr:col>2</xdr:col>
      <xdr:colOff>333375</xdr:colOff>
      <xdr:row>31</xdr:row>
      <xdr:rowOff>151776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6" y="5000626"/>
          <a:ext cx="838199" cy="91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34</xdr:row>
      <xdr:rowOff>38100</xdr:rowOff>
    </xdr:from>
    <xdr:to>
      <xdr:col>3</xdr:col>
      <xdr:colOff>4076949</xdr:colOff>
      <xdr:row>43</xdr:row>
      <xdr:rowOff>34290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b="10101"/>
        <a:stretch/>
      </xdr:blipFill>
      <xdr:spPr>
        <a:xfrm>
          <a:off x="419100" y="6391275"/>
          <a:ext cx="5124699" cy="1720215"/>
        </a:xfrm>
        <a:prstGeom prst="rect">
          <a:avLst/>
        </a:prstGeom>
      </xdr:spPr>
    </xdr:pic>
    <xdr:clientData/>
  </xdr:twoCellAnchor>
  <xdr:twoCellAnchor>
    <xdr:from>
      <xdr:col>2</xdr:col>
      <xdr:colOff>85726</xdr:colOff>
      <xdr:row>44</xdr:row>
      <xdr:rowOff>47626</xdr:rowOff>
    </xdr:from>
    <xdr:to>
      <xdr:col>3</xdr:col>
      <xdr:colOff>2790825</xdr:colOff>
      <xdr:row>49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6" y="8315326"/>
          <a:ext cx="3105149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377192</xdr:colOff>
      <xdr:row>53</xdr:row>
      <xdr:rowOff>28577</xdr:rowOff>
    </xdr:from>
    <xdr:to>
      <xdr:col>3</xdr:col>
      <xdr:colOff>3886200</xdr:colOff>
      <xdr:row>58</xdr:row>
      <xdr:rowOff>150495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16297"/>
        <a:stretch/>
      </xdr:blipFill>
      <xdr:spPr>
        <a:xfrm>
          <a:off x="377192" y="10020302"/>
          <a:ext cx="4975858" cy="1074418"/>
        </a:xfrm>
        <a:prstGeom prst="rect">
          <a:avLst/>
        </a:prstGeom>
      </xdr:spPr>
    </xdr:pic>
    <xdr:clientData/>
  </xdr:twoCellAnchor>
  <xdr:twoCellAnchor>
    <xdr:from>
      <xdr:col>2</xdr:col>
      <xdr:colOff>295276</xdr:colOff>
      <xdr:row>58</xdr:row>
      <xdr:rowOff>161926</xdr:rowOff>
    </xdr:from>
    <xdr:to>
      <xdr:col>3</xdr:col>
      <xdr:colOff>2981326</xdr:colOff>
      <xdr:row>63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6" y="11106151"/>
          <a:ext cx="3086100" cy="790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66</xdr:row>
      <xdr:rowOff>182880</xdr:rowOff>
    </xdr:from>
    <xdr:to>
      <xdr:col>3</xdr:col>
      <xdr:colOff>3729990</xdr:colOff>
      <xdr:row>74</xdr:row>
      <xdr:rowOff>125731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2755"/>
        <a:stretch/>
      </xdr:blipFill>
      <xdr:spPr>
        <a:xfrm>
          <a:off x="381002" y="12508230"/>
          <a:ext cx="4815838" cy="1459231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79</xdr:row>
      <xdr:rowOff>1</xdr:rowOff>
    </xdr:from>
    <xdr:to>
      <xdr:col>3</xdr:col>
      <xdr:colOff>3889090</xdr:colOff>
      <xdr:row>81</xdr:row>
      <xdr:rowOff>154306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32139"/>
        <a:stretch/>
      </xdr:blipFill>
      <xdr:spPr>
        <a:xfrm>
          <a:off x="371476" y="14782801"/>
          <a:ext cx="4984464" cy="5353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85</xdr:row>
      <xdr:rowOff>0</xdr:rowOff>
    </xdr:from>
    <xdr:to>
      <xdr:col>3</xdr:col>
      <xdr:colOff>3783330</xdr:colOff>
      <xdr:row>95</xdr:row>
      <xdr:rowOff>169545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10612"/>
        <a:stretch/>
      </xdr:blipFill>
      <xdr:spPr>
        <a:xfrm>
          <a:off x="371476" y="15773400"/>
          <a:ext cx="4871084" cy="209169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100</xdr:row>
      <xdr:rowOff>0</xdr:rowOff>
    </xdr:from>
    <xdr:to>
      <xdr:col>3</xdr:col>
      <xdr:colOff>4110990</xdr:colOff>
      <xdr:row>104</xdr:row>
      <xdr:rowOff>116205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b="22034"/>
        <a:stretch/>
      </xdr:blipFill>
      <xdr:spPr>
        <a:xfrm>
          <a:off x="371475" y="18497550"/>
          <a:ext cx="5206365" cy="87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371477</xdr:colOff>
      <xdr:row>113</xdr:row>
      <xdr:rowOff>1</xdr:rowOff>
    </xdr:from>
    <xdr:to>
      <xdr:col>3</xdr:col>
      <xdr:colOff>4187191</xdr:colOff>
      <xdr:row>116</xdr:row>
      <xdr:rowOff>40005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28090"/>
        <a:stretch/>
      </xdr:blipFill>
      <xdr:spPr>
        <a:xfrm>
          <a:off x="371477" y="21002626"/>
          <a:ext cx="5282564" cy="6115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5116830</xdr:colOff>
      <xdr:row>158</xdr:row>
      <xdr:rowOff>174274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66850" y="26746200"/>
          <a:ext cx="5109210" cy="3237514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133</xdr:row>
      <xdr:rowOff>19050</xdr:rowOff>
    </xdr:from>
    <xdr:to>
      <xdr:col>3</xdr:col>
      <xdr:colOff>5102054</xdr:colOff>
      <xdr:row>140</xdr:row>
      <xdr:rowOff>102643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6376" y="25041225"/>
          <a:ext cx="5092528" cy="14247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332254</xdr:colOff>
      <xdr:row>14</xdr:row>
      <xdr:rowOff>141756</xdr:rowOff>
    </xdr:from>
    <xdr:to>
      <xdr:col>3</xdr:col>
      <xdr:colOff>1256179</xdr:colOff>
      <xdr:row>20</xdr:row>
      <xdr:rowOff>56418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479" y="2675406"/>
          <a:ext cx="1323975" cy="10729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1266825</xdr:colOff>
      <xdr:row>13</xdr:row>
      <xdr:rowOff>180976</xdr:rowOff>
    </xdr:from>
    <xdr:to>
      <xdr:col>3</xdr:col>
      <xdr:colOff>5101590</xdr:colOff>
      <xdr:row>22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6100" y="2514601"/>
          <a:ext cx="3834765" cy="1622996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</xdr:row>
      <xdr:rowOff>183778</xdr:rowOff>
    </xdr:from>
    <xdr:to>
      <xdr:col>3</xdr:col>
      <xdr:colOff>1276882</xdr:colOff>
      <xdr:row>30</xdr:row>
      <xdr:rowOff>174253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31953"/>
          <a:ext cx="1299742" cy="1146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1266826</xdr:colOff>
      <xdr:row>24</xdr:row>
      <xdr:rowOff>9526</xdr:rowOff>
    </xdr:from>
    <xdr:to>
      <xdr:col>3</xdr:col>
      <xdr:colOff>5101591</xdr:colOff>
      <xdr:row>33</xdr:row>
      <xdr:rowOff>34531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86101" y="4457701"/>
          <a:ext cx="3834765" cy="17395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1</xdr:rowOff>
    </xdr:from>
    <xdr:to>
      <xdr:col>3</xdr:col>
      <xdr:colOff>1161438</xdr:colOff>
      <xdr:row>41</xdr:row>
      <xdr:rowOff>72391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6553201"/>
          <a:ext cx="1176678" cy="1215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1171575</xdr:colOff>
      <xdr:row>35</xdr:row>
      <xdr:rowOff>9525</xdr:rowOff>
    </xdr:from>
    <xdr:to>
      <xdr:col>3</xdr:col>
      <xdr:colOff>5124101</xdr:colOff>
      <xdr:row>43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90850" y="6562725"/>
          <a:ext cx="3967766" cy="15182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5124450</xdr:colOff>
      <xdr:row>64</xdr:row>
      <xdr:rowOff>57021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9275" y="9277350"/>
          <a:ext cx="5109210" cy="2929761"/>
        </a:xfrm>
        <a:prstGeom prst="rect">
          <a:avLst/>
        </a:prstGeom>
      </xdr:spPr>
    </xdr:pic>
    <xdr:clientData/>
  </xdr:twoCellAnchor>
  <xdr:twoCellAnchor editAs="oneCell">
    <xdr:from>
      <xdr:col>3</xdr:col>
      <xdr:colOff>1139825</xdr:colOff>
      <xdr:row>64</xdr:row>
      <xdr:rowOff>98426</xdr:rowOff>
    </xdr:from>
    <xdr:to>
      <xdr:col>3</xdr:col>
      <xdr:colOff>3921423</xdr:colOff>
      <xdr:row>73</xdr:row>
      <xdr:rowOff>79376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0" y="12233276"/>
          <a:ext cx="2781598" cy="169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5025989</xdr:colOff>
      <xdr:row>87</xdr:row>
      <xdr:rowOff>38100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9275" y="14516100"/>
          <a:ext cx="5025989" cy="1943100"/>
        </a:xfrm>
        <a:prstGeom prst="rect">
          <a:avLst/>
        </a:prstGeom>
      </xdr:spPr>
    </xdr:pic>
    <xdr:clientData/>
  </xdr:twoCellAnchor>
  <xdr:twoCellAnchor editAs="oneCell">
    <xdr:from>
      <xdr:col>3</xdr:col>
      <xdr:colOff>1079501</xdr:colOff>
      <xdr:row>87</xdr:row>
      <xdr:rowOff>76200</xdr:rowOff>
    </xdr:from>
    <xdr:to>
      <xdr:col>3</xdr:col>
      <xdr:colOff>3561716</xdr:colOff>
      <xdr:row>91</xdr:row>
      <xdr:rowOff>113389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8776" y="16497300"/>
          <a:ext cx="2497455" cy="799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5177790</xdr:colOff>
      <xdr:row>108</xdr:row>
      <xdr:rowOff>110752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9275" y="17954625"/>
          <a:ext cx="5177790" cy="25872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5215890</xdr:colOff>
      <xdr:row>117</xdr:row>
      <xdr:rowOff>149142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1421725"/>
          <a:ext cx="5215890" cy="911142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120</xdr:row>
      <xdr:rowOff>1</xdr:rowOff>
    </xdr:from>
    <xdr:to>
      <xdr:col>3</xdr:col>
      <xdr:colOff>5215891</xdr:colOff>
      <xdr:row>130</xdr:row>
      <xdr:rowOff>75065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276" y="22764751"/>
          <a:ext cx="5215890" cy="19800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5177790</xdr:colOff>
      <xdr:row>146</xdr:row>
      <xdr:rowOff>57863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9275" y="25260300"/>
          <a:ext cx="5177790" cy="251912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5215890</xdr:colOff>
      <xdr:row>155</xdr:row>
      <xdr:rowOff>118084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28422600"/>
          <a:ext cx="5215890" cy="10705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5215890</xdr:colOff>
      <xdr:row>168</xdr:row>
      <xdr:rowOff>155618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9275" y="31146750"/>
          <a:ext cx="5215890" cy="91761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4</xdr:col>
      <xdr:colOff>133350</xdr:colOff>
      <xdr:row>194</xdr:row>
      <xdr:rowOff>149428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4520" y="34510980"/>
          <a:ext cx="5615940" cy="16124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196</xdr:row>
      <xdr:rowOff>1</xdr:rowOff>
    </xdr:from>
    <xdr:to>
      <xdr:col>4</xdr:col>
      <xdr:colOff>148632</xdr:colOff>
      <xdr:row>211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19275" y="37576126"/>
          <a:ext cx="5482632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6EFD-E3E2-4402-A905-26381A988F53}">
  <sheetPr codeName="Sheet10"/>
  <dimension ref="A1:CC252"/>
  <sheetViews>
    <sheetView showGridLines="0" tabSelected="1" topLeftCell="A200" zoomScaleNormal="100" workbookViewId="0">
      <selection activeCell="F214" sqref="F214:G214"/>
    </sheetView>
  </sheetViews>
  <sheetFormatPr defaultColWidth="9.28515625" defaultRowHeight="15" x14ac:dyDescent="0.25"/>
  <cols>
    <col min="1" max="1" width="9.28515625" style="31" customWidth="1"/>
    <col min="2" max="2" width="13" style="31" customWidth="1"/>
    <col min="3" max="5" width="9.28515625" style="31"/>
    <col min="6" max="6" width="6.7109375" style="31" customWidth="1"/>
    <col min="7" max="7" width="9.28515625" style="31"/>
    <col min="8" max="8" width="13.5703125" style="31" customWidth="1"/>
    <col min="9" max="9" width="9.28515625" style="31"/>
    <col min="10" max="10" width="11" style="31" customWidth="1"/>
    <col min="11" max="11" width="13.5703125" style="31" bestFit="1" customWidth="1"/>
    <col min="12" max="12" width="10.7109375" style="31" bestFit="1" customWidth="1"/>
    <col min="13" max="14" width="9.28515625" style="31" hidden="1" customWidth="1"/>
    <col min="15" max="15" width="9.28515625" style="45" hidden="1" customWidth="1"/>
    <col min="16" max="18" width="9.28515625" style="43" hidden="1" customWidth="1"/>
    <col min="19" max="19" width="18" style="43" hidden="1" customWidth="1"/>
    <col min="20" max="20" width="13.28515625" style="43" hidden="1" customWidth="1"/>
    <col min="21" max="21" width="23.28515625" style="43" hidden="1" customWidth="1"/>
    <col min="22" max="22" width="8.7109375" style="43" hidden="1" customWidth="1"/>
    <col min="23" max="23" width="6.7109375" style="43" hidden="1" customWidth="1"/>
    <col min="24" max="24" width="9" style="43" hidden="1" customWidth="1"/>
    <col min="25" max="26" width="6.28515625" style="43" hidden="1" customWidth="1"/>
    <col min="27" max="29" width="7.28515625" style="43" hidden="1" customWidth="1"/>
    <col min="30" max="30" width="7.7109375" style="43" hidden="1" customWidth="1"/>
    <col min="31" max="32" width="7.28515625" style="43" hidden="1" customWidth="1"/>
    <col min="33" max="39" width="9.28515625" style="43" hidden="1" customWidth="1"/>
    <col min="40" max="40" width="9.28515625" style="31" hidden="1" customWidth="1"/>
    <col min="41" max="41" width="9.28515625" style="35" hidden="1" customWidth="1"/>
    <col min="42" max="42" width="22.5703125" style="35" hidden="1" customWidth="1"/>
    <col min="43" max="43" width="7.85546875" style="35" hidden="1" customWidth="1"/>
    <col min="44" max="75" width="9.28515625" style="35" hidden="1" customWidth="1"/>
    <col min="76" max="115" width="9.28515625" style="35" customWidth="1"/>
    <col min="116" max="140" width="9.28515625" style="35"/>
    <col min="141" max="141" width="17.5703125" style="35" bestFit="1" customWidth="1"/>
    <col min="142" max="16384" width="9.28515625" style="35"/>
  </cols>
  <sheetData>
    <row r="1" spans="1:61" ht="18.75" x14ac:dyDescent="0.3">
      <c r="A1" s="169"/>
      <c r="B1" s="211" t="s">
        <v>0</v>
      </c>
      <c r="C1" s="211"/>
      <c r="D1" s="212"/>
      <c r="E1" s="211"/>
      <c r="F1" s="211"/>
      <c r="G1" s="211"/>
      <c r="H1" s="211"/>
      <c r="I1" s="211"/>
      <c r="J1" s="211"/>
      <c r="K1" s="211"/>
      <c r="L1" s="211"/>
      <c r="M1" s="169"/>
      <c r="N1" s="170"/>
      <c r="O1" s="24"/>
      <c r="P1" s="20" t="s">
        <v>1</v>
      </c>
      <c r="Q1" s="5"/>
      <c r="R1" s="5"/>
      <c r="S1" s="5" t="s">
        <v>2</v>
      </c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5"/>
      <c r="AH1" s="5"/>
      <c r="AI1" s="5"/>
      <c r="AJ1" s="5"/>
      <c r="AK1" s="5"/>
      <c r="AL1" s="5"/>
      <c r="AM1" s="5"/>
      <c r="AN1" s="1"/>
      <c r="AO1" s="23"/>
    </row>
    <row r="2" spans="1:61" x14ac:dyDescent="0.25">
      <c r="A2" s="1"/>
      <c r="B2" s="1" t="s">
        <v>527</v>
      </c>
      <c r="C2" s="1"/>
      <c r="D2" s="1"/>
      <c r="E2" s="214" t="s">
        <v>528</v>
      </c>
      <c r="F2" s="214"/>
      <c r="G2" s="214"/>
      <c r="H2" s="214"/>
      <c r="I2" s="214"/>
      <c r="J2" s="214"/>
      <c r="K2" s="214"/>
      <c r="L2" s="214"/>
      <c r="M2" s="1"/>
      <c r="N2" s="1"/>
      <c r="O2" s="24"/>
      <c r="P2" s="5"/>
      <c r="Q2" s="5"/>
      <c r="R2" s="5" t="s">
        <v>3</v>
      </c>
      <c r="S2" s="5" t="s">
        <v>4</v>
      </c>
      <c r="T2" s="5"/>
      <c r="U2" s="5"/>
      <c r="V2" s="4"/>
      <c r="W2" s="4"/>
      <c r="X2" s="4"/>
      <c r="Y2" s="4"/>
      <c r="Z2" s="4"/>
      <c r="AA2" s="4"/>
      <c r="AB2" s="4"/>
      <c r="AC2" s="4"/>
      <c r="AD2" s="4" t="b">
        <v>0</v>
      </c>
      <c r="AE2" s="4" t="b">
        <v>0</v>
      </c>
      <c r="AF2" s="4">
        <v>5</v>
      </c>
      <c r="AG2" s="5">
        <f>IF(OR(AB2=TRUE,AC2=TRUE,AD2=TRUE,AE2=TRUE),5,0)</f>
        <v>0</v>
      </c>
      <c r="AH2" s="5"/>
      <c r="AI2" s="5" t="s">
        <v>458</v>
      </c>
      <c r="AJ2" s="5"/>
      <c r="AK2" s="5"/>
      <c r="AL2" s="5"/>
      <c r="AM2" s="5"/>
      <c r="AN2" s="1"/>
      <c r="AO2" s="23"/>
      <c r="AP2" s="44"/>
      <c r="AQ2" s="138"/>
      <c r="BF2" s="37"/>
      <c r="BG2" s="37"/>
      <c r="BH2" s="37"/>
      <c r="BI2" s="37"/>
    </row>
    <row r="3" spans="1:61" x14ac:dyDescent="0.25">
      <c r="A3" s="1"/>
      <c r="B3" s="1" t="s">
        <v>524</v>
      </c>
      <c r="C3" s="1"/>
      <c r="D3" s="1"/>
      <c r="E3" s="214" t="inlineStr">
        <is>
          <t xml:space="preserve">Cuarto Limpio ISO 7</t>
        </is>
      </c>
      <c r="F3" s="214"/>
      <c r="G3" s="214"/>
      <c r="H3" s="214"/>
      <c r="I3" s="214"/>
      <c r="J3" s="214"/>
      <c r="K3" s="214"/>
      <c r="L3" s="214"/>
      <c r="M3" s="1"/>
      <c r="N3" s="1"/>
      <c r="O3" s="24"/>
      <c r="P3" s="5"/>
      <c r="Q3" s="5"/>
      <c r="R3" s="5" t="s">
        <v>5</v>
      </c>
      <c r="S3" s="49" t="s">
        <v>6</v>
      </c>
      <c r="T3" s="5"/>
      <c r="U3" s="5"/>
      <c r="V3" s="4" t="s">
        <v>7</v>
      </c>
      <c r="W3" s="4" t="s">
        <v>8</v>
      </c>
      <c r="X3" s="4" t="s">
        <v>9</v>
      </c>
      <c r="Y3" s="4"/>
      <c r="Z3" s="4" t="s">
        <v>10</v>
      </c>
      <c r="AA3" s="4" t="s">
        <v>11</v>
      </c>
      <c r="AB3" s="4" t="s">
        <v>12</v>
      </c>
      <c r="AC3" s="4" t="s">
        <v>13</v>
      </c>
      <c r="AD3" s="4" t="s">
        <v>14</v>
      </c>
      <c r="AE3" s="4" t="s">
        <v>15</v>
      </c>
      <c r="AF3" s="4"/>
      <c r="AG3" s="5"/>
      <c r="AH3" s="5"/>
      <c r="AI3" s="5"/>
      <c r="AJ3" s="5"/>
      <c r="AK3" s="5"/>
      <c r="AL3" s="5"/>
      <c r="AM3" s="5"/>
      <c r="AN3" s="1"/>
      <c r="AO3" s="23"/>
      <c r="AP3" s="36"/>
      <c r="BF3" s="37"/>
      <c r="BG3" s="37"/>
      <c r="BH3" s="37"/>
      <c r="BI3" s="37"/>
    </row>
    <row r="4" spans="1:61" x14ac:dyDescent="0.25">
      <c r="A4" s="1"/>
      <c r="B4" s="1" t="s">
        <v>525</v>
      </c>
      <c r="C4" s="1"/>
      <c r="D4" s="1"/>
      <c r="E4" s="214" t="inlineStr">
        <is>
          <t xml:space="preserve">Estación de Lens Adapter Gecko </t>
        </is>
      </c>
      <c r="F4" s="214"/>
      <c r="G4" s="214"/>
      <c r="H4" s="214"/>
      <c r="I4" s="214"/>
      <c r="J4" s="214"/>
      <c r="K4" s="214"/>
      <c r="L4" s="214"/>
      <c r="M4" s="1"/>
      <c r="N4" s="1"/>
      <c r="O4" s="24"/>
      <c r="P4" s="5"/>
      <c r="Q4" s="5"/>
      <c r="R4" s="5" t="s">
        <v>17</v>
      </c>
      <c r="S4" s="5" t="s">
        <v>18</v>
      </c>
      <c r="T4" s="5"/>
      <c r="U4" s="5"/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  <c r="AD4" s="4" t="b">
        <v>0</v>
      </c>
      <c r="AE4" s="4" t="b">
        <v>0</v>
      </c>
      <c r="AF4" s="4">
        <v>4</v>
      </c>
      <c r="AG4" s="5">
        <f>IF(OR(V4=TRUE,W4=TRUE,X4=TRUE,Y4=TRUE,Z4=TRUE,AA4=TRUE,AB4=TRUE,AC4=TRUE,AD4=TRUE,AE4=TRUE),4,0)</f>
        <v>0</v>
      </c>
      <c r="AH4" s="5"/>
      <c r="AI4" s="4"/>
      <c r="AJ4" s="4"/>
      <c r="AK4" s="4"/>
      <c r="AL4" s="4"/>
      <c r="AM4" s="4"/>
      <c r="AN4" s="2"/>
      <c r="AO4" s="26"/>
      <c r="AP4" s="38"/>
      <c r="AQ4" s="39"/>
      <c r="AR4" s="39"/>
      <c r="AS4" s="39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7"/>
      <c r="BF4" s="37"/>
      <c r="BG4" s="37"/>
      <c r="BH4" s="37"/>
      <c r="BI4" s="37"/>
    </row>
    <row r="5" spans="1:61" x14ac:dyDescent="0.25">
      <c r="A5" s="1"/>
      <c r="B5" s="209" t="s">
        <v>523</v>
      </c>
      <c r="C5" s="1"/>
      <c r="D5" s="1"/>
      <c r="E5" s="213">
        <v>46290</v>
      </c>
      <c r="F5" s="214"/>
      <c r="G5" s="214"/>
      <c r="H5" s="214"/>
      <c r="I5" s="214"/>
      <c r="J5" s="214"/>
      <c r="K5" s="214"/>
      <c r="L5" s="214"/>
      <c r="M5" s="1"/>
      <c r="N5" s="1"/>
      <c r="O5" s="24"/>
      <c r="P5" s="5"/>
      <c r="Q5" s="5"/>
      <c r="R5" s="5"/>
      <c r="S5" s="5"/>
      <c r="T5" s="5"/>
      <c r="U5" s="5"/>
      <c r="V5" s="4"/>
      <c r="W5" s="4"/>
      <c r="X5" s="4"/>
      <c r="Y5" s="4"/>
      <c r="Z5" s="4" t="s">
        <v>9</v>
      </c>
      <c r="AA5" s="4" t="s">
        <v>19</v>
      </c>
      <c r="AB5" s="4" t="s">
        <v>12</v>
      </c>
      <c r="AC5" s="4" t="s">
        <v>13</v>
      </c>
      <c r="AD5" s="4" t="s">
        <v>14</v>
      </c>
      <c r="AE5" s="4" t="s">
        <v>15</v>
      </c>
      <c r="AF5" s="4"/>
      <c r="AG5" s="5"/>
      <c r="AH5" s="5"/>
      <c r="AI5" s="4"/>
      <c r="AJ5" s="4"/>
      <c r="AK5" s="4"/>
      <c r="AL5" s="4"/>
      <c r="AM5" s="4"/>
      <c r="AN5" s="2"/>
      <c r="AO5" s="26"/>
      <c r="AP5" s="38"/>
      <c r="AQ5" s="39"/>
      <c r="AR5" s="39"/>
      <c r="AS5" s="39"/>
      <c r="AT5" s="40"/>
      <c r="AU5" s="41"/>
      <c r="AV5" s="41"/>
      <c r="AW5" s="41"/>
      <c r="AX5" s="41"/>
      <c r="AY5" s="41"/>
      <c r="AZ5" s="41"/>
      <c r="BA5" s="41"/>
      <c r="BB5" s="41"/>
      <c r="BC5" s="41"/>
      <c r="BD5" s="41"/>
    </row>
    <row r="6" spans="1:61" x14ac:dyDescent="0.25">
      <c r="A6" s="1"/>
      <c r="B6" s="1" t="s">
        <v>526</v>
      </c>
      <c r="C6" s="1"/>
      <c r="D6" s="210"/>
      <c r="E6" s="214" t="inlineStr">
        <is>
          <t xml:space="preserve">VSS1H-6050-001</t>
        </is>
      </c>
      <c r="F6" s="214"/>
      <c r="G6" s="214"/>
      <c r="H6" s="214"/>
      <c r="I6" s="214"/>
      <c r="J6" s="214"/>
      <c r="K6" s="214"/>
      <c r="L6" s="214"/>
      <c r="M6" s="1"/>
      <c r="N6" s="1"/>
      <c r="O6" s="24"/>
      <c r="P6" s="5"/>
      <c r="Q6" s="5"/>
      <c r="R6" s="5"/>
      <c r="S6" s="5"/>
      <c r="T6" s="21"/>
      <c r="U6" s="21"/>
      <c r="V6" s="22"/>
      <c r="W6" s="4"/>
      <c r="X6" s="4"/>
      <c r="Y6" s="4"/>
      <c r="Z6" s="4" t="b">
        <v>0</v>
      </c>
      <c r="AA6" s="4" t="b">
        <v>1</v>
      </c>
      <c r="AB6" s="4" t="b">
        <v>0</v>
      </c>
      <c r="AC6" s="4" t="b">
        <v>1</v>
      </c>
      <c r="AD6" s="4" t="b">
        <v>0</v>
      </c>
      <c r="AE6" s="4" t="b">
        <v>0</v>
      </c>
      <c r="AF6" s="4">
        <v>3</v>
      </c>
      <c r="AG6" s="5">
        <f>IF(OR(V6=TRUE,W6=TRUE,X6=TRUE,Y6=TRUE,Z6=TRUE,AA6=TRUE,AB6=TRUE,AC6=TRUE,AD6=TRUE,AE6=TRUE),3,0)</f>
        <v>3</v>
      </c>
      <c r="AH6" s="5"/>
      <c r="AI6" s="11"/>
      <c r="AJ6" s="11"/>
      <c r="AK6" s="11"/>
      <c r="AL6" s="11"/>
      <c r="AM6" s="11"/>
      <c r="AN6" s="3"/>
      <c r="AO6" s="27"/>
      <c r="AP6" s="36"/>
      <c r="AQ6" s="42"/>
      <c r="AR6" s="42"/>
      <c r="AS6" s="42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61" ht="15.75" thickBot="1" x14ac:dyDescent="0.3">
      <c r="A7" s="1"/>
      <c r="B7" s="1" t="s">
        <v>16</v>
      </c>
      <c r="C7" s="1"/>
      <c r="D7" s="1"/>
      <c r="E7" s="214" t="s">
        <v>529</v>
      </c>
      <c r="F7" s="214"/>
      <c r="G7" s="214"/>
      <c r="H7" s="214"/>
      <c r="I7" s="214"/>
      <c r="J7" s="214"/>
      <c r="K7" s="214"/>
      <c r="L7" s="214"/>
      <c r="M7" s="1"/>
      <c r="N7" s="1"/>
      <c r="O7" s="24"/>
      <c r="P7" s="5"/>
      <c r="Q7" s="5"/>
      <c r="R7" s="5"/>
      <c r="S7" s="5"/>
      <c r="T7" s="21"/>
      <c r="U7" s="21"/>
      <c r="V7" s="22"/>
      <c r="W7" s="4"/>
      <c r="X7" s="4"/>
      <c r="Y7" s="4"/>
      <c r="Z7" s="4"/>
      <c r="AA7" s="4"/>
      <c r="AB7" s="4" t="s">
        <v>19</v>
      </c>
      <c r="AC7" s="4" t="s">
        <v>13</v>
      </c>
      <c r="AD7" s="4" t="s">
        <v>14</v>
      </c>
      <c r="AE7" s="4" t="s">
        <v>15</v>
      </c>
      <c r="AF7" s="4"/>
      <c r="AG7" s="5"/>
      <c r="AH7" s="5"/>
      <c r="AI7" s="5"/>
      <c r="AJ7" s="5"/>
      <c r="AK7" s="5"/>
      <c r="AL7" s="5"/>
      <c r="AM7" s="5"/>
      <c r="AN7" s="1"/>
      <c r="AO7" s="23"/>
      <c r="AP7" s="36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61" ht="15.75" thickBot="1" x14ac:dyDescent="0.3">
      <c r="A8" s="164" t="s">
        <v>20</v>
      </c>
      <c r="B8" s="164" t="s">
        <v>21</v>
      </c>
      <c r="C8" s="165"/>
      <c r="D8" s="165"/>
      <c r="E8" s="165"/>
      <c r="F8" s="165"/>
      <c r="G8" s="165"/>
      <c r="H8" s="165"/>
      <c r="I8" s="165"/>
      <c r="J8" s="165"/>
      <c r="K8" s="165"/>
      <c r="L8" s="206" t="str">
        <f>IF(AG11=0,"",IF(AG11=1,"V",IF(AG11=2,"V",IF(AG11=3,"A",IF(AG11&gt;3,"R")))))</f>
        <v>A</v>
      </c>
      <c r="M8" s="1"/>
      <c r="N8" s="1"/>
      <c r="O8" s="24"/>
      <c r="P8" s="5"/>
      <c r="Q8" s="5"/>
      <c r="R8" s="5"/>
      <c r="S8" s="5"/>
      <c r="T8" s="21"/>
      <c r="U8" s="21"/>
      <c r="V8" s="22"/>
      <c r="W8" s="4"/>
      <c r="X8" s="4"/>
      <c r="Y8" s="4"/>
      <c r="Z8" s="4"/>
      <c r="AA8" s="4"/>
      <c r="AB8" s="4" t="b">
        <v>0</v>
      </c>
      <c r="AC8" s="4" t="b">
        <v>0</v>
      </c>
      <c r="AD8" s="4" t="b">
        <v>0</v>
      </c>
      <c r="AE8" s="4" t="b">
        <v>0</v>
      </c>
      <c r="AF8" s="4">
        <v>2</v>
      </c>
      <c r="AG8" s="5">
        <f>IF(OR(V8=TRUE,W8=TRUE,X8=TRUE,Y8=TRUE,Z8=TRUE,AA8=TRUE,AB8=TRUE,AC8=TRUE,AD8=TRUE,AE8=TRUE),2,0)</f>
        <v>0</v>
      </c>
      <c r="AH8" s="5"/>
      <c r="AI8" s="5"/>
      <c r="AJ8" s="5"/>
      <c r="AK8" s="5"/>
      <c r="AL8" s="5"/>
      <c r="AM8" s="5"/>
      <c r="AN8" s="1"/>
      <c r="AO8" s="23"/>
      <c r="AP8" s="36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6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24"/>
      <c r="P9" s="5"/>
      <c r="Q9" s="5"/>
      <c r="R9" s="5"/>
      <c r="S9" s="5"/>
      <c r="T9" s="21"/>
      <c r="U9" s="21"/>
      <c r="V9" s="22"/>
      <c r="W9" s="4"/>
      <c r="X9" s="4"/>
      <c r="Y9" s="4"/>
      <c r="Z9" s="4"/>
      <c r="AA9" s="4"/>
      <c r="AB9" s="4"/>
      <c r="AC9" s="4"/>
      <c r="AD9" s="4" t="b">
        <v>1</v>
      </c>
      <c r="AE9" s="4" t="b">
        <v>1</v>
      </c>
      <c r="AF9" s="4">
        <v>1</v>
      </c>
      <c r="AG9" s="5">
        <f>IF(OR(V9=TRUE,W9=TRUE,X9=TRUE,Y9=TRUE,Z9=TRUE,AA9=TRUE,AB9=TRUE,AC9=TRUE,AD9=TRUE,AE9=TRUE),1,0)</f>
        <v>1</v>
      </c>
      <c r="AH9" s="5"/>
      <c r="AI9" s="5"/>
      <c r="AJ9" s="5"/>
      <c r="AK9" s="5"/>
      <c r="AL9" s="5"/>
      <c r="AM9" s="5"/>
      <c r="AN9" s="1"/>
      <c r="AO9" s="23"/>
      <c r="AP9" s="36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6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24"/>
      <c r="P10" s="5" t="s">
        <v>22</v>
      </c>
      <c r="Q10" s="5"/>
      <c r="R10" s="5"/>
      <c r="S10" s="5"/>
      <c r="T10" s="21"/>
      <c r="U10" s="21"/>
      <c r="V10" s="2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>
        <v>0</v>
      </c>
      <c r="AH10" s="5"/>
      <c r="AI10" s="5"/>
      <c r="AJ10" s="5"/>
      <c r="AK10" s="5"/>
      <c r="AL10" s="5"/>
      <c r="AM10" s="5"/>
      <c r="AN10" s="1"/>
      <c r="AO10"/>
      <c r="AP10"/>
      <c r="AQ10"/>
      <c r="AR10"/>
      <c r="AS10"/>
      <c r="AT10"/>
      <c r="AU10"/>
      <c r="AV10"/>
      <c r="AW10"/>
      <c r="AX10"/>
      <c r="AY10"/>
      <c r="AZ10"/>
      <c r="BA10" s="215" t="s">
        <v>429</v>
      </c>
      <c r="BB10" s="216"/>
      <c r="BC10" s="216"/>
      <c r="BD10" s="216"/>
      <c r="BE10" s="216"/>
      <c r="BF10" s="216"/>
      <c r="BG10" s="216"/>
    </row>
    <row r="11" spans="1:61" ht="15.75" thickBot="1" x14ac:dyDescent="0.3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24"/>
      <c r="P11" s="5" t="s">
        <v>23</v>
      </c>
      <c r="Q11" s="5"/>
      <c r="R11" s="5"/>
      <c r="S11" s="5"/>
      <c r="T11" s="21"/>
      <c r="U11" s="21"/>
      <c r="V11" s="21"/>
      <c r="W11" s="5"/>
      <c r="X11" s="5"/>
      <c r="Y11" s="5"/>
      <c r="Z11" s="5"/>
      <c r="AA11" s="5"/>
      <c r="AB11" s="5"/>
      <c r="AC11" s="5"/>
      <c r="AD11" s="5"/>
      <c r="AE11" s="6" t="s">
        <v>24</v>
      </c>
      <c r="AF11" s="5"/>
      <c r="AG11" s="5">
        <f>MAX(AG2:AG10)</f>
        <v>3</v>
      </c>
      <c r="AH11" s="5"/>
      <c r="AI11" s="5"/>
      <c r="AJ11" s="5"/>
      <c r="AK11" s="5"/>
      <c r="AL11" s="5"/>
      <c r="AM11" s="5"/>
      <c r="AN11" s="1"/>
      <c r="AO11" s="28" t="s">
        <v>430</v>
      </c>
      <c r="AP11"/>
      <c r="AQ11" s="28" t="s">
        <v>431</v>
      </c>
      <c r="AR11"/>
      <c r="AS11" s="28" t="s">
        <v>432</v>
      </c>
      <c r="AT11"/>
      <c r="AU11"/>
      <c r="AV11"/>
      <c r="AW11"/>
      <c r="AX11"/>
      <c r="AY11"/>
      <c r="AZ11"/>
      <c r="BA11" s="149">
        <v>1</v>
      </c>
      <c r="BB11" s="149">
        <v>2</v>
      </c>
      <c r="BC11" s="149">
        <v>3</v>
      </c>
      <c r="BD11" s="149">
        <v>4</v>
      </c>
      <c r="BE11" s="149">
        <v>5</v>
      </c>
      <c r="BF11" s="149">
        <v>6</v>
      </c>
      <c r="BG11" s="149" t="s">
        <v>433</v>
      </c>
    </row>
    <row r="12" spans="1:6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24"/>
      <c r="P12" s="5" t="s">
        <v>17</v>
      </c>
      <c r="Q12" s="5"/>
      <c r="R12" s="5"/>
      <c r="S12" s="5"/>
      <c r="T12" s="21"/>
      <c r="U12" s="21"/>
      <c r="V12" s="21"/>
      <c r="W12" s="7" t="s">
        <v>24</v>
      </c>
      <c r="X12" s="5"/>
      <c r="Y12" s="5"/>
      <c r="Z12" s="5"/>
      <c r="AA12" s="5"/>
      <c r="AB12" s="5"/>
      <c r="AC12" s="5"/>
      <c r="AD12" s="5"/>
      <c r="AE12" s="8" t="s">
        <v>25</v>
      </c>
      <c r="AF12" s="5"/>
      <c r="AG12" s="5"/>
      <c r="AH12" s="5"/>
      <c r="AI12" s="5"/>
      <c r="AJ12" s="5"/>
      <c r="AK12" s="5"/>
      <c r="AL12" s="5"/>
      <c r="AM12" s="5"/>
      <c r="AN12" s="1"/>
      <c r="AO12" s="150">
        <f>IF($R$97="1111",1,0)</f>
        <v>0</v>
      </c>
      <c r="AP12"/>
      <c r="AQ12">
        <f>IF($R$135="111",1,0)</f>
        <v>0</v>
      </c>
      <c r="AR12"/>
      <c r="AS12" s="156">
        <f>SUM(AO160,L130,L134)</f>
        <v>4</v>
      </c>
      <c r="AT12"/>
      <c r="AU12"/>
      <c r="AV12"/>
      <c r="AW12"/>
      <c r="AX12"/>
      <c r="AY12"/>
      <c r="AZ12" s="151">
        <v>1</v>
      </c>
      <c r="BA12" s="152">
        <v>1</v>
      </c>
      <c r="BB12" s="153">
        <v>2</v>
      </c>
      <c r="BC12" s="153">
        <v>3</v>
      </c>
      <c r="BD12" s="153">
        <v>3</v>
      </c>
      <c r="BE12" s="153">
        <v>4</v>
      </c>
      <c r="BF12" s="153">
        <v>5</v>
      </c>
      <c r="BG12" s="153">
        <v>5</v>
      </c>
    </row>
    <row r="13" spans="1:6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24"/>
      <c r="P13" s="5"/>
      <c r="Q13" s="5"/>
      <c r="R13" s="5"/>
      <c r="S13" s="5"/>
      <c r="T13" s="21"/>
      <c r="U13" s="21"/>
      <c r="V13" s="21"/>
      <c r="W13" s="5"/>
      <c r="X13" s="5"/>
      <c r="Y13" s="5"/>
      <c r="Z13" s="5"/>
      <c r="AA13" s="5"/>
      <c r="AB13" s="5"/>
      <c r="AC13" s="5"/>
      <c r="AD13" s="5"/>
      <c r="AE13" s="9"/>
      <c r="AF13" s="5"/>
      <c r="AG13" s="5"/>
      <c r="AH13" s="5"/>
      <c r="AI13" s="5"/>
      <c r="AJ13" s="5"/>
      <c r="AK13" s="5"/>
      <c r="AL13" s="5"/>
      <c r="AM13" s="5"/>
      <c r="AN13" s="1"/>
      <c r="AO13" s="150">
        <f>IF($R$97="1112",2,0)</f>
        <v>0</v>
      </c>
      <c r="AP13"/>
      <c r="AQ13">
        <f>IF($R$135="112",3,0)</f>
        <v>0</v>
      </c>
      <c r="AR13"/>
      <c r="AS13" s="28" t="s">
        <v>434</v>
      </c>
      <c r="AT13"/>
      <c r="AU13"/>
      <c r="AV13"/>
      <c r="AW13"/>
      <c r="AX13"/>
      <c r="AY13"/>
      <c r="AZ13" s="151">
        <v>2</v>
      </c>
      <c r="BA13" s="154">
        <v>2</v>
      </c>
      <c r="BB13" s="147">
        <v>2</v>
      </c>
      <c r="BC13" s="147">
        <v>3</v>
      </c>
      <c r="BD13" s="147">
        <v>4</v>
      </c>
      <c r="BE13" s="147">
        <v>4</v>
      </c>
      <c r="BF13" s="147">
        <v>5</v>
      </c>
      <c r="BG13" s="147">
        <v>5</v>
      </c>
    </row>
    <row r="14" spans="1:6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24"/>
      <c r="P14" s="5"/>
      <c r="Q14" s="5"/>
      <c r="R14" s="5"/>
      <c r="S14" s="5"/>
      <c r="T14" s="21"/>
      <c r="U14" s="21"/>
      <c r="V14" s="2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1"/>
      <c r="AO14" s="150">
        <f>IF($R$97="1121",2,0)</f>
        <v>0</v>
      </c>
      <c r="AP14"/>
      <c r="AQ14">
        <f>IF($R$135="121",2,0)</f>
        <v>0</v>
      </c>
      <c r="AR14"/>
      <c r="AS14" s="156">
        <f>SUM(AQ85,L164,L169)</f>
        <v>3</v>
      </c>
      <c r="AT14"/>
      <c r="AU14"/>
      <c r="AV14"/>
      <c r="AW14"/>
      <c r="AX14"/>
      <c r="AY14"/>
      <c r="AZ14" s="151">
        <v>3</v>
      </c>
      <c r="BA14" s="154">
        <v>3</v>
      </c>
      <c r="BB14" s="147">
        <v>3</v>
      </c>
      <c r="BC14" s="147">
        <v>3</v>
      </c>
      <c r="BD14" s="147">
        <v>4</v>
      </c>
      <c r="BE14" s="147">
        <v>4</v>
      </c>
      <c r="BF14" s="147">
        <v>5</v>
      </c>
      <c r="BG14" s="147">
        <v>6</v>
      </c>
    </row>
    <row r="15" spans="1:6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24"/>
      <c r="P15" s="5"/>
      <c r="Q15" s="5"/>
      <c r="R15" s="5"/>
      <c r="S15" s="5"/>
      <c r="T15" s="21"/>
      <c r="U15" s="21"/>
      <c r="V15" s="21"/>
      <c r="W15" s="5"/>
      <c r="X15" s="5"/>
      <c r="Y15" s="5"/>
      <c r="Z15" s="5"/>
      <c r="AA15" s="5"/>
      <c r="AB15" s="5"/>
      <c r="AC15" s="5" t="s">
        <v>26</v>
      </c>
      <c r="AD15" s="5" t="s">
        <v>27</v>
      </c>
      <c r="AE15" s="6" t="s">
        <v>28</v>
      </c>
      <c r="AF15" s="5">
        <v>1</v>
      </c>
      <c r="AG15" s="5">
        <v>1</v>
      </c>
      <c r="AH15" s="5"/>
      <c r="AI15" s="5"/>
      <c r="AJ15" s="5"/>
      <c r="AK15" s="5"/>
      <c r="AL15" s="5"/>
      <c r="AM15" s="5"/>
      <c r="AN15" s="1"/>
      <c r="AO15" s="150">
        <f>IF($R$97="1122",2,0)</f>
        <v>0</v>
      </c>
      <c r="AP15"/>
      <c r="AQ15">
        <f>IF($R$135="122",3,0)</f>
        <v>0</v>
      </c>
      <c r="AR15"/>
      <c r="AS15" s="28"/>
      <c r="AT15"/>
      <c r="AU15"/>
      <c r="AV15"/>
      <c r="AW15"/>
      <c r="AX15"/>
      <c r="AY15"/>
      <c r="AZ15" s="151">
        <v>4</v>
      </c>
      <c r="BA15" s="154">
        <v>3</v>
      </c>
      <c r="BB15" s="147">
        <v>3</v>
      </c>
      <c r="BC15" s="147">
        <v>3</v>
      </c>
      <c r="BD15" s="147">
        <v>4</v>
      </c>
      <c r="BE15" s="147">
        <v>5</v>
      </c>
      <c r="BF15" s="147">
        <v>6</v>
      </c>
      <c r="BG15" s="147">
        <v>6</v>
      </c>
    </row>
    <row r="16" spans="1:6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2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29</v>
      </c>
      <c r="AD16" s="5" t="s">
        <v>30</v>
      </c>
      <c r="AE16" s="8" t="s">
        <v>31</v>
      </c>
      <c r="AF16" s="5">
        <v>2</v>
      </c>
      <c r="AG16" s="5">
        <v>2</v>
      </c>
      <c r="AH16" s="5"/>
      <c r="AI16" s="5"/>
      <c r="AJ16" s="5"/>
      <c r="AK16" s="5"/>
      <c r="AL16" s="5"/>
      <c r="AM16" s="5"/>
      <c r="AN16" s="1"/>
      <c r="AO16" s="150">
        <f>IF($R$97="1131",2,0)</f>
        <v>0</v>
      </c>
      <c r="AP16"/>
      <c r="AQ16">
        <f>IF($R$135="131",3,0)</f>
        <v>0</v>
      </c>
      <c r="AR16"/>
      <c r="AS16" s="155"/>
      <c r="AT16"/>
      <c r="AU16"/>
      <c r="AV16"/>
      <c r="AW16"/>
      <c r="AX16"/>
      <c r="AY16"/>
      <c r="AZ16" s="151">
        <v>5</v>
      </c>
      <c r="BA16" s="154">
        <v>4</v>
      </c>
      <c r="BB16" s="147">
        <v>4</v>
      </c>
      <c r="BC16" s="147">
        <v>4</v>
      </c>
      <c r="BD16" s="147">
        <v>5</v>
      </c>
      <c r="BE16" s="147">
        <v>6</v>
      </c>
      <c r="BF16" s="147">
        <v>7</v>
      </c>
      <c r="BG16" s="147">
        <v>7</v>
      </c>
    </row>
    <row r="17" spans="1:59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24"/>
      <c r="P17" s="5"/>
      <c r="Q17" s="5"/>
      <c r="R17" s="10">
        <v>5</v>
      </c>
      <c r="S17" s="10"/>
      <c r="T17" s="5"/>
      <c r="U17" s="5"/>
      <c r="V17" s="5"/>
      <c r="W17" s="5"/>
      <c r="X17" s="5"/>
      <c r="Y17" s="5"/>
      <c r="Z17" s="5"/>
      <c r="AA17" s="5"/>
      <c r="AB17" s="5"/>
      <c r="AC17" s="5" t="s">
        <v>32</v>
      </c>
      <c r="AD17" s="5" t="s">
        <v>33</v>
      </c>
      <c r="AE17" s="8" t="s">
        <v>34</v>
      </c>
      <c r="AF17" s="5">
        <v>3</v>
      </c>
      <c r="AG17" s="5">
        <v>3</v>
      </c>
      <c r="AH17" s="5"/>
      <c r="AI17" s="5"/>
      <c r="AJ17" s="5"/>
      <c r="AK17" s="5"/>
      <c r="AL17" s="5"/>
      <c r="AM17" s="5"/>
      <c r="AN17" s="1"/>
      <c r="AO17" s="150">
        <f>IF($R$97="1132",3,0)</f>
        <v>0</v>
      </c>
      <c r="AP17"/>
      <c r="AQ17">
        <f>IF($R$135="132",4,0)</f>
        <v>0</v>
      </c>
      <c r="AR17"/>
      <c r="AS17"/>
      <c r="AT17"/>
      <c r="AU17"/>
      <c r="AV17"/>
      <c r="AW17"/>
      <c r="AX17"/>
      <c r="AY17"/>
      <c r="AZ17" s="151">
        <v>6</v>
      </c>
      <c r="BA17" s="154">
        <v>4</v>
      </c>
      <c r="BB17" s="147">
        <v>4</v>
      </c>
      <c r="BC17" s="147">
        <v>5</v>
      </c>
      <c r="BD17" s="147">
        <v>6</v>
      </c>
      <c r="BE17" s="147">
        <v>6</v>
      </c>
      <c r="BF17" s="147">
        <v>7</v>
      </c>
      <c r="BG17" s="147">
        <v>7</v>
      </c>
    </row>
    <row r="18" spans="1:59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24"/>
      <c r="P18" s="5"/>
      <c r="Q18" s="5"/>
      <c r="R18" s="10">
        <v>4</v>
      </c>
      <c r="S18" s="10"/>
      <c r="T18" s="5"/>
      <c r="U18" s="5"/>
      <c r="V18" s="5"/>
      <c r="W18" s="5"/>
      <c r="X18" s="5"/>
      <c r="Y18" s="5"/>
      <c r="Z18" s="5"/>
      <c r="AA18" s="5"/>
      <c r="AB18" s="5"/>
      <c r="AC18" s="5" t="s">
        <v>35</v>
      </c>
      <c r="AD18" s="5" t="s">
        <v>36</v>
      </c>
      <c r="AE18" s="8" t="s">
        <v>37</v>
      </c>
      <c r="AF18" s="5">
        <v>4</v>
      </c>
      <c r="AG18" s="5">
        <v>4</v>
      </c>
      <c r="AH18" s="5"/>
      <c r="AI18" s="5"/>
      <c r="AJ18" s="5"/>
      <c r="AK18" s="5"/>
      <c r="AL18" s="5"/>
      <c r="AM18" s="5"/>
      <c r="AN18" s="1"/>
      <c r="AO18" s="150">
        <f>IF($R$97="1141",3,0)</f>
        <v>0</v>
      </c>
      <c r="AP18"/>
      <c r="AQ18">
        <f>IF($R$135="141",5,0)</f>
        <v>0</v>
      </c>
      <c r="AR18"/>
      <c r="AS18" s="28" t="s">
        <v>435</v>
      </c>
      <c r="AT18"/>
      <c r="AU18"/>
      <c r="AV18"/>
      <c r="AW18"/>
      <c r="AX18"/>
      <c r="AY18"/>
      <c r="AZ18" s="151">
        <v>7</v>
      </c>
      <c r="BA18" s="154">
        <v>5</v>
      </c>
      <c r="BB18" s="147">
        <v>5</v>
      </c>
      <c r="BC18" s="147">
        <v>6</v>
      </c>
      <c r="BD18" s="147">
        <v>6</v>
      </c>
      <c r="BE18" s="147">
        <v>7</v>
      </c>
      <c r="BF18" s="147">
        <v>7</v>
      </c>
      <c r="BG18" s="147">
        <v>7</v>
      </c>
    </row>
    <row r="19" spans="1:59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24"/>
      <c r="P19" s="5"/>
      <c r="Q19" s="5"/>
      <c r="R19" s="10">
        <v>3</v>
      </c>
      <c r="S19" s="10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9"/>
      <c r="AF19" s="5"/>
      <c r="AG19" s="5"/>
      <c r="AH19" s="5"/>
      <c r="AI19" s="5"/>
      <c r="AJ19" s="5"/>
      <c r="AK19" s="5"/>
      <c r="AL19" s="5"/>
      <c r="AM19" s="5"/>
      <c r="AN19" s="1"/>
      <c r="AO19" s="150">
        <f>IF($R$97="1142",3,0)</f>
        <v>0</v>
      </c>
      <c r="AP19"/>
      <c r="AQ19">
        <f>IF($R$135="142",5,0)</f>
        <v>0</v>
      </c>
      <c r="AR19"/>
      <c r="AS19" s="155">
        <f>IF(AS12&gt;8,8,AS12)</f>
        <v>4</v>
      </c>
      <c r="AT19"/>
      <c r="AU19"/>
      <c r="AV19"/>
      <c r="AW19"/>
      <c r="AX19"/>
      <c r="AY19"/>
      <c r="AZ19" s="151" t="s">
        <v>436</v>
      </c>
      <c r="BA19" s="154">
        <v>5</v>
      </c>
      <c r="BB19" s="147">
        <v>5</v>
      </c>
      <c r="BC19" s="147">
        <v>6</v>
      </c>
      <c r="BD19" s="147">
        <v>7</v>
      </c>
      <c r="BE19" s="147">
        <v>7</v>
      </c>
      <c r="BF19" s="147">
        <v>7</v>
      </c>
      <c r="BG19" s="147">
        <v>7</v>
      </c>
    </row>
    <row r="20" spans="1:59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24"/>
      <c r="P20" s="5"/>
      <c r="Q20" s="5"/>
      <c r="R20" s="10">
        <v>2</v>
      </c>
      <c r="S20" s="10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"/>
      <c r="AO20">
        <f>IF($R$97="1211",2,0)</f>
        <v>0</v>
      </c>
      <c r="AP20"/>
      <c r="AQ20">
        <f>IF($R$135="151",6,0)</f>
        <v>0</v>
      </c>
      <c r="AR20"/>
      <c r="AS20" s="28" t="s">
        <v>437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24"/>
      <c r="P21" s="5"/>
      <c r="Q21" s="5"/>
      <c r="R21" s="10">
        <v>1</v>
      </c>
      <c r="S21" s="10"/>
      <c r="T21" s="5"/>
      <c r="U21" s="5"/>
      <c r="V21" s="5"/>
      <c r="W21" s="5"/>
      <c r="X21" s="5"/>
      <c r="Y21" s="5"/>
      <c r="Z21" s="5"/>
      <c r="AA21" s="5"/>
      <c r="AB21" s="5"/>
      <c r="AC21" s="5"/>
      <c r="AD21" s="11"/>
      <c r="AE21" s="11"/>
      <c r="AF21" s="5"/>
      <c r="AG21" s="5"/>
      <c r="AH21" s="5"/>
      <c r="AI21" s="5"/>
      <c r="AJ21" s="5"/>
      <c r="AK21" s="5"/>
      <c r="AL21" s="5"/>
      <c r="AM21" s="5"/>
      <c r="AN21" s="1"/>
      <c r="AO21">
        <f>IF($R$97="1212",2,0)</f>
        <v>0</v>
      </c>
      <c r="AP21"/>
      <c r="AQ21">
        <f>IF($R$135="152",6,0)</f>
        <v>0</v>
      </c>
      <c r="AR21"/>
      <c r="AS21" s="155">
        <f>IF(AS14&gt;7,7,AS14)</f>
        <v>3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2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11"/>
      <c r="AE22" s="11"/>
      <c r="AF22" s="5"/>
      <c r="AG22" s="5"/>
      <c r="AH22" s="5"/>
      <c r="AI22" s="5"/>
      <c r="AJ22" s="5"/>
      <c r="AK22" s="5"/>
      <c r="AL22" s="5"/>
      <c r="AM22" s="5"/>
      <c r="AN22" s="1"/>
      <c r="AO22">
        <f>IF($R$97="1221",2,0)</f>
        <v>0</v>
      </c>
      <c r="AP22"/>
      <c r="AQ22">
        <f>IF($R$135="161",7,0)</f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2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11"/>
      <c r="AE23" s="11"/>
      <c r="AF23" s="5"/>
      <c r="AG23" s="5"/>
      <c r="AH23" s="5"/>
      <c r="AI23" s="5"/>
      <c r="AJ23" s="5"/>
      <c r="AK23" s="5"/>
      <c r="AL23" s="5"/>
      <c r="AM23" s="5">
        <v>37</v>
      </c>
      <c r="AN23" s="1"/>
      <c r="AO23">
        <f>IF($R$97="1222",2,0)</f>
        <v>0</v>
      </c>
      <c r="AP23"/>
      <c r="AQ23">
        <f>IF($R$135="162",7,0)</f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2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1"/>
      <c r="AE24" s="11"/>
      <c r="AF24" s="5"/>
      <c r="AG24" s="5"/>
      <c r="AH24" s="5"/>
      <c r="AI24" s="5"/>
      <c r="AJ24" s="5"/>
      <c r="AK24" s="5"/>
      <c r="AL24" s="5"/>
      <c r="AM24" s="5">
        <v>39</v>
      </c>
      <c r="AN24" s="1"/>
      <c r="AO24">
        <f>IF($R$97="1231",3,0)</f>
        <v>0</v>
      </c>
      <c r="AP24"/>
      <c r="AQ24" s="150">
        <f>IF($R$135="211",2,0)</f>
        <v>0</v>
      </c>
      <c r="AR24"/>
      <c r="AS24" s="155" t="s">
        <v>438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24"/>
      <c r="P25" s="5"/>
      <c r="Q25" t="s">
        <v>43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11"/>
      <c r="AE25" s="11"/>
      <c r="AF25" s="5"/>
      <c r="AG25" s="5"/>
      <c r="AH25" s="5"/>
      <c r="AI25" s="5"/>
      <c r="AJ25" s="5"/>
      <c r="AK25" s="5"/>
      <c r="AL25" s="5"/>
      <c r="AM25" s="5">
        <v>41</v>
      </c>
      <c r="AN25" s="1"/>
      <c r="AO25">
        <f>IF($R$97="1232",3,0)</f>
        <v>0</v>
      </c>
      <c r="AP25"/>
      <c r="AQ25" s="150">
        <f>IF($R$135="212",3,0)</f>
        <v>0</v>
      </c>
      <c r="AR25"/>
      <c r="AS25" s="155">
        <f>INDEX(BA12:BG19,AS19,AS21)</f>
        <v>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24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>
        <v>43</v>
      </c>
      <c r="AN26" s="1"/>
      <c r="AO26">
        <f>IF($R$97="1241",3,0)</f>
        <v>0</v>
      </c>
      <c r="AP26"/>
      <c r="AQ26" s="150">
        <f>IF($R$135="221",2,0)</f>
        <v>2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ht="9" customHeight="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24">
        <v>16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>
        <v>45</v>
      </c>
      <c r="AN27" s="1"/>
      <c r="AO27">
        <f>IF($R$97="1242",3,0)</f>
        <v>0</v>
      </c>
      <c r="AP27"/>
      <c r="AQ27" s="150">
        <f>IF($R$135="222",3,0)</f>
        <v>0</v>
      </c>
      <c r="AR27"/>
      <c r="AS27" s="155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ht="16.5" customHeight="1" x14ac:dyDescent="0.25">
      <c r="A28" s="144"/>
      <c r="B28" s="144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24"/>
      <c r="P28" s="5"/>
      <c r="Q28" s="5"/>
      <c r="R28" s="5"/>
      <c r="S28" s="5"/>
      <c r="T28" s="5"/>
      <c r="U28" s="5" t="s">
        <v>474</v>
      </c>
      <c r="V28" s="180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>
        <v>47</v>
      </c>
      <c r="AN28" s="1"/>
      <c r="AO28" s="150">
        <f>IF($R$97="1311",2,0)</f>
        <v>0</v>
      </c>
      <c r="AP28"/>
      <c r="AQ28" s="150">
        <f>IF($R$135="231",4,0)</f>
        <v>0</v>
      </c>
      <c r="AR28"/>
      <c r="AS28">
        <f>IF(AS25=1,1,0)</f>
        <v>0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ht="15.75" thickBot="1" x14ac:dyDescent="0.3">
      <c r="A29" s="144"/>
      <c r="B29" s="145"/>
      <c r="C29" s="144"/>
      <c r="D29" s="144"/>
      <c r="E29" s="144"/>
      <c r="F29" s="46"/>
      <c r="G29" s="46"/>
      <c r="H29" s="46"/>
      <c r="I29" s="46"/>
      <c r="J29" s="46"/>
      <c r="K29" s="46"/>
      <c r="L29" s="46"/>
      <c r="M29" s="46"/>
      <c r="N29" s="46"/>
      <c r="O29" s="24"/>
      <c r="P29" s="5"/>
      <c r="Q29" s="5">
        <v>0</v>
      </c>
      <c r="R29" s="5">
        <v>0</v>
      </c>
      <c r="S29" s="7" t="s">
        <v>38</v>
      </c>
      <c r="T29" s="5"/>
      <c r="U29" s="5" t="s">
        <v>474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>
        <v>49</v>
      </c>
      <c r="AN29" s="1"/>
      <c r="AO29" s="150">
        <f>IF($R$97="1312",3,0)</f>
        <v>0</v>
      </c>
      <c r="AP29"/>
      <c r="AQ29" s="150">
        <f>IF($R$135="232",5,0)</f>
        <v>0</v>
      </c>
      <c r="AR29"/>
      <c r="AS29">
        <f>IF(AS25=2,1,0)</f>
        <v>0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ht="15.75" thickBot="1" x14ac:dyDescent="0.3">
      <c r="A30" s="164" t="s">
        <v>39</v>
      </c>
      <c r="B30" s="164" t="s">
        <v>40</v>
      </c>
      <c r="C30" s="165"/>
      <c r="D30" s="165"/>
      <c r="E30" s="165"/>
      <c r="F30" s="165"/>
      <c r="G30" s="165"/>
      <c r="H30" s="165"/>
      <c r="I30" s="165"/>
      <c r="J30" s="165"/>
      <c r="K30" s="165"/>
      <c r="L30" s="206" t="str">
        <f>IFERROR(L51,"")</f>
        <v>V</v>
      </c>
      <c r="M30"/>
      <c r="N30"/>
      <c r="O30" s="24"/>
      <c r="P30" s="5" t="str">
        <f>L30</f>
        <v>V</v>
      </c>
      <c r="Q30" s="5"/>
      <c r="R30" s="5">
        <v>1</v>
      </c>
      <c r="S30" s="7" t="s">
        <v>41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>
        <v>51</v>
      </c>
      <c r="AN30" s="1"/>
      <c r="AO30" s="150">
        <f>IF($R$97="1321",3,0)</f>
        <v>0</v>
      </c>
      <c r="AP30"/>
      <c r="AQ30" s="150">
        <f>IF($R$135="241",5,0)</f>
        <v>0</v>
      </c>
      <c r="AR30"/>
      <c r="AS30">
        <f>IF(AS25=3,2,0)</f>
        <v>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157"/>
      <c r="B31" s="158" t="s">
        <v>42</v>
      </c>
      <c r="C31"/>
      <c r="D31"/>
      <c r="E31"/>
      <c r="F31"/>
      <c r="G31"/>
      <c r="H31"/>
      <c r="I31"/>
      <c r="J31"/>
      <c r="K31"/>
      <c r="L31"/>
      <c r="M31"/>
      <c r="N31"/>
      <c r="O31" s="24"/>
      <c r="P31" s="5"/>
      <c r="Q31" s="5"/>
      <c r="R31" s="5"/>
      <c r="S31" s="7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>
        <v>53</v>
      </c>
      <c r="AN31" s="1"/>
      <c r="AO31" s="150">
        <f>IF($R$97="1322",3,0)</f>
        <v>0</v>
      </c>
      <c r="AP31"/>
      <c r="AQ31" s="150">
        <f>IF($R$135="242",5,0)</f>
        <v>0</v>
      </c>
      <c r="AR31"/>
      <c r="AS31">
        <f>IF(AS25=4,2,0)</f>
        <v>0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24"/>
      <c r="P32" s="5" t="s">
        <v>45</v>
      </c>
      <c r="Q32" s="5"/>
      <c r="R32" s="5"/>
      <c r="S32" s="5"/>
      <c r="T32" s="5"/>
      <c r="U32" s="5" t="s">
        <v>505</v>
      </c>
      <c r="V32" s="181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>
        <v>55</v>
      </c>
      <c r="AN32" s="1"/>
      <c r="AO32" s="150">
        <f>IF($R$97="1331",3,0)</f>
        <v>0</v>
      </c>
      <c r="AP32"/>
      <c r="AQ32" s="150">
        <f>IF($R$135="251",6,0)</f>
        <v>0</v>
      </c>
      <c r="AR32"/>
      <c r="AS32">
        <f>IF(AS25=5,3,0)</f>
        <v>0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B33"/>
      <c r="C33"/>
      <c r="D33"/>
      <c r="E33"/>
      <c r="F33"/>
      <c r="G33"/>
      <c r="H33" s="158"/>
      <c r="I33"/>
      <c r="J33"/>
      <c r="K33"/>
      <c r="L33"/>
      <c r="M33"/>
      <c r="N33"/>
      <c r="O33" s="24"/>
      <c r="P33" s="5" t="s">
        <v>502</v>
      </c>
      <c r="Q33" s="5"/>
      <c r="R33" s="5"/>
      <c r="S33" s="5"/>
      <c r="T33" s="5"/>
      <c r="U33" s="5" t="s">
        <v>469</v>
      </c>
      <c r="V33" s="181">
        <v>0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1"/>
      <c r="AO33" s="150">
        <f>IF($R$97="1332",3,0)</f>
        <v>0</v>
      </c>
      <c r="AP33"/>
      <c r="AQ33" s="150">
        <f>IF($R$135="252",7,0)</f>
        <v>0</v>
      </c>
      <c r="AR33"/>
      <c r="AS33">
        <f>IF(AS25=6,3,0)</f>
        <v>0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24"/>
      <c r="P34" s="5" t="s">
        <v>503</v>
      </c>
      <c r="Q34" s="5"/>
      <c r="R34" s="5"/>
      <c r="S34" s="5">
        <v>0</v>
      </c>
      <c r="T34" s="5"/>
      <c r="U34" s="5" t="s">
        <v>506</v>
      </c>
      <c r="V34" s="181">
        <v>2</v>
      </c>
      <c r="W34" s="5">
        <v>970</v>
      </c>
      <c r="X34" s="5">
        <f>W34</f>
        <v>970</v>
      </c>
      <c r="Y34" s="5"/>
      <c r="Z34" s="5"/>
      <c r="AA34" s="5"/>
      <c r="AB34" s="5"/>
      <c r="AC34" s="5"/>
      <c r="AD34" s="5"/>
      <c r="AE34" s="5" t="s">
        <v>44</v>
      </c>
      <c r="AF34" s="5"/>
      <c r="AG34" s="5"/>
      <c r="AH34" s="5"/>
      <c r="AI34" s="5"/>
      <c r="AJ34" s="5"/>
      <c r="AK34" s="5"/>
      <c r="AL34" s="5"/>
      <c r="AM34" s="5"/>
      <c r="AN34" s="1"/>
      <c r="AO34" s="150">
        <f>IF($R$97="1341",4,0)</f>
        <v>0</v>
      </c>
      <c r="AP34"/>
      <c r="AQ34" s="150">
        <f>IF($R$135="261",7,0)</f>
        <v>0</v>
      </c>
      <c r="AR34"/>
      <c r="AS34">
        <f>IF(AS25=7,4,0)</f>
        <v>0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B35"/>
      <c r="C35"/>
      <c r="D35"/>
      <c r="E35"/>
      <c r="F35"/>
      <c r="G35"/>
      <c r="H35"/>
      <c r="I35" t="s">
        <v>500</v>
      </c>
      <c r="J35"/>
      <c r="K35"/>
      <c r="L35"/>
      <c r="M35"/>
      <c r="N35"/>
      <c r="O35" s="24"/>
      <c r="P35" s="5"/>
      <c r="Q35" s="5"/>
      <c r="R35" s="5"/>
      <c r="S35" s="5"/>
      <c r="T35" s="5"/>
      <c r="U35" s="5" t="s">
        <v>507</v>
      </c>
      <c r="V35" s="182">
        <v>0</v>
      </c>
      <c r="W35" s="5">
        <v>200</v>
      </c>
      <c r="X35" s="5">
        <f>W35+X34</f>
        <v>1170</v>
      </c>
      <c r="Y35" s="5"/>
      <c r="Z35" s="5"/>
      <c r="AA35" s="5"/>
      <c r="AB35" s="5"/>
      <c r="AC35" s="5"/>
      <c r="AD35" s="5"/>
      <c r="AE35" s="5"/>
      <c r="AF35" s="5"/>
      <c r="AG35" s="25">
        <v>0</v>
      </c>
      <c r="AH35" s="5"/>
      <c r="AI35" s="5"/>
      <c r="AJ35" s="5"/>
      <c r="AK35" s="5"/>
      <c r="AL35" s="5"/>
      <c r="AM35" s="5"/>
      <c r="AN35" s="1"/>
      <c r="AO35" s="150">
        <f>IF($R$97="1342",4,0)</f>
        <v>0</v>
      </c>
      <c r="AP35"/>
      <c r="AQ35" s="150">
        <f>IF($R$135="262",7,0)</f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 s="24"/>
      <c r="P36" s="5"/>
      <c r="Q36" s="5"/>
      <c r="R36" s="5"/>
      <c r="S36" s="5"/>
      <c r="T36" s="5"/>
      <c r="U36" s="5" t="s">
        <v>470</v>
      </c>
      <c r="V36" s="182">
        <v>0</v>
      </c>
      <c r="W36" s="5">
        <v>300</v>
      </c>
      <c r="X36" s="5">
        <f t="shared" ref="X36:X38" si="0">W36+X35</f>
        <v>1470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1"/>
      <c r="AO36">
        <f>IF($R$97="2111",2,0)</f>
        <v>0</v>
      </c>
      <c r="AP36"/>
      <c r="AQ36">
        <f>IF($R$135="311",3,0)</f>
        <v>0</v>
      </c>
      <c r="AR36"/>
      <c r="AS36" s="155" t="s">
        <v>439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B37"/>
      <c r="C37"/>
      <c r="D37"/>
      <c r="E37"/>
      <c r="F37" t="s">
        <v>401</v>
      </c>
      <c r="G37"/>
      <c r="H37" t="s">
        <v>501</v>
      </c>
      <c r="I37"/>
      <c r="J37"/>
      <c r="K37"/>
      <c r="L37" s="162" t="s">
        <v>502</v>
      </c>
      <c r="M37"/>
      <c r="N37"/>
      <c r="O37" s="24"/>
      <c r="P37" s="180"/>
      <c r="Q37" s="180"/>
      <c r="R37" s="180"/>
      <c r="S37" s="180"/>
      <c r="T37" s="180"/>
      <c r="U37" s="5" t="s">
        <v>508</v>
      </c>
      <c r="V37" s="182">
        <v>1</v>
      </c>
      <c r="W37" s="5">
        <v>400</v>
      </c>
      <c r="X37" s="5">
        <f t="shared" si="0"/>
        <v>1870</v>
      </c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1"/>
      <c r="AO37">
        <f>IF($R$97="2112",3,0)</f>
        <v>0</v>
      </c>
      <c r="AP37"/>
      <c r="AQ37">
        <f>IF($R$135="312",3,0)</f>
        <v>0</v>
      </c>
      <c r="AR37"/>
      <c r="AS37" s="155">
        <f>SUM(AS28:AS34)</f>
        <v>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B38"/>
      <c r="C38"/>
      <c r="D38"/>
      <c r="E38"/>
      <c r="F38"/>
      <c r="G38" s="159" t="s">
        <v>392</v>
      </c>
      <c r="H38" t="s">
        <v>64</v>
      </c>
      <c r="I38"/>
      <c r="J38"/>
      <c r="K38" s="175" t="s">
        <v>395</v>
      </c>
      <c r="L38" s="163" t="s">
        <v>24</v>
      </c>
      <c r="M38"/>
      <c r="N38"/>
      <c r="O38" s="24"/>
      <c r="P38" s="180">
        <f>IF(L37=P32,"",IF(L38="","",IF(L38&lt;15,1,0)))</f>
        <v>0</v>
      </c>
      <c r="Q38" s="180"/>
      <c r="R38" s="180"/>
      <c r="S38" s="180"/>
      <c r="T38" s="180"/>
      <c r="U38" s="5" t="s">
        <v>509</v>
      </c>
      <c r="V38">
        <v>0</v>
      </c>
      <c r="W38" s="5">
        <v>500</v>
      </c>
      <c r="X38" s="5">
        <f t="shared" si="0"/>
        <v>2370</v>
      </c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1"/>
      <c r="AO38">
        <f>IF($R$97="2121",3,0)</f>
        <v>0</v>
      </c>
      <c r="AP38"/>
      <c r="AQ38">
        <f>IF($R$135="321",3,0)</f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B39"/>
      <c r="C39"/>
      <c r="D39"/>
      <c r="E39"/>
      <c r="F39" t="s">
        <v>402</v>
      </c>
      <c r="G39" s="159" t="s">
        <v>392</v>
      </c>
      <c r="H39" t="s">
        <v>385</v>
      </c>
      <c r="I39"/>
      <c r="J39"/>
      <c r="K39" s="176" t="s">
        <v>70</v>
      </c>
      <c r="L39" s="163" t="s">
        <v>70</v>
      </c>
      <c r="M39"/>
      <c r="N39"/>
      <c r="O39" s="24"/>
      <c r="P39" s="180">
        <f>IF(L37=P32,"",IF(L39="","",IF(L39="Si",0,1)))</f>
        <v>0</v>
      </c>
      <c r="Q39" s="180" t="s">
        <v>70</v>
      </c>
      <c r="R39" s="180" t="s">
        <v>72</v>
      </c>
      <c r="S39" s="180"/>
      <c r="T39" s="180"/>
      <c r="U39" s="5" t="s">
        <v>471</v>
      </c>
      <c r="V39">
        <v>1</v>
      </c>
      <c r="W39" s="5" t="s">
        <v>48</v>
      </c>
      <c r="X39" s="5" t="s">
        <v>49</v>
      </c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1"/>
      <c r="AO39">
        <f>IF($R$97="2122",3,0)</f>
        <v>0</v>
      </c>
      <c r="AP39"/>
      <c r="AQ39">
        <f>IF($R$135="322",4,0)</f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B40"/>
      <c r="C40"/>
      <c r="D40"/>
      <c r="E40"/>
      <c r="F40"/>
      <c r="G40" s="159" t="s">
        <v>393</v>
      </c>
      <c r="H40" t="s">
        <v>390</v>
      </c>
      <c r="I40"/>
      <c r="J40"/>
      <c r="K40" s="176" t="s">
        <v>397</v>
      </c>
      <c r="L40" s="163"/>
      <c r="M40"/>
      <c r="N40"/>
      <c r="O40" s="24"/>
      <c r="P40" s="180" t="str">
        <f>IF(L40="","",IF(AND(L40&gt;=Q40,L40&lt;=R40),0,1))</f>
        <v/>
      </c>
      <c r="Q40" s="180">
        <v>21</v>
      </c>
      <c r="R40" s="180">
        <v>37</v>
      </c>
      <c r="S40" s="180"/>
      <c r="T40" s="180"/>
      <c r="U40" s="5" t="s">
        <v>510</v>
      </c>
      <c r="V40">
        <v>2</v>
      </c>
      <c r="W40" s="5" t="s">
        <v>51</v>
      </c>
      <c r="X40" s="5" t="s">
        <v>52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1"/>
      <c r="AO40">
        <f>IF($R$97="2131",3,0)</f>
        <v>0</v>
      </c>
      <c r="AP40"/>
      <c r="AQ40">
        <f>IF($R$135="331",4,0)</f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B41"/>
      <c r="C41"/>
      <c r="D41"/>
      <c r="E41"/>
      <c r="F41" t="s">
        <v>481</v>
      </c>
      <c r="G41" s="159" t="s">
        <v>393</v>
      </c>
      <c r="H41" t="s">
        <v>396</v>
      </c>
      <c r="I41"/>
      <c r="J41"/>
      <c r="K41" s="177" t="s">
        <v>492</v>
      </c>
      <c r="L41" s="184"/>
      <c r="M41"/>
      <c r="N41"/>
      <c r="O41" s="24"/>
      <c r="P41" s="180" t="str">
        <f>IF(L41="","",IF(OR(L41&lt;13,L41&gt;17),1,0))</f>
        <v/>
      </c>
      <c r="Q41" s="180"/>
      <c r="R41" s="180"/>
      <c r="S41" s="180"/>
      <c r="T41" s="180"/>
      <c r="U41" s="5" t="s">
        <v>511</v>
      </c>
      <c r="V41" s="181">
        <v>0</v>
      </c>
      <c r="W41" s="5" t="s">
        <v>53</v>
      </c>
      <c r="X41" s="5" t="s">
        <v>54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1"/>
      <c r="AO41">
        <f>IF($R$97="2132",4,0)</f>
        <v>0</v>
      </c>
      <c r="AP41"/>
      <c r="AQ41">
        <f>IF($R$135="332",5,0)</f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B42"/>
      <c r="C42"/>
      <c r="D42"/>
      <c r="E42"/>
      <c r="F42"/>
      <c r="G42" s="159" t="s">
        <v>393</v>
      </c>
      <c r="H42" t="s">
        <v>504</v>
      </c>
      <c r="I42"/>
      <c r="J42"/>
      <c r="K42" s="176" t="s">
        <v>480</v>
      </c>
      <c r="L42" s="163" t="s">
        <v>517</v>
      </c>
      <c r="M42"/>
      <c r="N42"/>
      <c r="O42" s="24"/>
      <c r="P42" s="180"/>
      <c r="Q42" s="180" t="s">
        <v>517</v>
      </c>
      <c r="R42" s="180" t="s">
        <v>472</v>
      </c>
      <c r="S42" s="180" t="s">
        <v>518</v>
      </c>
      <c r="T42" s="180"/>
      <c r="U42" s="5" t="s">
        <v>475</v>
      </c>
      <c r="V42" s="181">
        <v>2</v>
      </c>
      <c r="W42" s="5">
        <v>970</v>
      </c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1"/>
      <c r="AO42">
        <f>IF($R$97="2141",4,0)</f>
        <v>0</v>
      </c>
      <c r="AP42"/>
      <c r="AQ42">
        <f>IF($R$135="341",5,0)</f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B43"/>
      <c r="C43"/>
      <c r="D43"/>
      <c r="E43"/>
      <c r="F43"/>
      <c r="G43" s="159"/>
      <c r="H43" t="s">
        <v>400</v>
      </c>
      <c r="I43"/>
      <c r="J43"/>
      <c r="K43" s="176"/>
      <c r="L43" s="163" t="s">
        <v>465</v>
      </c>
      <c r="M43"/>
      <c r="N43"/>
      <c r="O43" s="24"/>
      <c r="P43" s="180" t="str">
        <f>IF(AND(L42="",L43="",L44=""),"",IF(VLOOKUP(P44,U32:V49,2,0)=0,"V",IF(VLOOKUP(P44,U32:V49,2,0)=1,"A",IF(VLOOKUP(P44,U32:V49,2,0)=2,"R",""))))</f>
        <v>V</v>
      </c>
      <c r="Q43" s="180" t="s">
        <v>464</v>
      </c>
      <c r="R43" s="180" t="s">
        <v>465</v>
      </c>
      <c r="S43" s="180" t="s">
        <v>466</v>
      </c>
      <c r="T43" s="180"/>
      <c r="U43" s="5" t="s">
        <v>512</v>
      </c>
      <c r="V43" s="181">
        <v>2</v>
      </c>
      <c r="W43" s="5">
        <v>670</v>
      </c>
      <c r="X43" s="5">
        <f>W42-W43</f>
        <v>300</v>
      </c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1"/>
      <c r="AO43">
        <f>IF($R$97="2142",4,0)</f>
        <v>0</v>
      </c>
      <c r="AP43"/>
      <c r="AQ43">
        <f>IF($R$135="342",6,0)</f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B44"/>
      <c r="C44"/>
      <c r="D44"/>
      <c r="E44"/>
      <c r="F44"/>
      <c r="G44" s="159"/>
      <c r="H44" t="s">
        <v>399</v>
      </c>
      <c r="I44"/>
      <c r="J44"/>
      <c r="K44" s="176" t="s">
        <v>491</v>
      </c>
      <c r="L44" s="163" t="s">
        <v>468</v>
      </c>
      <c r="M44"/>
      <c r="N44"/>
      <c r="O44" s="24"/>
      <c r="P44" s="180" t="str">
        <f>CONCATENATE(L44,L43,L42)</f>
        <v>≤ 4hrs Ligero&gt;95&lt;120</v>
      </c>
      <c r="Q44" s="180" t="s">
        <v>467</v>
      </c>
      <c r="R44" s="180" t="s">
        <v>468</v>
      </c>
      <c r="S44" s="180"/>
      <c r="T44" s="180"/>
      <c r="U44" s="5" t="s">
        <v>513</v>
      </c>
      <c r="V44" s="182">
        <v>0</v>
      </c>
      <c r="W44" s="5"/>
      <c r="X44" s="5">
        <f>X43/50</f>
        <v>6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1"/>
      <c r="AO44" s="150">
        <f>IF($R$97="2211",3,0)</f>
        <v>0</v>
      </c>
      <c r="AP44"/>
      <c r="AQ44">
        <f>IF($R$135="351",6,0)</f>
        <v>0</v>
      </c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B45"/>
      <c r="C45"/>
      <c r="D45"/>
      <c r="E45"/>
      <c r="F45"/>
      <c r="G45" s="159"/>
      <c r="H45"/>
      <c r="I45"/>
      <c r="J45"/>
      <c r="K45" s="183"/>
      <c r="L45" s="28"/>
      <c r="M45"/>
      <c r="N45"/>
      <c r="O45" s="24"/>
      <c r="P45" s="180"/>
      <c r="Q45" s="180"/>
      <c r="R45" s="180"/>
      <c r="S45" s="180"/>
      <c r="T45" s="180"/>
      <c r="U45" s="5" t="s">
        <v>476</v>
      </c>
      <c r="V45" s="182">
        <v>0</v>
      </c>
      <c r="W45" s="5"/>
      <c r="X45" s="5">
        <v>0</v>
      </c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1"/>
      <c r="AO45" s="150">
        <f>IF($R$97="2212",3,0)</f>
        <v>0</v>
      </c>
      <c r="AP45"/>
      <c r="AQ45">
        <f>IF($R$135="352",7,0)</f>
        <v>0</v>
      </c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B46"/>
      <c r="C46"/>
      <c r="D46"/>
      <c r="E46"/>
      <c r="F46" t="s">
        <v>391</v>
      </c>
      <c r="G46" s="159" t="s">
        <v>394</v>
      </c>
      <c r="H46" t="s">
        <v>387</v>
      </c>
      <c r="I46"/>
      <c r="J46"/>
      <c r="K46" s="183"/>
      <c r="L46" s="30"/>
      <c r="M46"/>
      <c r="N46"/>
      <c r="O46" s="24"/>
      <c r="P46" s="180"/>
      <c r="Q46" s="180"/>
      <c r="R46" s="180"/>
      <c r="S46" s="180"/>
      <c r="T46" s="180"/>
      <c r="U46" s="178" t="s">
        <v>514</v>
      </c>
      <c r="V46" s="182">
        <v>2</v>
      </c>
      <c r="W46" s="5"/>
      <c r="X46" s="5">
        <v>1</v>
      </c>
      <c r="Y46" s="5" t="s">
        <v>65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1"/>
      <c r="AO46" s="150">
        <f>IF($R$97="2221",3,0)</f>
        <v>0</v>
      </c>
      <c r="AP46"/>
      <c r="AQ46">
        <f>IF($R$135="361",7,0)</f>
        <v>0</v>
      </c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B47"/>
      <c r="C47"/>
      <c r="D47"/>
      <c r="E47"/>
      <c r="F47"/>
      <c r="G47" s="159"/>
      <c r="H47"/>
      <c r="I47" t="s">
        <v>388</v>
      </c>
      <c r="J47"/>
      <c r="K47" s="176" t="s">
        <v>477</v>
      </c>
      <c r="L47" s="163"/>
      <c r="M47"/>
      <c r="N47"/>
      <c r="O47" s="24"/>
      <c r="P47" s="180" t="str">
        <f>IF(L37=P33,"",IF(L47="","",IF(L47&lt;Q47,1,0)))</f>
        <v/>
      </c>
      <c r="Q47" s="180">
        <v>55</v>
      </c>
      <c r="R47" s="180"/>
      <c r="S47" s="180"/>
      <c r="T47" s="180"/>
      <c r="U47" s="5" t="s">
        <v>515</v>
      </c>
      <c r="V47">
        <v>0</v>
      </c>
      <c r="W47" s="5"/>
      <c r="X47" s="5">
        <v>3</v>
      </c>
      <c r="Y47" s="5" t="s">
        <v>68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1"/>
      <c r="AO47" s="150">
        <f>IF($R$97="2222",3,0)</f>
        <v>0</v>
      </c>
      <c r="AP47"/>
      <c r="AQ47">
        <f>IF($R$135="362",7,0)</f>
        <v>0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B48"/>
      <c r="C48"/>
      <c r="D48"/>
      <c r="E48"/>
      <c r="F48"/>
      <c r="G48" s="159"/>
      <c r="H48"/>
      <c r="I48" t="s">
        <v>389</v>
      </c>
      <c r="J48"/>
      <c r="K48" s="176" t="s">
        <v>478</v>
      </c>
      <c r="L48" s="163"/>
      <c r="M48"/>
      <c r="N48"/>
      <c r="O48" s="24"/>
      <c r="P48" s="180" t="str">
        <f>IF(L37=P33,"",IF(L48="","",IF(L48&lt;Q48,1,0)))</f>
        <v/>
      </c>
      <c r="Q48" s="180">
        <v>60</v>
      </c>
      <c r="R48" s="180"/>
      <c r="S48" s="180"/>
      <c r="T48" s="180"/>
      <c r="U48" s="5" t="s">
        <v>473</v>
      </c>
      <c r="V48">
        <v>2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1"/>
      <c r="AO48" s="150">
        <f>IF($R$97="2231",3,0)</f>
        <v>0</v>
      </c>
      <c r="AP48"/>
      <c r="AQ48" s="150">
        <f>IF($R$135="411",5,0)</f>
        <v>0</v>
      </c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ht="17.25" customHeight="1" x14ac:dyDescent="0.25">
      <c r="A49"/>
      <c r="B49"/>
      <c r="C49"/>
      <c r="D49"/>
      <c r="E49"/>
      <c r="F49"/>
      <c r="G49" s="159" t="s">
        <v>394</v>
      </c>
      <c r="H49" t="s">
        <v>55</v>
      </c>
      <c r="I49"/>
      <c r="J49"/>
      <c r="K49" s="176" t="s">
        <v>479</v>
      </c>
      <c r="L49" s="163"/>
      <c r="M49"/>
      <c r="N49"/>
      <c r="O49" s="24"/>
      <c r="P49" s="180" t="str">
        <f>IF(L37=P33,"",IF(L49="","",IF(L49&lt;Q49,1,0)))</f>
        <v/>
      </c>
      <c r="Q49" s="180">
        <v>30</v>
      </c>
      <c r="R49" s="180"/>
      <c r="S49" s="180"/>
      <c r="T49" s="180"/>
      <c r="U49" s="5" t="s">
        <v>516</v>
      </c>
      <c r="V49">
        <v>2</v>
      </c>
      <c r="W49" s="5" t="s">
        <v>70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1"/>
      <c r="AO49" s="150">
        <f>IF($R$97="2232",4,0)</f>
        <v>0</v>
      </c>
      <c r="AP49"/>
      <c r="AQ49" s="150">
        <f>IF($R$135="412",5,0)</f>
        <v>0</v>
      </c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ht="14.25" customHeight="1" x14ac:dyDescent="0.25">
      <c r="A50"/>
      <c r="B50"/>
      <c r="C50"/>
      <c r="D50"/>
      <c r="E50"/>
      <c r="F50"/>
      <c r="G50" s="159" t="s">
        <v>394</v>
      </c>
      <c r="H50" t="s">
        <v>57</v>
      </c>
      <c r="I50"/>
      <c r="J50"/>
      <c r="K50" s="176" t="s">
        <v>398</v>
      </c>
      <c r="L50" s="163"/>
      <c r="M50"/>
      <c r="N50"/>
      <c r="O50" s="24"/>
      <c r="P50" s="180" t="str">
        <f>IF(L37=P33,"",IF(L50="","",IF(L50&gt;Q50,1,0)))</f>
        <v/>
      </c>
      <c r="Q50" s="180">
        <v>10</v>
      </c>
      <c r="R50" s="180"/>
      <c r="S50" s="180"/>
      <c r="T50" s="180"/>
      <c r="U50" s="5"/>
      <c r="V50" s="5"/>
      <c r="W50" s="5" t="s">
        <v>72</v>
      </c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1"/>
      <c r="AO50" s="150">
        <f>IF($R$97="2241",4,0)</f>
        <v>0</v>
      </c>
      <c r="AP50"/>
      <c r="AQ50" s="150">
        <f>IF($R$135="421",5,0)</f>
        <v>0</v>
      </c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ht="14.25" customHeight="1" x14ac:dyDescent="0.25">
      <c r="A51"/>
      <c r="B51"/>
      <c r="C51"/>
      <c r="D51"/>
      <c r="E51"/>
      <c r="F51"/>
      <c r="G51"/>
      <c r="H51"/>
      <c r="I51"/>
      <c r="J51"/>
      <c r="K51"/>
      <c r="L51" s="174" t="str">
        <f>P51</f>
        <v>V</v>
      </c>
      <c r="M51"/>
      <c r="N51"/>
      <c r="O51" s="24"/>
      <c r="P51" s="180" t="str">
        <f>IF(L37="","",IF(OR(SUM(P38:P50)&gt;0,P43="R"),"R","V"))</f>
        <v>V</v>
      </c>
      <c r="Q51" s="180"/>
      <c r="R51" s="180"/>
      <c r="S51" s="180"/>
      <c r="T51" s="21" t="s">
        <v>46</v>
      </c>
      <c r="U51" s="5"/>
      <c r="V51" s="11" t="s">
        <v>75</v>
      </c>
      <c r="W51" s="11"/>
      <c r="X51" s="11">
        <v>16</v>
      </c>
      <c r="Y51" s="11">
        <v>20</v>
      </c>
      <c r="Z51" s="11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1"/>
      <c r="AO51" s="150">
        <f>IF($R$97="2242",4,0)</f>
        <v>0</v>
      </c>
      <c r="AP51"/>
      <c r="AQ51" s="150">
        <f>IF($R$135="422",6,0)</f>
        <v>0</v>
      </c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ht="14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24"/>
      <c r="P52" s="5"/>
      <c r="Q52" s="5"/>
      <c r="R52" s="5"/>
      <c r="S52" s="5"/>
      <c r="T52" s="21" t="s">
        <v>47</v>
      </c>
      <c r="U52" s="5"/>
      <c r="V52" s="19">
        <f>V77</f>
        <v>3</v>
      </c>
      <c r="W52" s="19"/>
      <c r="X52" s="19">
        <f>W77</f>
        <v>1</v>
      </c>
      <c r="Y52" s="19">
        <f>X77</f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1"/>
      <c r="AO52">
        <f>IF($R$97="2311",3,0)</f>
        <v>0</v>
      </c>
      <c r="AP52"/>
      <c r="AQ52" s="150">
        <f>IF($R$135="431",6,0)</f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ht="14.25" customHeight="1" thickBo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24"/>
      <c r="P53" s="5"/>
      <c r="Q53" s="5"/>
      <c r="R53" s="5"/>
      <c r="S53" s="5"/>
      <c r="T53" s="21" t="s">
        <v>50</v>
      </c>
      <c r="U53" s="5"/>
      <c r="V53" s="11" t="s">
        <v>78</v>
      </c>
      <c r="W53" s="11"/>
      <c r="X53" s="11" t="s">
        <v>79</v>
      </c>
      <c r="Y53" s="11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1"/>
      <c r="AO53">
        <f>IF($R$97="2312",4,0)</f>
        <v>0</v>
      </c>
      <c r="AP53"/>
      <c r="AQ53" s="150">
        <f>IF($R$135="432",7,0)</f>
        <v>0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ht="14.25" customHeight="1" thickBot="1" x14ac:dyDescent="0.3">
      <c r="A54" s="164" t="s">
        <v>80</v>
      </c>
      <c r="B54" s="164" t="s">
        <v>462</v>
      </c>
      <c r="C54" s="165"/>
      <c r="D54" s="165"/>
      <c r="E54" s="165"/>
      <c r="F54" s="165"/>
      <c r="G54" s="165"/>
      <c r="H54" s="165"/>
      <c r="I54" s="165"/>
      <c r="J54" s="165"/>
      <c r="K54" s="165"/>
      <c r="L54" s="206" t="str">
        <f>IF(COUNTIF(L60:L92,"X")=0,"",IF(L93&lt;=Q93,"V",IF(AND(L93&gt;Q94,L93&lt;R94),"A","R")))</f>
        <v/>
      </c>
      <c r="M54"/>
      <c r="N54"/>
      <c r="O54" s="24"/>
      <c r="P54" s="5"/>
      <c r="Q54" s="5"/>
      <c r="R54" s="5"/>
      <c r="S54" s="5"/>
      <c r="T54" s="21" t="s">
        <v>55</v>
      </c>
      <c r="U54" s="5"/>
      <c r="V54" s="11"/>
      <c r="W54" s="11"/>
      <c r="X54" s="11"/>
      <c r="Y54" s="11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"/>
      <c r="AO54">
        <f>IF($R$97="2321",4,0)</f>
        <v>0</v>
      </c>
      <c r="AP54"/>
      <c r="AQ54" s="150">
        <f>IF($R$135="441",7,0)</f>
        <v>0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ht="14.25" customHeight="1" x14ac:dyDescent="0.25">
      <c r="A55"/>
      <c r="B55"/>
      <c r="C55"/>
      <c r="D55"/>
      <c r="E55"/>
      <c r="F55"/>
      <c r="G55"/>
      <c r="H55"/>
      <c r="I55"/>
      <c r="J55" s="168" t="s">
        <v>461</v>
      </c>
      <c r="K55" s="186"/>
      <c r="L55"/>
      <c r="M55"/>
      <c r="N55"/>
      <c r="O55" s="24"/>
      <c r="P55" s="5"/>
      <c r="Q55" s="5"/>
      <c r="R55" s="5" t="s">
        <v>118</v>
      </c>
      <c r="S55" s="5"/>
      <c r="T55" s="21" t="s">
        <v>57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1"/>
      <c r="AO55">
        <f>IF($R$97="2322",4,0)</f>
        <v>0</v>
      </c>
      <c r="AP55"/>
      <c r="AQ55" s="150">
        <f>IF($R$135="442",7,0)</f>
        <v>0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ht="16.899999999999999" customHeight="1" x14ac:dyDescent="0.25">
      <c r="A56" s="157"/>
      <c r="B56" s="157"/>
      <c r="C56"/>
      <c r="D56"/>
      <c r="E56"/>
      <c r="F56"/>
      <c r="G56"/>
      <c r="H56"/>
      <c r="I56"/>
      <c r="J56" s="167" t="s">
        <v>460</v>
      </c>
      <c r="K56" s="185"/>
      <c r="L56"/>
      <c r="M56"/>
      <c r="N56"/>
      <c r="O56" s="24"/>
      <c r="P56" s="179" t="str">
        <f>IF(AND(K56&lt;&gt;0,K55&lt;&gt;0),"error",IF(K55&lt;&gt;0,K55*9.80665,IF(K56&lt;&gt;0,K56*4.44822,"")))</f>
        <v/>
      </c>
      <c r="Q56" s="5"/>
      <c r="R56" s="5"/>
      <c r="S56" s="5"/>
      <c r="T56" s="21" t="s">
        <v>61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1"/>
      <c r="AO56">
        <f>IF($R$97="2331",4,0)</f>
        <v>0</v>
      </c>
      <c r="AP56"/>
      <c r="AQ56" s="150">
        <f>IF($R$135="451",7,0)</f>
        <v>0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ht="16.899999999999999" customHeight="1" thickBot="1" x14ac:dyDescent="0.3">
      <c r="A57"/>
      <c r="B57"/>
      <c r="C57"/>
      <c r="D57"/>
      <c r="E57"/>
      <c r="F57"/>
      <c r="G57"/>
      <c r="H57"/>
      <c r="I57"/>
      <c r="J57"/>
      <c r="K57" s="160"/>
      <c r="L57" s="160">
        <f>COUNTIF(L60:L92,"X")</f>
        <v>0</v>
      </c>
      <c r="M57"/>
      <c r="N57"/>
      <c r="O57" s="24"/>
      <c r="P57" s="5"/>
      <c r="Q57" s="5"/>
      <c r="R57" s="5"/>
      <c r="S57" s="5"/>
      <c r="T57" s="21" t="s">
        <v>67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1"/>
      <c r="AO57">
        <f>IF($R$97="2332",4,0)</f>
        <v>0</v>
      </c>
      <c r="AP57"/>
      <c r="AQ57" s="150">
        <f>IF($R$135="452",7,0)</f>
        <v>0</v>
      </c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ht="16.899999999999999" customHeight="1" thickBot="1" x14ac:dyDescent="0.3">
      <c r="A58"/>
      <c r="B58"/>
      <c r="C58"/>
      <c r="D58"/>
      <c r="E58"/>
      <c r="F58"/>
      <c r="G58" s="172" t="s">
        <v>463</v>
      </c>
      <c r="H58" s="173"/>
      <c r="I58" s="173"/>
      <c r="J58" s="173"/>
      <c r="K58" s="173"/>
      <c r="L58" s="205" t="str">
        <f>P56</f>
        <v/>
      </c>
      <c r="M58"/>
      <c r="N58"/>
      <c r="O58" s="24"/>
      <c r="P58" s="5"/>
      <c r="Q58" s="5"/>
      <c r="R58" s="5"/>
      <c r="S58" s="5"/>
      <c r="T58" s="21" t="s">
        <v>64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1"/>
      <c r="AO58">
        <f>IF($R$97="2341",5,0)</f>
        <v>0</v>
      </c>
      <c r="AP58"/>
      <c r="AQ58" s="150">
        <f>IF($R$135="461",8,0)</f>
        <v>0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ht="16.899999999999999" customHeight="1" x14ac:dyDescent="0.25">
      <c r="A59"/>
      <c r="B59"/>
      <c r="C59"/>
      <c r="D59"/>
      <c r="E59"/>
      <c r="F59"/>
      <c r="G59" s="172" t="s">
        <v>403</v>
      </c>
      <c r="H59" s="173"/>
      <c r="I59" s="173"/>
      <c r="J59" s="173"/>
      <c r="K59" s="173"/>
      <c r="L59" s="28"/>
      <c r="M59"/>
      <c r="N59"/>
      <c r="O59" s="24"/>
      <c r="P59" s="5"/>
      <c r="Q59" s="5"/>
      <c r="R59" s="5">
        <v>1</v>
      </c>
      <c r="S59" s="5"/>
      <c r="T59" s="21" t="s">
        <v>74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"/>
      <c r="AO59">
        <f>IF($R$97="2342",5,0)</f>
        <v>0</v>
      </c>
      <c r="AP59"/>
      <c r="AQ59" s="150">
        <f>IF($R$135="462",8,0)</f>
        <v>0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ht="16.899999999999999" customHeight="1" x14ac:dyDescent="0.25">
      <c r="A60"/>
      <c r="B60"/>
      <c r="C60"/>
      <c r="D60"/>
      <c r="E60"/>
      <c r="F60"/>
      <c r="G60" s="171" t="s">
        <v>404</v>
      </c>
      <c r="H60"/>
      <c r="I60"/>
      <c r="J60"/>
      <c r="K60"/>
      <c r="L60" s="163"/>
      <c r="M60"/>
      <c r="N60"/>
      <c r="O60" s="24"/>
      <c r="P60" s="146" t="str">
        <f>IF(L60="x",AN61,"")</f>
        <v/>
      </c>
      <c r="Q60" s="5"/>
      <c r="R60" s="5">
        <f>L61</f>
        <v>0</v>
      </c>
      <c r="S60" s="20">
        <f>IF(COUNTA(L60:L72)&gt;1,"error",SUM(P60:P72))</f>
        <v>0</v>
      </c>
      <c r="T60" s="21" t="s">
        <v>77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 t="s">
        <v>403</v>
      </c>
      <c r="AJ60" s="5" t="s">
        <v>417</v>
      </c>
      <c r="AK60" s="5"/>
      <c r="AL60" s="5" t="s">
        <v>418</v>
      </c>
      <c r="AM60" s="5" t="s">
        <v>419</v>
      </c>
      <c r="AN60" s="1" t="s">
        <v>459</v>
      </c>
      <c r="AO60" s="150">
        <f>IF($R$97="3111",3,0)</f>
        <v>0</v>
      </c>
      <c r="AP60"/>
      <c r="AQ60">
        <f>IF($R$135="511",7,0)</f>
        <v>0</v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ht="16.899999999999999" customHeight="1" x14ac:dyDescent="0.25">
      <c r="A61" s="157"/>
      <c r="B61"/>
      <c r="C61"/>
      <c r="D61"/>
      <c r="E61"/>
      <c r="F61"/>
      <c r="G61" s="171" t="s">
        <v>405</v>
      </c>
      <c r="H61"/>
      <c r="I61"/>
      <c r="J61"/>
      <c r="K61"/>
      <c r="L61" s="163"/>
      <c r="M61"/>
      <c r="N61"/>
      <c r="O61" s="24"/>
      <c r="P61" s="146" t="str">
        <f>IF(L61="x",AN62,"")</f>
        <v/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 t="s">
        <v>404</v>
      </c>
      <c r="AJ61" s="5">
        <v>184</v>
      </c>
      <c r="AK61" s="5"/>
      <c r="AL61" s="5">
        <v>41.364856000000003</v>
      </c>
      <c r="AM61" s="5">
        <v>18.762847999999998</v>
      </c>
      <c r="AN61" s="1">
        <v>176.52</v>
      </c>
      <c r="AO61" s="150">
        <f>IF($R$97="3112",3,0)</f>
        <v>0</v>
      </c>
      <c r="AP61"/>
      <c r="AQ61">
        <f>IF($R$135="512",7,0)</f>
        <v>0</v>
      </c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ht="16.899999999999999" customHeight="1" x14ac:dyDescent="0.25">
      <c r="A62"/>
      <c r="B62"/>
      <c r="C62"/>
      <c r="D62"/>
      <c r="E62"/>
      <c r="F62"/>
      <c r="G62" s="171" t="s">
        <v>406</v>
      </c>
      <c r="H62"/>
      <c r="I62"/>
      <c r="J62"/>
      <c r="K62"/>
      <c r="L62" s="163"/>
      <c r="M62"/>
      <c r="N62"/>
      <c r="O62" s="24"/>
      <c r="P62" s="146" t="str">
        <f t="shared" ref="P62:P72" si="1">IF(L62="x",AN63,"")</f>
        <v/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 t="s">
        <v>405</v>
      </c>
      <c r="AJ62" s="5">
        <v>31</v>
      </c>
      <c r="AK62" s="5"/>
      <c r="AL62" s="5">
        <v>6.9690790000000007</v>
      </c>
      <c r="AM62" s="5">
        <v>3.1611319999999998</v>
      </c>
      <c r="AN62" s="1">
        <v>28.89</v>
      </c>
      <c r="AO62" s="150">
        <f>IF($R$97="3121",4,0)</f>
        <v>4</v>
      </c>
      <c r="AP62"/>
      <c r="AQ62">
        <f>IF($R$135="521",7,0)</f>
        <v>0</v>
      </c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ht="16.899999999999999" customHeight="1" x14ac:dyDescent="0.25">
      <c r="A63"/>
      <c r="B63"/>
      <c r="C63"/>
      <c r="D63"/>
      <c r="E63"/>
      <c r="F63"/>
      <c r="G63" s="171" t="s">
        <v>407</v>
      </c>
      <c r="H63"/>
      <c r="I63"/>
      <c r="J63"/>
      <c r="K63"/>
      <c r="L63" s="163"/>
      <c r="M63"/>
      <c r="N63"/>
      <c r="O63" s="24"/>
      <c r="P63" s="146" t="str">
        <f t="shared" si="1"/>
        <v/>
      </c>
      <c r="Q63" s="5"/>
      <c r="R63" s="5"/>
      <c r="S63" s="5"/>
      <c r="T63" s="5"/>
      <c r="U63" s="5"/>
      <c r="V63" s="12" t="b">
        <v>0</v>
      </c>
      <c r="W63" s="12" t="b">
        <v>0</v>
      </c>
      <c r="X63" s="12" t="b">
        <v>0</v>
      </c>
      <c r="Y63" s="12" t="b">
        <v>0</v>
      </c>
      <c r="Z63" s="12" t="b">
        <v>1</v>
      </c>
      <c r="AA63" s="12"/>
      <c r="AB63" s="12"/>
      <c r="AC63" s="5"/>
      <c r="AD63" s="5" t="b">
        <v>1</v>
      </c>
      <c r="AE63" s="5"/>
      <c r="AF63" s="5"/>
      <c r="AG63" s="5"/>
      <c r="AH63" s="5"/>
      <c r="AI63" s="5" t="s">
        <v>406</v>
      </c>
      <c r="AJ63" s="5">
        <v>44</v>
      </c>
      <c r="AK63" s="5"/>
      <c r="AL63" s="5">
        <v>9.8915959999999998</v>
      </c>
      <c r="AM63" s="5">
        <v>4.4867679999999996</v>
      </c>
      <c r="AN63" s="1">
        <v>41.76</v>
      </c>
      <c r="AO63" s="150">
        <f>IF($R$97="3122",4,0)</f>
        <v>0</v>
      </c>
      <c r="AP63"/>
      <c r="AQ63">
        <f>IF($R$135="522",7,0)</f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ht="16.899999999999999" customHeight="1" x14ac:dyDescent="0.25">
      <c r="A64"/>
      <c r="B64"/>
      <c r="C64"/>
      <c r="D64"/>
      <c r="E64"/>
      <c r="F64"/>
      <c r="G64" s="171" t="s">
        <v>408</v>
      </c>
      <c r="H64"/>
      <c r="I64"/>
      <c r="J64"/>
      <c r="K64"/>
      <c r="L64" s="163"/>
      <c r="M64"/>
      <c r="N64"/>
      <c r="O64" s="24"/>
      <c r="P64" s="146" t="str">
        <f t="shared" si="1"/>
        <v/>
      </c>
      <c r="Q64" s="5"/>
      <c r="R64" s="5"/>
      <c r="S64" s="5"/>
      <c r="T64" s="5"/>
      <c r="U64" s="5">
        <f>MAX(V64:Z64)</f>
        <v>1</v>
      </c>
      <c r="V64" s="5">
        <f>IF(V63=$AD$63,5,0)</f>
        <v>0</v>
      </c>
      <c r="W64" s="5">
        <f>IF(W63=$AD$63,4,0)</f>
        <v>0</v>
      </c>
      <c r="X64" s="5">
        <f>IF(X63=$AD$63,3,0)</f>
        <v>0</v>
      </c>
      <c r="Y64" s="5">
        <f>IF(Y63=$AD$63,2,0)</f>
        <v>0</v>
      </c>
      <c r="Z64" s="5">
        <f>IF(Z63=$AD$63,1,0)</f>
        <v>1</v>
      </c>
      <c r="AA64" s="5">
        <f t="shared" ref="AA64:AB64" si="2">IF(AA63=$AD$63,5,0)</f>
        <v>0</v>
      </c>
      <c r="AB64" s="5">
        <f t="shared" si="2"/>
        <v>0</v>
      </c>
      <c r="AC64" s="5"/>
      <c r="AD64" s="5"/>
      <c r="AE64" s="5"/>
      <c r="AF64" s="5"/>
      <c r="AG64" s="5"/>
      <c r="AH64" s="5"/>
      <c r="AI64" s="5" t="s">
        <v>407</v>
      </c>
      <c r="AJ64" s="5">
        <v>31</v>
      </c>
      <c r="AK64" s="5"/>
      <c r="AL64" s="5">
        <v>6.9690790000000007</v>
      </c>
      <c r="AM64" s="5">
        <v>3.1611319999999998</v>
      </c>
      <c r="AN64" s="1">
        <v>28.43</v>
      </c>
      <c r="AO64" s="150">
        <f>IF($R$97="3131",4,0)</f>
        <v>0</v>
      </c>
      <c r="AP64"/>
      <c r="AQ64">
        <f>IF($R$135="531",7,0)</f>
        <v>0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6.899999999999999" customHeight="1" x14ac:dyDescent="0.25">
      <c r="A65"/>
      <c r="B65"/>
      <c r="C65"/>
      <c r="D65"/>
      <c r="E65"/>
      <c r="F65"/>
      <c r="G65" s="171" t="s">
        <v>409</v>
      </c>
      <c r="H65"/>
      <c r="I65"/>
      <c r="J65"/>
      <c r="K65"/>
      <c r="L65" s="163"/>
      <c r="M65"/>
      <c r="N65"/>
      <c r="O65" s="24"/>
      <c r="P65" s="146" t="str">
        <f t="shared" si="1"/>
        <v/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 t="s">
        <v>408</v>
      </c>
      <c r="AJ65" s="5">
        <v>49</v>
      </c>
      <c r="AK65" s="5"/>
      <c r="AL65" s="5">
        <v>11.015641</v>
      </c>
      <c r="AM65" s="5">
        <v>4.9966279999999994</v>
      </c>
      <c r="AN65" s="1">
        <v>45.69</v>
      </c>
      <c r="AO65" s="150">
        <f>IF($R$97="3132",4,0)</f>
        <v>0</v>
      </c>
      <c r="AP65"/>
      <c r="AQ65">
        <f>IF($R$135="532",8,0)</f>
        <v>0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6.899999999999999" customHeight="1" x14ac:dyDescent="0.25">
      <c r="A66"/>
      <c r="B66"/>
      <c r="C66"/>
      <c r="D66"/>
      <c r="E66"/>
      <c r="F66"/>
      <c r="G66" s="171" t="s">
        <v>410</v>
      </c>
      <c r="H66"/>
      <c r="I66"/>
      <c r="J66"/>
      <c r="K66"/>
      <c r="L66" s="163"/>
      <c r="M66"/>
      <c r="N66"/>
      <c r="O66" s="24"/>
      <c r="P66" s="146" t="str">
        <f t="shared" si="1"/>
        <v/>
      </c>
      <c r="Q66" s="5"/>
      <c r="R66" s="5"/>
      <c r="S66" s="5"/>
      <c r="T66" s="5"/>
      <c r="U66" s="5" t="s">
        <v>84</v>
      </c>
      <c r="V66" s="7">
        <f>IF(W66=1,0,IF(W66=3,3,IF(AND(W66=2,AG35=1),5,IF(AND(W66=2,AG35=3),5,IF(AND(W66=2,AG35=2),3,IF(W66=4,5,0))))))</f>
        <v>0</v>
      </c>
      <c r="W66" s="5">
        <v>0</v>
      </c>
      <c r="X66" s="5"/>
      <c r="Y66" s="5"/>
      <c r="Z66" s="5"/>
      <c r="AA66" s="5"/>
      <c r="AB66" s="5"/>
      <c r="AC66" s="5">
        <f>IF(AND(W66=2,AG35=2),1,0)</f>
        <v>0</v>
      </c>
      <c r="AD66" s="5"/>
      <c r="AE66" s="5"/>
      <c r="AF66" s="5"/>
      <c r="AG66" s="5"/>
      <c r="AH66" s="5"/>
      <c r="AI66" s="5" t="s">
        <v>409</v>
      </c>
      <c r="AJ66" s="5">
        <v>186</v>
      </c>
      <c r="AK66" s="5"/>
      <c r="AL66" s="5">
        <v>41.814474000000004</v>
      </c>
      <c r="AM66" s="5">
        <v>18.966791999999998</v>
      </c>
      <c r="AN66" s="1">
        <v>174.61</v>
      </c>
      <c r="AO66" s="150">
        <f>IF($R$97="3141",5,0)</f>
        <v>0</v>
      </c>
      <c r="AP66"/>
      <c r="AQ66">
        <f>IF($R$135="541",8,0)</f>
        <v>0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6.899999999999999" customHeight="1" x14ac:dyDescent="0.25">
      <c r="A67"/>
      <c r="B67"/>
      <c r="C67"/>
      <c r="D67"/>
      <c r="E67"/>
      <c r="F67"/>
      <c r="G67" s="171" t="s">
        <v>411</v>
      </c>
      <c r="H67"/>
      <c r="I67"/>
      <c r="J67"/>
      <c r="K67"/>
      <c r="L67" s="163"/>
      <c r="M67"/>
      <c r="N67"/>
      <c r="O67" s="24"/>
      <c r="P67" s="146" t="str">
        <f t="shared" si="1"/>
        <v/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 t="s">
        <v>410</v>
      </c>
      <c r="AJ67" s="5">
        <v>30</v>
      </c>
      <c r="AK67" s="5"/>
      <c r="AL67" s="5">
        <v>6.7442700000000002</v>
      </c>
      <c r="AM67" s="5">
        <v>3.0591599999999999</v>
      </c>
      <c r="AN67" s="1">
        <v>26.59</v>
      </c>
      <c r="AO67" s="150">
        <f>IF($R$97="3142",5,0)</f>
        <v>0</v>
      </c>
      <c r="AP67"/>
      <c r="AQ67">
        <f>IF($R$135="542",8,0)</f>
        <v>0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6.899999999999999" customHeight="1" x14ac:dyDescent="0.25">
      <c r="A68"/>
      <c r="B68"/>
      <c r="C68"/>
      <c r="D68"/>
      <c r="E68"/>
      <c r="F68"/>
      <c r="G68" s="171" t="s">
        <v>412</v>
      </c>
      <c r="H68"/>
      <c r="I68"/>
      <c r="J68"/>
      <c r="K68"/>
      <c r="L68" s="163"/>
      <c r="M68"/>
      <c r="N68"/>
      <c r="O68" s="24"/>
      <c r="P68" s="146" t="str">
        <f t="shared" si="1"/>
        <v/>
      </c>
      <c r="Q68" s="5"/>
      <c r="R68" s="5"/>
      <c r="S68" s="5"/>
      <c r="T68" s="5"/>
      <c r="U68" s="5"/>
      <c r="V68" s="5" t="s">
        <v>85</v>
      </c>
      <c r="W68" s="5" t="s">
        <v>86</v>
      </c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 t="s">
        <v>411</v>
      </c>
      <c r="AJ68" s="5">
        <v>169</v>
      </c>
      <c r="AK68" s="5"/>
      <c r="AL68" s="5">
        <v>37.992721000000003</v>
      </c>
      <c r="AM68" s="5">
        <v>17.233267999999999</v>
      </c>
      <c r="AN68" s="1">
        <v>162.84</v>
      </c>
      <c r="AO68">
        <f>IF($R$97="3211",3,0)</f>
        <v>0</v>
      </c>
      <c r="AP68"/>
      <c r="AQ68">
        <f>IF($R$135="551",8,0)</f>
        <v>0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6.899999999999999" customHeight="1" x14ac:dyDescent="0.25">
      <c r="A69"/>
      <c r="B69"/>
      <c r="C69"/>
      <c r="D69"/>
      <c r="E69"/>
      <c r="F69"/>
      <c r="G69" s="171" t="s">
        <v>413</v>
      </c>
      <c r="H69"/>
      <c r="I69"/>
      <c r="J69"/>
      <c r="K69"/>
      <c r="L69" s="163"/>
      <c r="M69"/>
      <c r="N69"/>
      <c r="O69" s="24"/>
      <c r="P69" s="146" t="str">
        <f t="shared" si="1"/>
        <v/>
      </c>
      <c r="Q69" s="5"/>
      <c r="R69" s="5"/>
      <c r="S69" s="5"/>
      <c r="T69" s="5"/>
      <c r="U69" s="5">
        <v>150</v>
      </c>
      <c r="V69" s="5">
        <f>IF(I37=$R$50,0,IF(I37=$R$51,2,0))</f>
        <v>0</v>
      </c>
      <c r="W69" s="5">
        <f>IF(I37&gt;=X69,0,IF(AND(I37&lt;X69,I37&gt;=Y69),3,IF(OR(I37=0,I37=""),0,5)))</f>
        <v>0</v>
      </c>
      <c r="X69" s="5">
        <v>550</v>
      </c>
      <c r="Y69" s="5">
        <v>450</v>
      </c>
      <c r="Z69" s="5"/>
      <c r="AA69" s="5"/>
      <c r="AB69" s="5"/>
      <c r="AC69" s="5"/>
      <c r="AD69" s="5"/>
      <c r="AE69" s="5"/>
      <c r="AF69" s="5"/>
      <c r="AG69" s="5"/>
      <c r="AH69" s="5"/>
      <c r="AI69" s="5" t="s">
        <v>412</v>
      </c>
      <c r="AJ69" s="5">
        <v>28</v>
      </c>
      <c r="AK69" s="5"/>
      <c r="AL69" s="5">
        <v>6.2946520000000001</v>
      </c>
      <c r="AM69" s="5">
        <v>2.855216</v>
      </c>
      <c r="AN69" s="1">
        <v>25.19</v>
      </c>
      <c r="AO69">
        <f>IF($R$97="3212",4,0)</f>
        <v>0</v>
      </c>
      <c r="AP69"/>
      <c r="AQ69">
        <f>IF($R$135="552",8,0)</f>
        <v>0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6.899999999999999" customHeight="1" x14ac:dyDescent="0.25">
      <c r="A70"/>
      <c r="B70"/>
      <c r="C70"/>
      <c r="D70"/>
      <c r="E70"/>
      <c r="F70"/>
      <c r="G70" s="171" t="s">
        <v>414</v>
      </c>
      <c r="H70"/>
      <c r="I70"/>
      <c r="J70"/>
      <c r="K70"/>
      <c r="L70" s="163"/>
      <c r="M70"/>
      <c r="N70"/>
      <c r="O70" s="24"/>
      <c r="P70" s="146" t="str">
        <f t="shared" si="1"/>
        <v/>
      </c>
      <c r="Q70" s="5"/>
      <c r="R70" s="5"/>
      <c r="S70" s="5"/>
      <c r="T70" s="7" t="s">
        <v>25</v>
      </c>
      <c r="U70" s="13" t="s">
        <v>87</v>
      </c>
      <c r="V70" s="5">
        <f>IF(I39=$T$70,2,0)</f>
        <v>0</v>
      </c>
      <c r="W70" s="5">
        <f>IF(I39&gt;=600,0,IF(AND(I39&lt;600,I39&gt;=550),2,IF(AND(I39&lt;550,I39&gt;=500),3,IF(I39="",0,5))))</f>
        <v>0</v>
      </c>
      <c r="X70" s="5" t="s">
        <v>88</v>
      </c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 t="s">
        <v>413</v>
      </c>
      <c r="AJ70" s="5">
        <v>119</v>
      </c>
      <c r="AK70" s="5"/>
      <c r="AL70" s="5">
        <v>26.752271</v>
      </c>
      <c r="AM70" s="5">
        <v>12.134668</v>
      </c>
      <c r="AN70" s="1">
        <v>109.17</v>
      </c>
      <c r="AO70">
        <f>IF($R$97="3221",4,0)</f>
        <v>0</v>
      </c>
      <c r="AP70"/>
      <c r="AQ70">
        <f>IF($R$135="561",8,0)</f>
        <v>0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6.899999999999999" customHeight="1" x14ac:dyDescent="0.25">
      <c r="A71"/>
      <c r="B71"/>
      <c r="C71"/>
      <c r="D71"/>
      <c r="E71"/>
      <c r="F71"/>
      <c r="G71" s="171" t="s">
        <v>415</v>
      </c>
      <c r="H71"/>
      <c r="I71"/>
      <c r="J71"/>
      <c r="K71"/>
      <c r="L71" s="163"/>
      <c r="M71"/>
      <c r="N71"/>
      <c r="O71" s="24"/>
      <c r="P71" s="146" t="str">
        <f t="shared" si="1"/>
        <v/>
      </c>
      <c r="Q71" s="5"/>
      <c r="R71" s="5"/>
      <c r="S71" s="5"/>
      <c r="T71" s="5"/>
      <c r="U71" s="13" t="s">
        <v>89</v>
      </c>
      <c r="V71" s="5">
        <f>IF(AND($V$70=2,I41=$T$70),1,IF(AND($V$70=1,I41=$T$71),4,0))</f>
        <v>0</v>
      </c>
      <c r="W71" s="5">
        <f>IF(I41=S72,0,IF(I41=S73,1,0))</f>
        <v>0</v>
      </c>
      <c r="X71" s="5" t="s">
        <v>90</v>
      </c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 t="s">
        <v>414</v>
      </c>
      <c r="AJ71" s="5">
        <v>96</v>
      </c>
      <c r="AK71" s="5"/>
      <c r="AL71" s="5">
        <v>21.581664</v>
      </c>
      <c r="AM71" s="5">
        <v>9.7893119999999989</v>
      </c>
      <c r="AN71" s="1">
        <v>89.99</v>
      </c>
      <c r="AO71">
        <f>IF($R$97="3222",4,0)</f>
        <v>0</v>
      </c>
      <c r="AP71"/>
      <c r="AQ71">
        <f>IF($R$135="562",8,0)</f>
        <v>0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6.899999999999999" customHeight="1" x14ac:dyDescent="0.25">
      <c r="A72"/>
      <c r="B72"/>
      <c r="C72"/>
      <c r="D72"/>
      <c r="E72"/>
      <c r="F72"/>
      <c r="G72" s="171" t="s">
        <v>416</v>
      </c>
      <c r="H72"/>
      <c r="I72"/>
      <c r="J72"/>
      <c r="K72"/>
      <c r="L72" s="163"/>
      <c r="M72"/>
      <c r="N72"/>
      <c r="O72" s="24"/>
      <c r="P72" s="146" t="str">
        <f t="shared" si="1"/>
        <v/>
      </c>
      <c r="Q72" s="5"/>
      <c r="R72" s="5"/>
      <c r="S72" s="5"/>
      <c r="T72" s="5"/>
      <c r="U72" s="13" t="s">
        <v>91</v>
      </c>
      <c r="V72" s="5">
        <f>IF(I43=$Y$45,$X$45,IF(I43=$Y$46,$X$46,IF(I43=$Y$47,$X$47,0)))</f>
        <v>0</v>
      </c>
      <c r="W72" s="5">
        <f>IF(I43=S75,0,IF(I43=S76,2,0))</f>
        <v>0</v>
      </c>
      <c r="X72" s="5" t="s">
        <v>92</v>
      </c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 t="s">
        <v>415</v>
      </c>
      <c r="AJ72" s="5">
        <v>154</v>
      </c>
      <c r="AK72" s="5"/>
      <c r="AL72" s="5">
        <v>34.620586000000003</v>
      </c>
      <c r="AM72" s="5">
        <v>15.703688</v>
      </c>
      <c r="AN72" s="1">
        <v>142.1</v>
      </c>
      <c r="AO72">
        <f>IF($R$97="3231",4,0)</f>
        <v>0</v>
      </c>
      <c r="AP72"/>
      <c r="AQ72" s="150">
        <f>IF($R$135="611",8,0)</f>
        <v>0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5.45" customHeight="1" x14ac:dyDescent="0.25">
      <c r="A73"/>
      <c r="B73"/>
      <c r="C73"/>
      <c r="D73"/>
      <c r="E73"/>
      <c r="F73"/>
      <c r="G73"/>
      <c r="H73"/>
      <c r="I73"/>
      <c r="J73"/>
      <c r="K73"/>
      <c r="L73" s="28"/>
      <c r="M73"/>
      <c r="N73"/>
      <c r="O73" s="24"/>
      <c r="P73" s="5"/>
      <c r="Q73" s="5"/>
      <c r="R73" s="5"/>
      <c r="S73" s="5"/>
      <c r="T73" s="5"/>
      <c r="U73" s="5"/>
      <c r="V73" s="5"/>
      <c r="W73" s="5">
        <f>IF(I45=S63,0,IF(I45=S64,1,IF(I45=S65,2,IF(I45=S66,5,0))))</f>
        <v>0</v>
      </c>
      <c r="X73" s="5" t="s">
        <v>93</v>
      </c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 t="s">
        <v>416</v>
      </c>
      <c r="AJ73" s="5">
        <v>308</v>
      </c>
      <c r="AK73" s="5"/>
      <c r="AL73" s="5">
        <v>69.241172000000006</v>
      </c>
      <c r="AM73" s="5">
        <v>31.407375999999999</v>
      </c>
      <c r="AN73" s="1">
        <v>287.76</v>
      </c>
      <c r="AO73">
        <f>IF($R$97="3232",4,0)</f>
        <v>0</v>
      </c>
      <c r="AP73"/>
      <c r="AQ73" s="150">
        <f>IF($R$135="612",8,0)</f>
        <v>0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t="16.899999999999999" customHeight="1" x14ac:dyDescent="0.25">
      <c r="A74"/>
      <c r="B74"/>
      <c r="C74"/>
      <c r="D74"/>
      <c r="E74"/>
      <c r="F74"/>
      <c r="G74" s="172" t="s">
        <v>420</v>
      </c>
      <c r="H74" s="173"/>
      <c r="I74" s="173"/>
      <c r="J74" s="173"/>
      <c r="K74" s="173"/>
      <c r="L74" s="28"/>
      <c r="M74"/>
      <c r="N74"/>
      <c r="O74" s="24"/>
      <c r="P74" s="5"/>
      <c r="Q74" s="5"/>
      <c r="R74" s="5"/>
      <c r="S74" s="5"/>
      <c r="T74" s="5"/>
      <c r="U74" s="5"/>
      <c r="V74" s="5"/>
      <c r="W74" s="5">
        <f>IF(I47=S68,0,IF(I47=S69,1,IF(I47=S70,2,0)))</f>
        <v>0</v>
      </c>
      <c r="X74" s="5" t="s">
        <v>94</v>
      </c>
      <c r="Y74" s="5"/>
      <c r="Z74" s="5"/>
      <c r="AA74" s="5"/>
      <c r="AB74" s="11" t="s">
        <v>95</v>
      </c>
      <c r="AC74" s="11" t="s">
        <v>96</v>
      </c>
      <c r="AD74" s="11" t="s">
        <v>97</v>
      </c>
      <c r="AE74" s="5" t="s">
        <v>98</v>
      </c>
      <c r="AF74" s="5" t="s">
        <v>99</v>
      </c>
      <c r="AG74" s="5"/>
      <c r="AH74" s="5"/>
      <c r="AI74" s="5"/>
      <c r="AJ74" s="5"/>
      <c r="AK74" s="5"/>
      <c r="AL74" s="5"/>
      <c r="AM74" s="5"/>
      <c r="AN74" s="1"/>
      <c r="AO74">
        <f>IF($R$97="3241",5,0)</f>
        <v>0</v>
      </c>
      <c r="AP74"/>
      <c r="AQ74" s="150">
        <f>IF($R$135="621",8,0)</f>
        <v>0</v>
      </c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t="16.899999999999999" customHeight="1" x14ac:dyDescent="0.25">
      <c r="A75"/>
      <c r="B75"/>
      <c r="C75"/>
      <c r="D75"/>
      <c r="E75"/>
      <c r="F75"/>
      <c r="G75" t="s">
        <v>421</v>
      </c>
      <c r="H75"/>
      <c r="I75"/>
      <c r="J75"/>
      <c r="K75"/>
      <c r="L75" s="163"/>
      <c r="M75"/>
      <c r="N75"/>
      <c r="O75" s="24"/>
      <c r="P75" s="146" t="str">
        <f>IF(L75="x",Q75,"")</f>
        <v/>
      </c>
      <c r="Q75" s="5">
        <v>1</v>
      </c>
      <c r="R75" s="5"/>
      <c r="S75" s="20">
        <f>IF(COUNTA(L75:L76)&gt;1,"error",SUM(P75:P76))</f>
        <v>0</v>
      </c>
      <c r="T75" s="5"/>
      <c r="U75" s="5"/>
      <c r="V75" s="5"/>
      <c r="W75" s="5">
        <f>IF(I49=Y45,X45,IF(I49=Y46,X46,IF(I49=Y47,X47,0)))</f>
        <v>0</v>
      </c>
      <c r="X75" s="5" t="s">
        <v>100</v>
      </c>
      <c r="Y75" s="5"/>
      <c r="Z75" s="5"/>
      <c r="AA75" s="14">
        <v>1</v>
      </c>
      <c r="AB75" s="14"/>
      <c r="AC75" s="15">
        <f>(C57*C58)/1.01</f>
        <v>0</v>
      </c>
      <c r="AD75" s="14">
        <f>C58*C57</f>
        <v>0</v>
      </c>
      <c r="AE75" s="15">
        <f>(C57*C59)/1.01</f>
        <v>0</v>
      </c>
      <c r="AF75" s="14">
        <f>C59*C57</f>
        <v>0</v>
      </c>
      <c r="AG75" s="7"/>
      <c r="AH75" s="5"/>
      <c r="AI75" s="5"/>
      <c r="AJ75" s="5"/>
      <c r="AK75" s="5"/>
      <c r="AL75" s="5"/>
      <c r="AM75" s="5"/>
      <c r="AN75" s="1"/>
      <c r="AO75">
        <f>IF($R$97="3242",5,0)</f>
        <v>0</v>
      </c>
      <c r="AP75"/>
      <c r="AQ75" s="150">
        <f>IF($R$135="622",8,0)</f>
        <v>0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t="16.899999999999999" customHeight="1" x14ac:dyDescent="0.25">
      <c r="A76"/>
      <c r="B76"/>
      <c r="C76"/>
      <c r="D76"/>
      <c r="E76"/>
      <c r="F76"/>
      <c r="G76" t="s">
        <v>422</v>
      </c>
      <c r="H76"/>
      <c r="I76"/>
      <c r="J76"/>
      <c r="K76"/>
      <c r="L76" s="163"/>
      <c r="M76"/>
      <c r="N76"/>
      <c r="O76" s="24"/>
      <c r="P76" s="146" t="str">
        <f>IF(L76="x",Q76,"")</f>
        <v/>
      </c>
      <c r="Q76" s="5">
        <v>0.8</v>
      </c>
      <c r="R76" s="5"/>
      <c r="S76" s="5"/>
      <c r="T76" s="5"/>
      <c r="U76" s="5"/>
      <c r="V76" s="11" t="s">
        <v>101</v>
      </c>
      <c r="W76" s="11" t="s">
        <v>102</v>
      </c>
      <c r="X76" s="11" t="s">
        <v>103</v>
      </c>
      <c r="Y76" s="5"/>
      <c r="Z76" s="5"/>
      <c r="AA76" s="14">
        <v>2</v>
      </c>
      <c r="AB76" s="14"/>
      <c r="AC76" s="15">
        <f>(D57*D58)/1.01</f>
        <v>0</v>
      </c>
      <c r="AD76" s="14">
        <f>D58*D57</f>
        <v>0</v>
      </c>
      <c r="AE76" s="15">
        <f>(D57*D59)/1.01</f>
        <v>0</v>
      </c>
      <c r="AF76" s="14">
        <f>D59*D57</f>
        <v>0</v>
      </c>
      <c r="AG76" s="7"/>
      <c r="AH76" s="5"/>
      <c r="AI76" s="5"/>
      <c r="AJ76" s="5"/>
      <c r="AK76" s="5"/>
      <c r="AL76" s="5"/>
      <c r="AM76" s="5"/>
      <c r="AN76" s="1"/>
      <c r="AO76" s="150">
        <f>IF($R$97="3311",4,0)</f>
        <v>0</v>
      </c>
      <c r="AP76"/>
      <c r="AQ76" s="150">
        <f>IF($R$135="631",8,0)</f>
        <v>0</v>
      </c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ht="4.9000000000000004" customHeight="1" x14ac:dyDescent="0.25">
      <c r="A77"/>
      <c r="B77"/>
      <c r="C77"/>
      <c r="D77"/>
      <c r="E77"/>
      <c r="F77"/>
      <c r="G77"/>
      <c r="H77"/>
      <c r="I77"/>
      <c r="J77"/>
      <c r="K77"/>
      <c r="L77" s="28"/>
      <c r="M77"/>
      <c r="N77"/>
      <c r="O77" s="24"/>
      <c r="P77" s="5"/>
      <c r="Q77" s="5"/>
      <c r="R77" s="5"/>
      <c r="S77" s="5"/>
      <c r="T77" s="5"/>
      <c r="U77" s="5"/>
      <c r="V77" s="11">
        <f>3+V66+V69+V70-V71+V72</f>
        <v>3</v>
      </c>
      <c r="W77" s="11">
        <f>1+V66+W69+W70+W71+W72+W73+(2*W75)+W74-AC66</f>
        <v>1</v>
      </c>
      <c r="X77" s="11">
        <f>1+V79+V80-V81+W77-1</f>
        <v>1</v>
      </c>
      <c r="Y77" s="5"/>
      <c r="Z77" s="5"/>
      <c r="AA77" s="14">
        <v>3</v>
      </c>
      <c r="AB77" s="14"/>
      <c r="AC77" s="15">
        <f>(E57*E58)/1.01</f>
        <v>0</v>
      </c>
      <c r="AD77" s="14">
        <f>E58*E57</f>
        <v>0</v>
      </c>
      <c r="AE77" s="15">
        <f>(E57*E59)/1.01</f>
        <v>0</v>
      </c>
      <c r="AF77" s="14">
        <f>E59*E57</f>
        <v>0</v>
      </c>
      <c r="AG77" s="7"/>
      <c r="AH77" s="5"/>
      <c r="AI77" s="5"/>
      <c r="AJ77" s="5"/>
      <c r="AK77" s="5"/>
      <c r="AL77" s="5"/>
      <c r="AM77" s="5"/>
      <c r="AN77" s="1"/>
      <c r="AO77" s="150">
        <f>IF($R$97="3312",4,0)</f>
        <v>0</v>
      </c>
      <c r="AP77"/>
      <c r="AQ77" s="150">
        <f>IF($R$135="632",8,0)</f>
        <v>0</v>
      </c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t="16.899999999999999" customHeight="1" x14ac:dyDescent="0.25">
      <c r="A78"/>
      <c r="B78"/>
      <c r="C78"/>
      <c r="D78"/>
      <c r="E78"/>
      <c r="F78"/>
      <c r="G78" s="172" t="s">
        <v>483</v>
      </c>
      <c r="H78" s="173"/>
      <c r="I78" s="173"/>
      <c r="J78" s="173"/>
      <c r="K78" s="173"/>
      <c r="L78" s="28"/>
      <c r="M78"/>
      <c r="N78"/>
      <c r="O78" s="24"/>
      <c r="P78" s="146"/>
      <c r="Q78" s="146"/>
      <c r="R78" s="146"/>
      <c r="S78" s="146"/>
      <c r="T78" s="146"/>
      <c r="U78" s="5"/>
      <c r="V78" s="11"/>
      <c r="W78" s="11"/>
      <c r="X78" s="11"/>
      <c r="Y78" s="5"/>
      <c r="Z78" s="5"/>
      <c r="AA78" s="14">
        <v>4</v>
      </c>
      <c r="AB78" s="14"/>
      <c r="AC78" s="15">
        <f>(F58*F57*10)/1.01</f>
        <v>0</v>
      </c>
      <c r="AD78" s="15">
        <f>(F57*F58*10)</f>
        <v>0</v>
      </c>
      <c r="AE78" s="15">
        <f>(F59*F57*10)/1.01</f>
        <v>0</v>
      </c>
      <c r="AF78" s="15">
        <f>(F57*F59*10)</f>
        <v>0</v>
      </c>
      <c r="AG78" s="7"/>
      <c r="AH78" s="5"/>
      <c r="AI78" s="5"/>
      <c r="AJ78" s="5"/>
      <c r="AK78" s="5"/>
      <c r="AL78" s="5"/>
      <c r="AM78" s="5"/>
      <c r="AN78" s="1"/>
      <c r="AO78" s="150">
        <f>IF($R$97="3321",4,0)</f>
        <v>0</v>
      </c>
      <c r="AP78"/>
      <c r="AQ78" s="150">
        <f>IF($R$135="641",8,0)</f>
        <v>0</v>
      </c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t="16.899999999999999" customHeight="1" x14ac:dyDescent="0.25">
      <c r="A79"/>
      <c r="B79"/>
      <c r="C79"/>
      <c r="D79"/>
      <c r="E79"/>
      <c r="F79"/>
      <c r="G79" t="s">
        <v>484</v>
      </c>
      <c r="H79"/>
      <c r="I79"/>
      <c r="J79"/>
      <c r="K79"/>
      <c r="L79" s="163"/>
      <c r="M79"/>
      <c r="N79"/>
      <c r="O79" s="24"/>
      <c r="P79" s="146"/>
      <c r="Q79" s="146" t="str">
        <f>IF(AND(L79&lt;&gt;"",L80&lt;&gt;""),"error",IF(L79="x",0,IF(L80="x",1,"")))</f>
        <v/>
      </c>
      <c r="R79" s="146"/>
      <c r="S79" s="146"/>
      <c r="T79" s="146"/>
      <c r="U79" s="5">
        <v>150</v>
      </c>
      <c r="V79" s="11">
        <f>IF(I51=$R$50,0,IF(I51=$R$51,2,0))</f>
        <v>0</v>
      </c>
      <c r="W79" s="11"/>
      <c r="X79" s="11"/>
      <c r="Y79" s="5"/>
      <c r="Z79" s="5"/>
      <c r="AA79" s="14">
        <v>5</v>
      </c>
      <c r="AB79" s="14"/>
      <c r="AC79" s="15" t="e">
        <f>(G57*G58*10)/1.01</f>
        <v>#VALUE!</v>
      </c>
      <c r="AD79" s="15" t="e">
        <f>G58*G57*10</f>
        <v>#VALUE!</v>
      </c>
      <c r="AE79" s="15" t="e">
        <f>(G57*G59*10)/1.01</f>
        <v>#VALUE!</v>
      </c>
      <c r="AF79" s="15" t="e">
        <f>G59*G57*10</f>
        <v>#VALUE!</v>
      </c>
      <c r="AG79" s="7"/>
      <c r="AH79" s="5"/>
      <c r="AI79" s="5"/>
      <c r="AJ79" s="5"/>
      <c r="AK79" s="5"/>
      <c r="AL79" s="5"/>
      <c r="AM79" s="5"/>
      <c r="AN79" s="1"/>
      <c r="AO79" s="150">
        <f>IF($R$97="3322",4,0)</f>
        <v>0</v>
      </c>
      <c r="AP79"/>
      <c r="AQ79" s="150">
        <f>IF($R$135="642",9,0)</f>
        <v>0</v>
      </c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ht="16.899999999999999" customHeight="1" x14ac:dyDescent="0.25">
      <c r="A80"/>
      <c r="B80"/>
      <c r="C80"/>
      <c r="D80"/>
      <c r="E80"/>
      <c r="F80"/>
      <c r="G80" t="s">
        <v>485</v>
      </c>
      <c r="H80"/>
      <c r="I80"/>
      <c r="J80"/>
      <c r="K80"/>
      <c r="L80" s="163"/>
      <c r="M80"/>
      <c r="N80"/>
      <c r="O80" s="24"/>
      <c r="P80" s="146"/>
      <c r="Q80" s="146"/>
      <c r="R80" s="146"/>
      <c r="S80" s="146"/>
      <c r="T80" s="146"/>
      <c r="U80" s="13" t="s">
        <v>87</v>
      </c>
      <c r="V80" s="11">
        <f>IF(I53=$T$70,2,0)</f>
        <v>0</v>
      </c>
      <c r="W80" s="11"/>
      <c r="X80" s="11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1"/>
      <c r="AO80" s="150">
        <f>IF($R$97="3331",4,0)</f>
        <v>0</v>
      </c>
      <c r="AP80"/>
      <c r="AQ80" s="150">
        <f>IF($R$135="651",9,0)</f>
        <v>0</v>
      </c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60" ht="16.899999999999999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24"/>
      <c r="P81" s="146"/>
      <c r="Q81" s="146"/>
      <c r="R81" s="146"/>
      <c r="S81" s="146"/>
      <c r="T81" s="146"/>
      <c r="U81" s="13" t="s">
        <v>89</v>
      </c>
      <c r="V81" s="11">
        <f>IF(AND($V$80=2,I55=$T$70),1,IF(AND($V$80=1,I55=$T$71),4,0))</f>
        <v>0</v>
      </c>
      <c r="W81" s="11"/>
      <c r="X81" s="11"/>
      <c r="Y81" s="5"/>
      <c r="Z81" s="5"/>
      <c r="AA81" s="5"/>
      <c r="AB81" s="5"/>
      <c r="AC81" s="5"/>
      <c r="AD81" s="5"/>
      <c r="AE81" s="5"/>
      <c r="AF81" s="5" t="s">
        <v>104</v>
      </c>
      <c r="AG81" s="16" t="e">
        <f>MAX(AC75:AC79,AE75:AE79)</f>
        <v>#VALUE!</v>
      </c>
      <c r="AH81" s="5"/>
      <c r="AI81" s="5"/>
      <c r="AJ81" s="5"/>
      <c r="AK81" s="5"/>
      <c r="AL81" s="5"/>
      <c r="AM81" s="5"/>
      <c r="AN81" s="1"/>
      <c r="AO81" s="150">
        <f>IF($R$97="3332",5,0)</f>
        <v>0</v>
      </c>
      <c r="AP81"/>
      <c r="AQ81" s="150">
        <f>IF($R$135="652",9,0)</f>
        <v>0</v>
      </c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60" ht="16.899999999999999" customHeight="1" x14ac:dyDescent="0.25">
      <c r="A82"/>
      <c r="B82"/>
      <c r="C82"/>
      <c r="D82"/>
      <c r="E82"/>
      <c r="F82"/>
      <c r="G82" s="172" t="s">
        <v>423</v>
      </c>
      <c r="H82" s="173"/>
      <c r="I82" s="173"/>
      <c r="J82" s="173"/>
      <c r="K82" s="173"/>
      <c r="L82" s="28"/>
      <c r="M82"/>
      <c r="N82"/>
      <c r="O82" s="24"/>
      <c r="P82" s="5"/>
      <c r="Q82" s="5"/>
      <c r="R82" s="5"/>
      <c r="S82" s="5"/>
      <c r="T82" s="5"/>
      <c r="U82" s="13" t="s">
        <v>91</v>
      </c>
      <c r="V82" s="11">
        <f>IF(I58=$Y$45,$X$45,IF(I58=$Y$46,$X$46,IF(I58=$Y$47,$X$47,0)))</f>
        <v>0</v>
      </c>
      <c r="W82" s="11"/>
      <c r="X82" s="11"/>
      <c r="Y82" s="5"/>
      <c r="Z82" s="5"/>
      <c r="AA82" s="5"/>
      <c r="AB82" s="5"/>
      <c r="AC82" s="5"/>
      <c r="AD82" s="5"/>
      <c r="AE82" s="5"/>
      <c r="AF82" s="5" t="s">
        <v>105</v>
      </c>
      <c r="AG82" s="5" t="e">
        <f>MAX(AD75:AD79,AF75:AF79)</f>
        <v>#VALUE!</v>
      </c>
      <c r="AH82" s="5"/>
      <c r="AI82" s="5"/>
      <c r="AJ82" s="5"/>
      <c r="AK82" s="5"/>
      <c r="AL82" s="5"/>
      <c r="AM82" s="5"/>
      <c r="AN82" s="1"/>
      <c r="AO82" s="150">
        <f>IF($R$97="3341",5,0)</f>
        <v>0</v>
      </c>
      <c r="AP82"/>
      <c r="AQ82" s="150">
        <f>IF($R$135="661",9,0)</f>
        <v>0</v>
      </c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60" ht="16.899999999999999" customHeight="1" x14ac:dyDescent="0.25">
      <c r="A83"/>
      <c r="B83"/>
      <c r="C83"/>
      <c r="D83"/>
      <c r="E83"/>
      <c r="F83"/>
      <c r="G83" t="s">
        <v>486</v>
      </c>
      <c r="H83"/>
      <c r="I83"/>
      <c r="J83"/>
      <c r="K83"/>
      <c r="L83" s="163"/>
      <c r="M83"/>
      <c r="N83"/>
      <c r="O83" s="24"/>
      <c r="P83" s="146" t="str">
        <f>IF(L83="x",Q83,"")</f>
        <v/>
      </c>
      <c r="Q83" s="5">
        <f>IF(OR($Q$79=0,$Q$79=""),S83,IF(OR($Q$79=1,$Q$79="error"),T83,IF($Q$79="error","error",S83)))</f>
        <v>1</v>
      </c>
      <c r="R83" s="20">
        <f>IF(COUNTA(L83:L86)&gt;1,"error",SUM(P83:P86))</f>
        <v>0</v>
      </c>
      <c r="S83" s="5">
        <v>1</v>
      </c>
      <c r="T83" s="5">
        <v>0.6</v>
      </c>
      <c r="U83" s="5"/>
      <c r="V83" s="11"/>
      <c r="W83" s="11"/>
      <c r="X83" s="11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1"/>
      <c r="AO83" s="150">
        <f>IF($R$97="3342",5,0)</f>
        <v>0</v>
      </c>
      <c r="AP83"/>
      <c r="AQ83" s="150">
        <f>IF($R$135="662",9,0)</f>
        <v>0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 s="166" t="s">
        <v>456</v>
      </c>
    </row>
    <row r="84" spans="1:60" x14ac:dyDescent="0.25">
      <c r="A84"/>
      <c r="B84"/>
      <c r="C84"/>
      <c r="D84"/>
      <c r="E84"/>
      <c r="F84"/>
      <c r="G84" t="s">
        <v>487</v>
      </c>
      <c r="H84"/>
      <c r="I84"/>
      <c r="J84"/>
      <c r="K84"/>
      <c r="L84" s="163"/>
      <c r="M84"/>
      <c r="N84"/>
      <c r="O84" s="24"/>
      <c r="P84" s="146" t="str">
        <f>IF(L84="x",Q84,"")</f>
        <v/>
      </c>
      <c r="Q84" s="5">
        <f t="shared" ref="Q84:Q86" si="3">IF(OR($Q$79=0,$Q$79=""),S84,IF(OR($Q$79=1,$Q$79="error"),T84,IF($Q$79="error","error",S84)))</f>
        <v>0.8</v>
      </c>
      <c r="R84" s="5"/>
      <c r="S84" s="5">
        <v>0.8</v>
      </c>
      <c r="T84" s="5">
        <v>0.4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1"/>
      <c r="AO84">
        <f>IF($R$97="4111",4,0)</f>
        <v>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60" ht="16.899999999999999" customHeight="1" x14ac:dyDescent="0.25">
      <c r="A85"/>
      <c r="B85"/>
      <c r="C85"/>
      <c r="D85"/>
      <c r="E85"/>
      <c r="F85"/>
      <c r="G85" t="s">
        <v>488</v>
      </c>
      <c r="H85"/>
      <c r="I85"/>
      <c r="J85"/>
      <c r="K85"/>
      <c r="L85" s="163"/>
      <c r="M85"/>
      <c r="N85"/>
      <c r="O85" s="24"/>
      <c r="P85" s="146" t="str">
        <f>IF(L85="x",Q85,"")</f>
        <v/>
      </c>
      <c r="Q85" s="5">
        <f t="shared" si="3"/>
        <v>0.5</v>
      </c>
      <c r="R85" s="5"/>
      <c r="S85" s="5">
        <v>0.5</v>
      </c>
      <c r="T85" s="5">
        <v>0.2</v>
      </c>
      <c r="U85" s="5"/>
      <c r="V85" s="5" t="s">
        <v>28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1"/>
      <c r="AO85">
        <f>IF($R$97="4112",4,0)</f>
        <v>0</v>
      </c>
      <c r="AP85"/>
      <c r="AQ85" s="155">
        <f>SUM(AQ12:AQ83)</f>
        <v>2</v>
      </c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60" ht="16.899999999999999" customHeight="1" x14ac:dyDescent="0.25">
      <c r="A86"/>
      <c r="B86"/>
      <c r="C86"/>
      <c r="D86"/>
      <c r="E86"/>
      <c r="F86"/>
      <c r="G86" t="s">
        <v>489</v>
      </c>
      <c r="H86"/>
      <c r="I86"/>
      <c r="J86"/>
      <c r="K86"/>
      <c r="L86" s="163"/>
      <c r="M86"/>
      <c r="N86"/>
      <c r="O86" s="24"/>
      <c r="P86" s="146" t="str">
        <f>IF(L86="x",Q86,"")</f>
        <v/>
      </c>
      <c r="Q86" s="5">
        <f t="shared" si="3"/>
        <v>0.3</v>
      </c>
      <c r="R86" s="5"/>
      <c r="S86" s="5">
        <v>0.3</v>
      </c>
      <c r="T86" s="5">
        <v>0</v>
      </c>
      <c r="U86" s="5"/>
      <c r="V86" s="5" t="s">
        <v>31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1"/>
      <c r="AO86">
        <f>IF($R$97="4121",4,0)</f>
        <v>0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166" t="s">
        <v>455</v>
      </c>
    </row>
    <row r="87" spans="1:60" ht="7.15" customHeight="1" x14ac:dyDescent="0.25">
      <c r="A87"/>
      <c r="B87"/>
      <c r="C87"/>
      <c r="D87"/>
      <c r="E87"/>
      <c r="F87"/>
      <c r="G87"/>
      <c r="H87"/>
      <c r="I87"/>
      <c r="J87"/>
      <c r="K87"/>
      <c r="L87" s="28"/>
      <c r="M87"/>
      <c r="N87"/>
      <c r="O87" s="24"/>
      <c r="P87" s="5"/>
      <c r="Q87" s="5"/>
      <c r="R87" s="5"/>
      <c r="S87" s="5"/>
      <c r="T87" s="5"/>
      <c r="U87" s="5"/>
      <c r="V87" s="5" t="s">
        <v>34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1"/>
      <c r="AO87">
        <f>IF($R$97="4122",4,0)</f>
        <v>0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60" ht="16.899999999999999" customHeight="1" x14ac:dyDescent="0.25">
      <c r="A88"/>
      <c r="B88"/>
      <c r="C88"/>
      <c r="D88"/>
      <c r="E88"/>
      <c r="F88"/>
      <c r="G88" s="172" t="s">
        <v>425</v>
      </c>
      <c r="H88" s="173"/>
      <c r="I88" s="173"/>
      <c r="J88" s="173"/>
      <c r="K88" s="173"/>
      <c r="L88" s="28"/>
      <c r="M88"/>
      <c r="N88"/>
      <c r="O88" s="24"/>
      <c r="P88" s="5"/>
      <c r="Q88" s="5"/>
      <c r="R88" s="5"/>
      <c r="S88" s="5"/>
      <c r="T88" s="5"/>
      <c r="U88" s="5"/>
      <c r="V88" s="5" t="s">
        <v>106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1"/>
      <c r="AO88">
        <f>IF($R$97="4131",4,0)</f>
        <v>0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60" ht="16.899999999999999" customHeight="1" x14ac:dyDescent="0.25">
      <c r="A89"/>
      <c r="B89"/>
      <c r="C89"/>
      <c r="D89"/>
      <c r="E89"/>
      <c r="F89"/>
      <c r="G89" t="s">
        <v>424</v>
      </c>
      <c r="H89"/>
      <c r="I89"/>
      <c r="J89"/>
      <c r="K89"/>
      <c r="L89" s="163"/>
      <c r="M89"/>
      <c r="N89"/>
      <c r="O89" s="24"/>
      <c r="P89" s="146" t="str">
        <f t="shared" ref="P89:P91" si="4">IF(L89="x",Q89,"")</f>
        <v/>
      </c>
      <c r="Q89" s="5">
        <v>1</v>
      </c>
      <c r="R89" s="5"/>
      <c r="S89" s="20">
        <f>IF(COUNTA(L89:L91)&gt;1,"error",SUM(P89:P91))</f>
        <v>0</v>
      </c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1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60" ht="16.899999999999999" customHeight="1" x14ac:dyDescent="0.25">
      <c r="A90"/>
      <c r="B90"/>
      <c r="C90"/>
      <c r="D90"/>
      <c r="E90"/>
      <c r="F90"/>
      <c r="G90" t="s">
        <v>426</v>
      </c>
      <c r="H90"/>
      <c r="I90"/>
      <c r="J90"/>
      <c r="K90"/>
      <c r="L90" s="163"/>
      <c r="M90"/>
      <c r="N90"/>
      <c r="O90" s="24"/>
      <c r="P90" s="146" t="str">
        <f t="shared" si="4"/>
        <v/>
      </c>
      <c r="Q90" s="5">
        <v>0.8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1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60" ht="16.899999999999999" customHeight="1" x14ac:dyDescent="0.25">
      <c r="A91"/>
      <c r="B91"/>
      <c r="C91"/>
      <c r="D91"/>
      <c r="E91"/>
      <c r="F91"/>
      <c r="G91" t="s">
        <v>427</v>
      </c>
      <c r="H91"/>
      <c r="I91"/>
      <c r="J91"/>
      <c r="K91"/>
      <c r="L91" s="163"/>
      <c r="M91"/>
      <c r="N91"/>
      <c r="O91" s="24"/>
      <c r="P91" s="146" t="str">
        <f t="shared" si="4"/>
        <v/>
      </c>
      <c r="Q91" s="5">
        <v>0.5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60" ht="16.899999999999999" customHeight="1" x14ac:dyDescent="0.25">
      <c r="A92"/>
      <c r="B92"/>
      <c r="C92"/>
      <c r="D92"/>
      <c r="E92"/>
      <c r="F92"/>
      <c r="G92"/>
      <c r="H92"/>
      <c r="I92"/>
      <c r="J92"/>
      <c r="K92"/>
      <c r="L92" s="28"/>
      <c r="M92"/>
      <c r="N92"/>
      <c r="O92" s="2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1"/>
      <c r="AO92">
        <f>IF($R$97="4132",5,0)</f>
        <v>0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60" ht="16.899999999999999" customHeight="1" x14ac:dyDescent="0.25">
      <c r="A93"/>
      <c r="B93"/>
      <c r="C93"/>
      <c r="D93"/>
      <c r="E93"/>
      <c r="F93"/>
      <c r="G93" t="s">
        <v>428</v>
      </c>
      <c r="H93"/>
      <c r="I93"/>
      <c r="J93"/>
      <c r="K93"/>
      <c r="L93" s="130" t="str">
        <f>IFERROR(ROUNDUP((L58/(S60*S75*R83*S89)),2),"")</f>
        <v/>
      </c>
      <c r="M93"/>
      <c r="N93"/>
      <c r="O93" s="24"/>
      <c r="P93" s="5"/>
      <c r="Q93" s="5">
        <v>0.5</v>
      </c>
      <c r="R93" s="5"/>
      <c r="S93" s="5"/>
      <c r="T93" s="5"/>
      <c r="U93" s="5"/>
      <c r="V93" s="5">
        <v>0.56999999999999995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1"/>
      <c r="AO93">
        <f>IF($R$97="4141",5,0)</f>
        <v>0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60" ht="16.899999999999999" customHeight="1" thickBot="1" x14ac:dyDescent="0.3">
      <c r="A94"/>
      <c r="B94"/>
      <c r="C94"/>
      <c r="D94"/>
      <c r="E94"/>
      <c r="F94"/>
      <c r="G94"/>
      <c r="H94"/>
      <c r="I94"/>
      <c r="J94"/>
      <c r="K94"/>
      <c r="L94" s="28"/>
      <c r="M94"/>
      <c r="N94"/>
      <c r="O94" s="24"/>
      <c r="P94" s="5"/>
      <c r="Q94" s="5">
        <v>0.5</v>
      </c>
      <c r="R94" s="5">
        <v>0.7</v>
      </c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1"/>
      <c r="AO94">
        <f>IF($R$97="4142",5,0)</f>
        <v>0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60" ht="16.899999999999999" customHeight="1" thickBot="1" x14ac:dyDescent="0.3">
      <c r="A95" s="164" t="s">
        <v>83</v>
      </c>
      <c r="B95" s="164" t="s">
        <v>447</v>
      </c>
      <c r="C95" s="165"/>
      <c r="D95" s="165"/>
      <c r="E95" s="165"/>
      <c r="F95" s="165"/>
      <c r="G95" s="165"/>
      <c r="H95" s="165"/>
      <c r="I95" s="165"/>
      <c r="J95" s="165"/>
      <c r="K95" s="165"/>
      <c r="L95" s="204" t="str">
        <f>IF(L174="","",IF(L174=1,"V",IF(L174=2,"A","R")))</f>
        <v>A</v>
      </c>
      <c r="M95"/>
      <c r="N95"/>
      <c r="O95" s="24"/>
      <c r="P95" s="5"/>
      <c r="Q95" s="5">
        <v>0.7</v>
      </c>
      <c r="R95" s="5"/>
      <c r="S95" s="5"/>
      <c r="T95" s="5"/>
      <c r="U95" s="5"/>
      <c r="V95" s="5">
        <v>1.7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1"/>
      <c r="AO95" s="150">
        <f>IF($R$97="4211",4,0)</f>
        <v>0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60" ht="16.899999999999999" customHeight="1" x14ac:dyDescent="0.25">
      <c r="A96"/>
      <c r="B96" t="s">
        <v>446</v>
      </c>
      <c r="C96"/>
      <c r="D96"/>
      <c r="E96"/>
      <c r="F96"/>
      <c r="G96"/>
      <c r="H96"/>
      <c r="I96"/>
      <c r="J96"/>
      <c r="K96"/>
      <c r="L96" s="28"/>
      <c r="M96"/>
      <c r="N96"/>
      <c r="O96" s="148"/>
      <c r="P96" s="5"/>
      <c r="Q96" s="5"/>
      <c r="R96" s="5"/>
      <c r="S96" s="5"/>
      <c r="T96" s="5"/>
      <c r="U96" s="5"/>
      <c r="V96" s="5" t="s">
        <v>482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1"/>
      <c r="AO96" s="150">
        <f>IF($R$97="4212",4,0)</f>
        <v>0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6.899999999999999" customHeight="1" x14ac:dyDescent="0.25">
      <c r="A97"/>
      <c r="B97"/>
      <c r="C97"/>
      <c r="D97"/>
      <c r="E97"/>
      <c r="F97"/>
      <c r="G97"/>
      <c r="H97"/>
      <c r="I97"/>
      <c r="J97"/>
      <c r="K97"/>
      <c r="L97" s="28"/>
      <c r="M97"/>
      <c r="N97"/>
      <c r="O97" s="148"/>
      <c r="P97" s="5">
        <v>0</v>
      </c>
      <c r="Q97" s="5"/>
      <c r="R97" t="str">
        <f>CONCATENATE(L99,L107,L116,L125)</f>
        <v>3121</v>
      </c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1"/>
      <c r="AO97" s="150">
        <f>IF($R$97="4221",4,0)</f>
        <v>0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16.899999999999999" customHeight="1" x14ac:dyDescent="0.25">
      <c r="A98"/>
      <c r="B98"/>
      <c r="C98"/>
      <c r="D98"/>
      <c r="E98"/>
      <c r="F98"/>
      <c r="G98"/>
      <c r="H98"/>
      <c r="I98"/>
      <c r="J98"/>
      <c r="K98"/>
      <c r="L98" s="28"/>
      <c r="M98"/>
      <c r="N98"/>
      <c r="O98" s="148"/>
      <c r="P98" s="5">
        <v>1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1"/>
      <c r="AO98" s="150">
        <f>IF($R$97="4222",4,0)</f>
        <v>0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16.899999999999999" customHeight="1" x14ac:dyDescent="0.25">
      <c r="A99"/>
      <c r="B99"/>
      <c r="C99"/>
      <c r="D99"/>
      <c r="E99"/>
      <c r="F99"/>
      <c r="G99"/>
      <c r="H99"/>
      <c r="I99"/>
      <c r="J99"/>
      <c r="K99"/>
      <c r="L99" s="163">
        <v>3</v>
      </c>
      <c r="M99"/>
      <c r="N99"/>
      <c r="O99" s="148"/>
      <c r="P99" s="5">
        <v>2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1"/>
      <c r="AO99" s="150">
        <f>IF($R$97="4231",4,0)</f>
        <v>0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ht="16.899999999999999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 s="28"/>
      <c r="M100"/>
      <c r="N100"/>
      <c r="O100" s="148"/>
      <c r="P100" s="5">
        <v>3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1"/>
      <c r="AO100" s="150">
        <f>IF($R$97="4232",5,0)</f>
        <v>0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ht="16.899999999999999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 s="28"/>
      <c r="M101"/>
      <c r="N101"/>
      <c r="O101" s="148"/>
      <c r="P101" s="5">
        <v>4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1"/>
      <c r="AO101" s="150">
        <f>IF($R$97="4241",5,0)</f>
        <v>0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ht="16.899999999999999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 s="28"/>
      <c r="M102"/>
      <c r="N102"/>
      <c r="O102" s="148"/>
      <c r="P102" s="5">
        <v>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1"/>
      <c r="AO102" s="150">
        <f>IF($R$97="4242",5,0)</f>
        <v>0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ht="16.899999999999999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 s="28"/>
      <c r="M103"/>
      <c r="N103"/>
      <c r="O103" s="148"/>
      <c r="P103" s="5">
        <v>6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1"/>
      <c r="AO103">
        <f>IF($R$97="4311",4,0)</f>
        <v>0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ht="16.899999999999999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 s="28"/>
      <c r="M104"/>
      <c r="N104"/>
      <c r="O104" s="148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1"/>
      <c r="AO104">
        <f>IF($R$97="4312",4,0)</f>
        <v>0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ht="16.899999999999999" customHeight="1" x14ac:dyDescent="0.25">
      <c r="A105"/>
      <c r="B105" t="s">
        <v>440</v>
      </c>
      <c r="C105"/>
      <c r="D105"/>
      <c r="E105"/>
      <c r="F105"/>
      <c r="G105"/>
      <c r="H105"/>
      <c r="I105"/>
      <c r="J105"/>
      <c r="K105"/>
      <c r="L105" s="28"/>
      <c r="M105"/>
      <c r="N105"/>
      <c r="O105" s="148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1"/>
      <c r="AO105">
        <f>IF($R$97="4321",4,0)</f>
        <v>0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ht="16.899999999999999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 s="28"/>
      <c r="M106"/>
      <c r="N106"/>
      <c r="O106" s="148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1"/>
      <c r="AO106">
        <f>IF($R$97="4322",5,0)</f>
        <v>0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ht="16.899999999999999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 s="163">
        <v>1</v>
      </c>
      <c r="M107"/>
      <c r="N107"/>
      <c r="O107" s="148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1"/>
      <c r="AO107">
        <f>IF($R$97="4331",5,0)</f>
        <v>0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ht="16.899999999999999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 s="28"/>
      <c r="M108"/>
      <c r="N108"/>
      <c r="O108" s="148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1"/>
      <c r="AO108">
        <f>IF($R$97="4332",5,0)</f>
        <v>0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ht="16.899999999999999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 s="28"/>
      <c r="M109"/>
      <c r="N109"/>
      <c r="O109" s="148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1"/>
      <c r="AO109">
        <f>IF($R$97="4341",6,0)</f>
        <v>0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ht="16.899999999999999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 s="28"/>
      <c r="M110"/>
      <c r="N110"/>
      <c r="O110" s="148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1"/>
      <c r="AO110">
        <f>IF($R$97="4342",6,0)</f>
        <v>0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ht="16.899999999999999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 s="28"/>
      <c r="M111"/>
      <c r="N111"/>
      <c r="O111" s="148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1"/>
      <c r="AO111" s="150">
        <f>IF($R$97="5111",5,0)</f>
        <v>0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ht="16.899999999999999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 s="28"/>
      <c r="M112"/>
      <c r="N112"/>
      <c r="O112" s="148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1"/>
      <c r="AO112" s="150">
        <f>IF($R$97="5112",5,0)</f>
        <v>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ht="16.899999999999999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 s="28"/>
      <c r="M113"/>
      <c r="N113"/>
      <c r="O113" s="148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1"/>
      <c r="AO113" s="150">
        <f>IF($R$97="5121",5,0)</f>
        <v>0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ht="16.899999999999999" customHeight="1" x14ac:dyDescent="0.25">
      <c r="A114"/>
      <c r="B114" t="s">
        <v>441</v>
      </c>
      <c r="C114"/>
      <c r="D114"/>
      <c r="E114"/>
      <c r="F114"/>
      <c r="G114"/>
      <c r="H114"/>
      <c r="I114"/>
      <c r="J114"/>
      <c r="K114"/>
      <c r="L114" s="28"/>
      <c r="M114"/>
      <c r="N114"/>
      <c r="O114" s="148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1"/>
      <c r="AO114" s="150">
        <f>IF($R$97="5122",5,0)</f>
        <v>0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ht="16.899999999999999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 s="28"/>
      <c r="M115"/>
      <c r="N115"/>
      <c r="O115" s="148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1"/>
      <c r="AO115" s="150">
        <f>IF($R$97="5131",5,0)</f>
        <v>0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ht="16.899999999999999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 s="163">
        <v>2</v>
      </c>
      <c r="M116"/>
      <c r="N116"/>
      <c r="O116" s="148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1"/>
      <c r="AO116" s="150">
        <f>IF($R$97="5132",6,0)</f>
        <v>0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ht="16.899999999999999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 s="28"/>
      <c r="M117"/>
      <c r="N117"/>
      <c r="O117" s="148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1"/>
      <c r="AO117" s="150">
        <f>IF($R$97="5141",6,0)</f>
        <v>0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ht="16.899999999999999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 s="28"/>
      <c r="M118"/>
      <c r="N118"/>
      <c r="O118" s="148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1"/>
      <c r="AO118" s="150">
        <f>IF($R$97="5142",7,0)</f>
        <v>0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ht="16.899999999999999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 s="28"/>
      <c r="M119"/>
      <c r="N119"/>
      <c r="O119" s="148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1"/>
      <c r="AO119">
        <f>IF($R$97="5211",5,0)</f>
        <v>0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ht="16.899999999999999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 s="28"/>
      <c r="M120"/>
      <c r="N120"/>
      <c r="O120" s="148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1"/>
      <c r="AO120">
        <f>IF($R$97="5212",6,0)</f>
        <v>0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ht="16.899999999999999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 s="28"/>
      <c r="M121"/>
      <c r="N121"/>
      <c r="O121" s="148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1"/>
      <c r="AO121">
        <f>IF($R$97="5221",6,0)</f>
        <v>0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ht="16.899999999999999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 s="28"/>
      <c r="M122"/>
      <c r="N122"/>
      <c r="O122" s="148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1"/>
      <c r="AO122">
        <f>IF($R$97="5222",6,0)</f>
        <v>0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ht="16.899999999999999" customHeight="1" x14ac:dyDescent="0.25">
      <c r="A123"/>
      <c r="B123" t="s">
        <v>442</v>
      </c>
      <c r="C123"/>
      <c r="D123"/>
      <c r="E123"/>
      <c r="F123"/>
      <c r="G123"/>
      <c r="H123"/>
      <c r="I123"/>
      <c r="J123"/>
      <c r="K123"/>
      <c r="L123" s="28"/>
      <c r="M123"/>
      <c r="N123"/>
      <c r="O123" s="148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1"/>
      <c r="AO123">
        <f>IF($R$97="5231",6,0)</f>
        <v>0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ht="16.899999999999999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 s="28"/>
      <c r="M124"/>
      <c r="N124"/>
      <c r="O124" s="148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1"/>
      <c r="AO124">
        <f>IF($R$97="5232",7,0)</f>
        <v>0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16.899999999999999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 s="163">
        <v>1</v>
      </c>
      <c r="M125"/>
      <c r="N125"/>
      <c r="O125" s="148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1"/>
      <c r="AO125">
        <f>IF($R$97="5241",7,0)</f>
        <v>0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16.899999999999999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 s="28"/>
      <c r="M126"/>
      <c r="N126"/>
      <c r="O126" s="148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1"/>
      <c r="AO126">
        <f>IF($R$97="5242",7,0)</f>
        <v>0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ht="16.899999999999999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 s="28"/>
      <c r="M127"/>
      <c r="N127"/>
      <c r="O127" s="148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1"/>
      <c r="AO127" s="150">
        <f>IF($R$97="5311",6,0)</f>
        <v>0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ht="16.899999999999999" customHeight="1" x14ac:dyDescent="0.25">
      <c r="A128"/>
      <c r="B128" t="s">
        <v>443</v>
      </c>
      <c r="C128"/>
      <c r="D128"/>
      <c r="E128"/>
      <c r="F128"/>
      <c r="G128"/>
      <c r="H128"/>
      <c r="I128"/>
      <c r="J128"/>
      <c r="K128"/>
      <c r="L128" s="28"/>
      <c r="M128"/>
      <c r="N128"/>
      <c r="O128" s="148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1"/>
      <c r="AO128" s="150">
        <f>IF($R$97="5312",6,0)</f>
        <v>0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ht="16.899999999999999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 s="28"/>
      <c r="M129"/>
      <c r="N129"/>
      <c r="O129" s="148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1"/>
      <c r="AO129" s="150">
        <f>IF($R$97="5321",6,0)</f>
        <v>0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ht="16.899999999999999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 s="163">
        <v>0</v>
      </c>
      <c r="M130"/>
      <c r="N130"/>
      <c r="O130" s="148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1"/>
      <c r="AO130" s="150">
        <f>IF($R$97="5322",7,0)</f>
        <v>0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ht="16.899999999999999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 s="28"/>
      <c r="M131"/>
      <c r="N131"/>
      <c r="O131" s="148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1"/>
      <c r="AO131" s="150">
        <f>IF($R$97="5331",7,0)</f>
        <v>0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ht="16.899999999999999" customHeight="1" x14ac:dyDescent="0.25">
      <c r="A132"/>
      <c r="B132" t="s">
        <v>444</v>
      </c>
      <c r="C132"/>
      <c r="D132"/>
      <c r="E132"/>
      <c r="F132"/>
      <c r="G132"/>
      <c r="H132"/>
      <c r="I132"/>
      <c r="J132"/>
      <c r="K132"/>
      <c r="L132" s="28"/>
      <c r="M132"/>
      <c r="N132"/>
      <c r="O132" s="148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1"/>
      <c r="AO132" s="150">
        <f>IF($R$97="5332",7,0)</f>
        <v>0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ht="16.899999999999999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 s="28"/>
      <c r="M133"/>
      <c r="N133"/>
      <c r="O133" s="148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1"/>
      <c r="AO133" s="150">
        <f>IF($R$97="5341",7,0)</f>
        <v>0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ht="16.899999999999999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 s="163">
        <v>0</v>
      </c>
      <c r="M134"/>
      <c r="N134"/>
      <c r="O134" s="148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1"/>
      <c r="AO134" s="150">
        <f>IF($R$97="5342",8,0)</f>
        <v>0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ht="16.899999999999999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 s="28"/>
      <c r="M135"/>
      <c r="N135"/>
      <c r="O135" s="148"/>
      <c r="P135" s="5">
        <v>0</v>
      </c>
      <c r="Q135" s="5"/>
      <c r="R135" t="str">
        <f>CONCATENATE(L140,L148,L157)</f>
        <v>221</v>
      </c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1"/>
      <c r="AO135">
        <f>IF($R$97="6111",7,0)</f>
        <v>0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ht="16.899999999999999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 s="28"/>
      <c r="M136"/>
      <c r="N136"/>
      <c r="O136" s="148"/>
      <c r="P136" s="5">
        <v>1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1"/>
      <c r="AO136">
        <f>IF($R$97="6112",7,0)</f>
        <v>0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ht="16.899999999999999" customHeight="1" x14ac:dyDescent="0.25">
      <c r="A137"/>
      <c r="B137" t="s">
        <v>445</v>
      </c>
      <c r="C137"/>
      <c r="D137"/>
      <c r="E137"/>
      <c r="F137"/>
      <c r="G137"/>
      <c r="H137"/>
      <c r="I137"/>
      <c r="J137"/>
      <c r="K137"/>
      <c r="L137" s="28"/>
      <c r="M137"/>
      <c r="N137"/>
      <c r="O137" s="148"/>
      <c r="P137" s="5">
        <v>2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1"/>
      <c r="AO137">
        <f>IF($R$97="6121",7,0)</f>
        <v>0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ht="16.899999999999999" customHeight="1" x14ac:dyDescent="0.25">
      <c r="A138"/>
      <c r="B138" t="s">
        <v>448</v>
      </c>
      <c r="C138"/>
      <c r="D138"/>
      <c r="E138"/>
      <c r="F138"/>
      <c r="G138"/>
      <c r="H138"/>
      <c r="I138"/>
      <c r="J138"/>
      <c r="K138"/>
      <c r="L138" s="28"/>
      <c r="M138"/>
      <c r="N138"/>
      <c r="O138" s="148"/>
      <c r="P138" s="5">
        <v>3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1"/>
      <c r="AO138">
        <f>IF($R$97="6122",7,0)</f>
        <v>0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ht="16.899999999999999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 s="28"/>
      <c r="M139"/>
      <c r="N139"/>
      <c r="O139" s="148"/>
      <c r="P139" s="5">
        <v>4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1"/>
      <c r="AO139">
        <f>IF($R$97="6131",7,0)</f>
        <v>0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ht="16.899999999999999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 s="163">
        <v>2</v>
      </c>
      <c r="M140"/>
      <c r="N140"/>
      <c r="O140" s="148"/>
      <c r="P140" s="5">
        <v>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1"/>
      <c r="AO140">
        <f>IF($R$97="6132",8,0)</f>
        <v>0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ht="16.899999999999999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 s="28"/>
      <c r="M141"/>
      <c r="N141"/>
      <c r="O141" s="148"/>
      <c r="P141" s="5">
        <v>6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1"/>
      <c r="AO141">
        <f>IF($R$97="6141",8,0)</f>
        <v>0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ht="16.899999999999999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 s="28"/>
      <c r="M142"/>
      <c r="N142"/>
      <c r="O142" s="148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1"/>
      <c r="AO142">
        <f>IF($R$97="6142",9,0)</f>
        <v>0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ht="16.899999999999999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 s="28"/>
      <c r="M143"/>
      <c r="N143"/>
      <c r="O143" s="148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1"/>
      <c r="AO143" s="150">
        <f>IF($R$97="6211",8,0)</f>
        <v>0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ht="16.899999999999999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 s="28"/>
      <c r="M144"/>
      <c r="N144"/>
      <c r="O144" s="148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1"/>
      <c r="AO144" s="150">
        <f>IF($R$97="6212",8,0)</f>
        <v>0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ht="16.899999999999999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 s="28"/>
      <c r="M145"/>
      <c r="N145"/>
      <c r="O145" s="148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1"/>
      <c r="AO145" s="150">
        <f>IF($R$97="6221",8,0)</f>
        <v>0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ht="16.899999999999999" customHeight="1" x14ac:dyDescent="0.25">
      <c r="A146"/>
      <c r="B146" t="s">
        <v>449</v>
      </c>
      <c r="C146"/>
      <c r="D146"/>
      <c r="E146"/>
      <c r="F146"/>
      <c r="G146"/>
      <c r="H146"/>
      <c r="I146"/>
      <c r="J146"/>
      <c r="K146"/>
      <c r="L146" s="28"/>
      <c r="M146"/>
      <c r="N146"/>
      <c r="O146" s="148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1"/>
      <c r="AO146" s="150">
        <f>IF($R$97="6222",8,0)</f>
        <v>0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ht="16.899999999999999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 s="28"/>
      <c r="M147"/>
      <c r="N147"/>
      <c r="O147" s="148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1"/>
      <c r="AO147" s="150">
        <f>IF($R$97="6231",8,0)</f>
        <v>0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ht="16.899999999999999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 s="163">
        <v>2</v>
      </c>
      <c r="M148"/>
      <c r="N148"/>
      <c r="O148" s="148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1"/>
      <c r="AO148" s="150">
        <f>IF($R$97="6232",9,0)</f>
        <v>0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ht="16.899999999999999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 s="28"/>
      <c r="M149"/>
      <c r="N149"/>
      <c r="O149" s="148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1"/>
      <c r="AO149" s="150">
        <f>IF($R$97="6241",9,0)</f>
        <v>0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ht="16.899999999999999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 s="28"/>
      <c r="M150"/>
      <c r="N150"/>
      <c r="O150" s="148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1"/>
      <c r="AO150" s="150">
        <f>IF($R$97="6242",9,0)</f>
        <v>0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ht="16.899999999999999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 s="28"/>
      <c r="M151"/>
      <c r="N151"/>
      <c r="O151" s="148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1"/>
      <c r="AO151">
        <f>IF($R$97="6311",9,0)</f>
        <v>0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ht="16.899999999999999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 s="28"/>
      <c r="M152"/>
      <c r="N152"/>
      <c r="O152" s="148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1"/>
      <c r="AO152">
        <f>IF($R$97="6312",9,0)</f>
        <v>0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ht="16.899999999999999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 s="28"/>
      <c r="M153"/>
      <c r="N153"/>
      <c r="O153" s="148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1"/>
      <c r="AO153">
        <f>IF($R$97="6321",9,0)</f>
        <v>0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ht="16.899999999999999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 s="28"/>
      <c r="M154"/>
      <c r="N154"/>
      <c r="O154" s="148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1"/>
      <c r="AO154">
        <f>IF($R$97="6322",9,0)</f>
        <v>0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ht="16.899999999999999" customHeight="1" x14ac:dyDescent="0.25">
      <c r="A155"/>
      <c r="B155" t="s">
        <v>450</v>
      </c>
      <c r="C155"/>
      <c r="D155"/>
      <c r="E155"/>
      <c r="F155"/>
      <c r="G155"/>
      <c r="H155"/>
      <c r="I155"/>
      <c r="J155"/>
      <c r="K155"/>
      <c r="L155" s="28"/>
      <c r="M155"/>
      <c r="N155"/>
      <c r="O155" s="148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1"/>
      <c r="AO155">
        <f>IF($R$97="6331",9,0)</f>
        <v>0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ht="16.899999999999999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 s="28"/>
      <c r="M156"/>
      <c r="N156"/>
      <c r="O156" s="148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1"/>
      <c r="AO156">
        <f>IF($R$97="6332",9,0)</f>
        <v>0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ht="16.899999999999999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 s="163">
        <v>1</v>
      </c>
      <c r="M157"/>
      <c r="N157"/>
      <c r="O157" s="148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1"/>
      <c r="AO157">
        <f>IF($R$97="6341",9,0)</f>
        <v>0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ht="16.899999999999999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 s="28"/>
      <c r="M158"/>
      <c r="N158"/>
      <c r="O158" s="148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1"/>
      <c r="AO158">
        <f>IF($R$97="6342",9,0)</f>
        <v>0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ht="16.899999999999999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 s="28"/>
      <c r="M159"/>
      <c r="N159"/>
      <c r="O159" s="148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1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ht="16.899999999999999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 s="28"/>
      <c r="M160"/>
      <c r="N160"/>
      <c r="O160" s="148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1"/>
      <c r="AO160" s="155">
        <f>SUM(AO12:AO158)</f>
        <v>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60" ht="16.899999999999999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 s="28"/>
      <c r="M161"/>
      <c r="N161"/>
      <c r="O161" s="148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1"/>
      <c r="AO161" s="23"/>
    </row>
    <row r="162" spans="1:60" ht="16.899999999999999" customHeight="1" x14ac:dyDescent="0.25">
      <c r="A162"/>
      <c r="B162" t="s">
        <v>451</v>
      </c>
      <c r="C162"/>
      <c r="D162"/>
      <c r="E162"/>
      <c r="F162"/>
      <c r="G162"/>
      <c r="H162"/>
      <c r="I162"/>
      <c r="J162"/>
      <c r="K162"/>
      <c r="L162" s="28"/>
      <c r="M162"/>
      <c r="N162"/>
      <c r="O162" s="148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1"/>
      <c r="AO162" s="23"/>
    </row>
    <row r="163" spans="1:60" ht="16.899999999999999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 s="28"/>
      <c r="M163"/>
      <c r="N163"/>
      <c r="O163" s="148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1"/>
      <c r="AO163" s="23"/>
    </row>
    <row r="164" spans="1:60" ht="16.899999999999999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 s="163">
        <v>1</v>
      </c>
      <c r="M164"/>
      <c r="N164"/>
      <c r="O164" s="148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1"/>
      <c r="AO164" s="23"/>
    </row>
    <row r="165" spans="1:60" ht="16.899999999999999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 s="28"/>
      <c r="M165"/>
      <c r="N165"/>
      <c r="O165" s="148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1"/>
      <c r="AO165" s="23"/>
    </row>
    <row r="166" spans="1:60" ht="16.899999999999999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 s="28"/>
      <c r="M166"/>
      <c r="N166"/>
      <c r="O166" s="148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1"/>
      <c r="AO166" s="23"/>
    </row>
    <row r="167" spans="1:60" ht="16.899999999999999" customHeight="1" x14ac:dyDescent="0.25">
      <c r="A167"/>
      <c r="B167" t="s">
        <v>452</v>
      </c>
      <c r="C167"/>
      <c r="D167"/>
      <c r="E167"/>
      <c r="F167"/>
      <c r="G167"/>
      <c r="H167"/>
      <c r="I167"/>
      <c r="J167"/>
      <c r="K167"/>
      <c r="L167" s="28"/>
      <c r="M167"/>
      <c r="N167"/>
      <c r="O167" s="148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1"/>
      <c r="AO167" s="23"/>
    </row>
    <row r="168" spans="1:60" ht="16.899999999999999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 s="28"/>
      <c r="M168"/>
      <c r="N168"/>
      <c r="O168" s="148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1"/>
      <c r="AO168" s="23"/>
    </row>
    <row r="169" spans="1:60" ht="16.899999999999999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 s="163">
        <v>0</v>
      </c>
      <c r="M169"/>
      <c r="N169"/>
      <c r="O169" s="148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1"/>
      <c r="AO169" s="23"/>
      <c r="BH169" s="166" t="s">
        <v>457</v>
      </c>
    </row>
    <row r="170" spans="1:60" ht="16.899999999999999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 s="28"/>
      <c r="M170"/>
      <c r="N170"/>
      <c r="O170" s="148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1"/>
      <c r="AO170" s="23"/>
    </row>
    <row r="171" spans="1:60" ht="16.899999999999999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 s="28"/>
      <c r="M171"/>
      <c r="N171"/>
      <c r="O171" s="148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1"/>
      <c r="AO171" s="23"/>
    </row>
    <row r="172" spans="1:60" ht="16.899999999999999" customHeight="1" x14ac:dyDescent="0.25">
      <c r="A172"/>
      <c r="B172" t="s">
        <v>453</v>
      </c>
      <c r="C172"/>
      <c r="D172"/>
      <c r="E172"/>
      <c r="F172"/>
      <c r="G172"/>
      <c r="H172"/>
      <c r="I172"/>
      <c r="J172"/>
      <c r="K172"/>
      <c r="L172" s="188">
        <f>IFERROR(AS25,"")</f>
        <v>3</v>
      </c>
      <c r="M172"/>
      <c r="N172"/>
      <c r="O172" s="148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1"/>
      <c r="AO172" s="23"/>
    </row>
    <row r="173" spans="1:60" ht="16.899999999999999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 s="130"/>
      <c r="M173"/>
      <c r="N173"/>
      <c r="O173" s="148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1"/>
      <c r="AO173" s="23"/>
    </row>
    <row r="174" spans="1:60" ht="16.899999999999999" customHeight="1" x14ac:dyDescent="0.25">
      <c r="A174"/>
      <c r="B174" t="s">
        <v>454</v>
      </c>
      <c r="C174"/>
      <c r="D174"/>
      <c r="E174"/>
      <c r="F174"/>
      <c r="G174"/>
      <c r="H174"/>
      <c r="I174"/>
      <c r="J174"/>
      <c r="K174"/>
      <c r="L174" s="188">
        <f>IFERROR(AS37,"")</f>
        <v>2</v>
      </c>
      <c r="M174"/>
      <c r="N174"/>
      <c r="O174" s="148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1"/>
      <c r="AO174" s="23"/>
    </row>
    <row r="175" spans="1:60" ht="13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48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1"/>
      <c r="AO175" s="23"/>
    </row>
    <row r="176" spans="1:60" ht="13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48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1"/>
      <c r="AO176" s="23"/>
    </row>
    <row r="177" spans="1:41" ht="13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48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1"/>
      <c r="AO177" s="23"/>
    </row>
    <row r="178" spans="1:41" ht="14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48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1"/>
      <c r="AO178" s="23"/>
    </row>
    <row r="179" spans="1:41" ht="23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24"/>
      <c r="P179" s="5"/>
      <c r="Q179" s="5"/>
      <c r="R179" s="5"/>
      <c r="S179" s="5"/>
      <c r="T179" s="5"/>
      <c r="U179" s="5">
        <v>1</v>
      </c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1"/>
      <c r="AO179" s="23"/>
    </row>
    <row r="180" spans="1:4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2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1"/>
      <c r="AO180" s="23"/>
    </row>
    <row r="181" spans="1:41" x14ac:dyDescent="0.25">
      <c r="A181" s="164" t="s">
        <v>107</v>
      </c>
      <c r="B181" s="164" t="s">
        <v>108</v>
      </c>
      <c r="C181" s="165"/>
      <c r="D181" s="165"/>
      <c r="E181" s="165"/>
      <c r="F181" s="165"/>
      <c r="G181" s="165"/>
      <c r="H181" s="165"/>
      <c r="I181" s="165"/>
      <c r="J181" s="165"/>
      <c r="K181" s="165"/>
      <c r="L181" s="188" t="str">
        <f>IF(SUM(H182:H185)=0,"",IF(MAX(H182:H185)=5,"R","V"))</f>
        <v>V</v>
      </c>
      <c r="M181"/>
      <c r="N181"/>
      <c r="O181" s="24"/>
      <c r="P181" s="5"/>
      <c r="Q181" s="7">
        <v>5</v>
      </c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1"/>
      <c r="AO181" s="23"/>
    </row>
    <row r="182" spans="1:41" x14ac:dyDescent="0.25">
      <c r="A182"/>
      <c r="B182" t="s">
        <v>522</v>
      </c>
      <c r="C182"/>
      <c r="D182"/>
      <c r="E182"/>
      <c r="F182"/>
      <c r="G182" s="161" t="s">
        <v>70</v>
      </c>
      <c r="H182" s="147">
        <f>IF(G182=$W$183,1,IF(G182=$W$184,5,""))</f>
        <v>1</v>
      </c>
      <c r="I182" s="217" t="s">
        <v>110</v>
      </c>
      <c r="J182" s="218"/>
      <c r="K182" s="218"/>
      <c r="L182" s="219"/>
      <c r="M182"/>
      <c r="N182"/>
      <c r="O182" s="24"/>
      <c r="P182" s="5"/>
      <c r="Q182" s="7">
        <v>1</v>
      </c>
      <c r="R182" s="5"/>
      <c r="S182" s="7" t="str">
        <f>IF(T182=4,1,IF(T182=5,5,""))</f>
        <v/>
      </c>
      <c r="T182" s="5">
        <v>1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1"/>
      <c r="AO182" s="23"/>
    </row>
    <row r="183" spans="1:41" x14ac:dyDescent="0.25">
      <c r="A183"/>
      <c r="B183" t="s">
        <v>111</v>
      </c>
      <c r="C183"/>
      <c r="D183"/>
      <c r="E183"/>
      <c r="F183"/>
      <c r="G183" s="161" t="s">
        <v>70</v>
      </c>
      <c r="H183" s="147">
        <f t="shared" ref="H183:H185" si="5">IF(G183=$W$183,1,IF(G183=$W$184,5,""))</f>
        <v>1</v>
      </c>
      <c r="I183" s="217" t="s">
        <v>112</v>
      </c>
      <c r="J183" s="218"/>
      <c r="K183" s="218"/>
      <c r="L183" s="219"/>
      <c r="M183"/>
      <c r="N183"/>
      <c r="O183" s="24"/>
      <c r="P183" s="5"/>
      <c r="Q183" s="7"/>
      <c r="R183" s="5"/>
      <c r="S183" s="7">
        <f t="shared" ref="S183:S185" si="6">IF(T183=1,1,IF(T183=2,5,""))</f>
        <v>1</v>
      </c>
      <c r="T183" s="5">
        <v>1</v>
      </c>
      <c r="U183" s="5"/>
      <c r="V183" s="5"/>
      <c r="W183" s="5" t="s">
        <v>70</v>
      </c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1"/>
      <c r="AO183" s="23"/>
    </row>
    <row r="184" spans="1:41" x14ac:dyDescent="0.25">
      <c r="A184"/>
      <c r="B184" t="s">
        <v>113</v>
      </c>
      <c r="C184"/>
      <c r="D184"/>
      <c r="E184"/>
      <c r="F184"/>
      <c r="G184" s="161" t="s">
        <v>70</v>
      </c>
      <c r="H184" s="147">
        <f t="shared" si="5"/>
        <v>1</v>
      </c>
      <c r="I184" s="217" t="s">
        <v>114</v>
      </c>
      <c r="J184" s="218"/>
      <c r="K184" s="218"/>
      <c r="L184" s="219"/>
      <c r="M184"/>
      <c r="N184"/>
      <c r="O184" s="24"/>
      <c r="P184" s="5"/>
      <c r="Q184" s="5" t="s">
        <v>70</v>
      </c>
      <c r="R184" s="5"/>
      <c r="S184" s="7" t="str">
        <f t="shared" si="6"/>
        <v/>
      </c>
      <c r="T184" s="5"/>
      <c r="U184" s="5"/>
      <c r="V184" s="5"/>
      <c r="W184" s="5" t="s">
        <v>72</v>
      </c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1"/>
      <c r="AO184" s="23"/>
    </row>
    <row r="185" spans="1:41" x14ac:dyDescent="0.25">
      <c r="A185"/>
      <c r="B185" t="s">
        <v>115</v>
      </c>
      <c r="C185"/>
      <c r="D185"/>
      <c r="E185"/>
      <c r="F185"/>
      <c r="G185" s="161" t="s">
        <v>70</v>
      </c>
      <c r="H185" s="147">
        <f t="shared" si="5"/>
        <v>1</v>
      </c>
      <c r="I185" s="217" t="s">
        <v>114</v>
      </c>
      <c r="J185" s="218"/>
      <c r="K185" s="218"/>
      <c r="L185" s="219"/>
      <c r="M185"/>
      <c r="N185"/>
      <c r="O185" s="24"/>
      <c r="P185" s="5"/>
      <c r="Q185" s="5" t="s">
        <v>72</v>
      </c>
      <c r="R185" s="5"/>
      <c r="S185" s="7" t="str">
        <f t="shared" si="6"/>
        <v/>
      </c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1"/>
      <c r="AO185" s="23"/>
    </row>
    <row r="186" spans="1:41" ht="6.75" customHeight="1" x14ac:dyDescent="0.25">
      <c r="A186" s="157"/>
      <c r="B186"/>
      <c r="C186" s="157"/>
      <c r="D186" s="157"/>
      <c r="E186"/>
      <c r="F186"/>
      <c r="G186"/>
      <c r="H186"/>
      <c r="I186"/>
      <c r="J186"/>
      <c r="K186"/>
      <c r="L186"/>
      <c r="M186"/>
      <c r="N186"/>
      <c r="O186" s="24"/>
      <c r="P186" s="5"/>
      <c r="Q186" s="7">
        <v>1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1"/>
      <c r="AO186" s="23"/>
    </row>
    <row r="187" spans="1:41" ht="14.25" customHeight="1" x14ac:dyDescent="0.25">
      <c r="A187" s="164" t="s">
        <v>116</v>
      </c>
      <c r="B187" s="164" t="s">
        <v>117</v>
      </c>
      <c r="C187" s="165"/>
      <c r="D187" s="165"/>
      <c r="E187" s="165"/>
      <c r="F187" s="165"/>
      <c r="G187" s="165"/>
      <c r="H187" s="165"/>
      <c r="I187" s="165"/>
      <c r="J187" s="165"/>
      <c r="K187" s="165"/>
      <c r="L187" s="188" t="str">
        <f>IF(Q191="","",IF(Q191="error",30,IF(MAX(Q191,S202)&gt;2,"A","V")))</f>
        <v>V</v>
      </c>
      <c r="M187"/>
      <c r="N187"/>
      <c r="O187" s="24"/>
      <c r="P187" s="5"/>
      <c r="Q187" s="5">
        <v>2</v>
      </c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1"/>
      <c r="AO187" s="23"/>
    </row>
    <row r="188" spans="1:41" ht="3.75" customHeight="1" x14ac:dyDescent="0.25">
      <c r="A188"/>
      <c r="B188"/>
      <c r="C188"/>
      <c r="D188"/>
      <c r="E188"/>
      <c r="F188"/>
      <c r="G188" s="28"/>
      <c r="H188"/>
      <c r="I188"/>
      <c r="J188"/>
      <c r="K188"/>
      <c r="L188"/>
      <c r="M188"/>
      <c r="N188"/>
      <c r="O188" s="2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1"/>
      <c r="AO188" s="23"/>
    </row>
    <row r="189" spans="1:41" ht="3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24"/>
      <c r="P189" s="5"/>
      <c r="Q189" s="17">
        <v>1</v>
      </c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1"/>
      <c r="AO189" s="23"/>
    </row>
    <row r="190" spans="1:4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2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1"/>
      <c r="AO190" s="23"/>
    </row>
    <row r="191" spans="1:4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24"/>
      <c r="P191" s="5"/>
      <c r="Q191" s="220">
        <f>IF(AND(G193=U191,G194=U191,G195=U191),"error",IF(AND(G193=U191,G194=U191),"error",IF(AND(G194=U191,G195=U191),"error",IF(AND(G193=U191,G195=U191),"error",IF(G193=U191,1,IF(G194=U191,3,IF(G195=U191,5,IF(AND(G193="",G194="",G195=""),"","error"))))))))</f>
        <v>1</v>
      </c>
      <c r="R191" s="221"/>
      <c r="S191" s="221"/>
      <c r="T191" s="222"/>
      <c r="U191" s="5" t="s">
        <v>118</v>
      </c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1"/>
      <c r="AO191" s="23"/>
    </row>
    <row r="192" spans="1:41" x14ac:dyDescent="0.25">
      <c r="A192"/>
      <c r="B192"/>
      <c r="C192"/>
      <c r="D192"/>
      <c r="E192"/>
      <c r="F192"/>
      <c r="G192"/>
      <c r="H192" t="s">
        <v>119</v>
      </c>
      <c r="I192"/>
      <c r="J192"/>
      <c r="K192"/>
      <c r="L192"/>
      <c r="M192"/>
      <c r="N192"/>
      <c r="O192" s="24"/>
      <c r="P192" s="5"/>
      <c r="Q192" s="220" t="s">
        <v>120</v>
      </c>
      <c r="R192" s="221"/>
      <c r="S192" s="221"/>
      <c r="T192" s="222"/>
      <c r="U192" s="5"/>
      <c r="V192" s="5">
        <v>5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1"/>
      <c r="AO192" s="23"/>
    </row>
    <row r="193" spans="1:41" ht="19.149999999999999" customHeight="1" x14ac:dyDescent="0.25">
      <c r="A193"/>
      <c r="B193"/>
      <c r="C193"/>
      <c r="D193"/>
      <c r="E193"/>
      <c r="F193"/>
      <c r="G193" s="161" t="s">
        <v>118</v>
      </c>
      <c r="H193" s="223" t="str">
        <f>Q198</f>
        <v xml:space="preserve">altura entre 1,400 y 1600 mm </v>
      </c>
      <c r="I193" s="223"/>
      <c r="J193" s="223"/>
      <c r="K193" s="223"/>
      <c r="L193" s="223"/>
      <c r="M193"/>
      <c r="N193"/>
      <c r="O193" s="24"/>
      <c r="P193" s="5"/>
      <c r="Q193" s="224" t="s">
        <v>121</v>
      </c>
      <c r="R193" s="225"/>
      <c r="S193" s="225"/>
      <c r="T193" s="22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1"/>
      <c r="AO193" s="23"/>
    </row>
    <row r="194" spans="1:41" ht="19.149999999999999" customHeight="1" x14ac:dyDescent="0.25">
      <c r="A194"/>
      <c r="B194"/>
      <c r="C194"/>
      <c r="D194"/>
      <c r="E194"/>
      <c r="F194"/>
      <c r="G194" s="161"/>
      <c r="H194" s="223" t="s">
        <v>490</v>
      </c>
      <c r="I194" s="223"/>
      <c r="J194" s="223"/>
      <c r="K194" s="223"/>
      <c r="L194" s="223"/>
      <c r="M194"/>
      <c r="N194"/>
      <c r="O194" s="24"/>
      <c r="P194" s="5"/>
      <c r="Q194" s="224">
        <v>1</v>
      </c>
      <c r="R194" s="225"/>
      <c r="S194" s="225"/>
      <c r="T194" s="22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1"/>
      <c r="AO194" s="23"/>
    </row>
    <row r="195" spans="1:41" ht="19.149999999999999" customHeight="1" x14ac:dyDescent="0.25">
      <c r="A195"/>
      <c r="B195"/>
      <c r="C195"/>
      <c r="D195"/>
      <c r="E195"/>
      <c r="F195"/>
      <c r="G195" s="189"/>
      <c r="H195" s="223"/>
      <c r="I195" s="223"/>
      <c r="J195" s="223"/>
      <c r="K195" s="223"/>
      <c r="L195" s="223"/>
      <c r="M195"/>
      <c r="N195"/>
      <c r="O195" s="24"/>
      <c r="P195" s="18" t="s">
        <v>122</v>
      </c>
      <c r="Q195" s="220"/>
      <c r="R195" s="221"/>
      <c r="S195" s="221"/>
      <c r="T195" s="222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1"/>
      <c r="AO195" s="23"/>
    </row>
    <row r="196" spans="1:41" ht="17.649999999999999" customHeight="1" x14ac:dyDescent="0.25">
      <c r="A196"/>
      <c r="B196"/>
      <c r="C196"/>
      <c r="D196"/>
      <c r="E196"/>
      <c r="F196"/>
      <c r="G196" s="162"/>
      <c r="H196" s="227" t="s">
        <v>124</v>
      </c>
      <c r="I196" s="228"/>
      <c r="J196" s="228"/>
      <c r="K196" s="228"/>
      <c r="L196" s="229"/>
      <c r="M196"/>
      <c r="N196"/>
      <c r="O196" s="24"/>
      <c r="P196" s="5"/>
      <c r="Q196" s="224" t="s">
        <v>120</v>
      </c>
      <c r="R196" s="225"/>
      <c r="S196" s="225"/>
      <c r="T196" s="226"/>
      <c r="U196" s="5"/>
      <c r="V196" s="5">
        <v>5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1"/>
      <c r="AO196" s="23"/>
    </row>
    <row r="197" spans="1:41" x14ac:dyDescent="0.25">
      <c r="A197" s="164" t="s">
        <v>125</v>
      </c>
      <c r="B197" s="164" t="s">
        <v>126</v>
      </c>
      <c r="C197" s="165"/>
      <c r="D197" s="165"/>
      <c r="E197" s="165"/>
      <c r="F197" s="165"/>
      <c r="G197" s="165"/>
      <c r="H197" s="165"/>
      <c r="I197" s="165"/>
      <c r="J197" s="165"/>
      <c r="K197" s="165"/>
      <c r="L197" s="188" t="str">
        <f>IF(SUM(C199:C201)=0,"",IF(MAX(D199,D201)&lt;3,"V",IF(MAX(D199,D201)=3,"A",IF(MAX(D199,D201)&gt;3,"R"))))</f>
        <v>V</v>
      </c>
      <c r="M197"/>
      <c r="N197"/>
      <c r="O197" s="24"/>
      <c r="P197" s="5"/>
      <c r="Q197" s="5">
        <v>5</v>
      </c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1"/>
      <c r="AO197" s="23"/>
    </row>
    <row r="198" spans="1:41" x14ac:dyDescent="0.25">
      <c r="A198"/>
      <c r="B198"/>
      <c r="C198"/>
      <c r="D198"/>
      <c r="E198"/>
      <c r="F198"/>
      <c r="G198"/>
      <c r="H198"/>
      <c r="I198" t="s">
        <v>127</v>
      </c>
      <c r="J198"/>
      <c r="K198"/>
      <c r="L198"/>
      <c r="M198"/>
      <c r="N198"/>
      <c r="O198" s="24"/>
      <c r="P198" s="5"/>
      <c r="Q198" s="5" t="s">
        <v>382</v>
      </c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1"/>
      <c r="AO198" s="23"/>
    </row>
    <row r="199" spans="1:41" x14ac:dyDescent="0.25">
      <c r="A199"/>
      <c r="B199" t="s">
        <v>127</v>
      </c>
      <c r="C199" s="163">
        <v>2</v>
      </c>
      <c r="D199" s="147">
        <f>IF(C199="","0",IF(AND(C199=1,C200&lt;300),5,IF(AND(C199=2,C200&lt;500),5,IF(AND(C199=3,C200&lt;750),5,IF(AND(C199=4,C200&lt;1000),5,1)))))</f>
        <v>1</v>
      </c>
      <c r="E199"/>
      <c r="F199"/>
      <c r="G199" t="s">
        <v>128</v>
      </c>
      <c r="H199"/>
      <c r="I199"/>
      <c r="J199"/>
      <c r="K199"/>
      <c r="L199">
        <v>300</v>
      </c>
      <c r="M199"/>
      <c r="N199"/>
      <c r="O199" s="24"/>
      <c r="P199" s="5"/>
      <c r="Q199" s="5" t="s">
        <v>383</v>
      </c>
      <c r="R199" s="5"/>
      <c r="S199" s="5"/>
      <c r="T199" s="5"/>
      <c r="U199" s="5"/>
      <c r="V199" s="5"/>
      <c r="W199" s="5">
        <v>1</v>
      </c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1"/>
      <c r="AO199" s="23"/>
    </row>
    <row r="200" spans="1:41" x14ac:dyDescent="0.25">
      <c r="A200"/>
      <c r="B200" t="s">
        <v>126</v>
      </c>
      <c r="C200" s="163">
        <v>975</v>
      </c>
      <c r="D200"/>
      <c r="E200"/>
      <c r="F200"/>
      <c r="G200" t="s">
        <v>129</v>
      </c>
      <c r="H200"/>
      <c r="I200"/>
      <c r="J200"/>
      <c r="K200"/>
      <c r="L200">
        <v>500</v>
      </c>
      <c r="M200"/>
      <c r="N200"/>
      <c r="O200" s="24"/>
      <c r="P200" s="5"/>
      <c r="Q200" s="5" t="s">
        <v>384</v>
      </c>
      <c r="R200" s="5"/>
      <c r="S200" s="5"/>
      <c r="T200" s="5"/>
      <c r="U200" s="5"/>
      <c r="V200" s="5"/>
      <c r="W200" s="5">
        <v>2</v>
      </c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1"/>
      <c r="AO200" s="23"/>
    </row>
    <row r="201" spans="1:41" x14ac:dyDescent="0.25">
      <c r="A201"/>
      <c r="B201" t="s">
        <v>130</v>
      </c>
      <c r="C201" s="163">
        <v>86</v>
      </c>
      <c r="D201" s="147">
        <f>IF(C200=0," ",IF(C201/C200&gt;0.5,5,1))</f>
        <v>1</v>
      </c>
      <c r="E201"/>
      <c r="F201"/>
      <c r="G201" t="s">
        <v>131</v>
      </c>
      <c r="H201"/>
      <c r="I201"/>
      <c r="J201"/>
      <c r="K201"/>
      <c r="L201">
        <v>750</v>
      </c>
      <c r="M201"/>
      <c r="N201"/>
      <c r="O201" s="24"/>
      <c r="P201" s="5"/>
      <c r="Q201" s="5"/>
      <c r="R201" s="5"/>
      <c r="S201" s="5"/>
      <c r="T201" s="5"/>
      <c r="U201" s="5"/>
      <c r="V201" s="5"/>
      <c r="W201" s="5">
        <v>3</v>
      </c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1"/>
      <c r="AO201" s="23"/>
    </row>
    <row r="202" spans="1:41" x14ac:dyDescent="0.25">
      <c r="A202"/>
      <c r="B202"/>
      <c r="C202"/>
      <c r="D202"/>
      <c r="E202"/>
      <c r="F202"/>
      <c r="G202" t="s">
        <v>132</v>
      </c>
      <c r="H202"/>
      <c r="I202"/>
      <c r="J202"/>
      <c r="K202"/>
      <c r="L202">
        <v>1000</v>
      </c>
      <c r="M202"/>
      <c r="N202"/>
      <c r="O202" s="24"/>
      <c r="P202" s="5"/>
      <c r="Q202" s="5"/>
      <c r="R202" s="5" t="s">
        <v>123</v>
      </c>
      <c r="S202" s="5" t="str">
        <f>IF(G196=R202,1,IF(G196=R203,5,""))</f>
        <v/>
      </c>
      <c r="T202" s="5"/>
      <c r="U202" s="5"/>
      <c r="V202" s="5"/>
      <c r="W202" s="5">
        <v>4</v>
      </c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1"/>
      <c r="AO202" s="23"/>
    </row>
    <row r="203" spans="1:41" x14ac:dyDescent="0.25">
      <c r="A203" s="157"/>
      <c r="B203" s="157"/>
      <c r="C203"/>
      <c r="D203"/>
      <c r="E203"/>
      <c r="F203"/>
      <c r="G203"/>
      <c r="H203"/>
      <c r="I203"/>
      <c r="J203"/>
      <c r="K203"/>
      <c r="L203"/>
      <c r="M203"/>
      <c r="N203"/>
      <c r="O203" s="24"/>
      <c r="P203" s="5"/>
      <c r="Q203" s="5"/>
      <c r="R203" s="5" t="s">
        <v>133</v>
      </c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1"/>
      <c r="AO203" s="23"/>
    </row>
    <row r="204" spans="1:41" ht="9.6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2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1"/>
      <c r="AO204" s="23"/>
    </row>
    <row r="205" spans="1:4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21"/>
      <c r="P205" s="5"/>
      <c r="Q205" s="11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1"/>
      <c r="AO205" s="23"/>
    </row>
    <row r="206" spans="1:41" x14ac:dyDescent="0.25">
      <c r="A206" s="164" t="s">
        <v>95</v>
      </c>
      <c r="B206" s="164" t="s">
        <v>138</v>
      </c>
      <c r="C206" s="165"/>
      <c r="D206" s="165"/>
      <c r="E206" s="165"/>
      <c r="F206" s="165"/>
      <c r="G206" s="165"/>
      <c r="H206" s="165"/>
      <c r="I206" s="165"/>
      <c r="J206" s="165"/>
      <c r="K206" s="165"/>
      <c r="L206" s="188" t="str">
        <f>IF(C208="","",IF(C208&lt;3,"V",IF(C208=3,"A",IF(C208&gt;3,"R"))))</f>
        <v>V</v>
      </c>
      <c r="M206"/>
      <c r="N206"/>
      <c r="O206" s="21"/>
      <c r="P206" s="5"/>
      <c r="Q206" s="11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1"/>
      <c r="AO206" s="23"/>
    </row>
    <row r="207" spans="1:41" ht="4.5" customHeight="1" x14ac:dyDescent="0.25">
      <c r="A207"/>
      <c r="B207"/>
      <c r="C207" t="s">
        <v>139</v>
      </c>
      <c r="D207" t="s">
        <v>139</v>
      </c>
      <c r="E207" t="s">
        <v>139</v>
      </c>
      <c r="F207" t="s">
        <v>139</v>
      </c>
      <c r="G207" t="s">
        <v>139</v>
      </c>
      <c r="H207" t="s">
        <v>139</v>
      </c>
      <c r="I207"/>
      <c r="J207"/>
      <c r="K207"/>
      <c r="L207"/>
      <c r="M207"/>
      <c r="N207"/>
      <c r="O207" s="21"/>
      <c r="P207" s="5"/>
      <c r="Q207" s="11" t="s">
        <v>139</v>
      </c>
      <c r="R207" s="5" t="s">
        <v>139</v>
      </c>
      <c r="S207" s="5" t="s">
        <v>139</v>
      </c>
      <c r="T207" s="5" t="s">
        <v>139</v>
      </c>
      <c r="U207" s="5" t="s">
        <v>139</v>
      </c>
      <c r="V207" s="5" t="s">
        <v>139</v>
      </c>
      <c r="W207" s="5" t="s">
        <v>139</v>
      </c>
      <c r="X207" s="5" t="s">
        <v>139</v>
      </c>
      <c r="Y207" s="5" t="s">
        <v>139</v>
      </c>
      <c r="Z207" s="5">
        <v>5</v>
      </c>
      <c r="AA207" s="5">
        <v>0</v>
      </c>
      <c r="AB207" s="5">
        <v>2</v>
      </c>
      <c r="AC207" s="5">
        <v>3</v>
      </c>
      <c r="AD207" s="5">
        <v>4</v>
      </c>
      <c r="AE207" s="5">
        <v>5</v>
      </c>
      <c r="AF207" s="5">
        <v>1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1">
        <v>0</v>
      </c>
      <c r="AO207" s="23">
        <v>0</v>
      </c>
    </row>
    <row r="208" spans="1:41" x14ac:dyDescent="0.25">
      <c r="A208"/>
      <c r="B208"/>
      <c r="C208" s="163">
        <v>2</v>
      </c>
      <c r="D208"/>
      <c r="E208" s="157">
        <v>1</v>
      </c>
      <c r="F208" s="230" t="s">
        <v>140</v>
      </c>
      <c r="G208" s="231"/>
      <c r="H208" s="231"/>
      <c r="I208" s="231"/>
      <c r="J208" s="231"/>
      <c r="K208" s="231"/>
      <c r="L208" s="232"/>
      <c r="M208" s="190"/>
      <c r="N208"/>
      <c r="O208" s="21"/>
      <c r="P208" s="5"/>
      <c r="Q208" s="5" t="s">
        <v>519</v>
      </c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1"/>
      <c r="AO208" s="23"/>
    </row>
    <row r="209" spans="1:81" x14ac:dyDescent="0.25">
      <c r="A209"/>
      <c r="B209"/>
      <c r="C209"/>
      <c r="D209"/>
      <c r="E209" s="157">
        <v>2</v>
      </c>
      <c r="F209" s="230" t="s">
        <v>141</v>
      </c>
      <c r="G209" s="231"/>
      <c r="H209" s="231"/>
      <c r="I209" s="231"/>
      <c r="J209" s="231"/>
      <c r="K209" s="231"/>
      <c r="L209" s="232"/>
      <c r="M209" s="191"/>
      <c r="N209"/>
      <c r="O209" s="21"/>
      <c r="P209" s="5"/>
      <c r="Q209" s="5" t="s">
        <v>520</v>
      </c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1"/>
      <c r="AO209" s="23"/>
    </row>
    <row r="210" spans="1:81" x14ac:dyDescent="0.25">
      <c r="A210"/>
      <c r="B210"/>
      <c r="C210"/>
      <c r="D210"/>
      <c r="E210" s="157">
        <v>3</v>
      </c>
      <c r="F210" s="230" t="s">
        <v>142</v>
      </c>
      <c r="G210" s="231"/>
      <c r="H210" s="231"/>
      <c r="I210" s="231"/>
      <c r="J210" s="231"/>
      <c r="K210" s="231"/>
      <c r="L210" s="232"/>
      <c r="M210" s="191"/>
      <c r="N210"/>
      <c r="O210" s="21"/>
      <c r="P210" s="5"/>
      <c r="Q210" s="5" t="s">
        <v>521</v>
      </c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1"/>
      <c r="AO210" s="23"/>
    </row>
    <row r="211" spans="1:81" x14ac:dyDescent="0.25">
      <c r="A211"/>
      <c r="B211"/>
      <c r="C211"/>
      <c r="D211"/>
      <c r="E211" s="157">
        <v>4</v>
      </c>
      <c r="F211" s="230" t="s">
        <v>143</v>
      </c>
      <c r="G211" s="231"/>
      <c r="H211" s="231"/>
      <c r="I211" s="231"/>
      <c r="J211" s="231"/>
      <c r="K211" s="231"/>
      <c r="L211" s="232"/>
      <c r="M211" s="191"/>
      <c r="N211"/>
      <c r="O211" s="21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1"/>
      <c r="AO211" s="23"/>
    </row>
    <row r="212" spans="1:81" x14ac:dyDescent="0.25">
      <c r="A212"/>
      <c r="B212"/>
      <c r="C212"/>
      <c r="D212"/>
      <c r="E212" s="157">
        <v>5</v>
      </c>
      <c r="F212" s="230" t="s">
        <v>144</v>
      </c>
      <c r="G212" s="231"/>
      <c r="H212" s="231"/>
      <c r="I212" s="231"/>
      <c r="J212" s="231"/>
      <c r="K212" s="231"/>
      <c r="L212" s="232"/>
      <c r="M212" s="191"/>
      <c r="N212"/>
      <c r="O212" s="21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1"/>
      <c r="AO212" s="23"/>
    </row>
    <row r="213" spans="1:8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21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1"/>
      <c r="AO213" s="23"/>
    </row>
    <row r="214" spans="1:81" x14ac:dyDescent="0.25">
      <c r="A214"/>
      <c r="B214"/>
      <c r="C214"/>
      <c r="D214"/>
      <c r="E214"/>
      <c r="F214" s="233">
        <v>109941</v>
      </c>
      <c r="G214" s="233"/>
      <c r="H214"/>
      <c r="I214"/>
      <c r="J214"/>
      <c r="K214"/>
      <c r="L214">
        <f>C208</f>
        <v>2</v>
      </c>
      <c r="M214"/>
      <c r="N214"/>
      <c r="O214" s="21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1"/>
      <c r="AO214" s="23"/>
    </row>
    <row r="215" spans="1:8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21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1"/>
      <c r="AO215" s="23"/>
    </row>
    <row r="216" spans="1:8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21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1"/>
      <c r="AO216" s="23"/>
    </row>
    <row r="217" spans="1:8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21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1"/>
      <c r="AO217" s="23"/>
    </row>
    <row r="218" spans="1:8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21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1"/>
      <c r="AO218" s="23"/>
    </row>
    <row r="221" spans="1:81" x14ac:dyDescent="0.25">
      <c r="O221" s="31"/>
      <c r="P221" s="31"/>
    </row>
    <row r="222" spans="1:81" x14ac:dyDescent="0.25">
      <c r="O222" s="31"/>
      <c r="P222" s="31"/>
    </row>
    <row r="223" spans="1:81" x14ac:dyDescent="0.25">
      <c r="O223" s="31"/>
      <c r="P223" s="31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187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</row>
    <row r="224" spans="1:81" x14ac:dyDescent="0.25">
      <c r="O224" s="31"/>
      <c r="P224" s="31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187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48"/>
      <c r="BV224" s="48"/>
      <c r="BW224" s="48"/>
      <c r="BX224" s="48"/>
      <c r="BY224" s="48"/>
      <c r="BZ224" s="48"/>
      <c r="CA224" s="48"/>
      <c r="CB224" s="48"/>
      <c r="CC224" s="48"/>
    </row>
    <row r="225" spans="15:16" x14ac:dyDescent="0.25">
      <c r="O225" s="31"/>
      <c r="P225" s="31"/>
    </row>
    <row r="226" spans="15:16" x14ac:dyDescent="0.25">
      <c r="O226" s="31"/>
      <c r="P226" s="31"/>
    </row>
    <row r="227" spans="15:16" x14ac:dyDescent="0.25">
      <c r="O227" s="31"/>
      <c r="P227" s="31"/>
    </row>
    <row r="228" spans="15:16" x14ac:dyDescent="0.25">
      <c r="O228" s="31"/>
      <c r="P228" s="31"/>
    </row>
    <row r="229" spans="15:16" x14ac:dyDescent="0.25">
      <c r="O229" s="31"/>
      <c r="P229" s="31"/>
    </row>
    <row r="230" spans="15:16" x14ac:dyDescent="0.25">
      <c r="O230" s="31"/>
      <c r="P230" s="31"/>
    </row>
    <row r="231" spans="15:16" x14ac:dyDescent="0.25">
      <c r="O231" s="31"/>
      <c r="P231" s="31"/>
    </row>
    <row r="232" spans="15:16" x14ac:dyDescent="0.25">
      <c r="O232" s="31"/>
      <c r="P232" s="31"/>
    </row>
    <row r="233" spans="15:16" x14ac:dyDescent="0.25">
      <c r="O233" s="31"/>
      <c r="P233" s="31"/>
    </row>
    <row r="234" spans="15:16" x14ac:dyDescent="0.25">
      <c r="O234" s="31"/>
      <c r="P234" s="31"/>
    </row>
    <row r="235" spans="15:16" x14ac:dyDescent="0.25">
      <c r="O235" s="31"/>
      <c r="P235" s="31"/>
    </row>
    <row r="236" spans="15:16" x14ac:dyDescent="0.25">
      <c r="O236" s="31"/>
      <c r="P236" s="31"/>
    </row>
    <row r="237" spans="15:16" x14ac:dyDescent="0.25">
      <c r="O237" s="31"/>
      <c r="P237" s="31"/>
    </row>
    <row r="238" spans="15:16" x14ac:dyDescent="0.25">
      <c r="O238" s="31"/>
      <c r="P238" s="31"/>
    </row>
    <row r="239" spans="15:16" x14ac:dyDescent="0.25">
      <c r="O239" s="31"/>
      <c r="P239" s="31"/>
    </row>
    <row r="240" spans="15:16" x14ac:dyDescent="0.25">
      <c r="O240" s="31"/>
      <c r="P240" s="31"/>
    </row>
    <row r="241" spans="15:16" x14ac:dyDescent="0.25">
      <c r="O241" s="31"/>
      <c r="P241" s="31"/>
    </row>
    <row r="242" spans="15:16" x14ac:dyDescent="0.25">
      <c r="O242" s="31"/>
      <c r="P242" s="31"/>
    </row>
    <row r="243" spans="15:16" x14ac:dyDescent="0.25">
      <c r="O243" s="31"/>
      <c r="P243" s="31"/>
    </row>
    <row r="244" spans="15:16" x14ac:dyDescent="0.25">
      <c r="O244" s="31"/>
      <c r="P244" s="31"/>
    </row>
    <row r="245" spans="15:16" x14ac:dyDescent="0.25">
      <c r="O245" s="31"/>
      <c r="P245" s="31"/>
    </row>
    <row r="246" spans="15:16" x14ac:dyDescent="0.25">
      <c r="O246" s="31"/>
      <c r="P246" s="31"/>
    </row>
    <row r="247" spans="15:16" x14ac:dyDescent="0.25">
      <c r="O247" s="31"/>
      <c r="P247" s="31"/>
    </row>
    <row r="248" spans="15:16" x14ac:dyDescent="0.25">
      <c r="O248" s="31"/>
      <c r="P248" s="31"/>
    </row>
    <row r="249" spans="15:16" x14ac:dyDescent="0.25">
      <c r="O249" s="31"/>
      <c r="P249" s="31"/>
    </row>
    <row r="250" spans="15:16" x14ac:dyDescent="0.25">
      <c r="O250" s="31"/>
      <c r="P250" s="31"/>
    </row>
    <row r="251" spans="15:16" x14ac:dyDescent="0.25">
      <c r="O251" s="31"/>
      <c r="P251" s="31"/>
    </row>
    <row r="252" spans="15:16" x14ac:dyDescent="0.25">
      <c r="O252" s="31"/>
      <c r="P252" s="31"/>
    </row>
  </sheetData>
  <sheetProtection algorithmName="SHA-512" hashValue="d7SkQZ+q+YwzKmMO/E4rFLs1SnuNjaNSgw3ePHpuBCzN+vLL/2kuMz/cyiAxfPR7SItQGZURR6Vyk193gbEtYQ==" saltValue="gqKM5UmwTrZWFmSjFQ7VtQ==" spinCount="100000" sheet="1" insertColumns="0" insertRows="0" deleteColumns="0" deleteRows="0" selectLockedCells="1"/>
  <mergeCells count="28">
    <mergeCell ref="F208:L208"/>
    <mergeCell ref="F209:L209"/>
    <mergeCell ref="F214:G214"/>
    <mergeCell ref="H195:L195"/>
    <mergeCell ref="F210:L210"/>
    <mergeCell ref="F211:L211"/>
    <mergeCell ref="F212:L212"/>
    <mergeCell ref="H194:L194"/>
    <mergeCell ref="Q194:T194"/>
    <mergeCell ref="Q195:T195"/>
    <mergeCell ref="H196:L196"/>
    <mergeCell ref="Q196:T196"/>
    <mergeCell ref="I184:L184"/>
    <mergeCell ref="Q191:T191"/>
    <mergeCell ref="I185:L185"/>
    <mergeCell ref="Q192:T192"/>
    <mergeCell ref="H193:L193"/>
    <mergeCell ref="Q193:T193"/>
    <mergeCell ref="E6:L6"/>
    <mergeCell ref="E7:L7"/>
    <mergeCell ref="BA10:BG10"/>
    <mergeCell ref="I182:L182"/>
    <mergeCell ref="I183:L183"/>
    <mergeCell ref="B1:L1"/>
    <mergeCell ref="E5:L5"/>
    <mergeCell ref="E2:L2"/>
    <mergeCell ref="E3:L3"/>
    <mergeCell ref="E4:L4"/>
  </mergeCells>
  <conditionalFormatting sqref="L181">
    <cfRule type="cellIs" dxfId="203" priority="47" operator="equal">
      <formula>0</formula>
    </cfRule>
    <cfRule type="cellIs" dxfId="202" priority="48" operator="equal">
      <formula>"V"</formula>
    </cfRule>
    <cfRule type="cellIs" dxfId="201" priority="49" operator="equal">
      <formula>3</formula>
    </cfRule>
    <cfRule type="cellIs" dxfId="200" priority="50" operator="equal">
      <formula>4</formula>
    </cfRule>
    <cfRule type="cellIs" dxfId="199" priority="51" operator="equal">
      <formula>"R"</formula>
    </cfRule>
  </conditionalFormatting>
  <conditionalFormatting sqref="L187">
    <cfRule type="cellIs" dxfId="198" priority="25" operator="equal">
      <formula>30</formula>
    </cfRule>
    <cfRule type="cellIs" dxfId="197" priority="41" operator="equal">
      <formula>0</formula>
    </cfRule>
    <cfRule type="cellIs" dxfId="196" priority="42" operator="equal">
      <formula>"V"</formula>
    </cfRule>
    <cfRule type="cellIs" dxfId="195" priority="43" operator="equal">
      <formula>A</formula>
    </cfRule>
    <cfRule type="cellIs" dxfId="194" priority="44" operator="equal">
      <formula>4</formula>
    </cfRule>
    <cfRule type="cellIs" dxfId="193" priority="45" operator="equal">
      <formula>5</formula>
    </cfRule>
  </conditionalFormatting>
  <conditionalFormatting sqref="L54">
    <cfRule type="cellIs" dxfId="192" priority="17" operator="equal">
      <formula>"R"</formula>
    </cfRule>
    <cfRule type="cellIs" dxfId="191" priority="18" operator="equal">
      <formula>"A"</formula>
    </cfRule>
    <cfRule type="cellIs" dxfId="190" priority="19" operator="equal">
      <formula>"V"</formula>
    </cfRule>
  </conditionalFormatting>
  <conditionalFormatting sqref="L95">
    <cfRule type="cellIs" dxfId="189" priority="14" operator="equal">
      <formula>"R"</formula>
    </cfRule>
    <cfRule type="cellIs" dxfId="188" priority="15" operator="equal">
      <formula>"A"</formula>
    </cfRule>
    <cfRule type="cellIs" dxfId="187" priority="16" operator="equal">
      <formula>"V"</formula>
    </cfRule>
  </conditionalFormatting>
  <conditionalFormatting sqref="L30">
    <cfRule type="cellIs" dxfId="186" priority="12" operator="equal">
      <formula>"R"</formula>
    </cfRule>
    <cfRule type="cellIs" dxfId="185" priority="13" operator="equal">
      <formula>"V"</formula>
    </cfRule>
  </conditionalFormatting>
  <conditionalFormatting sqref="K38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L197">
    <cfRule type="cellIs" dxfId="184" priority="7" operator="equal">
      <formula>"R"</formula>
    </cfRule>
    <cfRule type="cellIs" dxfId="183" priority="8" operator="equal">
      <formula>"A"</formula>
    </cfRule>
    <cfRule type="cellIs" dxfId="182" priority="9" operator="equal">
      <formula>"V"</formula>
    </cfRule>
  </conditionalFormatting>
  <conditionalFormatting sqref="L8">
    <cfRule type="cellIs" dxfId="181" priority="4" operator="equal">
      <formula>"R"</formula>
    </cfRule>
    <cfRule type="cellIs" dxfId="180" priority="5" operator="equal">
      <formula>"A"</formula>
    </cfRule>
    <cfRule type="cellIs" dxfId="179" priority="6" operator="equal">
      <formula>"V"</formula>
    </cfRule>
  </conditionalFormatting>
  <conditionalFormatting sqref="L206">
    <cfRule type="cellIs" dxfId="178" priority="1" operator="equal">
      <formula>"R"</formula>
    </cfRule>
    <cfRule type="cellIs" dxfId="177" priority="2" operator="equal">
      <formula>"A"</formula>
    </cfRule>
    <cfRule type="cellIs" dxfId="176" priority="3" operator="equal">
      <formula>"V"</formula>
    </cfRule>
  </conditionalFormatting>
  <dataValidations count="21">
    <dataValidation type="list" allowBlank="1" showInputMessage="1" showErrorMessage="1" sqref="L157" xr:uid="{09B5F970-5BDF-4E63-AAF0-404E0C1E60A0}">
      <formula1>$P$134:$P$137</formula1>
    </dataValidation>
    <dataValidation type="list" allowBlank="1" showInputMessage="1" showErrorMessage="1" sqref="L140 L148" xr:uid="{153C7653-E63D-4FD6-8447-885B5101FF97}">
      <formula1>$P$134:$P$141</formula1>
    </dataValidation>
    <dataValidation type="list" allowBlank="1" showInputMessage="1" showErrorMessage="1" sqref="L134 L169" xr:uid="{09C7BFA8-713F-46F9-8A1C-60F8CE3E3702}">
      <formula1>$P$134:$P$138</formula1>
    </dataValidation>
    <dataValidation type="list" allowBlank="1" showInputMessage="1" showErrorMessage="1" sqref="L130 L164" xr:uid="{1654273B-9C49-4DB4-B6D2-00148D3C804F}">
      <formula1>$P$134:$P$136</formula1>
    </dataValidation>
    <dataValidation type="list" allowBlank="1" showInputMessage="1" showErrorMessage="1" sqref="L125" xr:uid="{04B66118-2AB5-46D1-AFFC-08A5DF5B6F94}">
      <formula1>$P$96:$P$99</formula1>
    </dataValidation>
    <dataValidation type="list" allowBlank="1" showInputMessage="1" showErrorMessage="1" sqref="L116" xr:uid="{0068C390-E14D-4183-B685-44067659BEAA}">
      <formula1>$P$96:$P$101</formula1>
    </dataValidation>
    <dataValidation type="list" allowBlank="1" showInputMessage="1" showErrorMessage="1" sqref="L107" xr:uid="{D711C094-41B5-4CEF-A0E3-AC4B01119910}">
      <formula1>$P$96:$P$100</formula1>
    </dataValidation>
    <dataValidation type="list" allowBlank="1" showInputMessage="1" showErrorMessage="1" sqref="L99" xr:uid="{56B99A33-D456-42C3-8A1F-B538F1847679}">
      <formula1>$P$96:$P$103</formula1>
    </dataValidation>
    <dataValidation type="list" allowBlank="1" showInputMessage="1" showErrorMessage="1" sqref="W12 T70" xr:uid="{83DE90C0-7D61-4140-BB84-860A7B9995E5}">
      <formula1>$AE$11:$AE$13</formula1>
    </dataValidation>
    <dataValidation allowBlank="1" showInputMessage="1" showErrorMessage="1" sqref="M36:M41 H39:H49 H52:H53 AI62:AJ62 L38" xr:uid="{7C56D712-E9FB-4BEE-8F0C-E4B8063DC366}"/>
    <dataValidation type="list" allowBlank="1" showInputMessage="1" showErrorMessage="1" sqref="G182:G185" xr:uid="{C6FC7403-0CD9-45ED-8A8D-4908255BA77B}">
      <formula1>$W$183:$W$185</formula1>
    </dataValidation>
    <dataValidation type="list" allowBlank="1" showInputMessage="1" showErrorMessage="1" sqref="G196" xr:uid="{65CAD05C-3A56-4E5A-BB6D-A8B2A49E2126}">
      <formula1>$R$202:$R$204</formula1>
    </dataValidation>
    <dataValidation type="list" allowBlank="1" showInputMessage="1" showErrorMessage="1" sqref="C199" xr:uid="{5DA3DCA8-63B8-4219-B4E1-636A4B58B8BC}">
      <formula1>$W$199:$W$203</formula1>
    </dataValidation>
    <dataValidation type="list" allowBlank="1" showInputMessage="1" showErrorMessage="1" sqref="C208" xr:uid="{7EA1F85E-62C4-49A6-A4A0-0DE1858436E9}">
      <formula1>$E$208:$E$213</formula1>
    </dataValidation>
    <dataValidation type="list" allowBlank="1" showInputMessage="1" showErrorMessage="1" sqref="G193:G194" xr:uid="{04604B5D-F373-47F8-A2ED-78F471E5CC25}">
      <formula1>$U$191:$U$192</formula1>
    </dataValidation>
    <dataValidation type="list" allowBlank="1" showInputMessage="1" showErrorMessage="1" sqref="L39" xr:uid="{7C3B7AC1-E908-410A-B2C0-C99D8C8399DA}">
      <formula1>$Q$39:$S$39</formula1>
    </dataValidation>
    <dataValidation type="list" allowBlank="1" showInputMessage="1" showErrorMessage="1" sqref="L44" xr:uid="{E9E6CE4A-DB2B-41B3-9F6C-CBAF4863718A}">
      <formula1>$Q$44:$S$44</formula1>
    </dataValidation>
    <dataValidation type="list" allowBlank="1" showInputMessage="1" showErrorMessage="1" sqref="L42" xr:uid="{AD9D8C5D-128E-438A-9B63-6F2F479D85B5}">
      <formula1>$Q$42:$T$42</formula1>
    </dataValidation>
    <dataValidation type="list" allowBlank="1" showInputMessage="1" showErrorMessage="1" sqref="L43" xr:uid="{8296CD5F-2E78-4968-B644-5A582BB525B9}">
      <formula1>$Q$43:$T$43</formula1>
    </dataValidation>
    <dataValidation type="list" allowBlank="1" showInputMessage="1" showErrorMessage="1" sqref="L60:L72 L75:L76 L79:L80 L83:L86 L89:L91" xr:uid="{C53F566A-D6B9-4975-A8DE-C2FA1591B29A}">
      <formula1>$R$55:$R$56</formula1>
    </dataValidation>
    <dataValidation type="list" allowBlank="1" showInputMessage="1" showErrorMessage="1" sqref="L37" xr:uid="{6B078C66-0115-409A-AA04-229A20BA2B32}">
      <formula1>$P$32:$P$34</formula1>
    </dataValidation>
  </dataValidations>
  <pageMargins left="0.45" right="0.45" top="0.75" bottom="0.75" header="0.3" footer="0.3"/>
  <pageSetup scale="75" orientation="portrait" r:id="rId1"/>
  <headerFooter>
    <oddFooter>&amp;L16-PE80-6500-00014 G / 16-PE30-6500-00002&amp;C&amp;N&amp;RTiempo de retencion en punto de origen: Permanente; 
NA en archivo muerto
Medio de registro: Electronico</oddFooter>
  </headerFooter>
  <rowBreaks count="2" manualBreakCount="2">
    <brk id="62" max="16383" man="1"/>
    <brk id="2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4</xdr:col>
                    <xdr:colOff>295275</xdr:colOff>
                    <xdr:row>16</xdr:row>
                    <xdr:rowOff>133350</xdr:rowOff>
                  </from>
                  <to>
                    <xdr:col>4</xdr:col>
                    <xdr:colOff>590550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123825</xdr:rowOff>
                  </from>
                  <to>
                    <xdr:col>7</xdr:col>
                    <xdr:colOff>371475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5</xdr:col>
                    <xdr:colOff>104775</xdr:colOff>
                    <xdr:row>14</xdr:row>
                    <xdr:rowOff>0</xdr:rowOff>
                  </from>
                  <to>
                    <xdr:col>5</xdr:col>
                    <xdr:colOff>400050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6</xdr:col>
                    <xdr:colOff>209550</xdr:colOff>
                    <xdr:row>13</xdr:row>
                    <xdr:rowOff>171450</xdr:rowOff>
                  </from>
                  <to>
                    <xdr:col>6</xdr:col>
                    <xdr:colOff>504825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7</xdr:col>
                    <xdr:colOff>733425</xdr:colOff>
                    <xdr:row>12</xdr:row>
                    <xdr:rowOff>28575</xdr:rowOff>
                  </from>
                  <to>
                    <xdr:col>8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57150</xdr:rowOff>
                  </from>
                  <to>
                    <xdr:col>2</xdr:col>
                    <xdr:colOff>447675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8</xdr:col>
                    <xdr:colOff>542925</xdr:colOff>
                    <xdr:row>15</xdr:row>
                    <xdr:rowOff>66675</xdr:rowOff>
                  </from>
                  <to>
                    <xdr:col>9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8</xdr:col>
                    <xdr:colOff>323850</xdr:colOff>
                    <xdr:row>17</xdr:row>
                    <xdr:rowOff>28575</xdr:rowOff>
                  </from>
                  <to>
                    <xdr:col>9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</xdr:col>
                    <xdr:colOff>476250</xdr:colOff>
                    <xdr:row>16</xdr:row>
                    <xdr:rowOff>161925</xdr:rowOff>
                  </from>
                  <to>
                    <xdr:col>3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19050</xdr:rowOff>
                  </from>
                  <to>
                    <xdr:col>9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9</xdr:col>
                    <xdr:colOff>676275</xdr:colOff>
                    <xdr:row>17</xdr:row>
                    <xdr:rowOff>28575</xdr:rowOff>
                  </from>
                  <to>
                    <xdr:col>10</xdr:col>
                    <xdr:colOff>247650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1</xdr:col>
                    <xdr:colOff>714375</xdr:colOff>
                    <xdr:row>24</xdr:row>
                    <xdr:rowOff>47625</xdr:rowOff>
                  </from>
                  <to>
                    <xdr:col>2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heck Box 14">
              <controlPr defaultSize="0" autoFill="0" autoLine="0" autoPict="0">
                <anchor moveWithCells="1">
                  <from>
                    <xdr:col>1</xdr:col>
                    <xdr:colOff>695325</xdr:colOff>
                    <xdr:row>21</xdr:row>
                    <xdr:rowOff>133350</xdr:rowOff>
                  </from>
                  <to>
                    <xdr:col>2</xdr:col>
                    <xdr:colOff>123825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heck Box 15">
              <controlPr defaultSize="0" autoFill="0" autoLine="0" autoPict="0">
                <anchor moveWithCells="1">
                  <from>
                    <xdr:col>3</xdr:col>
                    <xdr:colOff>219075</xdr:colOff>
                    <xdr:row>21</xdr:row>
                    <xdr:rowOff>123825</xdr:rowOff>
                  </from>
                  <to>
                    <xdr:col>3</xdr:col>
                    <xdr:colOff>523875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heck Box 16">
              <controlPr defaultSize="0" autoFill="0" autoLine="0" autoPict="0" macro="[0]!CheckBox18_Click">
                <anchor moveWithCells="1">
                  <from>
                    <xdr:col>3</xdr:col>
                    <xdr:colOff>238125</xdr:colOff>
                    <xdr:row>24</xdr:row>
                    <xdr:rowOff>47625</xdr:rowOff>
                  </from>
                  <to>
                    <xdr:col>3</xdr:col>
                    <xdr:colOff>542925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heck Box 17">
              <controlPr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47625</xdr:rowOff>
                  </from>
                  <to>
                    <xdr:col>10</xdr:col>
                    <xdr:colOff>295275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heck Box 18">
              <controlPr defaultSize="0" autoFill="0" autoLine="0" autoPict="0">
                <anchor moveWithCells="1">
                  <from>
                    <xdr:col>8</xdr:col>
                    <xdr:colOff>495300</xdr:colOff>
                    <xdr:row>24</xdr:row>
                    <xdr:rowOff>38100</xdr:rowOff>
                  </from>
                  <to>
                    <xdr:col>9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heck Box 19">
              <controlPr defaultSize="0" autoFill="0" autoLine="0" autoPict="0">
                <anchor moveWithCells="1">
                  <from>
                    <xdr:col>9</xdr:col>
                    <xdr:colOff>714375</xdr:colOff>
                    <xdr:row>21</xdr:row>
                    <xdr:rowOff>85725</xdr:rowOff>
                  </from>
                  <to>
                    <xdr:col>10</xdr:col>
                    <xdr:colOff>285750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heck Box 20">
              <controlPr defaultSize="0" autoFill="0" autoLine="0" autoPict="0">
                <anchor moveWithCells="1">
                  <from>
                    <xdr:col>8</xdr:col>
                    <xdr:colOff>457200</xdr:colOff>
                    <xdr:row>21</xdr:row>
                    <xdr:rowOff>114300</xdr:rowOff>
                  </from>
                  <to>
                    <xdr:col>9</xdr:col>
                    <xdr:colOff>133350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heck Box 21">
              <controlPr defaultSize="0" autoFill="0" autoLine="0" autoPict="0">
                <anchor moveWithCells="1">
                  <from>
                    <xdr:col>2</xdr:col>
                    <xdr:colOff>247650</xdr:colOff>
                    <xdr:row>19</xdr:row>
                    <xdr:rowOff>57150</xdr:rowOff>
                  </from>
                  <to>
                    <xdr:col>2</xdr:col>
                    <xdr:colOff>542925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heck Box 22">
              <controlPr defaultSize="0" autoFill="0" autoLine="0" autoPict="0">
                <anchor moveWithCells="1">
                  <from>
                    <xdr:col>1</xdr:col>
                    <xdr:colOff>295275</xdr:colOff>
                    <xdr:row>17</xdr:row>
                    <xdr:rowOff>85725</xdr:rowOff>
                  </from>
                  <to>
                    <xdr:col>1</xdr:col>
                    <xdr:colOff>590550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heck Box 23">
              <controlPr defaultSize="0" autoFill="0" autoLine="0" autoPict="0" macro="[0]!CheckBox25_Click">
                <anchor moveWithCells="1">
                  <from>
                    <xdr:col>5</xdr:col>
                    <xdr:colOff>295275</xdr:colOff>
                    <xdr:row>10</xdr:row>
                    <xdr:rowOff>85725</xdr:rowOff>
                  </from>
                  <to>
                    <xdr:col>6</xdr:col>
                    <xdr:colOff>142875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210"/>
  <sheetViews>
    <sheetView showGridLines="0" view="pageBreakPreview" topLeftCell="A154" zoomScaleNormal="85" zoomScaleSheetLayoutView="100" workbookViewId="0">
      <selection activeCell="E40" sqref="E40"/>
    </sheetView>
  </sheetViews>
  <sheetFormatPr defaultColWidth="9.28515625" defaultRowHeight="15" x14ac:dyDescent="0.25"/>
  <cols>
    <col min="1" max="1" width="5.28515625" style="82" bestFit="1" customWidth="1"/>
    <col min="2" max="2" width="12.28515625" style="82" customWidth="1"/>
    <col min="3" max="3" width="4.5703125" style="82" customWidth="1"/>
    <col min="4" max="4" width="90.5703125" style="52" customWidth="1"/>
    <col min="5" max="5" width="8.28515625" style="52" customWidth="1"/>
    <col min="6" max="6" width="7.7109375" style="52" bestFit="1" customWidth="1"/>
    <col min="7" max="9" width="8.28515625" style="52" customWidth="1"/>
    <col min="10" max="10" width="9.28515625" style="52"/>
    <col min="11" max="12" width="2" style="52" bestFit="1" customWidth="1"/>
    <col min="13" max="13" width="3" style="52" bestFit="1" customWidth="1"/>
    <col min="14" max="14" width="2" style="52" bestFit="1" customWidth="1"/>
    <col min="15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</row>
    <row r="2" spans="1:13" ht="3" customHeight="1" x14ac:dyDescent="0.25">
      <c r="A2" s="53"/>
      <c r="B2" s="243"/>
      <c r="C2" s="243"/>
      <c r="D2" s="243"/>
      <c r="E2" s="34"/>
      <c r="F2" s="34"/>
      <c r="G2" s="34"/>
      <c r="H2" s="34"/>
      <c r="I2" s="54"/>
      <c r="J2" s="54"/>
    </row>
    <row r="3" spans="1:13" ht="9.75" customHeight="1" x14ac:dyDescent="0.25">
      <c r="A3" s="50"/>
      <c r="B3" s="50"/>
      <c r="C3" s="50"/>
      <c r="D3" s="34"/>
      <c r="E3" s="34"/>
      <c r="F3" s="34"/>
      <c r="G3" s="34"/>
      <c r="H3" s="34"/>
      <c r="I3" s="54"/>
      <c r="J3" s="54"/>
    </row>
    <row r="4" spans="1:13" x14ac:dyDescent="0.25">
      <c r="A4" s="244" t="s">
        <v>145</v>
      </c>
      <c r="B4" s="244"/>
      <c r="C4" s="245">
        <f>Mov!D2</f>
        <v>0</v>
      </c>
      <c r="D4" s="245"/>
      <c r="E4" s="34" t="s">
        <v>146</v>
      </c>
      <c r="F4" s="246" t="str">
        <f>IF(Mov!D6="","",Mov!D6)</f>
        <v/>
      </c>
      <c r="G4" s="223"/>
      <c r="H4" s="223"/>
      <c r="I4" s="54"/>
      <c r="J4" s="54"/>
    </row>
    <row r="5" spans="1:13" ht="14.45" customHeight="1" x14ac:dyDescent="0.25">
      <c r="A5" s="50" t="s">
        <v>147</v>
      </c>
      <c r="B5" s="50"/>
      <c r="C5" s="245">
        <f>Mov!D3</f>
        <v>0</v>
      </c>
      <c r="D5" s="245"/>
      <c r="E5" s="34"/>
      <c r="F5" s="34"/>
      <c r="G5" s="34"/>
      <c r="H5" s="34"/>
      <c r="I5" s="54"/>
      <c r="J5" s="54"/>
    </row>
    <row r="6" spans="1:13" ht="14.45" customHeight="1" x14ac:dyDescent="0.25">
      <c r="A6" s="50" t="s">
        <v>16</v>
      </c>
      <c r="B6" s="50"/>
      <c r="C6" s="245">
        <f>Mov!D4</f>
        <v>0</v>
      </c>
      <c r="D6" s="245"/>
      <c r="E6" s="34"/>
      <c r="F6" s="34"/>
      <c r="G6" s="34"/>
      <c r="H6" s="34"/>
      <c r="I6" s="54"/>
      <c r="J6" s="54"/>
    </row>
    <row r="7" spans="1:13" ht="14.45" customHeight="1" x14ac:dyDescent="0.25">
      <c r="A7" s="50" t="s">
        <v>148</v>
      </c>
      <c r="B7" s="50"/>
      <c r="C7" s="245">
        <f>Mov!D5</f>
        <v>0</v>
      </c>
      <c r="D7" s="245"/>
      <c r="E7" s="34"/>
      <c r="F7" s="34"/>
      <c r="G7" s="34"/>
      <c r="H7" s="34"/>
      <c r="I7" s="54"/>
      <c r="J7" s="54"/>
    </row>
    <row r="8" spans="1:13" ht="7.5" customHeight="1" x14ac:dyDescent="0.25">
      <c r="A8" s="50"/>
      <c r="B8" s="50"/>
      <c r="C8" s="50"/>
      <c r="D8" s="34"/>
      <c r="E8" s="34"/>
      <c r="F8" s="34"/>
      <c r="G8" s="34"/>
      <c r="H8" s="34"/>
      <c r="I8" s="54"/>
      <c r="J8" s="54"/>
    </row>
    <row r="9" spans="1:13" ht="15.75" x14ac:dyDescent="0.25">
      <c r="A9" s="53"/>
      <c r="B9" s="243" t="s">
        <v>149</v>
      </c>
      <c r="C9" s="243"/>
      <c r="D9" s="243"/>
      <c r="E9" s="34"/>
      <c r="F9" s="34"/>
      <c r="G9" s="34"/>
      <c r="H9" s="34"/>
      <c r="I9" s="54"/>
      <c r="J9" s="54"/>
    </row>
    <row r="10" spans="1:13" ht="9" customHeight="1" x14ac:dyDescent="0.25">
      <c r="A10" s="53"/>
      <c r="B10" s="53"/>
      <c r="C10" s="53"/>
      <c r="D10" s="53"/>
      <c r="E10" s="34"/>
      <c r="F10" s="34"/>
      <c r="G10" s="34"/>
      <c r="H10" s="34"/>
      <c r="I10" s="54"/>
      <c r="J10" s="54"/>
    </row>
    <row r="11" spans="1:13" ht="15.75" x14ac:dyDescent="0.25">
      <c r="A11" s="55" t="s">
        <v>150</v>
      </c>
      <c r="B11" s="56" t="s">
        <v>151</v>
      </c>
      <c r="C11" s="55"/>
      <c r="D11" s="56"/>
      <c r="E11" s="57" t="s">
        <v>152</v>
      </c>
      <c r="F11" s="58" t="s">
        <v>153</v>
      </c>
      <c r="G11" s="59" t="s">
        <v>154</v>
      </c>
      <c r="H11" s="60" t="s">
        <v>155</v>
      </c>
      <c r="I11" s="54"/>
      <c r="J11" s="61"/>
      <c r="K11" s="62"/>
      <c r="L11" s="62"/>
      <c r="M11" s="62"/>
    </row>
    <row r="12" spans="1:13" x14ac:dyDescent="0.25">
      <c r="A12" s="50"/>
      <c r="B12" s="247" t="s">
        <v>156</v>
      </c>
      <c r="C12" s="247"/>
      <c r="D12" s="248"/>
      <c r="E12" s="63" t="s">
        <v>59</v>
      </c>
      <c r="F12" s="63"/>
      <c r="G12" s="63"/>
      <c r="H12" s="63"/>
      <c r="I12" s="54"/>
      <c r="J12" s="61"/>
      <c r="K12" s="62"/>
      <c r="L12" s="62"/>
      <c r="M12" s="62"/>
    </row>
    <row r="13" spans="1:13" x14ac:dyDescent="0.25">
      <c r="A13" s="64" t="s">
        <v>59</v>
      </c>
      <c r="B13" s="247" t="s">
        <v>157</v>
      </c>
      <c r="C13" s="247"/>
      <c r="D13" s="247"/>
      <c r="E13" s="34"/>
      <c r="F13" s="34"/>
      <c r="G13" s="34"/>
      <c r="H13" s="34"/>
      <c r="I13" s="54"/>
      <c r="J13" s="61"/>
      <c r="K13" s="62"/>
      <c r="L13" s="62"/>
      <c r="M13" s="62"/>
    </row>
    <row r="14" spans="1:13" x14ac:dyDescent="0.25">
      <c r="A14" s="50"/>
      <c r="B14" s="50"/>
      <c r="C14" s="50"/>
      <c r="D14" s="34"/>
      <c r="E14" s="65">
        <f>IF(COUNTIF(E12:H12,"x")&gt;1,"error",IF(H12="x",10,IF(G12="x",6,IF(F12="x",4,IF(E12="x",0,IF(COUNTIF(E12:H12,"x")&gt;1,"error",""))))))</f>
        <v>0</v>
      </c>
      <c r="F14" s="34"/>
      <c r="G14" s="34"/>
      <c r="H14" s="34"/>
      <c r="I14" s="54"/>
      <c r="J14" s="61"/>
      <c r="K14" s="62"/>
      <c r="L14" s="62"/>
      <c r="M14" s="62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I15" s="54"/>
      <c r="J15" s="61"/>
      <c r="K15" s="62"/>
      <c r="L15" s="62"/>
      <c r="M15" s="62"/>
    </row>
    <row r="16" spans="1:13" x14ac:dyDescent="0.25">
      <c r="A16" s="50"/>
      <c r="B16" s="50"/>
      <c r="C16" s="50"/>
      <c r="D16" s="34"/>
      <c r="E16" s="34"/>
      <c r="F16" s="34"/>
      <c r="G16" s="34"/>
      <c r="H16" s="34"/>
      <c r="I16" s="54"/>
      <c r="J16" s="61"/>
      <c r="K16" s="62"/>
      <c r="L16" s="62"/>
      <c r="M16" s="62"/>
    </row>
    <row r="17" spans="1:13" x14ac:dyDescent="0.25">
      <c r="A17" s="50"/>
      <c r="B17" s="50"/>
      <c r="C17" s="50"/>
      <c r="D17" s="34"/>
      <c r="E17" s="34"/>
      <c r="F17" s="34"/>
      <c r="G17" s="34"/>
      <c r="H17" s="34"/>
      <c r="I17" s="54"/>
      <c r="J17" s="54"/>
      <c r="M17" s="62"/>
    </row>
    <row r="18" spans="1:13" x14ac:dyDescent="0.25">
      <c r="A18" s="50"/>
      <c r="B18" s="50"/>
      <c r="C18" s="50"/>
      <c r="D18" s="34"/>
      <c r="E18" s="34"/>
      <c r="F18" s="34"/>
      <c r="G18" s="34"/>
      <c r="H18" s="34"/>
      <c r="I18" s="54"/>
      <c r="J18" s="54"/>
    </row>
    <row r="19" spans="1:13" x14ac:dyDescent="0.25">
      <c r="A19" s="50"/>
      <c r="B19" s="50"/>
      <c r="C19" s="50"/>
      <c r="D19" s="34"/>
      <c r="E19" s="34"/>
      <c r="F19" s="34"/>
      <c r="G19" s="34"/>
      <c r="H19" s="34"/>
      <c r="I19" s="54"/>
      <c r="J19" s="54"/>
    </row>
    <row r="20" spans="1:13" x14ac:dyDescent="0.25">
      <c r="A20" s="50"/>
      <c r="B20" s="50"/>
      <c r="C20" s="50"/>
      <c r="D20" s="34"/>
      <c r="E20" s="34"/>
      <c r="F20" s="34"/>
      <c r="G20" s="34"/>
      <c r="H20" s="34"/>
      <c r="I20" s="54"/>
      <c r="J20" s="54"/>
    </row>
    <row r="21" spans="1:13" x14ac:dyDescent="0.25">
      <c r="A21" s="50"/>
      <c r="B21" s="50"/>
      <c r="C21" s="50"/>
      <c r="D21" s="34"/>
      <c r="E21" s="34"/>
      <c r="F21" s="34"/>
      <c r="G21" s="34"/>
      <c r="H21" s="34"/>
      <c r="I21" s="54"/>
      <c r="J21" s="54"/>
    </row>
    <row r="22" spans="1:13" ht="5.25" customHeight="1" x14ac:dyDescent="0.25">
      <c r="A22" s="50"/>
      <c r="B22" s="50"/>
      <c r="C22" s="50"/>
      <c r="D22" s="34"/>
      <c r="E22" s="34"/>
      <c r="F22" s="34"/>
      <c r="G22" s="34"/>
      <c r="H22" s="34"/>
      <c r="I22" s="54"/>
      <c r="J22" s="54"/>
    </row>
    <row r="23" spans="1:13" ht="5.25" customHeight="1" x14ac:dyDescent="0.25">
      <c r="A23" s="50"/>
      <c r="B23" s="50"/>
      <c r="C23" s="50"/>
      <c r="D23" s="34"/>
      <c r="E23" s="34"/>
      <c r="F23" s="34"/>
      <c r="G23" s="34"/>
      <c r="H23" s="34"/>
      <c r="I23" s="54"/>
      <c r="J23" s="54"/>
    </row>
    <row r="24" spans="1:13" ht="5.25" customHeight="1" x14ac:dyDescent="0.25">
      <c r="A24" s="50"/>
      <c r="B24" s="50"/>
      <c r="C24" s="50"/>
      <c r="D24" s="34"/>
      <c r="E24" s="34"/>
      <c r="F24" s="34"/>
      <c r="G24" s="34"/>
      <c r="H24" s="34"/>
      <c r="I24" s="54"/>
      <c r="J24" s="54"/>
    </row>
    <row r="25" spans="1:13" x14ac:dyDescent="0.25">
      <c r="A25" s="50"/>
      <c r="B25" s="50"/>
      <c r="C25" s="50"/>
      <c r="D25" s="34"/>
      <c r="E25" s="34"/>
      <c r="F25" s="34"/>
      <c r="G25" s="34"/>
      <c r="H25" s="34"/>
      <c r="I25" s="54"/>
      <c r="J25" s="54"/>
    </row>
    <row r="26" spans="1:13" x14ac:dyDescent="0.25">
      <c r="A26" s="50"/>
      <c r="B26" s="50"/>
      <c r="C26" s="50"/>
      <c r="D26" s="34"/>
      <c r="E26" s="34"/>
      <c r="F26" s="34"/>
      <c r="G26" s="34"/>
      <c r="H26" s="34"/>
      <c r="I26" s="54"/>
      <c r="J26" s="54"/>
    </row>
    <row r="27" spans="1:13" x14ac:dyDescent="0.25">
      <c r="A27" s="50"/>
      <c r="B27" s="50"/>
      <c r="C27" s="50"/>
      <c r="D27" s="34"/>
      <c r="E27" s="34"/>
      <c r="F27" s="34"/>
      <c r="G27" s="34"/>
      <c r="H27" s="34"/>
      <c r="I27" s="5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I28" s="5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I29" s="54"/>
      <c r="J29" s="54"/>
    </row>
    <row r="30" spans="1:13" ht="5.25" customHeight="1" x14ac:dyDescent="0.25">
      <c r="A30" s="50"/>
      <c r="B30" s="50"/>
      <c r="C30" s="50"/>
      <c r="D30" s="34"/>
      <c r="E30" s="34"/>
      <c r="F30" s="34"/>
      <c r="G30" s="34"/>
      <c r="H30" s="34"/>
      <c r="I30" s="54"/>
      <c r="J30" s="54"/>
    </row>
    <row r="31" spans="1:13" ht="5.25" customHeight="1" x14ac:dyDescent="0.25">
      <c r="A31" s="50"/>
      <c r="B31" s="50"/>
      <c r="C31" s="50"/>
      <c r="D31" s="34"/>
      <c r="E31" s="34"/>
      <c r="F31" s="34"/>
      <c r="G31" s="34"/>
      <c r="H31" s="34"/>
      <c r="I31" s="54"/>
      <c r="J31" s="54"/>
    </row>
    <row r="32" spans="1:13" ht="5.25" customHeight="1" x14ac:dyDescent="0.25">
      <c r="A32" s="50"/>
      <c r="B32" s="50"/>
      <c r="C32" s="50"/>
      <c r="D32" s="34"/>
      <c r="E32" s="34"/>
      <c r="F32" s="34"/>
      <c r="G32" s="34"/>
      <c r="H32" s="34"/>
      <c r="I32" s="54"/>
      <c r="J32" s="54"/>
    </row>
    <row r="33" spans="1:13" ht="5.25" customHeight="1" x14ac:dyDescent="0.25">
      <c r="A33" s="50"/>
      <c r="B33" s="50"/>
      <c r="C33" s="50"/>
      <c r="D33" s="34"/>
      <c r="E33" s="34"/>
      <c r="F33" s="34"/>
      <c r="G33" s="34"/>
      <c r="H33" s="34"/>
      <c r="I33" s="54"/>
      <c r="J33" s="54"/>
    </row>
    <row r="34" spans="1:13" ht="5.25" customHeight="1" x14ac:dyDescent="0.25">
      <c r="A34" s="50"/>
      <c r="B34" s="50"/>
      <c r="C34" s="50"/>
      <c r="D34" s="34"/>
      <c r="E34" s="34"/>
      <c r="F34" s="34"/>
      <c r="G34" s="34"/>
      <c r="H34" s="34"/>
      <c r="I34" s="5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I35" s="54"/>
      <c r="J35" s="54"/>
    </row>
    <row r="36" spans="1:13" ht="6" customHeight="1" x14ac:dyDescent="0.25">
      <c r="A36" s="50"/>
      <c r="B36" s="50"/>
      <c r="C36" s="50"/>
      <c r="D36" s="34"/>
      <c r="E36" s="34"/>
      <c r="F36" s="34"/>
      <c r="G36" s="34"/>
      <c r="H36" s="34"/>
      <c r="I36" s="54"/>
      <c r="J36" s="54"/>
    </row>
    <row r="37" spans="1:13" ht="15.75" x14ac:dyDescent="0.25">
      <c r="A37" s="50"/>
      <c r="B37" s="66" t="s">
        <v>158</v>
      </c>
      <c r="C37" s="50"/>
      <c r="D37" s="34"/>
      <c r="E37" s="34"/>
      <c r="F37" s="34"/>
      <c r="G37" s="34"/>
      <c r="H37" s="34"/>
      <c r="I37" s="54"/>
      <c r="J37" s="54"/>
    </row>
    <row r="38" spans="1:13" ht="5.25" customHeight="1" x14ac:dyDescent="0.25">
      <c r="A38" s="50"/>
      <c r="B38" s="50"/>
      <c r="C38" s="50"/>
      <c r="D38" s="34"/>
      <c r="E38" s="34"/>
      <c r="F38" s="34"/>
      <c r="G38" s="34"/>
      <c r="H38" s="34"/>
      <c r="I38" s="54"/>
      <c r="J38" s="54"/>
    </row>
    <row r="39" spans="1:13" ht="15.75" x14ac:dyDescent="0.25">
      <c r="A39" s="55" t="s">
        <v>159</v>
      </c>
      <c r="B39" s="56" t="s">
        <v>160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I39" s="54"/>
      <c r="J39" s="61"/>
      <c r="K39" s="62"/>
      <c r="L39" s="62"/>
      <c r="M39" s="62"/>
    </row>
    <row r="40" spans="1:13" ht="15.75" x14ac:dyDescent="0.25">
      <c r="A40" s="50"/>
      <c r="B40" s="66" t="s">
        <v>161</v>
      </c>
      <c r="C40" s="50"/>
      <c r="D40" s="34"/>
      <c r="E40" s="63" t="s">
        <v>59</v>
      </c>
      <c r="F40" s="63"/>
      <c r="G40" s="63"/>
      <c r="H40" s="34"/>
      <c r="I40" s="54"/>
      <c r="J40" s="61"/>
      <c r="K40" s="62"/>
      <c r="L40" s="62"/>
      <c r="M40" s="62"/>
    </row>
    <row r="41" spans="1:13" x14ac:dyDescent="0.25">
      <c r="A41" s="50"/>
      <c r="B41" s="34" t="s">
        <v>162</v>
      </c>
      <c r="C41" s="50"/>
      <c r="D41" s="34"/>
      <c r="E41" s="34"/>
      <c r="F41" s="34"/>
      <c r="G41" s="34"/>
      <c r="H41" s="34"/>
      <c r="I41" s="54"/>
      <c r="J41" s="54"/>
    </row>
    <row r="42" spans="1:13" x14ac:dyDescent="0.25">
      <c r="A42" s="50"/>
      <c r="B42" s="50"/>
      <c r="C42" s="50"/>
      <c r="D42" s="34"/>
      <c r="E42" s="65">
        <f>IF(COUNTIF(E40:G40,"x")&gt;1,"error",IF(G40="x",6,IF(F40="x",3,IF(E40="x",0,""))))</f>
        <v>0</v>
      </c>
      <c r="F42" s="34"/>
      <c r="G42" s="34"/>
      <c r="H42" s="34"/>
      <c r="I42" s="54"/>
      <c r="J42" s="54"/>
    </row>
    <row r="43" spans="1:13" x14ac:dyDescent="0.25">
      <c r="A43" s="50"/>
      <c r="B43" s="50"/>
      <c r="C43" s="50"/>
      <c r="D43" s="34"/>
      <c r="E43" s="34"/>
      <c r="F43" s="34"/>
      <c r="G43" s="34"/>
      <c r="H43" s="34"/>
      <c r="I43" s="54"/>
      <c r="J43" s="54"/>
    </row>
    <row r="44" spans="1:13" x14ac:dyDescent="0.25">
      <c r="A44" s="50"/>
      <c r="B44" s="50"/>
      <c r="C44" s="50"/>
      <c r="D44" s="34"/>
      <c r="E44" s="34"/>
      <c r="F44" s="34"/>
      <c r="G44" s="34"/>
      <c r="H44" s="34"/>
      <c r="I44" s="5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I45" s="5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I46" s="5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I47" s="5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I48" s="54"/>
      <c r="J48" s="54"/>
    </row>
    <row r="49" spans="1:13" ht="4.5" customHeight="1" x14ac:dyDescent="0.25">
      <c r="A49" s="50"/>
      <c r="B49" s="50"/>
      <c r="C49" s="50"/>
      <c r="D49" s="34"/>
      <c r="E49" s="34"/>
      <c r="F49" s="34"/>
      <c r="G49" s="34"/>
      <c r="H49" s="34"/>
      <c r="I49" s="54"/>
      <c r="J49" s="54"/>
    </row>
    <row r="50" spans="1:13" ht="4.5" customHeight="1" x14ac:dyDescent="0.25">
      <c r="A50" s="50"/>
      <c r="B50" s="50"/>
      <c r="C50" s="50"/>
      <c r="D50" s="34"/>
      <c r="E50" s="34"/>
      <c r="F50" s="34"/>
      <c r="G50" s="34"/>
      <c r="H50" s="34"/>
      <c r="I50" s="54"/>
      <c r="J50" s="54"/>
    </row>
    <row r="51" spans="1:13" ht="4.5" customHeight="1" x14ac:dyDescent="0.25">
      <c r="A51" s="50"/>
      <c r="B51" s="50"/>
      <c r="C51" s="50"/>
      <c r="D51" s="34"/>
      <c r="E51" s="34"/>
      <c r="F51" s="34"/>
      <c r="G51" s="34"/>
      <c r="H51" s="34"/>
      <c r="I51" s="54"/>
      <c r="J51" s="54"/>
    </row>
    <row r="52" spans="1:13" ht="4.5" customHeight="1" x14ac:dyDescent="0.25">
      <c r="A52" s="50"/>
      <c r="B52" s="50"/>
      <c r="C52" s="50"/>
      <c r="D52" s="34"/>
      <c r="E52" s="34"/>
      <c r="F52" s="34"/>
      <c r="G52" s="34"/>
      <c r="H52" s="34"/>
      <c r="I52" s="54"/>
      <c r="J52" s="54"/>
    </row>
    <row r="53" spans="1:13" ht="4.5" customHeight="1" x14ac:dyDescent="0.25">
      <c r="A53" s="50"/>
      <c r="B53" s="50"/>
      <c r="C53" s="50"/>
      <c r="D53" s="34"/>
      <c r="E53" s="34"/>
      <c r="F53" s="34"/>
      <c r="G53" s="34"/>
      <c r="H53" s="34"/>
      <c r="I53" s="54"/>
      <c r="J53" s="54"/>
    </row>
    <row r="54" spans="1:13" ht="4.5" customHeight="1" x14ac:dyDescent="0.25">
      <c r="A54" s="50"/>
      <c r="B54" s="50"/>
      <c r="C54" s="50"/>
      <c r="D54" s="34"/>
      <c r="E54" s="34"/>
      <c r="F54" s="34"/>
      <c r="G54" s="34"/>
      <c r="H54" s="34"/>
      <c r="I54" s="54"/>
      <c r="J54" s="54"/>
    </row>
    <row r="55" spans="1:13" ht="4.5" customHeight="1" x14ac:dyDescent="0.25">
      <c r="A55" s="50"/>
      <c r="B55" s="50"/>
      <c r="C55" s="50"/>
      <c r="D55" s="34"/>
      <c r="E55" s="34"/>
      <c r="F55" s="34"/>
      <c r="G55" s="34"/>
      <c r="H55" s="34"/>
      <c r="I55" s="54"/>
      <c r="J55" s="54"/>
    </row>
    <row r="56" spans="1:13" ht="11.25" customHeight="1" x14ac:dyDescent="0.25">
      <c r="A56" s="50"/>
      <c r="B56" s="50"/>
      <c r="C56" s="50"/>
      <c r="D56" s="34"/>
      <c r="E56" s="34"/>
      <c r="F56" s="34"/>
      <c r="G56" s="34"/>
      <c r="H56" s="34"/>
      <c r="I56" s="54"/>
      <c r="J56" s="54"/>
    </row>
    <row r="57" spans="1:13" ht="15.75" x14ac:dyDescent="0.25">
      <c r="A57" s="55" t="s">
        <v>163</v>
      </c>
      <c r="B57" s="56" t="s">
        <v>164</v>
      </c>
      <c r="C57" s="55"/>
      <c r="D57" s="67"/>
      <c r="E57" s="67"/>
      <c r="F57" s="67"/>
      <c r="G57" s="67"/>
      <c r="H57" s="67"/>
      <c r="I57" s="54"/>
      <c r="J57" s="61"/>
      <c r="K57" s="62"/>
      <c r="L57" s="62"/>
      <c r="M57" s="62"/>
    </row>
    <row r="58" spans="1:13" ht="15.75" x14ac:dyDescent="0.25">
      <c r="A58" s="50"/>
      <c r="B58" s="66" t="s">
        <v>165</v>
      </c>
      <c r="C58" s="50"/>
      <c r="D58" s="34"/>
      <c r="E58" s="57" t="s">
        <v>152</v>
      </c>
      <c r="F58" s="58" t="s">
        <v>153</v>
      </c>
      <c r="G58" s="59" t="s">
        <v>154</v>
      </c>
      <c r="H58" s="34"/>
      <c r="I58" s="54"/>
      <c r="J58" s="61"/>
      <c r="K58" s="62"/>
      <c r="L58" s="62"/>
      <c r="M58" s="62"/>
    </row>
    <row r="59" spans="1:13" x14ac:dyDescent="0.25">
      <c r="A59" s="50"/>
      <c r="B59" s="50"/>
      <c r="C59" s="50"/>
      <c r="D59" s="34"/>
      <c r="E59" s="63" t="s">
        <v>59</v>
      </c>
      <c r="F59" s="63"/>
      <c r="G59" s="63"/>
      <c r="H59" s="34"/>
      <c r="I59" s="54"/>
      <c r="J59" s="54"/>
    </row>
    <row r="60" spans="1:13" x14ac:dyDescent="0.25">
      <c r="A60" s="50"/>
      <c r="B60" s="50"/>
      <c r="C60" s="50"/>
      <c r="D60" s="34"/>
      <c r="E60" s="34"/>
      <c r="F60" s="34"/>
      <c r="G60" s="34"/>
      <c r="H60" s="34"/>
      <c r="I60" s="54"/>
      <c r="J60" s="54"/>
    </row>
    <row r="61" spans="1:13" x14ac:dyDescent="0.25">
      <c r="A61" s="50"/>
      <c r="B61" s="50"/>
      <c r="C61" s="50"/>
      <c r="D61" s="34"/>
      <c r="E61" s="65">
        <f>IF(COUNTIF(E59:G59,"x")&gt;1,"error",IF(G59="x",3,IF(F59="x",1,IF(E59="x",0,""))))</f>
        <v>0</v>
      </c>
      <c r="F61" s="34"/>
      <c r="G61" s="34"/>
      <c r="H61" s="34"/>
      <c r="I61" s="54"/>
      <c r="J61" s="54"/>
    </row>
    <row r="62" spans="1:13" x14ac:dyDescent="0.25">
      <c r="A62" s="50"/>
      <c r="B62" s="50"/>
      <c r="C62" s="50"/>
      <c r="D62" s="34"/>
      <c r="E62" s="34"/>
      <c r="F62" s="34"/>
      <c r="G62" s="34"/>
      <c r="H62" s="34"/>
      <c r="I62" s="54"/>
      <c r="J62" s="54"/>
    </row>
    <row r="63" spans="1:13" ht="9" customHeight="1" x14ac:dyDescent="0.25">
      <c r="A63" s="50"/>
      <c r="B63" s="50"/>
      <c r="C63" s="50"/>
      <c r="D63" s="34"/>
      <c r="E63" s="34"/>
      <c r="F63" s="34"/>
      <c r="G63" s="34"/>
      <c r="H63" s="34"/>
      <c r="I63" s="54"/>
      <c r="J63" s="54"/>
    </row>
    <row r="64" spans="1:13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54"/>
      <c r="J64" s="54"/>
    </row>
    <row r="65" spans="1:13" x14ac:dyDescent="0.25">
      <c r="A65" s="50"/>
      <c r="B65" s="50"/>
      <c r="C65" s="50"/>
      <c r="D65" s="34"/>
      <c r="E65" s="34"/>
      <c r="F65" s="34"/>
      <c r="G65" s="34"/>
      <c r="H65" s="34"/>
      <c r="I65" s="54"/>
      <c r="J65" s="54"/>
    </row>
    <row r="66" spans="1:13" x14ac:dyDescent="0.25">
      <c r="A66" s="50"/>
      <c r="B66" s="50"/>
      <c r="C66" s="50"/>
      <c r="D66" s="34"/>
      <c r="E66" s="34"/>
      <c r="F66" s="34"/>
      <c r="G66" s="34"/>
      <c r="H66" s="34"/>
      <c r="I66" s="54"/>
      <c r="J66" s="54"/>
    </row>
    <row r="67" spans="1:13" ht="6" customHeight="1" x14ac:dyDescent="0.25">
      <c r="A67" s="50"/>
      <c r="B67" s="50"/>
      <c r="C67" s="50"/>
      <c r="D67" s="34"/>
      <c r="E67" s="34"/>
      <c r="F67" s="34"/>
      <c r="G67" s="34"/>
      <c r="H67" s="34"/>
      <c r="I67" s="54"/>
      <c r="J67" s="54"/>
    </row>
    <row r="68" spans="1:13" ht="6" customHeight="1" x14ac:dyDescent="0.25">
      <c r="A68" s="50"/>
      <c r="B68" s="50"/>
      <c r="C68" s="50"/>
      <c r="D68" s="34"/>
      <c r="E68" s="34"/>
      <c r="F68" s="34"/>
      <c r="G68" s="34"/>
      <c r="H68" s="34"/>
      <c r="I68" s="54"/>
      <c r="J68" s="54"/>
    </row>
    <row r="69" spans="1:13" ht="6" customHeight="1" x14ac:dyDescent="0.25">
      <c r="A69" s="50"/>
      <c r="B69" s="50"/>
      <c r="C69" s="50"/>
      <c r="D69" s="34"/>
      <c r="E69" s="34"/>
      <c r="F69" s="34"/>
      <c r="G69" s="34"/>
      <c r="H69" s="34"/>
      <c r="I69" s="54"/>
      <c r="J69" s="54"/>
    </row>
    <row r="70" spans="1:13" ht="6" customHeight="1" x14ac:dyDescent="0.25">
      <c r="A70" s="50"/>
      <c r="B70" s="50"/>
      <c r="C70" s="50"/>
      <c r="D70" s="34"/>
      <c r="E70" s="34"/>
      <c r="F70" s="34"/>
      <c r="G70" s="34"/>
      <c r="H70" s="34"/>
      <c r="I70" s="54"/>
      <c r="J70" s="54"/>
    </row>
    <row r="71" spans="1:13" ht="6" customHeight="1" x14ac:dyDescent="0.25">
      <c r="A71" s="50"/>
      <c r="B71" s="50"/>
      <c r="C71" s="50"/>
      <c r="D71" s="34"/>
      <c r="E71" s="34"/>
      <c r="F71" s="34"/>
      <c r="G71" s="34"/>
      <c r="H71" s="34"/>
      <c r="I71" s="54"/>
      <c r="J71" s="54"/>
    </row>
    <row r="72" spans="1:13" ht="4.5" customHeight="1" x14ac:dyDescent="0.25">
      <c r="A72" s="50"/>
      <c r="B72" s="50"/>
      <c r="C72" s="50"/>
      <c r="D72" s="34"/>
      <c r="E72" s="34"/>
      <c r="F72" s="34"/>
      <c r="G72" s="34"/>
      <c r="H72" s="34"/>
      <c r="I72" s="54"/>
      <c r="J72" s="54"/>
    </row>
    <row r="73" spans="1:13" ht="4.5" customHeight="1" x14ac:dyDescent="0.25">
      <c r="A73" s="50"/>
      <c r="B73" s="50"/>
      <c r="C73" s="50"/>
      <c r="D73" s="34"/>
      <c r="E73" s="34"/>
      <c r="F73" s="34"/>
      <c r="G73" s="34"/>
      <c r="H73" s="34"/>
      <c r="I73" s="54"/>
      <c r="J73" s="54"/>
    </row>
    <row r="74" spans="1:13" ht="15.75" x14ac:dyDescent="0.25">
      <c r="A74" s="55" t="s">
        <v>166</v>
      </c>
      <c r="B74" s="56" t="s">
        <v>167</v>
      </c>
      <c r="C74" s="55"/>
      <c r="D74" s="68"/>
      <c r="E74" s="57" t="s">
        <v>152</v>
      </c>
      <c r="F74" s="58" t="s">
        <v>153</v>
      </c>
      <c r="G74" s="59" t="s">
        <v>154</v>
      </c>
      <c r="H74" s="67"/>
      <c r="I74" s="54"/>
      <c r="J74" s="61"/>
      <c r="K74" s="62"/>
      <c r="L74" s="62"/>
      <c r="M74" s="62"/>
    </row>
    <row r="75" spans="1:13" x14ac:dyDescent="0.25">
      <c r="A75" s="50"/>
      <c r="B75" s="249" t="s">
        <v>168</v>
      </c>
      <c r="C75" s="249"/>
      <c r="D75" s="249"/>
      <c r="E75" s="63" t="s">
        <v>59</v>
      </c>
      <c r="F75" s="63"/>
      <c r="G75" s="63"/>
      <c r="H75" s="34"/>
      <c r="I75" s="54"/>
      <c r="J75" s="61"/>
      <c r="K75" s="62"/>
      <c r="L75" s="62"/>
      <c r="M75" s="62"/>
    </row>
    <row r="76" spans="1:13" ht="15.75" customHeight="1" x14ac:dyDescent="0.25">
      <c r="A76" s="50"/>
      <c r="B76" s="249"/>
      <c r="C76" s="249"/>
      <c r="D76" s="249"/>
      <c r="E76" s="34"/>
      <c r="F76" s="34"/>
      <c r="G76" s="34"/>
      <c r="H76" s="34"/>
      <c r="I76" s="54"/>
      <c r="J76" s="61"/>
      <c r="K76" s="62"/>
      <c r="L76" s="62"/>
      <c r="M76" s="62"/>
    </row>
    <row r="77" spans="1:13" x14ac:dyDescent="0.25">
      <c r="A77" s="50"/>
      <c r="B77" s="249"/>
      <c r="C77" s="249"/>
      <c r="D77" s="249"/>
      <c r="E77" s="69">
        <f>IF(COUNTIF(E75:G75,"x")&gt;1,"error",IF(G75="x",2,IF(F75="x",1,IF(E75="x",0,""))))</f>
        <v>0</v>
      </c>
      <c r="F77" s="34"/>
      <c r="G77" s="34"/>
      <c r="H77" s="34"/>
      <c r="I77" s="54"/>
      <c r="J77" s="61"/>
      <c r="K77" s="62"/>
      <c r="L77" s="62"/>
      <c r="M77" s="62"/>
    </row>
    <row r="78" spans="1:13" x14ac:dyDescent="0.25">
      <c r="A78" s="50"/>
      <c r="B78" s="50"/>
      <c r="C78" s="50"/>
      <c r="D78" s="34"/>
      <c r="E78" s="34"/>
      <c r="F78" s="34"/>
      <c r="G78" s="34"/>
      <c r="H78" s="34"/>
      <c r="I78" s="54"/>
      <c r="J78" s="54"/>
    </row>
    <row r="79" spans="1:13" x14ac:dyDescent="0.25">
      <c r="A79" s="50"/>
      <c r="B79" s="50"/>
      <c r="C79" s="50"/>
      <c r="D79" s="34"/>
      <c r="E79" s="34"/>
      <c r="F79" s="34"/>
      <c r="G79" s="34"/>
      <c r="H79" s="34"/>
      <c r="I79" s="54"/>
      <c r="J79" s="54"/>
    </row>
    <row r="80" spans="1:13" x14ac:dyDescent="0.25">
      <c r="A80" s="50"/>
      <c r="B80" s="50"/>
      <c r="C80" s="50"/>
      <c r="D80" s="34"/>
      <c r="E80" s="34"/>
      <c r="F80" s="34"/>
      <c r="G80" s="34"/>
      <c r="H80" s="34"/>
      <c r="I80" s="54"/>
      <c r="J80" s="54"/>
    </row>
    <row r="81" spans="1:13" x14ac:dyDescent="0.25">
      <c r="A81" s="50"/>
      <c r="B81" s="50"/>
      <c r="C81" s="50"/>
      <c r="D81" s="34"/>
      <c r="E81" s="34"/>
      <c r="F81" s="34"/>
      <c r="G81" s="34"/>
      <c r="H81" s="34"/>
      <c r="I81" s="54"/>
      <c r="J81" s="54"/>
    </row>
    <row r="82" spans="1:13" x14ac:dyDescent="0.25">
      <c r="A82" s="50"/>
      <c r="B82" s="50"/>
      <c r="C82" s="50"/>
      <c r="D82" s="34"/>
      <c r="E82" s="34"/>
      <c r="F82" s="34"/>
      <c r="G82" s="34"/>
      <c r="H82" s="34"/>
      <c r="I82" s="54"/>
      <c r="J82" s="54"/>
    </row>
    <row r="83" spans="1:13" x14ac:dyDescent="0.25">
      <c r="A83" s="50"/>
      <c r="B83" s="50"/>
      <c r="C83" s="50"/>
      <c r="D83" s="34"/>
      <c r="E83" s="34"/>
      <c r="F83" s="34"/>
      <c r="G83" s="34"/>
      <c r="H83" s="34"/>
      <c r="I83" s="5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I84" s="5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I85" s="54"/>
      <c r="J85" s="54"/>
    </row>
    <row r="86" spans="1:13" ht="3" customHeight="1" x14ac:dyDescent="0.25">
      <c r="A86" s="50"/>
      <c r="B86" s="50"/>
      <c r="C86" s="50"/>
      <c r="D86" s="34"/>
      <c r="E86" s="34"/>
      <c r="F86" s="34"/>
      <c r="G86" s="34"/>
      <c r="H86" s="34"/>
      <c r="I86" s="54"/>
      <c r="J86" s="54"/>
    </row>
    <row r="87" spans="1:13" ht="6.75" customHeight="1" x14ac:dyDescent="0.25">
      <c r="A87" s="50"/>
      <c r="B87" s="50"/>
      <c r="C87" s="50"/>
      <c r="D87" s="34"/>
      <c r="E87" s="34"/>
      <c r="F87" s="34"/>
      <c r="G87" s="34"/>
      <c r="H87" s="34"/>
      <c r="I87" s="54"/>
      <c r="J87" s="54"/>
    </row>
    <row r="88" spans="1:13" ht="3" customHeight="1" x14ac:dyDescent="0.25">
      <c r="A88" s="50"/>
      <c r="B88" s="50"/>
      <c r="C88" s="50"/>
      <c r="D88" s="34"/>
      <c r="E88" s="34"/>
      <c r="F88" s="34"/>
      <c r="G88" s="34"/>
      <c r="H88" s="34"/>
      <c r="I88" s="54"/>
      <c r="J88" s="54"/>
    </row>
    <row r="89" spans="1:13" ht="3" customHeight="1" x14ac:dyDescent="0.25">
      <c r="A89" s="50"/>
      <c r="B89" s="50"/>
      <c r="C89" s="50"/>
      <c r="D89" s="34"/>
      <c r="E89" s="34"/>
      <c r="F89" s="34"/>
      <c r="G89" s="34"/>
      <c r="H89" s="34"/>
      <c r="I89" s="54"/>
      <c r="J89" s="54"/>
    </row>
    <row r="90" spans="1:13" ht="3" customHeight="1" x14ac:dyDescent="0.25">
      <c r="A90" s="50"/>
      <c r="B90" s="50"/>
      <c r="C90" s="50"/>
      <c r="D90" s="34"/>
      <c r="E90" s="34"/>
      <c r="F90" s="34"/>
      <c r="G90" s="34"/>
      <c r="H90" s="34"/>
      <c r="I90" s="54"/>
      <c r="J90" s="54"/>
    </row>
    <row r="91" spans="1:13" ht="3" customHeight="1" x14ac:dyDescent="0.25">
      <c r="A91" s="50"/>
      <c r="B91" s="50"/>
      <c r="C91" s="50"/>
      <c r="D91" s="34"/>
      <c r="E91" s="34"/>
      <c r="F91" s="34"/>
      <c r="G91" s="34"/>
      <c r="H91" s="34"/>
      <c r="I91" s="54"/>
      <c r="J91" s="54"/>
    </row>
    <row r="92" spans="1:13" ht="5.25" customHeight="1" x14ac:dyDescent="0.25">
      <c r="A92" s="50"/>
      <c r="B92" s="50"/>
      <c r="C92" s="50"/>
      <c r="D92" s="34"/>
      <c r="E92" s="34"/>
      <c r="F92" s="34"/>
      <c r="G92" s="34"/>
      <c r="H92" s="34"/>
      <c r="I92" s="54"/>
      <c r="J92" s="54"/>
    </row>
    <row r="93" spans="1:13" ht="5.25" customHeight="1" x14ac:dyDescent="0.25">
      <c r="A93" s="50"/>
      <c r="B93" s="50"/>
      <c r="C93" s="50"/>
      <c r="D93" s="34"/>
      <c r="E93" s="34"/>
      <c r="F93" s="34"/>
      <c r="G93" s="34"/>
      <c r="H93" s="34"/>
      <c r="I93" s="54"/>
      <c r="J93" s="54"/>
    </row>
    <row r="94" spans="1:13" ht="5.25" customHeight="1" x14ac:dyDescent="0.25">
      <c r="A94" s="50"/>
      <c r="B94" s="50"/>
      <c r="C94" s="50"/>
      <c r="D94" s="34"/>
      <c r="E94" s="34"/>
      <c r="F94" s="34"/>
      <c r="G94" s="34"/>
      <c r="H94" s="34"/>
      <c r="I94" s="54"/>
      <c r="J94" s="54"/>
    </row>
    <row r="95" spans="1:13" ht="15.75" x14ac:dyDescent="0.25">
      <c r="A95" s="55" t="s">
        <v>169</v>
      </c>
      <c r="B95" s="56" t="s">
        <v>170</v>
      </c>
      <c r="C95" s="55"/>
      <c r="D95" s="67"/>
      <c r="E95" s="57" t="s">
        <v>152</v>
      </c>
      <c r="F95" s="58" t="s">
        <v>153</v>
      </c>
      <c r="G95" s="59" t="s">
        <v>154</v>
      </c>
      <c r="H95" s="67"/>
      <c r="I95" s="54"/>
      <c r="J95" s="61"/>
      <c r="K95" s="62"/>
      <c r="L95" s="62"/>
      <c r="M95" s="62"/>
    </row>
    <row r="96" spans="1:13" ht="15.75" x14ac:dyDescent="0.25">
      <c r="A96" s="50">
        <v>1</v>
      </c>
      <c r="B96" s="66" t="s">
        <v>171</v>
      </c>
      <c r="C96" s="50"/>
      <c r="D96" s="34"/>
      <c r="E96" s="63" t="s">
        <v>59</v>
      </c>
      <c r="F96" s="63"/>
      <c r="G96" s="63"/>
      <c r="H96" s="34"/>
      <c r="I96" s="54"/>
      <c r="J96" s="61"/>
      <c r="K96" s="62"/>
      <c r="L96" s="62"/>
      <c r="M96" s="62"/>
    </row>
    <row r="97" spans="1:13" ht="15.75" x14ac:dyDescent="0.25">
      <c r="A97" s="50">
        <v>2</v>
      </c>
      <c r="B97" s="66" t="s">
        <v>172</v>
      </c>
      <c r="C97" s="50"/>
      <c r="D97" s="34"/>
      <c r="E97" s="34"/>
      <c r="F97" s="34"/>
      <c r="G97" s="34"/>
      <c r="H97" s="34"/>
      <c r="I97" s="54"/>
      <c r="J97" s="54"/>
    </row>
    <row r="98" spans="1:13" ht="15.75" x14ac:dyDescent="0.25">
      <c r="A98" s="50">
        <v>3</v>
      </c>
      <c r="B98" s="66" t="s">
        <v>173</v>
      </c>
      <c r="C98" s="50"/>
      <c r="D98" s="34"/>
      <c r="E98" s="65">
        <f>IF(COUNTIF(E96:G96,"x")&gt;1,"error",IF(G96="x",3,IF(F96="x",1,IF(E96="x",0,""))))</f>
        <v>0</v>
      </c>
      <c r="F98" s="34"/>
      <c r="G98" s="34"/>
      <c r="H98" s="34"/>
      <c r="I98" s="54"/>
      <c r="J98" s="54"/>
    </row>
    <row r="99" spans="1:13" ht="6" customHeight="1" x14ac:dyDescent="0.25">
      <c r="A99" s="34"/>
      <c r="B99" s="34"/>
      <c r="C99" s="34"/>
      <c r="D99" s="34"/>
      <c r="E99" s="34"/>
      <c r="F99" s="34"/>
      <c r="G99" s="34"/>
      <c r="H99" s="34"/>
      <c r="I99" s="54"/>
      <c r="J99" s="54"/>
    </row>
    <row r="100" spans="1:13" x14ac:dyDescent="0.25">
      <c r="A100" s="50"/>
      <c r="B100" s="50"/>
      <c r="C100" s="50"/>
      <c r="D100" s="34"/>
      <c r="E100" s="34"/>
      <c r="F100" s="34"/>
      <c r="G100" s="34"/>
      <c r="H100" s="34"/>
      <c r="I100" s="5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I101" s="5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I102" s="54"/>
      <c r="J102" s="54"/>
    </row>
    <row r="103" spans="1:13" ht="8.25" customHeight="1" x14ac:dyDescent="0.25">
      <c r="A103" s="50"/>
      <c r="B103" s="50"/>
      <c r="C103" s="50"/>
      <c r="D103" s="34"/>
      <c r="E103" s="34"/>
      <c r="F103" s="34"/>
      <c r="G103" s="34"/>
      <c r="H103" s="34"/>
      <c r="I103" s="54"/>
      <c r="J103" s="54"/>
    </row>
    <row r="104" spans="1:13" ht="8.25" customHeight="1" x14ac:dyDescent="0.25">
      <c r="A104" s="50"/>
      <c r="B104" s="50"/>
      <c r="C104" s="50"/>
      <c r="D104" s="34"/>
      <c r="E104" s="34"/>
      <c r="F104" s="34"/>
      <c r="G104" s="34"/>
      <c r="H104" s="34"/>
      <c r="I104" s="54"/>
      <c r="J104" s="54"/>
    </row>
    <row r="105" spans="1:13" ht="7.5" customHeight="1" x14ac:dyDescent="0.25">
      <c r="A105" s="50"/>
      <c r="B105" s="50"/>
      <c r="C105" s="50"/>
      <c r="D105" s="34"/>
      <c r="E105" s="34"/>
      <c r="F105" s="34"/>
      <c r="G105" s="34"/>
      <c r="H105" s="34"/>
      <c r="I105" s="54"/>
      <c r="J105" s="54"/>
    </row>
    <row r="106" spans="1:13" ht="15.75" x14ac:dyDescent="0.25">
      <c r="A106" s="55" t="s">
        <v>174</v>
      </c>
      <c r="B106" s="56" t="s">
        <v>175</v>
      </c>
      <c r="C106" s="55"/>
      <c r="D106" s="67"/>
      <c r="E106" s="57" t="s">
        <v>152</v>
      </c>
      <c r="F106" s="58" t="s">
        <v>153</v>
      </c>
      <c r="G106" s="59" t="s">
        <v>154</v>
      </c>
      <c r="H106" s="67"/>
      <c r="I106" s="54"/>
      <c r="J106" s="61"/>
      <c r="K106" s="62"/>
      <c r="L106" s="62"/>
      <c r="M106" s="62"/>
    </row>
    <row r="107" spans="1:13" x14ac:dyDescent="0.25">
      <c r="A107" s="50"/>
      <c r="B107" s="50"/>
      <c r="C107" s="50"/>
      <c r="D107" s="34"/>
      <c r="E107" s="63" t="s">
        <v>59</v>
      </c>
      <c r="F107" s="63"/>
      <c r="G107" s="63"/>
      <c r="H107" s="34"/>
      <c r="I107" s="54"/>
      <c r="J107" s="61"/>
      <c r="K107" s="62"/>
      <c r="L107" s="62"/>
    </row>
    <row r="108" spans="1:13" ht="6.75" customHeight="1" x14ac:dyDescent="0.25">
      <c r="A108" s="50"/>
      <c r="B108" s="50"/>
      <c r="C108" s="50"/>
      <c r="D108" s="34"/>
      <c r="E108" s="34"/>
      <c r="F108" s="34"/>
      <c r="G108" s="34"/>
      <c r="H108" s="34"/>
      <c r="I108" s="54"/>
      <c r="J108" s="54"/>
    </row>
    <row r="109" spans="1:13" x14ac:dyDescent="0.25">
      <c r="A109" s="50"/>
      <c r="B109" s="50"/>
      <c r="C109" s="50"/>
      <c r="D109" s="34"/>
      <c r="E109" s="65">
        <f>IF(COUNTIF(E107:G107,"x")&gt;1,"error",IF(G107="x",2,IF(F107="x",1,IF(E107="x",0,""))))</f>
        <v>0</v>
      </c>
      <c r="F109" s="34"/>
      <c r="G109" s="34"/>
      <c r="H109" s="34"/>
      <c r="I109" s="54"/>
      <c r="J109" s="54"/>
    </row>
    <row r="110" spans="1:13" ht="5.25" customHeight="1" x14ac:dyDescent="0.25">
      <c r="A110" s="50"/>
      <c r="B110" s="50"/>
      <c r="C110" s="50"/>
      <c r="D110" s="34"/>
      <c r="E110" s="34"/>
      <c r="F110" s="34"/>
      <c r="G110" s="34"/>
      <c r="H110" s="34"/>
      <c r="I110" s="54"/>
      <c r="J110" s="54"/>
    </row>
    <row r="111" spans="1:13" x14ac:dyDescent="0.25">
      <c r="A111" s="50"/>
      <c r="B111" s="50"/>
      <c r="C111" s="50"/>
      <c r="D111" s="34"/>
      <c r="E111" s="34"/>
      <c r="F111" s="34"/>
      <c r="G111" s="34"/>
      <c r="H111" s="34"/>
      <c r="I111" s="5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I112" s="5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I113" s="5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I114" s="54"/>
      <c r="J114" s="54"/>
    </row>
    <row r="115" spans="1:13" x14ac:dyDescent="0.25">
      <c r="A115" s="50"/>
      <c r="B115" s="50"/>
      <c r="C115" s="50"/>
      <c r="D115" s="34"/>
      <c r="E115" s="34"/>
      <c r="F115" s="34"/>
      <c r="G115" s="34"/>
      <c r="H115" s="34"/>
      <c r="I115" s="54"/>
      <c r="J115" s="54"/>
    </row>
    <row r="116" spans="1:13" ht="3.75" customHeight="1" x14ac:dyDescent="0.25">
      <c r="A116" s="50"/>
      <c r="B116" s="50"/>
      <c r="C116" s="50"/>
      <c r="D116" s="34"/>
      <c r="E116" s="34"/>
      <c r="F116" s="34"/>
      <c r="G116" s="34"/>
      <c r="H116" s="34"/>
      <c r="I116" s="54"/>
      <c r="J116" s="54"/>
    </row>
    <row r="117" spans="1:13" ht="3.75" customHeight="1" x14ac:dyDescent="0.25">
      <c r="A117" s="50"/>
      <c r="B117" s="50"/>
      <c r="C117" s="50"/>
      <c r="D117" s="34"/>
      <c r="E117" s="34"/>
      <c r="F117" s="34"/>
      <c r="G117" s="34"/>
      <c r="H117" s="34"/>
      <c r="I117" s="54"/>
      <c r="J117" s="54"/>
    </row>
    <row r="118" spans="1:13" ht="3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54"/>
      <c r="J118" s="54"/>
    </row>
    <row r="119" spans="1:13" x14ac:dyDescent="0.25">
      <c r="A119" s="50"/>
      <c r="B119" s="50"/>
      <c r="C119" s="50"/>
      <c r="D119" s="34"/>
      <c r="E119" s="34"/>
      <c r="F119" s="34"/>
      <c r="G119" s="34"/>
      <c r="H119" s="34"/>
      <c r="I119" s="54"/>
      <c r="J119" s="54"/>
    </row>
    <row r="120" spans="1:13" ht="6.75" customHeight="1" x14ac:dyDescent="0.25">
      <c r="A120" s="50"/>
      <c r="B120" s="50"/>
      <c r="C120" s="50"/>
      <c r="D120" s="34"/>
      <c r="E120" s="34"/>
      <c r="F120" s="34"/>
      <c r="G120" s="34"/>
      <c r="H120" s="34"/>
      <c r="I120" s="54"/>
      <c r="J120" s="54"/>
    </row>
    <row r="121" spans="1:13" ht="6.7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54"/>
      <c r="J121" s="54"/>
    </row>
    <row r="122" spans="1:13" ht="6.75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54"/>
      <c r="J122" s="54"/>
    </row>
    <row r="123" spans="1:13" ht="7.5" customHeight="1" x14ac:dyDescent="0.25">
      <c r="A123" s="50"/>
      <c r="B123" s="50"/>
      <c r="C123" s="50"/>
      <c r="D123" s="34"/>
      <c r="E123" s="34"/>
      <c r="F123" s="34"/>
      <c r="G123" s="34"/>
      <c r="H123" s="34"/>
      <c r="I123" s="54"/>
      <c r="J123" s="54"/>
    </row>
    <row r="124" spans="1:13" x14ac:dyDescent="0.25">
      <c r="A124" s="50"/>
      <c r="B124" s="50"/>
      <c r="C124" s="50"/>
      <c r="D124" s="34"/>
      <c r="E124" s="34"/>
      <c r="F124" s="34"/>
      <c r="G124" s="34"/>
      <c r="H124" s="34"/>
      <c r="I124" s="54"/>
      <c r="J124" s="54"/>
    </row>
    <row r="125" spans="1:13" ht="6.75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5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54"/>
      <c r="J126" s="54"/>
    </row>
    <row r="127" spans="1:13" ht="15.75" x14ac:dyDescent="0.25">
      <c r="A127" s="55" t="s">
        <v>176</v>
      </c>
      <c r="B127" s="56" t="s">
        <v>177</v>
      </c>
      <c r="C127" s="55"/>
      <c r="D127" s="67"/>
      <c r="E127" s="57" t="s">
        <v>152</v>
      </c>
      <c r="F127" s="58" t="s">
        <v>153</v>
      </c>
      <c r="G127" s="59" t="s">
        <v>154</v>
      </c>
      <c r="H127" s="67"/>
      <c r="I127" s="54"/>
      <c r="J127" s="61"/>
      <c r="K127" s="62"/>
      <c r="L127" s="62"/>
      <c r="M127" s="62"/>
    </row>
    <row r="128" spans="1:13" ht="15.75" x14ac:dyDescent="0.25">
      <c r="A128" s="50"/>
      <c r="B128" s="66" t="s">
        <v>178</v>
      </c>
      <c r="C128" s="50"/>
      <c r="D128" s="34"/>
      <c r="E128" s="63" t="s">
        <v>59</v>
      </c>
      <c r="F128" s="63"/>
      <c r="G128" s="63"/>
      <c r="H128" s="34"/>
      <c r="I128" s="54"/>
      <c r="J128" s="61"/>
      <c r="K128" s="62"/>
      <c r="L128" s="62"/>
      <c r="M128" s="62"/>
    </row>
    <row r="129" spans="1:13" x14ac:dyDescent="0.25">
      <c r="A129" s="50"/>
      <c r="B129" s="50"/>
      <c r="C129" s="50"/>
      <c r="D129" s="34"/>
      <c r="E129" s="34"/>
      <c r="F129" s="34"/>
      <c r="G129" s="34"/>
      <c r="H129" s="34"/>
      <c r="I129" s="54"/>
      <c r="J129" s="54"/>
    </row>
    <row r="130" spans="1:13" x14ac:dyDescent="0.25">
      <c r="A130" s="50"/>
      <c r="B130" s="50"/>
      <c r="C130" s="50"/>
      <c r="D130" s="34"/>
      <c r="E130" s="69">
        <f>IF(COUNTIF(E128:G128,"x")&gt;1,"error",IF(G128="x",2,IF(F128="x",1,IF(E128="x",0,""))))</f>
        <v>0</v>
      </c>
      <c r="F130" s="34"/>
      <c r="G130" s="34"/>
      <c r="H130" s="34"/>
      <c r="I130" s="54"/>
      <c r="J130" s="54"/>
    </row>
    <row r="131" spans="1:13" x14ac:dyDescent="0.25">
      <c r="A131" s="50"/>
      <c r="B131" s="50"/>
      <c r="C131" s="50"/>
      <c r="D131" s="34"/>
      <c r="E131" s="34"/>
      <c r="F131" s="34"/>
      <c r="G131" s="34"/>
      <c r="H131" s="34"/>
      <c r="I131" s="54"/>
      <c r="J131" s="54"/>
    </row>
    <row r="132" spans="1:13" ht="4.5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54"/>
      <c r="J132" s="54"/>
    </row>
    <row r="133" spans="1:13" x14ac:dyDescent="0.25">
      <c r="A133" s="50"/>
      <c r="B133" s="50"/>
      <c r="C133" s="50"/>
      <c r="D133" s="34"/>
      <c r="E133" s="34"/>
      <c r="F133" s="34"/>
      <c r="G133" s="34"/>
      <c r="H133" s="34"/>
      <c r="I133" s="54"/>
      <c r="J133" s="54"/>
    </row>
    <row r="134" spans="1:13" x14ac:dyDescent="0.25">
      <c r="A134" s="50"/>
      <c r="B134" s="50"/>
      <c r="C134" s="50"/>
      <c r="D134" s="34"/>
      <c r="E134" s="34"/>
      <c r="F134" s="34"/>
      <c r="G134" s="34"/>
      <c r="H134" s="34"/>
      <c r="I134" s="54"/>
      <c r="J134" s="54"/>
    </row>
    <row r="135" spans="1:13" ht="7.5" customHeight="1" x14ac:dyDescent="0.25">
      <c r="A135" s="50"/>
      <c r="B135" s="50"/>
      <c r="C135" s="50"/>
      <c r="D135" s="34"/>
      <c r="E135" s="34"/>
      <c r="F135" s="34"/>
      <c r="G135" s="34"/>
      <c r="H135" s="34"/>
      <c r="I135" s="54"/>
      <c r="J135" s="54"/>
    </row>
    <row r="136" spans="1:13" ht="7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54"/>
      <c r="J136" s="54"/>
    </row>
    <row r="137" spans="1:13" ht="15.75" x14ac:dyDescent="0.25">
      <c r="A137" s="55" t="s">
        <v>179</v>
      </c>
      <c r="B137" s="56" t="s">
        <v>180</v>
      </c>
      <c r="C137" s="55"/>
      <c r="D137" s="67"/>
      <c r="E137" s="57" t="s">
        <v>152</v>
      </c>
      <c r="F137" s="58" t="s">
        <v>153</v>
      </c>
      <c r="G137" s="59" t="s">
        <v>154</v>
      </c>
      <c r="H137" s="67"/>
      <c r="I137" s="54"/>
      <c r="J137" s="61"/>
      <c r="K137" s="62"/>
      <c r="L137" s="62"/>
      <c r="M137" s="62"/>
    </row>
    <row r="138" spans="1:13" ht="30.75" customHeight="1" x14ac:dyDescent="0.25">
      <c r="A138" s="70">
        <v>1</v>
      </c>
      <c r="B138" s="241" t="s">
        <v>181</v>
      </c>
      <c r="C138" s="241"/>
      <c r="D138" s="242"/>
      <c r="E138" s="63" t="s">
        <v>59</v>
      </c>
      <c r="F138" s="63"/>
      <c r="G138" s="63"/>
      <c r="H138" s="34"/>
      <c r="I138" s="54"/>
      <c r="J138" s="61"/>
      <c r="K138" s="62"/>
      <c r="L138" s="62"/>
      <c r="M138" s="62"/>
    </row>
    <row r="139" spans="1:13" ht="15.75" x14ac:dyDescent="0.25">
      <c r="A139" s="50">
        <v>2</v>
      </c>
      <c r="B139" s="66" t="s">
        <v>182</v>
      </c>
      <c r="C139" s="50"/>
      <c r="D139" s="34"/>
      <c r="E139" s="34"/>
      <c r="F139" s="34"/>
      <c r="G139" s="34"/>
      <c r="H139" s="34"/>
      <c r="I139" s="54"/>
      <c r="J139" s="54"/>
    </row>
    <row r="140" spans="1:13" ht="15.75" x14ac:dyDescent="0.25">
      <c r="A140" s="50">
        <v>3</v>
      </c>
      <c r="B140" s="66" t="s">
        <v>183</v>
      </c>
      <c r="C140" s="50"/>
      <c r="D140" s="34"/>
      <c r="E140" s="69">
        <f>IF(COUNTIF(E138:G138,"x")&gt;1,"error",IF(G138="x",2,IF(F138="x",1,IF(E138="x",0,""))))</f>
        <v>0</v>
      </c>
      <c r="F140" s="34"/>
      <c r="G140" s="34"/>
      <c r="H140" s="34"/>
      <c r="I140" s="54"/>
      <c r="J140" s="54"/>
    </row>
    <row r="141" spans="1:13" x14ac:dyDescent="0.25">
      <c r="A141" s="50"/>
      <c r="B141" s="50"/>
      <c r="C141" s="50"/>
      <c r="D141" s="34"/>
      <c r="E141" s="34"/>
      <c r="F141" s="34"/>
      <c r="G141" s="34"/>
      <c r="H141" s="34"/>
      <c r="I141" s="54"/>
      <c r="J141" s="54"/>
    </row>
    <row r="142" spans="1:13" ht="6" customHeight="1" x14ac:dyDescent="0.25">
      <c r="A142" s="50"/>
      <c r="B142" s="50"/>
      <c r="C142" s="50"/>
      <c r="D142" s="34"/>
      <c r="E142" s="34"/>
      <c r="F142" s="34"/>
      <c r="G142" s="34"/>
      <c r="H142" s="34"/>
      <c r="I142" s="54"/>
      <c r="J142" s="54"/>
    </row>
    <row r="143" spans="1:13" x14ac:dyDescent="0.25">
      <c r="A143" s="50"/>
      <c r="B143" s="50"/>
      <c r="C143" s="50"/>
      <c r="D143" s="34"/>
      <c r="E143" s="34"/>
      <c r="F143" s="34"/>
      <c r="G143" s="34"/>
      <c r="H143" s="34"/>
      <c r="I143" s="54"/>
      <c r="J143" s="54"/>
    </row>
    <row r="144" spans="1:13" x14ac:dyDescent="0.25">
      <c r="A144" s="50"/>
      <c r="B144" s="50"/>
      <c r="C144" s="50"/>
      <c r="D144" s="34"/>
      <c r="E144" s="34"/>
      <c r="F144" s="34"/>
      <c r="G144" s="34"/>
      <c r="H144" s="34"/>
      <c r="I144" s="54"/>
      <c r="J144" s="54"/>
    </row>
    <row r="145" spans="1:10" ht="7.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54"/>
      <c r="J145" s="54"/>
    </row>
    <row r="146" spans="1:10" ht="7.5" customHeight="1" x14ac:dyDescent="0.25">
      <c r="A146" s="50"/>
      <c r="B146" s="50"/>
      <c r="C146" s="50"/>
      <c r="D146" s="34"/>
      <c r="E146" s="34"/>
      <c r="F146" s="34"/>
      <c r="G146" s="34"/>
      <c r="H146" s="34"/>
      <c r="I146" s="54"/>
      <c r="J146" s="54"/>
    </row>
    <row r="147" spans="1:10" ht="7.5" customHeight="1" x14ac:dyDescent="0.25">
      <c r="A147" s="50"/>
      <c r="B147" s="50"/>
      <c r="C147" s="50"/>
      <c r="D147" s="34"/>
      <c r="E147" s="34"/>
      <c r="F147" s="34"/>
      <c r="G147" s="34"/>
      <c r="H147" s="34"/>
      <c r="I147" s="54"/>
      <c r="J147" s="54"/>
    </row>
    <row r="148" spans="1:10" ht="7.5" customHeight="1" x14ac:dyDescent="0.25">
      <c r="A148" s="50"/>
      <c r="B148" s="50"/>
      <c r="C148" s="50"/>
      <c r="D148" s="34"/>
      <c r="E148" s="34"/>
      <c r="F148" s="34"/>
      <c r="G148" s="34"/>
      <c r="H148" s="34"/>
      <c r="I148" s="54"/>
      <c r="J148" s="54"/>
    </row>
    <row r="149" spans="1:10" ht="15.75" x14ac:dyDescent="0.25">
      <c r="A149" s="56"/>
      <c r="B149" s="234" t="s">
        <v>184</v>
      </c>
      <c r="C149" s="234"/>
      <c r="D149" s="234"/>
      <c r="E149" s="67"/>
      <c r="F149" s="67"/>
      <c r="G149" s="67"/>
      <c r="H149" s="67"/>
      <c r="I149" s="34"/>
      <c r="J149" s="34"/>
    </row>
    <row r="150" spans="1:10" ht="15.75" x14ac:dyDescent="0.25">
      <c r="A150" s="55"/>
      <c r="B150" s="71" t="s">
        <v>185</v>
      </c>
      <c r="C150" s="55"/>
      <c r="D150" s="34"/>
      <c r="E150" s="67"/>
      <c r="F150" s="67"/>
      <c r="G150" s="67"/>
      <c r="H150" s="67"/>
      <c r="I150" s="34"/>
      <c r="J150" s="34"/>
    </row>
    <row r="151" spans="1:10" ht="6" customHeight="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</row>
    <row r="152" spans="1:10" ht="6" customHeight="1" thickBot="1" x14ac:dyDescent="0.3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ht="18.75" customHeight="1" thickBot="1" x14ac:dyDescent="0.3">
      <c r="A153" s="50"/>
      <c r="B153" s="50"/>
      <c r="C153" s="50"/>
      <c r="D153" s="235" t="s">
        <v>186</v>
      </c>
      <c r="E153" s="237" t="s">
        <v>187</v>
      </c>
      <c r="F153" s="238"/>
      <c r="G153" s="72"/>
      <c r="H153" s="72"/>
      <c r="I153" s="72"/>
      <c r="J153" s="34"/>
    </row>
    <row r="154" spans="1:10" ht="18.75" customHeight="1" thickBot="1" x14ac:dyDescent="0.3">
      <c r="A154" s="50"/>
      <c r="B154" s="50"/>
      <c r="C154" s="50"/>
      <c r="D154" s="236"/>
      <c r="E154" s="73" t="s">
        <v>188</v>
      </c>
      <c r="F154" s="140" t="s">
        <v>189</v>
      </c>
      <c r="G154" s="74"/>
      <c r="H154" s="74"/>
      <c r="I154" s="74"/>
      <c r="J154" s="34"/>
    </row>
    <row r="155" spans="1:10" ht="18.75" customHeight="1" thickBot="1" x14ac:dyDescent="0.3">
      <c r="A155" s="50"/>
      <c r="B155" s="50"/>
      <c r="C155" s="50" t="s">
        <v>56</v>
      </c>
      <c r="D155" s="75" t="s">
        <v>190</v>
      </c>
      <c r="E155" s="76">
        <f>E14</f>
        <v>0</v>
      </c>
      <c r="F155" s="76">
        <f>E155</f>
        <v>0</v>
      </c>
      <c r="G155" s="77"/>
      <c r="H155" s="77"/>
      <c r="I155" s="77"/>
      <c r="J155" s="34"/>
    </row>
    <row r="156" spans="1:10" ht="18.75" customHeight="1" thickBot="1" x14ac:dyDescent="0.3">
      <c r="A156" s="50"/>
      <c r="B156" s="50"/>
      <c r="C156" s="50" t="s">
        <v>58</v>
      </c>
      <c r="D156" s="75" t="s">
        <v>191</v>
      </c>
      <c r="E156" s="76">
        <f>E42</f>
        <v>0</v>
      </c>
      <c r="F156" s="76">
        <f t="shared" ref="F156:F162" si="0">E156</f>
        <v>0</v>
      </c>
      <c r="G156" s="77"/>
      <c r="H156" s="77"/>
      <c r="I156" s="77"/>
      <c r="J156" s="34"/>
    </row>
    <row r="157" spans="1:10" ht="18.75" customHeight="1" thickBot="1" x14ac:dyDescent="0.3">
      <c r="A157" s="50"/>
      <c r="B157" s="50"/>
      <c r="C157" s="50" t="s">
        <v>60</v>
      </c>
      <c r="D157" s="75" t="s">
        <v>192</v>
      </c>
      <c r="E157" s="76">
        <f>E61</f>
        <v>0</v>
      </c>
      <c r="F157" s="76">
        <f t="shared" si="0"/>
        <v>0</v>
      </c>
      <c r="G157" s="77"/>
      <c r="H157" s="77"/>
      <c r="I157" s="77"/>
      <c r="J157" s="34"/>
    </row>
    <row r="158" spans="1:10" ht="18.75" customHeight="1" thickBot="1" x14ac:dyDescent="0.3">
      <c r="A158" s="50"/>
      <c r="B158" s="50"/>
      <c r="C158" s="50" t="s">
        <v>63</v>
      </c>
      <c r="D158" s="75" t="s">
        <v>193</v>
      </c>
      <c r="E158" s="76">
        <f>E77</f>
        <v>0</v>
      </c>
      <c r="F158" s="76">
        <f t="shared" si="0"/>
        <v>0</v>
      </c>
      <c r="G158" s="77"/>
      <c r="H158" s="77"/>
      <c r="I158" s="77"/>
      <c r="J158" s="34"/>
    </row>
    <row r="159" spans="1:10" ht="18.75" customHeight="1" thickBot="1" x14ac:dyDescent="0.3">
      <c r="A159" s="50"/>
      <c r="B159" s="50"/>
      <c r="C159" s="50" t="s">
        <v>66</v>
      </c>
      <c r="D159" s="75" t="s">
        <v>194</v>
      </c>
      <c r="E159" s="76">
        <f>E98</f>
        <v>0</v>
      </c>
      <c r="F159" s="76">
        <f t="shared" si="0"/>
        <v>0</v>
      </c>
      <c r="G159" s="77"/>
      <c r="H159" s="77"/>
      <c r="I159" s="77"/>
      <c r="J159" s="34"/>
    </row>
    <row r="160" spans="1:10" ht="18.75" customHeight="1" thickBot="1" x14ac:dyDescent="0.3">
      <c r="A160" s="50"/>
      <c r="B160" s="50"/>
      <c r="C160" s="50" t="s">
        <v>69</v>
      </c>
      <c r="D160" s="75" t="s">
        <v>175</v>
      </c>
      <c r="E160" s="76">
        <f>E109</f>
        <v>0</v>
      </c>
      <c r="F160" s="76">
        <f t="shared" si="0"/>
        <v>0</v>
      </c>
      <c r="G160" s="77"/>
      <c r="H160" s="77"/>
      <c r="I160" s="77"/>
      <c r="J160" s="34"/>
    </row>
    <row r="161" spans="1:10" ht="18.75" customHeight="1" thickBot="1" x14ac:dyDescent="0.3">
      <c r="A161" s="50"/>
      <c r="B161" s="50"/>
      <c r="C161" s="50" t="s">
        <v>71</v>
      </c>
      <c r="D161" s="75" t="s">
        <v>195</v>
      </c>
      <c r="E161" s="76">
        <f>E130</f>
        <v>0</v>
      </c>
      <c r="F161" s="76">
        <f t="shared" si="0"/>
        <v>0</v>
      </c>
      <c r="G161" s="77"/>
      <c r="H161" s="77"/>
      <c r="I161" s="77"/>
      <c r="J161" s="34"/>
    </row>
    <row r="162" spans="1:10" ht="18.75" customHeight="1" thickBot="1" x14ac:dyDescent="0.3">
      <c r="A162" s="50"/>
      <c r="B162" s="50"/>
      <c r="C162" s="50" t="s">
        <v>73</v>
      </c>
      <c r="D162" s="75" t="s">
        <v>196</v>
      </c>
      <c r="E162" s="76">
        <f>$E$140</f>
        <v>0</v>
      </c>
      <c r="F162" s="76">
        <f t="shared" si="0"/>
        <v>0</v>
      </c>
      <c r="G162" s="77"/>
      <c r="H162" s="77"/>
      <c r="I162" s="77"/>
      <c r="J162" s="34"/>
    </row>
    <row r="163" spans="1:10" ht="18.75" customHeight="1" thickBot="1" x14ac:dyDescent="0.3">
      <c r="A163" s="50"/>
      <c r="B163" s="50"/>
      <c r="C163" s="50"/>
      <c r="D163" s="78" t="s">
        <v>197</v>
      </c>
      <c r="E163" s="239">
        <f>SUM(E155:E162)</f>
        <v>0</v>
      </c>
      <c r="F163" s="240"/>
      <c r="G163" s="79"/>
      <c r="H163" s="79"/>
      <c r="I163" s="79"/>
      <c r="J163" s="34"/>
    </row>
    <row r="164" spans="1:10" ht="18.75" customHeight="1" thickBot="1" x14ac:dyDescent="0.3">
      <c r="A164" s="50"/>
      <c r="B164" s="50"/>
      <c r="C164" s="50"/>
      <c r="D164" s="78" t="s">
        <v>198</v>
      </c>
      <c r="E164" s="239">
        <f>E163</f>
        <v>0</v>
      </c>
      <c r="F164" s="240"/>
      <c r="G164" s="79"/>
      <c r="H164" s="79"/>
      <c r="I164" s="79"/>
      <c r="J164" s="34"/>
    </row>
    <row r="165" spans="1:10" ht="18.75" customHeight="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ht="15.75" x14ac:dyDescent="0.25">
      <c r="A166" s="55"/>
      <c r="B166" s="71" t="s">
        <v>199</v>
      </c>
      <c r="C166" s="55"/>
      <c r="D166" s="67"/>
      <c r="E166" s="67"/>
      <c r="F166" s="67"/>
      <c r="G166" s="67"/>
      <c r="H166" s="67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</row>
    <row r="175" spans="1:10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</row>
    <row r="176" spans="1:10" ht="15.75" x14ac:dyDescent="0.25">
      <c r="A176" s="55"/>
      <c r="B176" s="55"/>
      <c r="C176" s="55"/>
      <c r="D176" s="71" t="s">
        <v>200</v>
      </c>
      <c r="E176" s="67"/>
      <c r="F176" s="67"/>
      <c r="G176" s="67"/>
      <c r="H176" s="67"/>
      <c r="I176" s="34"/>
      <c r="J176" s="34"/>
    </row>
    <row r="177" spans="1:10" ht="3.75" customHeight="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</row>
    <row r="178" spans="1:10" ht="3.75" customHeight="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</row>
    <row r="179" spans="1:10" ht="3.75" customHeight="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</row>
    <row r="180" spans="1:10" ht="9" customHeight="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</row>
    <row r="181" spans="1:10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</row>
    <row r="182" spans="1:10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</row>
    <row r="183" spans="1:10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</row>
    <row r="184" spans="1:10" x14ac:dyDescent="0.25">
      <c r="A184" s="50"/>
      <c r="B184" s="50"/>
      <c r="C184" s="50"/>
      <c r="D184" s="34"/>
      <c r="E184" s="34"/>
      <c r="F184" s="34"/>
      <c r="G184" s="34"/>
      <c r="H184" s="34"/>
      <c r="I184" s="34"/>
      <c r="J184" s="34"/>
    </row>
    <row r="185" spans="1:10" x14ac:dyDescent="0.25">
      <c r="A185" s="50"/>
      <c r="B185" s="50"/>
      <c r="C185" s="50"/>
      <c r="D185" s="34"/>
      <c r="E185" s="34"/>
      <c r="F185" s="34"/>
      <c r="G185" s="34"/>
      <c r="H185" s="34"/>
      <c r="I185" s="34"/>
      <c r="J185" s="34"/>
    </row>
    <row r="186" spans="1:10" x14ac:dyDescent="0.25">
      <c r="A186" s="50"/>
      <c r="B186" s="50"/>
      <c r="C186" s="50"/>
      <c r="D186" s="34"/>
      <c r="E186" s="34"/>
      <c r="F186" s="34"/>
      <c r="G186" s="34"/>
      <c r="H186" s="34"/>
      <c r="I186" s="34"/>
      <c r="J186" s="34"/>
    </row>
    <row r="187" spans="1:10" x14ac:dyDescent="0.25">
      <c r="A187" s="50"/>
      <c r="B187" s="50"/>
      <c r="C187" s="50"/>
      <c r="D187" s="34"/>
      <c r="E187" s="34"/>
      <c r="F187" s="34"/>
      <c r="G187" s="34"/>
      <c r="H187" s="34"/>
      <c r="I187" s="34"/>
      <c r="J187" s="34"/>
    </row>
    <row r="188" spans="1:10" x14ac:dyDescent="0.25">
      <c r="A188" s="50"/>
      <c r="B188" s="50"/>
      <c r="C188" s="50"/>
      <c r="D188" s="34"/>
      <c r="E188" s="34"/>
      <c r="F188" s="34"/>
      <c r="G188" s="34"/>
      <c r="H188" s="34"/>
      <c r="I188" s="34"/>
      <c r="J188" s="34"/>
    </row>
    <row r="189" spans="1:10" x14ac:dyDescent="0.25">
      <c r="A189" s="50"/>
      <c r="B189" s="50"/>
      <c r="C189" s="50"/>
      <c r="D189" s="34"/>
      <c r="E189" s="34"/>
      <c r="F189" s="34"/>
      <c r="G189" s="34"/>
      <c r="H189" s="34"/>
      <c r="I189" s="34"/>
      <c r="J189" s="34"/>
    </row>
    <row r="190" spans="1:10" x14ac:dyDescent="0.25">
      <c r="A190" s="50"/>
      <c r="B190" s="50"/>
      <c r="C190" s="50"/>
      <c r="D190" s="34"/>
      <c r="E190" s="34"/>
      <c r="F190" s="34"/>
      <c r="G190" s="34"/>
      <c r="H190" s="34"/>
      <c r="I190" s="34"/>
      <c r="J190" s="34"/>
    </row>
    <row r="191" spans="1:10" x14ac:dyDescent="0.25">
      <c r="A191" s="50"/>
      <c r="B191" s="50"/>
      <c r="C191" s="50"/>
      <c r="D191" s="34"/>
      <c r="E191" s="34"/>
      <c r="F191" s="34"/>
      <c r="G191" s="34"/>
      <c r="H191" s="34"/>
      <c r="I191" s="34"/>
      <c r="J191" s="34"/>
    </row>
    <row r="192" spans="1:10" x14ac:dyDescent="0.25">
      <c r="A192" s="50"/>
      <c r="B192" s="50"/>
      <c r="C192" s="50"/>
      <c r="D192" s="34"/>
      <c r="E192" s="34"/>
      <c r="F192" s="34"/>
      <c r="G192" s="34"/>
      <c r="H192" s="34"/>
      <c r="I192" s="34"/>
      <c r="J192" s="34"/>
    </row>
    <row r="193" spans="1:10" x14ac:dyDescent="0.25">
      <c r="A193" s="50"/>
      <c r="B193" s="50"/>
      <c r="C193" s="50"/>
      <c r="D193" s="34"/>
      <c r="E193" s="34"/>
      <c r="F193" s="34"/>
      <c r="G193" s="34"/>
      <c r="H193" s="34"/>
      <c r="I193" s="34"/>
      <c r="J193" s="34"/>
    </row>
    <row r="194" spans="1:10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</row>
    <row r="195" spans="1:10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</row>
    <row r="196" spans="1:10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</row>
    <row r="197" spans="1:10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</row>
    <row r="198" spans="1:10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</row>
    <row r="199" spans="1:10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</row>
    <row r="200" spans="1:10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</row>
    <row r="201" spans="1:10" x14ac:dyDescent="0.25">
      <c r="A201" s="80"/>
      <c r="B201" s="80"/>
      <c r="C201" s="80"/>
      <c r="D201" s="81"/>
      <c r="E201" s="81"/>
      <c r="F201" s="81"/>
      <c r="G201" s="81"/>
      <c r="H201" s="81"/>
      <c r="I201" s="81"/>
      <c r="J201" s="81"/>
    </row>
    <row r="202" spans="1:10" x14ac:dyDescent="0.25">
      <c r="A202" s="80"/>
      <c r="B202" s="80"/>
      <c r="C202" s="80"/>
      <c r="D202" s="81"/>
      <c r="E202" s="81"/>
      <c r="F202" s="81"/>
      <c r="G202" s="81"/>
      <c r="H202" s="81"/>
      <c r="I202" s="81"/>
      <c r="J202" s="81"/>
    </row>
    <row r="203" spans="1:10" x14ac:dyDescent="0.25">
      <c r="A203" s="80"/>
      <c r="B203" s="80"/>
      <c r="C203" s="80"/>
      <c r="D203" s="81"/>
      <c r="E203" s="81"/>
      <c r="F203" s="81"/>
      <c r="G203" s="81"/>
      <c r="H203" s="81"/>
      <c r="I203" s="81"/>
      <c r="J203" s="81"/>
    </row>
    <row r="204" spans="1:10" x14ac:dyDescent="0.25">
      <c r="A204" s="80"/>
      <c r="B204" s="80"/>
      <c r="C204" s="80"/>
      <c r="D204" s="81"/>
      <c r="E204" s="81"/>
      <c r="F204" s="81"/>
      <c r="G204" s="81"/>
      <c r="H204" s="81"/>
      <c r="I204" s="81"/>
      <c r="J204" s="81"/>
    </row>
    <row r="205" spans="1:10" x14ac:dyDescent="0.25">
      <c r="A205" s="80"/>
      <c r="B205" s="80"/>
      <c r="C205" s="80"/>
      <c r="D205" s="81"/>
      <c r="E205" s="81"/>
      <c r="F205" s="81"/>
      <c r="G205" s="81"/>
      <c r="H205" s="81"/>
      <c r="I205" s="81"/>
      <c r="J205" s="81"/>
    </row>
    <row r="206" spans="1:10" x14ac:dyDescent="0.25">
      <c r="A206" s="80"/>
      <c r="B206" s="80"/>
      <c r="C206" s="80"/>
      <c r="D206" s="81"/>
      <c r="E206" s="81"/>
      <c r="F206" s="81"/>
      <c r="G206" s="81"/>
      <c r="H206" s="81"/>
      <c r="I206" s="81"/>
      <c r="J206" s="81"/>
    </row>
    <row r="207" spans="1:10" x14ac:dyDescent="0.25">
      <c r="A207" s="80"/>
      <c r="B207" s="80"/>
      <c r="C207" s="80"/>
      <c r="D207" s="81"/>
      <c r="E207" s="81"/>
      <c r="F207" s="81"/>
      <c r="G207" s="81"/>
      <c r="H207" s="81"/>
      <c r="I207" s="81"/>
      <c r="J207" s="81"/>
    </row>
    <row r="208" spans="1:10" x14ac:dyDescent="0.25">
      <c r="A208" s="80"/>
      <c r="B208" s="80"/>
      <c r="C208" s="80"/>
      <c r="D208" s="81"/>
      <c r="E208" s="81"/>
      <c r="F208" s="81"/>
      <c r="G208" s="81"/>
      <c r="H208" s="81"/>
      <c r="I208" s="81"/>
      <c r="J208" s="81"/>
    </row>
    <row r="209" spans="1:10" x14ac:dyDescent="0.25">
      <c r="A209" s="80"/>
      <c r="B209" s="80"/>
      <c r="C209" s="80"/>
      <c r="D209" s="81"/>
      <c r="E209" s="81"/>
      <c r="F209" s="81"/>
      <c r="G209" s="81"/>
      <c r="H209" s="81"/>
      <c r="I209" s="81"/>
      <c r="J209" s="81"/>
    </row>
    <row r="210" spans="1:10" x14ac:dyDescent="0.25">
      <c r="A210" s="80"/>
      <c r="B210" s="80"/>
      <c r="C210" s="80"/>
      <c r="D210" s="81"/>
      <c r="E210" s="81"/>
      <c r="F210" s="81"/>
      <c r="G210" s="81"/>
      <c r="H210" s="81"/>
      <c r="I210" s="81"/>
      <c r="J210" s="81"/>
    </row>
  </sheetData>
  <sheetProtection algorithmName="SHA-512" hashValue="vYKr6k9kgRMbhFQaqYd596y8xqifiDyWMzo4zZEDFN9o/KbZ1e/Et/Gal/BpfR4HYvNla26FhIWVsFYDSAVu9A==" saltValue="S9z+t1s8iQcXTOB83SQw6g==" spinCount="100000" sheet="1" objects="1" scenarios="1" selectLockedCells="1"/>
  <mergeCells count="17">
    <mergeCell ref="B138:D138"/>
    <mergeCell ref="B2:D2"/>
    <mergeCell ref="A4:B4"/>
    <mergeCell ref="C4:D4"/>
    <mergeCell ref="F4:H4"/>
    <mergeCell ref="C5:D5"/>
    <mergeCell ref="C6:D6"/>
    <mergeCell ref="C7:D7"/>
    <mergeCell ref="B9:D9"/>
    <mergeCell ref="B12:D12"/>
    <mergeCell ref="B13:D13"/>
    <mergeCell ref="B75:D77"/>
    <mergeCell ref="B149:D149"/>
    <mergeCell ref="D153:D154"/>
    <mergeCell ref="E153:F153"/>
    <mergeCell ref="E163:F163"/>
    <mergeCell ref="E164:F164"/>
  </mergeCells>
  <conditionalFormatting sqref="I155:I162 G155:G162">
    <cfRule type="containsText" dxfId="175" priority="14" operator="containsText" text="morado">
      <formula>NOT(ISERROR(SEARCH("morado",G155)))</formula>
    </cfRule>
    <cfRule type="containsText" dxfId="174" priority="15" operator="containsText" text="rojo">
      <formula>NOT(ISERROR(SEARCH("rojo",G155)))</formula>
    </cfRule>
    <cfRule type="containsText" dxfId="173" priority="16" operator="containsText" text="naranja">
      <formula>NOT(ISERROR(SEARCH("naranja",G155)))</formula>
    </cfRule>
  </conditionalFormatting>
  <conditionalFormatting sqref="E164">
    <cfRule type="cellIs" dxfId="172" priority="13" operator="between">
      <formula>0</formula>
      <formula>4</formula>
    </cfRule>
  </conditionalFormatting>
  <conditionalFormatting sqref="E164">
    <cfRule type="cellIs" dxfId="171" priority="10" operator="between">
      <formula>21</formula>
      <formula>32</formula>
    </cfRule>
    <cfRule type="cellIs" dxfId="170" priority="11" operator="between">
      <formula>13</formula>
      <formula>20</formula>
    </cfRule>
    <cfRule type="cellIs" dxfId="169" priority="12" operator="between">
      <formula>5</formula>
      <formula>12</formula>
    </cfRule>
  </conditionalFormatting>
  <conditionalFormatting sqref="E155:E162">
    <cfRule type="cellIs" dxfId="168" priority="9" operator="equal">
      <formula>0</formula>
    </cfRule>
  </conditionalFormatting>
  <conditionalFormatting sqref="E155">
    <cfRule type="cellIs" dxfId="167" priority="1" operator="equal">
      <formula>10</formula>
    </cfRule>
    <cfRule type="cellIs" dxfId="166" priority="5" operator="equal">
      <formula>6</formula>
    </cfRule>
    <cfRule type="cellIs" dxfId="165" priority="8" operator="equal">
      <formula>4</formula>
    </cfRule>
  </conditionalFormatting>
  <conditionalFormatting sqref="E156">
    <cfRule type="cellIs" dxfId="164" priority="4" operator="equal">
      <formula>6</formula>
    </cfRule>
    <cfRule type="cellIs" dxfId="163" priority="7" operator="equal">
      <formula>3</formula>
    </cfRule>
  </conditionalFormatting>
  <conditionalFormatting sqref="E157:E162">
    <cfRule type="cellIs" dxfId="162" priority="6" operator="equal">
      <formula>1</formula>
    </cfRule>
  </conditionalFormatting>
  <conditionalFormatting sqref="E157 E159">
    <cfRule type="cellIs" dxfId="161" priority="3" operator="equal">
      <formula>3</formula>
    </cfRule>
  </conditionalFormatting>
  <conditionalFormatting sqref="E158 E160:E162">
    <cfRule type="cellIs" dxfId="160" priority="2" operator="equal">
      <formula>2</formula>
    </cfRule>
  </conditionalFormatting>
  <dataValidations count="1">
    <dataValidation type="list" allowBlank="1" showInputMessage="1" showErrorMessage="1" sqref="E12:H12 E40:G40 E59:G59 E75:G75 E96:G96 E107:G107 E128:G128 E138:G138" xr:uid="{00000000-0002-0000-0100-000000000000}">
      <formula1>$A$13:$A$14</formula1>
    </dataValidation>
  </dataValidations>
  <pageMargins left="0" right="0" top="0.75" bottom="0.75" header="0.3" footer="0.3"/>
  <pageSetup scale="69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94" max="7" man="1"/>
    <brk id="148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N200"/>
  <sheetViews>
    <sheetView showGridLines="0" view="pageBreakPreview" topLeftCell="A41" zoomScale="85" zoomScaleNormal="55" zoomScaleSheetLayoutView="85" workbookViewId="0">
      <selection activeCell="F124" sqref="F124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74.42578125" style="52" customWidth="1"/>
    <col min="5" max="10" width="8.28515625" style="52" customWidth="1"/>
    <col min="11" max="11" width="9.28515625" style="52"/>
    <col min="12" max="29" width="0.5703125" style="52" customWidth="1"/>
    <col min="30" max="16384" width="9.28515625" style="52"/>
  </cols>
  <sheetData>
    <row r="1" spans="1:14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  <c r="K1" s="34"/>
    </row>
    <row r="2" spans="1:14" ht="15.75" x14ac:dyDescent="0.25">
      <c r="A2" s="50"/>
      <c r="B2" s="50"/>
      <c r="C2" s="50"/>
      <c r="D2" s="51" t="s">
        <v>201</v>
      </c>
      <c r="E2" s="34"/>
      <c r="F2" s="34"/>
      <c r="G2" s="34"/>
      <c r="H2" s="34"/>
      <c r="I2" s="34"/>
      <c r="J2" s="34"/>
      <c r="K2" s="34"/>
    </row>
    <row r="3" spans="1:14" ht="15.75" customHeight="1" x14ac:dyDescent="0.25">
      <c r="A3" s="244" t="s">
        <v>145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  <c r="K3" s="34"/>
    </row>
    <row r="4" spans="1:14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  <c r="K4" s="34"/>
    </row>
    <row r="5" spans="1:14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  <c r="K5" s="34"/>
    </row>
    <row r="6" spans="1:14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  <c r="K6" s="34"/>
    </row>
    <row r="7" spans="1:14" ht="6.75" customHeight="1" x14ac:dyDescent="0.25">
      <c r="A7" s="50"/>
      <c r="B7" s="50"/>
      <c r="C7" s="50"/>
      <c r="D7" s="34"/>
      <c r="E7" s="34"/>
      <c r="F7" s="34"/>
      <c r="G7" s="34"/>
      <c r="H7" s="34"/>
      <c r="I7" s="34"/>
      <c r="J7" s="54"/>
      <c r="K7" s="54"/>
    </row>
    <row r="8" spans="1:14" ht="15.75" x14ac:dyDescent="0.25">
      <c r="A8" s="53"/>
      <c r="B8" s="53" t="s">
        <v>202</v>
      </c>
      <c r="C8" s="53"/>
      <c r="D8" s="34"/>
      <c r="E8" s="34"/>
      <c r="F8" s="34"/>
      <c r="G8" s="34"/>
      <c r="H8" s="34"/>
      <c r="I8" s="34"/>
      <c r="J8" s="54"/>
      <c r="K8" s="54"/>
    </row>
    <row r="9" spans="1:14" ht="3" customHeight="1" x14ac:dyDescent="0.25">
      <c r="A9" s="50"/>
      <c r="B9" s="34"/>
      <c r="C9" s="50"/>
      <c r="D9" s="34"/>
      <c r="E9" s="34"/>
      <c r="F9" s="34"/>
      <c r="G9" s="34"/>
      <c r="H9" s="34"/>
      <c r="I9" s="34"/>
      <c r="J9" s="54"/>
      <c r="K9" s="54"/>
    </row>
    <row r="10" spans="1:14" ht="15.75" x14ac:dyDescent="0.25">
      <c r="A10" s="55" t="s">
        <v>150</v>
      </c>
      <c r="B10" s="56" t="s">
        <v>203</v>
      </c>
      <c r="C10" s="55"/>
      <c r="D10" s="67"/>
      <c r="E10" s="57" t="s">
        <v>152</v>
      </c>
      <c r="F10" s="58" t="s">
        <v>153</v>
      </c>
      <c r="G10" s="59" t="s">
        <v>154</v>
      </c>
      <c r="H10" s="60" t="s">
        <v>155</v>
      </c>
      <c r="I10" s="34"/>
      <c r="J10" s="54"/>
      <c r="K10" s="61"/>
      <c r="L10" s="62"/>
      <c r="M10" s="62"/>
      <c r="N10" s="62"/>
    </row>
    <row r="11" spans="1:14" ht="15.75" x14ac:dyDescent="0.25">
      <c r="A11" s="50"/>
      <c r="B11" s="66" t="s">
        <v>204</v>
      </c>
      <c r="C11" s="50"/>
      <c r="D11" s="34"/>
      <c r="E11" s="63"/>
      <c r="F11" s="63"/>
      <c r="G11" s="63"/>
      <c r="H11" s="83"/>
      <c r="I11" s="34"/>
      <c r="J11" s="54"/>
      <c r="K11" s="61"/>
      <c r="L11" s="62"/>
      <c r="M11" s="62"/>
      <c r="N11" s="62"/>
    </row>
    <row r="12" spans="1:14" ht="6" customHeight="1" x14ac:dyDescent="0.25">
      <c r="A12" s="50"/>
      <c r="B12" s="50"/>
      <c r="C12" s="50"/>
      <c r="D12" s="34"/>
      <c r="E12" s="34"/>
      <c r="F12" s="34"/>
      <c r="G12" s="34"/>
      <c r="H12" s="34"/>
      <c r="I12" s="34"/>
      <c r="J12" s="54"/>
      <c r="K12" s="54"/>
    </row>
    <row r="13" spans="1:14" x14ac:dyDescent="0.25">
      <c r="A13" s="64" t="s">
        <v>59</v>
      </c>
      <c r="B13" s="50"/>
      <c r="C13" s="50"/>
      <c r="D13" s="34"/>
      <c r="E13" s="69" t="str">
        <f>IF(COUNTIF(E11:H11,"x")&gt;1,"error",IF(H11="x",10,IF(G11="x",6,IF(F11="x",4,IF(E11="x",0,"")))))</f>
        <v/>
      </c>
      <c r="F13" s="34"/>
      <c r="G13" s="34"/>
      <c r="H13" s="34"/>
      <c r="I13" s="34"/>
      <c r="J13" s="54"/>
      <c r="K13" s="54"/>
    </row>
    <row r="14" spans="1:14" x14ac:dyDescent="0.25">
      <c r="A14" s="50"/>
      <c r="B14" s="50"/>
      <c r="C14" s="50"/>
      <c r="D14" s="34"/>
      <c r="E14" s="34"/>
      <c r="F14" s="34"/>
      <c r="G14" s="34"/>
      <c r="H14" s="34"/>
      <c r="I14" s="34"/>
      <c r="J14" s="54"/>
      <c r="K14" s="54"/>
    </row>
    <row r="15" spans="1:14" x14ac:dyDescent="0.25">
      <c r="A15" s="50"/>
      <c r="B15" s="50"/>
      <c r="C15" s="50"/>
      <c r="D15" s="34"/>
      <c r="E15" s="34"/>
      <c r="F15" s="34"/>
      <c r="G15" s="34"/>
      <c r="H15" s="34"/>
      <c r="I15" s="34"/>
      <c r="J15" s="54"/>
      <c r="K15" s="54"/>
    </row>
    <row r="16" spans="1:14" x14ac:dyDescent="0.25">
      <c r="A16" s="50"/>
      <c r="B16" s="50"/>
      <c r="C16" s="50"/>
      <c r="D16" s="34"/>
      <c r="E16" s="34"/>
      <c r="F16" s="34"/>
      <c r="G16" s="34"/>
      <c r="H16" s="34"/>
      <c r="I16" s="34"/>
      <c r="J16" s="54"/>
      <c r="K16" s="54"/>
    </row>
    <row r="17" spans="1:14" x14ac:dyDescent="0.25">
      <c r="A17" s="50"/>
      <c r="B17" s="50"/>
      <c r="C17" s="50"/>
      <c r="D17" s="34"/>
      <c r="E17" s="34"/>
      <c r="F17" s="34"/>
      <c r="G17" s="34"/>
      <c r="H17" s="34"/>
      <c r="I17" s="34"/>
      <c r="J17" s="54"/>
      <c r="K17" s="54"/>
    </row>
    <row r="18" spans="1:14" x14ac:dyDescent="0.25">
      <c r="A18" s="50"/>
      <c r="B18" s="50"/>
      <c r="C18" s="50"/>
      <c r="D18" s="34"/>
      <c r="E18" s="34"/>
      <c r="F18" s="34"/>
      <c r="G18" s="34"/>
      <c r="H18" s="34"/>
      <c r="I18" s="34"/>
      <c r="J18" s="54"/>
      <c r="K18" s="54"/>
    </row>
    <row r="19" spans="1:14" x14ac:dyDescent="0.25">
      <c r="A19" s="50"/>
      <c r="B19" s="50"/>
      <c r="C19" s="50"/>
      <c r="D19" s="34"/>
      <c r="E19" s="34"/>
      <c r="F19" s="34"/>
      <c r="G19" s="34"/>
      <c r="H19" s="34"/>
      <c r="I19" s="34"/>
      <c r="J19" s="54"/>
      <c r="K19" s="54"/>
    </row>
    <row r="20" spans="1:14" x14ac:dyDescent="0.25">
      <c r="A20" s="50"/>
      <c r="B20" s="50"/>
      <c r="C20" s="50"/>
      <c r="D20" s="34"/>
      <c r="E20" s="34"/>
      <c r="F20" s="34"/>
      <c r="G20" s="34"/>
      <c r="H20" s="34"/>
      <c r="I20" s="34"/>
      <c r="J20" s="54"/>
      <c r="K20" s="54"/>
    </row>
    <row r="21" spans="1:14" x14ac:dyDescent="0.25">
      <c r="A21" s="50"/>
      <c r="B21" s="50"/>
      <c r="C21" s="50"/>
      <c r="D21" s="34"/>
      <c r="E21" s="34"/>
      <c r="F21" s="34"/>
      <c r="G21" s="34"/>
      <c r="H21" s="34"/>
      <c r="I21" s="34"/>
      <c r="J21" s="54"/>
      <c r="K21" s="54"/>
    </row>
    <row r="22" spans="1:14" x14ac:dyDescent="0.25">
      <c r="A22" s="50"/>
      <c r="B22" s="50"/>
      <c r="C22" s="50"/>
      <c r="D22" s="34"/>
      <c r="E22" s="34"/>
      <c r="F22" s="34"/>
      <c r="G22" s="34"/>
      <c r="H22" s="34"/>
      <c r="I22" s="34"/>
      <c r="J22" s="54"/>
      <c r="K22" s="54"/>
    </row>
    <row r="23" spans="1:14" x14ac:dyDescent="0.25">
      <c r="A23" s="50"/>
      <c r="B23" s="50"/>
      <c r="C23" s="50"/>
      <c r="D23" s="34"/>
      <c r="E23" s="34"/>
      <c r="F23" s="34"/>
      <c r="G23" s="34"/>
      <c r="H23" s="34"/>
      <c r="I23" s="34"/>
      <c r="J23" s="54"/>
      <c r="K23" s="54"/>
    </row>
    <row r="24" spans="1:14" x14ac:dyDescent="0.25">
      <c r="A24" s="50"/>
      <c r="B24" s="50"/>
      <c r="C24" s="50"/>
      <c r="D24" s="34"/>
      <c r="E24" s="34"/>
      <c r="F24" s="34"/>
      <c r="G24" s="34"/>
      <c r="H24" s="34"/>
      <c r="I24" s="34"/>
      <c r="J24" s="54"/>
      <c r="K24" s="54"/>
    </row>
    <row r="25" spans="1:14" x14ac:dyDescent="0.25">
      <c r="A25" s="50"/>
      <c r="B25" s="50"/>
      <c r="C25" s="50"/>
      <c r="D25" s="34"/>
      <c r="E25" s="34"/>
      <c r="F25" s="34"/>
      <c r="G25" s="34"/>
      <c r="H25" s="34"/>
      <c r="I25" s="34"/>
      <c r="J25" s="54"/>
      <c r="K25" s="54"/>
    </row>
    <row r="26" spans="1:14" x14ac:dyDescent="0.25">
      <c r="A26" s="50"/>
      <c r="B26" s="50"/>
      <c r="C26" s="50"/>
      <c r="D26" s="34"/>
      <c r="E26" s="34"/>
      <c r="F26" s="34"/>
      <c r="G26" s="34"/>
      <c r="H26" s="34"/>
      <c r="I26" s="34"/>
      <c r="J26" s="54"/>
      <c r="K26" s="54"/>
    </row>
    <row r="27" spans="1:14" x14ac:dyDescent="0.25">
      <c r="A27" s="50"/>
      <c r="B27" s="50"/>
      <c r="C27" s="50"/>
      <c r="D27" s="34"/>
      <c r="E27" s="34"/>
      <c r="F27" s="34"/>
      <c r="G27" s="34"/>
      <c r="H27" s="34"/>
      <c r="I27" s="34"/>
      <c r="J27" s="54"/>
      <c r="K27" s="54"/>
    </row>
    <row r="28" spans="1:14" ht="6.75" customHeight="1" x14ac:dyDescent="0.25">
      <c r="A28" s="50"/>
      <c r="B28" s="50"/>
      <c r="C28" s="50"/>
      <c r="D28" s="34"/>
      <c r="E28" s="34"/>
      <c r="F28" s="34"/>
      <c r="G28" s="34"/>
      <c r="H28" s="34"/>
      <c r="I28" s="34"/>
      <c r="J28" s="54"/>
      <c r="K28" s="54"/>
    </row>
    <row r="29" spans="1:14" ht="3.75" customHeight="1" x14ac:dyDescent="0.25">
      <c r="A29" s="50"/>
      <c r="B29" s="50"/>
      <c r="C29" s="50"/>
      <c r="D29" s="34"/>
      <c r="E29" s="34"/>
      <c r="F29" s="34"/>
      <c r="G29" s="34"/>
      <c r="H29" s="34"/>
      <c r="I29" s="34"/>
      <c r="J29" s="54"/>
      <c r="K29" s="54"/>
    </row>
    <row r="30" spans="1:14" ht="15.75" x14ac:dyDescent="0.25">
      <c r="A30" s="50"/>
      <c r="B30" s="66" t="s">
        <v>205</v>
      </c>
      <c r="C30" s="50"/>
      <c r="D30" s="34"/>
      <c r="E30" s="34"/>
      <c r="F30" s="34"/>
      <c r="G30" s="34"/>
      <c r="H30" s="34"/>
      <c r="I30" s="34"/>
      <c r="J30" s="54"/>
      <c r="K30" s="54"/>
    </row>
    <row r="31" spans="1:14" ht="3.75" customHeight="1" x14ac:dyDescent="0.25">
      <c r="A31" s="50"/>
      <c r="B31" s="50"/>
      <c r="C31" s="50"/>
      <c r="D31" s="34"/>
      <c r="E31" s="34"/>
      <c r="F31" s="34"/>
      <c r="G31" s="34"/>
      <c r="H31" s="34"/>
      <c r="I31" s="34"/>
      <c r="J31" s="54"/>
      <c r="K31" s="54"/>
    </row>
    <row r="32" spans="1:14" ht="15.75" x14ac:dyDescent="0.25">
      <c r="A32" s="55" t="s">
        <v>159</v>
      </c>
      <c r="B32" s="56" t="s">
        <v>206</v>
      </c>
      <c r="C32" s="55"/>
      <c r="D32" s="67"/>
      <c r="E32" s="57" t="s">
        <v>152</v>
      </c>
      <c r="F32" s="58" t="s">
        <v>153</v>
      </c>
      <c r="G32" s="59" t="s">
        <v>154</v>
      </c>
      <c r="H32" s="67"/>
      <c r="I32" s="34"/>
      <c r="J32" s="54"/>
      <c r="K32" s="61"/>
      <c r="L32" s="62"/>
      <c r="M32" s="62"/>
      <c r="N32" s="62"/>
    </row>
    <row r="33" spans="1:14" ht="15.75" x14ac:dyDescent="0.25">
      <c r="A33" s="50"/>
      <c r="B33" s="66" t="s">
        <v>207</v>
      </c>
      <c r="C33" s="50"/>
      <c r="D33" s="34"/>
      <c r="E33" s="63"/>
      <c r="F33" s="63"/>
      <c r="G33" s="63"/>
      <c r="H33" s="34"/>
      <c r="I33" s="34"/>
      <c r="J33" s="54"/>
      <c r="K33" s="61"/>
      <c r="L33" s="62"/>
      <c r="M33" s="62"/>
      <c r="N33" s="62"/>
    </row>
    <row r="34" spans="1:14" x14ac:dyDescent="0.25">
      <c r="A34" s="50"/>
      <c r="B34" s="50"/>
      <c r="C34" s="50"/>
      <c r="D34" s="34"/>
      <c r="E34" s="34"/>
      <c r="F34" s="34"/>
      <c r="G34" s="34"/>
      <c r="H34" s="34"/>
      <c r="I34" s="34"/>
      <c r="J34" s="54"/>
      <c r="K34" s="54"/>
    </row>
    <row r="35" spans="1:14" x14ac:dyDescent="0.25">
      <c r="A35" s="50"/>
      <c r="B35" s="50"/>
      <c r="C35" s="50"/>
      <c r="D35" s="34"/>
      <c r="E35" s="69" t="str">
        <f>IF(COUNTIF(E33:G33,"x")&gt;1,"error",IF(G33="x",6,IF(F33="x",3,IF(E33="x",0,""))))</f>
        <v/>
      </c>
      <c r="F35" s="34"/>
      <c r="G35" s="34"/>
      <c r="H35" s="34"/>
      <c r="I35" s="34"/>
      <c r="J35" s="54"/>
      <c r="K35" s="54"/>
    </row>
    <row r="36" spans="1:14" x14ac:dyDescent="0.25">
      <c r="A36" s="50"/>
      <c r="B36" s="50"/>
      <c r="C36" s="50"/>
      <c r="D36" s="34"/>
      <c r="E36" s="34"/>
      <c r="F36" s="34"/>
      <c r="G36" s="34"/>
      <c r="H36" s="34"/>
      <c r="I36" s="34"/>
      <c r="J36" s="54"/>
      <c r="K36" s="54"/>
    </row>
    <row r="37" spans="1:14" x14ac:dyDescent="0.25">
      <c r="A37" s="50"/>
      <c r="B37" s="50"/>
      <c r="C37" s="50"/>
      <c r="D37" s="34"/>
      <c r="E37" s="34"/>
      <c r="F37" s="34"/>
      <c r="G37" s="34"/>
      <c r="H37" s="34"/>
      <c r="I37" s="34"/>
      <c r="J37" s="54"/>
      <c r="K37" s="54"/>
    </row>
    <row r="38" spans="1:14" x14ac:dyDescent="0.25">
      <c r="A38" s="50"/>
      <c r="B38" s="50"/>
      <c r="C38" s="50"/>
      <c r="D38" s="34"/>
      <c r="E38" s="34"/>
      <c r="F38" s="34"/>
      <c r="G38" s="34"/>
      <c r="H38" s="34"/>
      <c r="I38" s="34"/>
      <c r="J38" s="54"/>
      <c r="K38" s="54"/>
    </row>
    <row r="39" spans="1:14" x14ac:dyDescent="0.25">
      <c r="A39" s="50"/>
      <c r="B39" s="50"/>
      <c r="C39" s="50"/>
      <c r="D39" s="34"/>
      <c r="E39" s="34"/>
      <c r="F39" s="34"/>
      <c r="G39" s="34"/>
      <c r="H39" s="34"/>
      <c r="I39" s="34"/>
      <c r="J39" s="54"/>
      <c r="K39" s="54"/>
    </row>
    <row r="40" spans="1:14" x14ac:dyDescent="0.25">
      <c r="A40" s="50"/>
      <c r="B40" s="50"/>
      <c r="C40" s="50"/>
      <c r="D40" s="34"/>
      <c r="E40" s="34"/>
      <c r="F40" s="34"/>
      <c r="G40" s="34"/>
      <c r="H40" s="34"/>
      <c r="I40" s="34"/>
      <c r="J40" s="54"/>
      <c r="K40" s="54"/>
    </row>
    <row r="41" spans="1:14" x14ac:dyDescent="0.25">
      <c r="A41" s="50"/>
      <c r="B41" s="50"/>
      <c r="C41" s="50"/>
      <c r="D41" s="34"/>
      <c r="E41" s="34"/>
      <c r="F41" s="34"/>
      <c r="G41" s="34"/>
      <c r="H41" s="34"/>
      <c r="I41" s="34"/>
      <c r="J41" s="54"/>
      <c r="K41" s="54"/>
    </row>
    <row r="42" spans="1:14" x14ac:dyDescent="0.25">
      <c r="A42" s="50"/>
      <c r="B42" s="50"/>
      <c r="C42" s="50"/>
      <c r="D42" s="34"/>
      <c r="E42" s="34"/>
      <c r="F42" s="34"/>
      <c r="G42" s="34"/>
      <c r="H42" s="34"/>
      <c r="I42" s="34"/>
      <c r="J42" s="54"/>
      <c r="K42" s="54"/>
    </row>
    <row r="43" spans="1:14" x14ac:dyDescent="0.25">
      <c r="A43" s="50"/>
      <c r="B43" s="50"/>
      <c r="C43" s="50"/>
      <c r="D43" s="34"/>
      <c r="E43" s="34"/>
      <c r="F43" s="34"/>
      <c r="G43" s="34"/>
      <c r="H43" s="34"/>
      <c r="I43" s="34"/>
      <c r="J43" s="54"/>
      <c r="K43" s="54"/>
    </row>
    <row r="44" spans="1:14" x14ac:dyDescent="0.25">
      <c r="A44" s="50"/>
      <c r="B44" s="50"/>
      <c r="C44" s="50"/>
      <c r="D44" s="34"/>
      <c r="E44" s="34"/>
      <c r="F44" s="34"/>
      <c r="G44" s="34"/>
      <c r="H44" s="34"/>
      <c r="I44" s="34"/>
      <c r="J44" s="54"/>
      <c r="K44" s="54"/>
    </row>
    <row r="45" spans="1:14" ht="4.5" customHeight="1" x14ac:dyDescent="0.25">
      <c r="A45" s="50"/>
      <c r="B45" s="50"/>
      <c r="C45" s="50"/>
      <c r="D45" s="34"/>
      <c r="E45" s="34"/>
      <c r="F45" s="34"/>
      <c r="G45" s="34"/>
      <c r="H45" s="34"/>
      <c r="I45" s="34"/>
      <c r="J45" s="54"/>
      <c r="K45" s="54"/>
    </row>
    <row r="46" spans="1:14" ht="4.5" customHeight="1" x14ac:dyDescent="0.25">
      <c r="A46" s="50"/>
      <c r="B46" s="50"/>
      <c r="C46" s="50"/>
      <c r="D46" s="34"/>
      <c r="E46" s="34"/>
      <c r="F46" s="34"/>
      <c r="G46" s="34"/>
      <c r="H46" s="34"/>
      <c r="I46" s="34"/>
      <c r="J46" s="54"/>
      <c r="K46" s="54"/>
    </row>
    <row r="47" spans="1:14" ht="4.5" customHeight="1" x14ac:dyDescent="0.25">
      <c r="A47" s="50"/>
      <c r="B47" s="50"/>
      <c r="C47" s="50"/>
      <c r="D47" s="34"/>
      <c r="E47" s="34"/>
      <c r="F47" s="34"/>
      <c r="G47" s="34"/>
      <c r="H47" s="34"/>
      <c r="I47" s="34"/>
      <c r="J47" s="54"/>
      <c r="K47" s="54"/>
    </row>
    <row r="48" spans="1:14" ht="3.75" customHeight="1" x14ac:dyDescent="0.25">
      <c r="A48" s="50"/>
      <c r="B48" s="50"/>
      <c r="C48" s="50"/>
      <c r="D48" s="34"/>
      <c r="E48" s="34"/>
      <c r="F48" s="34"/>
      <c r="G48" s="34"/>
      <c r="H48" s="34"/>
      <c r="I48" s="34"/>
      <c r="J48" s="54"/>
      <c r="K48" s="54"/>
    </row>
    <row r="49" spans="1:14" ht="15.75" x14ac:dyDescent="0.25">
      <c r="A49" s="55" t="s">
        <v>163</v>
      </c>
      <c r="B49" s="56" t="s">
        <v>208</v>
      </c>
      <c r="C49" s="55"/>
      <c r="D49" s="68"/>
      <c r="E49" s="57" t="s">
        <v>152</v>
      </c>
      <c r="F49" s="58" t="s">
        <v>153</v>
      </c>
      <c r="G49" s="59" t="s">
        <v>154</v>
      </c>
      <c r="H49" s="60" t="s">
        <v>155</v>
      </c>
      <c r="I49" s="34"/>
      <c r="J49" s="54"/>
      <c r="K49" s="61"/>
      <c r="L49" s="62"/>
      <c r="M49" s="62"/>
      <c r="N49" s="62"/>
    </row>
    <row r="50" spans="1:14" ht="15.75" x14ac:dyDescent="0.25">
      <c r="A50" s="50"/>
      <c r="B50" s="249" t="s">
        <v>209</v>
      </c>
      <c r="C50" s="249"/>
      <c r="D50" s="254"/>
      <c r="E50" s="63"/>
      <c r="F50" s="63"/>
      <c r="G50" s="63"/>
      <c r="H50" s="83"/>
      <c r="I50" s="34"/>
      <c r="J50" s="54"/>
      <c r="K50" s="61"/>
      <c r="L50" s="62"/>
      <c r="M50" s="62"/>
      <c r="N50" s="62"/>
    </row>
    <row r="51" spans="1:14" ht="6.75" customHeight="1" x14ac:dyDescent="0.25">
      <c r="A51" s="50"/>
      <c r="B51" s="50"/>
      <c r="C51" s="50"/>
      <c r="D51" s="34"/>
      <c r="E51" s="34"/>
      <c r="F51" s="34"/>
      <c r="G51" s="34"/>
      <c r="H51" s="34"/>
      <c r="I51" s="34"/>
      <c r="J51" s="54"/>
      <c r="K51" s="54"/>
    </row>
    <row r="52" spans="1:14" x14ac:dyDescent="0.25">
      <c r="A52" s="50"/>
      <c r="B52" s="50"/>
      <c r="C52" s="50"/>
      <c r="D52" s="34"/>
      <c r="E52" s="69" t="str">
        <f>IF(COUNTIF(E50:H50,"x")&gt;1,"error",IF(H50="x",3,IF(G50="x",2,IF(F50="x",1,IF(E50="x",0,"")))))</f>
        <v/>
      </c>
      <c r="F52" s="34"/>
      <c r="G52" s="34"/>
      <c r="H52" s="34"/>
      <c r="I52" s="34"/>
      <c r="J52" s="54"/>
      <c r="K52" s="54"/>
    </row>
    <row r="53" spans="1:14" x14ac:dyDescent="0.25">
      <c r="A53" s="50"/>
      <c r="B53" s="50"/>
      <c r="C53" s="50"/>
      <c r="D53" s="34"/>
      <c r="E53" s="34"/>
      <c r="F53" s="34"/>
      <c r="G53" s="34"/>
      <c r="H53" s="34"/>
      <c r="I53" s="34"/>
      <c r="J53" s="54"/>
      <c r="K53" s="54"/>
    </row>
    <row r="54" spans="1:14" x14ac:dyDescent="0.25">
      <c r="A54" s="50"/>
      <c r="B54" s="50"/>
      <c r="C54" s="50"/>
      <c r="D54" s="34"/>
      <c r="E54" s="34"/>
      <c r="F54" s="34"/>
      <c r="G54" s="34"/>
      <c r="H54" s="34"/>
      <c r="I54" s="34"/>
      <c r="J54" s="54"/>
      <c r="K54" s="54"/>
    </row>
    <row r="55" spans="1:14" x14ac:dyDescent="0.25">
      <c r="A55" s="50"/>
      <c r="B55" s="50"/>
      <c r="C55" s="50"/>
      <c r="D55" s="34"/>
      <c r="E55" s="34"/>
      <c r="F55" s="34"/>
      <c r="G55" s="34"/>
      <c r="H55" s="34"/>
      <c r="I55" s="34"/>
      <c r="J55" s="54"/>
      <c r="K55" s="54"/>
    </row>
    <row r="56" spans="1:14" x14ac:dyDescent="0.25">
      <c r="A56" s="50"/>
      <c r="B56" s="50"/>
      <c r="C56" s="50"/>
      <c r="D56" s="34"/>
      <c r="E56" s="34"/>
      <c r="F56" s="34"/>
      <c r="G56" s="34"/>
      <c r="H56" s="34"/>
      <c r="I56" s="34"/>
      <c r="J56" s="54"/>
      <c r="K56" s="54"/>
    </row>
    <row r="57" spans="1:14" x14ac:dyDescent="0.25">
      <c r="A57" s="50"/>
      <c r="B57" s="50"/>
      <c r="C57" s="50"/>
      <c r="D57" s="34"/>
      <c r="E57" s="34"/>
      <c r="F57" s="34"/>
      <c r="G57" s="34"/>
      <c r="H57" s="34"/>
      <c r="I57" s="34"/>
      <c r="J57" s="54"/>
      <c r="K57" s="54"/>
    </row>
    <row r="58" spans="1:14" x14ac:dyDescent="0.25">
      <c r="A58" s="50"/>
      <c r="B58" s="50"/>
      <c r="C58" s="50"/>
      <c r="D58" s="34"/>
      <c r="E58" s="34"/>
      <c r="F58" s="34"/>
      <c r="G58" s="34"/>
      <c r="H58" s="34"/>
      <c r="I58" s="34"/>
      <c r="J58" s="54"/>
      <c r="K58" s="54"/>
    </row>
    <row r="59" spans="1:14" x14ac:dyDescent="0.25">
      <c r="A59" s="50"/>
      <c r="B59" s="50"/>
      <c r="C59" s="50"/>
      <c r="D59" s="34"/>
      <c r="E59" s="34"/>
      <c r="F59" s="34"/>
      <c r="G59" s="34"/>
      <c r="H59" s="34"/>
      <c r="I59" s="34"/>
      <c r="J59" s="54"/>
      <c r="K59" s="54"/>
    </row>
    <row r="60" spans="1:14" x14ac:dyDescent="0.25">
      <c r="A60" s="50"/>
      <c r="B60" s="50"/>
      <c r="C60" s="50"/>
      <c r="D60" s="34"/>
      <c r="E60" s="34"/>
      <c r="F60" s="34"/>
      <c r="G60" s="34"/>
      <c r="H60" s="34"/>
      <c r="I60" s="34"/>
      <c r="J60" s="54"/>
      <c r="K60" s="54"/>
    </row>
    <row r="61" spans="1:14" x14ac:dyDescent="0.25">
      <c r="A61" s="50"/>
      <c r="B61" s="50"/>
      <c r="C61" s="50"/>
      <c r="D61" s="34"/>
      <c r="E61" s="34"/>
      <c r="F61" s="34"/>
      <c r="G61" s="34"/>
      <c r="H61" s="34"/>
      <c r="I61" s="34"/>
      <c r="J61" s="54"/>
      <c r="K61" s="54"/>
    </row>
    <row r="62" spans="1:14" x14ac:dyDescent="0.25">
      <c r="A62" s="50"/>
      <c r="B62" s="50"/>
      <c r="C62" s="50"/>
      <c r="D62" s="34"/>
      <c r="E62" s="34"/>
      <c r="F62" s="34"/>
      <c r="G62" s="34"/>
      <c r="H62" s="34"/>
      <c r="I62" s="34"/>
      <c r="J62" s="54"/>
      <c r="K62" s="54"/>
    </row>
    <row r="63" spans="1:14" ht="5.25" customHeight="1" x14ac:dyDescent="0.25">
      <c r="A63" s="50"/>
      <c r="B63" s="50"/>
      <c r="C63" s="50"/>
      <c r="D63" s="34"/>
      <c r="E63" s="34"/>
      <c r="F63" s="34"/>
      <c r="G63" s="34"/>
      <c r="H63" s="34"/>
      <c r="I63" s="34"/>
      <c r="J63" s="54"/>
      <c r="K63" s="54"/>
    </row>
    <row r="64" spans="1:14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34"/>
      <c r="J64" s="54"/>
      <c r="K64" s="54"/>
    </row>
    <row r="65" spans="1:14" ht="15.75" x14ac:dyDescent="0.25">
      <c r="A65" s="55" t="s">
        <v>166</v>
      </c>
      <c r="B65" s="56" t="s">
        <v>170</v>
      </c>
      <c r="C65" s="55"/>
      <c r="D65" s="67"/>
      <c r="E65" s="57" t="s">
        <v>152</v>
      </c>
      <c r="F65" s="58" t="s">
        <v>153</v>
      </c>
      <c r="G65" s="59" t="s">
        <v>154</v>
      </c>
      <c r="H65" s="67"/>
      <c r="I65" s="34"/>
      <c r="J65" s="54"/>
      <c r="K65" s="61"/>
      <c r="L65" s="62"/>
      <c r="M65" s="62"/>
      <c r="N65" s="62"/>
    </row>
    <row r="66" spans="1:14" ht="15.75" x14ac:dyDescent="0.25">
      <c r="A66" s="50"/>
      <c r="B66" s="66" t="s">
        <v>171</v>
      </c>
      <c r="C66" s="50"/>
      <c r="D66" s="34"/>
      <c r="E66" s="63"/>
      <c r="F66" s="63"/>
      <c r="G66" s="63"/>
      <c r="H66" s="34"/>
      <c r="I66" s="34"/>
      <c r="J66" s="54"/>
      <c r="K66" s="61"/>
      <c r="L66" s="62"/>
      <c r="M66" s="62"/>
      <c r="N66" s="62"/>
    </row>
    <row r="67" spans="1:14" ht="15.75" x14ac:dyDescent="0.25">
      <c r="A67" s="50"/>
      <c r="B67" s="66" t="s">
        <v>210</v>
      </c>
      <c r="C67" s="50"/>
      <c r="D67" s="34"/>
      <c r="E67" s="34"/>
      <c r="F67" s="34"/>
      <c r="G67" s="34"/>
      <c r="H67" s="34"/>
      <c r="I67" s="34"/>
      <c r="J67" s="54"/>
      <c r="K67" s="54"/>
    </row>
    <row r="68" spans="1:14" ht="15.75" x14ac:dyDescent="0.25">
      <c r="A68" s="50"/>
      <c r="B68" s="66" t="s">
        <v>173</v>
      </c>
      <c r="C68" s="50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54"/>
      <c r="K68" s="54"/>
    </row>
    <row r="69" spans="1:14" ht="8.25" customHeight="1" x14ac:dyDescent="0.25">
      <c r="A69" s="50"/>
      <c r="B69" s="50"/>
      <c r="C69" s="50"/>
      <c r="D69" s="34"/>
      <c r="E69" s="34"/>
      <c r="F69" s="34"/>
      <c r="G69" s="34"/>
      <c r="H69" s="34"/>
      <c r="I69" s="34"/>
      <c r="J69" s="54"/>
      <c r="K69" s="54"/>
    </row>
    <row r="70" spans="1:14" x14ac:dyDescent="0.25">
      <c r="A70" s="50"/>
      <c r="B70" s="50"/>
      <c r="C70" s="50"/>
      <c r="D70" s="34"/>
      <c r="E70" s="34"/>
      <c r="F70" s="34"/>
      <c r="G70" s="34"/>
      <c r="H70" s="34"/>
      <c r="I70" s="34"/>
      <c r="J70" s="54"/>
      <c r="K70" s="54"/>
    </row>
    <row r="71" spans="1:14" x14ac:dyDescent="0.25">
      <c r="A71" s="50"/>
      <c r="B71" s="50"/>
      <c r="C71" s="50"/>
      <c r="D71" s="34"/>
      <c r="E71" s="34"/>
      <c r="F71" s="34"/>
      <c r="G71" s="34"/>
      <c r="H71" s="34"/>
      <c r="I71" s="34"/>
      <c r="J71" s="54"/>
      <c r="K71" s="54"/>
    </row>
    <row r="72" spans="1:14" x14ac:dyDescent="0.25">
      <c r="A72" s="50"/>
      <c r="B72" s="50"/>
      <c r="C72" s="50"/>
      <c r="D72" s="34"/>
      <c r="E72" s="34"/>
      <c r="F72" s="34"/>
      <c r="G72" s="34"/>
      <c r="H72" s="34"/>
      <c r="I72" s="34"/>
      <c r="J72" s="54"/>
      <c r="K72" s="54"/>
    </row>
    <row r="73" spans="1:14" x14ac:dyDescent="0.25">
      <c r="A73" s="50"/>
      <c r="B73" s="50"/>
      <c r="C73" s="50"/>
      <c r="D73" s="34"/>
      <c r="E73" s="34"/>
      <c r="F73" s="34"/>
      <c r="G73" s="34"/>
      <c r="H73" s="34"/>
      <c r="I73" s="34"/>
      <c r="J73" s="54"/>
      <c r="K73" s="54"/>
    </row>
    <row r="74" spans="1:14" ht="5.25" customHeight="1" x14ac:dyDescent="0.25">
      <c r="A74" s="50"/>
      <c r="B74" s="50"/>
      <c r="C74" s="50"/>
      <c r="D74" s="34"/>
      <c r="E74" s="34"/>
      <c r="F74" s="34"/>
      <c r="G74" s="34"/>
      <c r="H74" s="34"/>
      <c r="I74" s="34"/>
      <c r="J74" s="54"/>
      <c r="K74" s="54"/>
    </row>
    <row r="75" spans="1:14" ht="5.25" customHeight="1" x14ac:dyDescent="0.25">
      <c r="A75" s="50"/>
      <c r="B75" s="50"/>
      <c r="C75" s="50"/>
      <c r="D75" s="34"/>
      <c r="E75" s="34"/>
      <c r="F75" s="34"/>
      <c r="G75" s="34"/>
      <c r="H75" s="34"/>
      <c r="I75" s="34"/>
      <c r="J75" s="54"/>
      <c r="K75" s="54"/>
    </row>
    <row r="76" spans="1:14" ht="15.75" x14ac:dyDescent="0.25">
      <c r="A76" s="55" t="s">
        <v>169</v>
      </c>
      <c r="B76" s="56" t="s">
        <v>175</v>
      </c>
      <c r="C76" s="55"/>
      <c r="D76" s="67"/>
      <c r="E76" s="57" t="s">
        <v>152</v>
      </c>
      <c r="F76" s="58" t="s">
        <v>153</v>
      </c>
      <c r="G76" s="59" t="s">
        <v>154</v>
      </c>
      <c r="H76" s="67"/>
      <c r="I76" s="34"/>
      <c r="J76" s="54"/>
      <c r="K76" s="61"/>
      <c r="L76" s="62"/>
      <c r="M76" s="62"/>
      <c r="N76" s="62"/>
    </row>
    <row r="77" spans="1:14" ht="15.75" x14ac:dyDescent="0.25">
      <c r="A77" s="50"/>
      <c r="B77" s="249" t="s">
        <v>211</v>
      </c>
      <c r="C77" s="249"/>
      <c r="D77" s="249"/>
      <c r="E77" s="63"/>
      <c r="F77" s="63"/>
      <c r="G77" s="63"/>
      <c r="H77" s="34"/>
      <c r="I77" s="34"/>
      <c r="J77" s="54"/>
      <c r="K77" s="61"/>
      <c r="L77" s="62"/>
      <c r="M77" s="62"/>
      <c r="N77" s="62"/>
    </row>
    <row r="78" spans="1:14" x14ac:dyDescent="0.25">
      <c r="A78" s="50"/>
      <c r="B78" s="34"/>
      <c r="C78" s="34"/>
      <c r="D78" s="34"/>
      <c r="E78" s="34"/>
      <c r="F78" s="34"/>
      <c r="G78" s="34"/>
      <c r="H78" s="34"/>
      <c r="I78" s="34"/>
      <c r="J78" s="54"/>
      <c r="K78" s="54"/>
    </row>
    <row r="79" spans="1:14" x14ac:dyDescent="0.25">
      <c r="A79" s="50"/>
      <c r="B79" s="50"/>
      <c r="C79" s="50"/>
      <c r="D79" s="34"/>
      <c r="E79" s="69" t="str">
        <f>IF(COUNTIF(E77:G77,"x")&gt;1,"error",IF(G77="x",2,IF(F77="x",1,IF(E77="x",0,""))))</f>
        <v/>
      </c>
      <c r="F79" s="34"/>
      <c r="G79" s="34"/>
      <c r="H79" s="34"/>
      <c r="I79" s="34"/>
      <c r="J79" s="54"/>
      <c r="K79" s="54"/>
    </row>
    <row r="80" spans="1:14" x14ac:dyDescent="0.25">
      <c r="A80" s="50"/>
      <c r="B80" s="50"/>
      <c r="C80" s="50"/>
      <c r="D80" s="34"/>
      <c r="E80" s="34"/>
      <c r="F80" s="34"/>
      <c r="G80" s="34"/>
      <c r="H80" s="34"/>
      <c r="I80" s="34"/>
      <c r="J80" s="54"/>
      <c r="K80" s="54"/>
    </row>
    <row r="81" spans="1:14" x14ac:dyDescent="0.25">
      <c r="A81" s="50"/>
      <c r="B81" s="50"/>
      <c r="C81" s="50"/>
      <c r="D81" s="34"/>
      <c r="E81" s="34"/>
      <c r="F81" s="34"/>
      <c r="G81" s="34"/>
      <c r="H81" s="34"/>
      <c r="I81" s="34"/>
      <c r="J81" s="54"/>
      <c r="K81" s="54"/>
    </row>
    <row r="82" spans="1:14" x14ac:dyDescent="0.25">
      <c r="A82" s="50"/>
      <c r="B82" s="50"/>
      <c r="C82" s="50"/>
      <c r="D82" s="34"/>
      <c r="E82" s="34"/>
      <c r="F82" s="34"/>
      <c r="G82" s="34"/>
      <c r="H82" s="34"/>
      <c r="I82" s="34"/>
      <c r="J82" s="54"/>
      <c r="K82" s="54"/>
    </row>
    <row r="83" spans="1:14" x14ac:dyDescent="0.25">
      <c r="A83" s="50"/>
      <c r="B83" s="50"/>
      <c r="C83" s="50"/>
      <c r="D83" s="34"/>
      <c r="E83" s="34"/>
      <c r="F83" s="34"/>
      <c r="G83" s="34"/>
      <c r="H83" s="34"/>
      <c r="I83" s="34"/>
      <c r="J83" s="54"/>
      <c r="K83" s="54"/>
    </row>
    <row r="84" spans="1:14" x14ac:dyDescent="0.25">
      <c r="A84" s="50"/>
      <c r="B84" s="50"/>
      <c r="C84" s="50"/>
      <c r="D84" s="34"/>
      <c r="E84" s="34"/>
      <c r="F84" s="34"/>
      <c r="G84" s="34"/>
      <c r="H84" s="34"/>
      <c r="I84" s="34"/>
      <c r="J84" s="54"/>
      <c r="K84" s="54"/>
    </row>
    <row r="85" spans="1:14" x14ac:dyDescent="0.25">
      <c r="A85" s="50"/>
      <c r="B85" s="50"/>
      <c r="C85" s="50"/>
      <c r="D85" s="34"/>
      <c r="E85" s="34"/>
      <c r="F85" s="34"/>
      <c r="G85" s="34"/>
      <c r="H85" s="34"/>
      <c r="I85" s="34"/>
      <c r="J85" s="54"/>
      <c r="K85" s="54"/>
    </row>
    <row r="86" spans="1:14" x14ac:dyDescent="0.25">
      <c r="A86" s="50"/>
      <c r="B86" s="50"/>
      <c r="C86" s="50"/>
      <c r="D86" s="34"/>
      <c r="E86" s="34"/>
      <c r="F86" s="34"/>
      <c r="G86" s="34"/>
      <c r="H86" s="34"/>
      <c r="I86" s="34"/>
      <c r="J86" s="54"/>
      <c r="K86" s="54"/>
    </row>
    <row r="87" spans="1:14" x14ac:dyDescent="0.25">
      <c r="A87" s="50"/>
      <c r="B87" s="50"/>
      <c r="C87" s="50"/>
      <c r="D87" s="34"/>
      <c r="E87" s="34"/>
      <c r="F87" s="34"/>
      <c r="G87" s="34"/>
      <c r="H87" s="34"/>
      <c r="I87" s="34"/>
      <c r="J87" s="54"/>
      <c r="K87" s="54"/>
    </row>
    <row r="88" spans="1:14" ht="5.25" customHeight="1" x14ac:dyDescent="0.25">
      <c r="A88" s="50"/>
      <c r="B88" s="50"/>
      <c r="C88" s="50"/>
      <c r="D88" s="34"/>
      <c r="E88" s="34"/>
      <c r="F88" s="34"/>
      <c r="G88" s="34"/>
      <c r="H88" s="34"/>
      <c r="I88" s="34"/>
      <c r="J88" s="54"/>
      <c r="K88" s="54"/>
    </row>
    <row r="89" spans="1:14" ht="5.25" customHeight="1" x14ac:dyDescent="0.25">
      <c r="A89" s="50"/>
      <c r="B89" s="50"/>
      <c r="C89" s="50"/>
      <c r="D89" s="34"/>
      <c r="E89" s="34"/>
      <c r="F89" s="34"/>
      <c r="G89" s="34"/>
      <c r="H89" s="34"/>
      <c r="I89" s="34"/>
      <c r="J89" s="54"/>
      <c r="K89" s="54"/>
    </row>
    <row r="90" spans="1:14" ht="15.75" x14ac:dyDescent="0.25">
      <c r="A90" s="55" t="s">
        <v>174</v>
      </c>
      <c r="B90" s="56" t="s">
        <v>177</v>
      </c>
      <c r="C90" s="55"/>
      <c r="D90" s="67"/>
      <c r="E90" s="57" t="s">
        <v>152</v>
      </c>
      <c r="F90" s="58" t="s">
        <v>153</v>
      </c>
      <c r="G90" s="59" t="s">
        <v>154</v>
      </c>
      <c r="H90" s="67"/>
      <c r="I90" s="34"/>
      <c r="J90" s="54"/>
      <c r="K90" s="61"/>
      <c r="L90" s="62"/>
      <c r="M90" s="62"/>
      <c r="N90" s="62"/>
    </row>
    <row r="91" spans="1:14" ht="15.75" x14ac:dyDescent="0.25">
      <c r="A91" s="50"/>
      <c r="B91" s="66" t="s">
        <v>212</v>
      </c>
      <c r="C91" s="50"/>
      <c r="D91" s="34"/>
      <c r="E91" s="63"/>
      <c r="F91" s="63"/>
      <c r="G91" s="63"/>
      <c r="H91" s="34"/>
      <c r="I91" s="34"/>
      <c r="J91" s="54"/>
      <c r="K91" s="61"/>
      <c r="L91" s="62"/>
      <c r="M91" s="62"/>
      <c r="N91" s="62"/>
    </row>
    <row r="92" spans="1:14" x14ac:dyDescent="0.25">
      <c r="A92" s="50"/>
      <c r="B92" s="50"/>
      <c r="C92" s="50"/>
      <c r="D92" s="34"/>
      <c r="E92" s="34"/>
      <c r="F92" s="34"/>
      <c r="G92" s="34"/>
      <c r="H92" s="34"/>
      <c r="I92" s="34"/>
      <c r="J92" s="54"/>
      <c r="K92" s="54"/>
    </row>
    <row r="93" spans="1:14" x14ac:dyDescent="0.25">
      <c r="A93" s="50"/>
      <c r="B93" s="50"/>
      <c r="C93" s="50"/>
      <c r="D93" s="34"/>
      <c r="E93" s="69" t="str">
        <f>IF(COUNTIF(E91:G91,"x")&gt;1,"error",IF(G91="x",2,IF(F91="x",1,IF(E91="x",0,""))))</f>
        <v/>
      </c>
      <c r="F93" s="34"/>
      <c r="G93" s="34"/>
      <c r="H93" s="34"/>
      <c r="I93" s="34"/>
      <c r="J93" s="54"/>
      <c r="K93" s="54"/>
    </row>
    <row r="94" spans="1:14" x14ac:dyDescent="0.25">
      <c r="A94" s="50"/>
      <c r="B94" s="50"/>
      <c r="C94" s="50"/>
      <c r="D94" s="34"/>
      <c r="E94" s="34"/>
      <c r="F94" s="34"/>
      <c r="G94" s="34"/>
      <c r="H94" s="34"/>
      <c r="I94" s="34"/>
      <c r="J94" s="54"/>
      <c r="K94" s="54"/>
    </row>
    <row r="95" spans="1:14" x14ac:dyDescent="0.25">
      <c r="A95" s="50"/>
      <c r="B95" s="50"/>
      <c r="C95" s="50"/>
      <c r="D95" s="34"/>
      <c r="E95" s="34"/>
      <c r="F95" s="34"/>
      <c r="G95" s="34"/>
      <c r="H95" s="34"/>
      <c r="I95" s="34"/>
      <c r="J95" s="54"/>
      <c r="K95" s="54"/>
    </row>
    <row r="96" spans="1:14" x14ac:dyDescent="0.25">
      <c r="A96" s="50"/>
      <c r="B96" s="50"/>
      <c r="C96" s="50"/>
      <c r="D96" s="34"/>
      <c r="E96" s="34"/>
      <c r="F96" s="34"/>
      <c r="G96" s="34"/>
      <c r="H96" s="34"/>
      <c r="I96" s="34"/>
      <c r="J96" s="54"/>
      <c r="K96" s="54"/>
    </row>
    <row r="97" spans="1:14" ht="9" customHeight="1" x14ac:dyDescent="0.25">
      <c r="A97" s="50"/>
      <c r="B97" s="50"/>
      <c r="C97" s="50"/>
      <c r="D97" s="34"/>
      <c r="E97" s="34"/>
      <c r="F97" s="34"/>
      <c r="G97" s="34"/>
      <c r="H97" s="34"/>
      <c r="I97" s="34"/>
      <c r="J97" s="54"/>
      <c r="K97" s="54"/>
    </row>
    <row r="98" spans="1:14" ht="4.5" customHeight="1" x14ac:dyDescent="0.25">
      <c r="A98" s="50"/>
      <c r="B98" s="50"/>
      <c r="C98" s="50"/>
      <c r="D98" s="34"/>
      <c r="E98" s="34"/>
      <c r="F98" s="34"/>
      <c r="G98" s="34"/>
      <c r="H98" s="34"/>
      <c r="I98" s="34"/>
      <c r="J98" s="54"/>
      <c r="K98" s="54"/>
    </row>
    <row r="99" spans="1:14" ht="4.5" customHeight="1" x14ac:dyDescent="0.25">
      <c r="A99" s="50"/>
      <c r="B99" s="50"/>
      <c r="C99" s="50"/>
      <c r="D99" s="34"/>
      <c r="E99" s="34"/>
      <c r="F99" s="34"/>
      <c r="G99" s="34"/>
      <c r="H99" s="34"/>
      <c r="I99" s="34"/>
      <c r="J99" s="54"/>
      <c r="K99" s="54"/>
    </row>
    <row r="100" spans="1:14" ht="15.75" x14ac:dyDescent="0.25">
      <c r="A100" s="55" t="s">
        <v>176</v>
      </c>
      <c r="B100" s="56" t="s">
        <v>180</v>
      </c>
      <c r="C100" s="55"/>
      <c r="D100" s="67"/>
      <c r="E100" s="57" t="s">
        <v>152</v>
      </c>
      <c r="F100" s="58" t="s">
        <v>153</v>
      </c>
      <c r="G100" s="59" t="s">
        <v>154</v>
      </c>
      <c r="H100" s="67"/>
      <c r="I100" s="34"/>
      <c r="J100" s="54"/>
      <c r="K100" s="61"/>
      <c r="L100" s="62"/>
      <c r="M100" s="62"/>
      <c r="N100" s="62"/>
    </row>
    <row r="101" spans="1:14" ht="15" customHeight="1" x14ac:dyDescent="0.25">
      <c r="A101" s="70">
        <v>1</v>
      </c>
      <c r="B101" s="241" t="s">
        <v>213</v>
      </c>
      <c r="C101" s="241"/>
      <c r="D101" s="241"/>
      <c r="E101" s="63"/>
      <c r="F101" s="63"/>
      <c r="G101" s="63"/>
      <c r="H101" s="34"/>
      <c r="I101" s="34"/>
      <c r="J101" s="54"/>
      <c r="K101" s="61"/>
      <c r="L101" s="62"/>
      <c r="M101" s="62"/>
      <c r="N101" s="62"/>
    </row>
    <row r="102" spans="1:14" ht="17.25" customHeight="1" x14ac:dyDescent="0.25">
      <c r="A102" s="70"/>
      <c r="B102" s="241"/>
      <c r="C102" s="241"/>
      <c r="D102" s="241"/>
      <c r="E102" s="34"/>
      <c r="F102" s="34"/>
      <c r="G102" s="34"/>
      <c r="H102" s="34"/>
      <c r="I102" s="34"/>
      <c r="J102" s="54"/>
      <c r="K102" s="54"/>
    </row>
    <row r="103" spans="1:14" x14ac:dyDescent="0.25">
      <c r="A103" s="50"/>
      <c r="B103" s="241"/>
      <c r="C103" s="241"/>
      <c r="D103" s="241"/>
      <c r="E103" s="69" t="str">
        <f>IF(COUNTIF(E101:G101,"x")&gt;1,"error",IF(G101="x",2,IF(F101="x",1,IF(E101="x",0,""))))</f>
        <v/>
      </c>
      <c r="F103" s="34"/>
      <c r="G103" s="34"/>
      <c r="H103" s="34"/>
      <c r="I103" s="34"/>
      <c r="J103" s="54"/>
      <c r="K103" s="54"/>
    </row>
    <row r="104" spans="1:14" x14ac:dyDescent="0.25">
      <c r="A104" s="50"/>
      <c r="B104" s="241"/>
      <c r="C104" s="241"/>
      <c r="D104" s="241"/>
      <c r="E104" s="34"/>
      <c r="F104" s="34"/>
      <c r="G104" s="34"/>
      <c r="H104" s="34"/>
      <c r="I104" s="34"/>
      <c r="J104" s="54"/>
      <c r="K104" s="54"/>
    </row>
    <row r="105" spans="1:14" x14ac:dyDescent="0.25">
      <c r="A105" s="50">
        <v>2</v>
      </c>
      <c r="B105" s="34" t="s">
        <v>214</v>
      </c>
      <c r="C105" s="50"/>
      <c r="D105" s="34"/>
      <c r="E105" s="34"/>
      <c r="F105" s="34"/>
      <c r="G105" s="34"/>
      <c r="H105" s="34"/>
      <c r="I105" s="34"/>
      <c r="J105" s="54"/>
      <c r="K105" s="54"/>
    </row>
    <row r="106" spans="1:14" ht="12" customHeight="1" x14ac:dyDescent="0.25">
      <c r="A106" s="50">
        <v>3</v>
      </c>
      <c r="B106" s="66" t="s">
        <v>215</v>
      </c>
      <c r="C106" s="50"/>
      <c r="D106" s="34"/>
      <c r="E106" s="34"/>
      <c r="F106" s="34"/>
      <c r="G106" s="34"/>
      <c r="H106" s="34"/>
      <c r="I106" s="34"/>
      <c r="J106" s="54"/>
      <c r="K106" s="54"/>
    </row>
    <row r="107" spans="1:14" ht="6.75" customHeight="1" x14ac:dyDescent="0.25">
      <c r="A107" s="50"/>
      <c r="B107" s="50"/>
      <c r="C107" s="50"/>
      <c r="D107" s="66"/>
      <c r="E107" s="34"/>
      <c r="F107" s="34"/>
      <c r="G107" s="34"/>
      <c r="H107" s="34"/>
      <c r="I107" s="34"/>
      <c r="J107" s="54"/>
      <c r="K107" s="54"/>
    </row>
    <row r="108" spans="1:14" ht="15.75" x14ac:dyDescent="0.25">
      <c r="A108" s="50"/>
      <c r="B108" s="50"/>
      <c r="C108" s="50"/>
      <c r="D108" s="66"/>
      <c r="E108" s="34"/>
      <c r="F108" s="34"/>
      <c r="G108" s="34"/>
      <c r="H108" s="34"/>
      <c r="I108" s="34"/>
      <c r="J108" s="54"/>
      <c r="K108" s="54"/>
    </row>
    <row r="109" spans="1:14" ht="15.75" x14ac:dyDescent="0.25">
      <c r="A109" s="50"/>
      <c r="B109" s="50"/>
      <c r="C109" s="50"/>
      <c r="D109" s="66"/>
      <c r="E109" s="34"/>
      <c r="F109" s="34"/>
      <c r="G109" s="34"/>
      <c r="H109" s="34"/>
      <c r="I109" s="34"/>
      <c r="J109" s="54"/>
      <c r="K109" s="54"/>
    </row>
    <row r="110" spans="1:14" ht="4.5" customHeight="1" x14ac:dyDescent="0.25">
      <c r="A110" s="50"/>
      <c r="B110" s="50"/>
      <c r="C110" s="50"/>
      <c r="D110" s="66"/>
      <c r="E110" s="34"/>
      <c r="F110" s="34"/>
      <c r="G110" s="34"/>
      <c r="H110" s="34"/>
      <c r="I110" s="34"/>
      <c r="J110" s="54"/>
      <c r="K110" s="54"/>
    </row>
    <row r="111" spans="1:14" ht="15.75" x14ac:dyDescent="0.25">
      <c r="A111" s="50"/>
      <c r="B111" s="50"/>
      <c r="C111" s="50"/>
      <c r="D111" s="66"/>
      <c r="E111" s="34"/>
      <c r="F111" s="34"/>
      <c r="G111" s="34"/>
      <c r="H111" s="34"/>
      <c r="I111" s="34"/>
      <c r="J111" s="54"/>
      <c r="K111" s="54"/>
    </row>
    <row r="112" spans="1:14" ht="5.25" customHeight="1" x14ac:dyDescent="0.25">
      <c r="A112" s="50"/>
      <c r="B112" s="50"/>
      <c r="C112" s="50"/>
      <c r="D112" s="66"/>
      <c r="E112" s="34"/>
      <c r="F112" s="34"/>
      <c r="G112" s="34"/>
      <c r="H112" s="34"/>
      <c r="I112" s="34"/>
      <c r="J112" s="54"/>
      <c r="K112" s="54"/>
    </row>
    <row r="113" spans="1:14" ht="16.5" customHeight="1" x14ac:dyDescent="0.25">
      <c r="A113" s="50"/>
      <c r="B113" s="50"/>
      <c r="C113" s="50"/>
      <c r="D113" s="34"/>
      <c r="E113" s="34"/>
      <c r="F113" s="34"/>
      <c r="G113" s="34"/>
      <c r="H113" s="34"/>
      <c r="I113" s="34"/>
      <c r="J113" s="54"/>
      <c r="K113" s="54"/>
    </row>
    <row r="114" spans="1:14" ht="15.75" x14ac:dyDescent="0.25">
      <c r="A114" s="55" t="s">
        <v>179</v>
      </c>
      <c r="B114" s="56" t="s">
        <v>216</v>
      </c>
      <c r="C114" s="55"/>
      <c r="D114" s="67"/>
      <c r="E114" s="57" t="s">
        <v>152</v>
      </c>
      <c r="F114" s="58" t="s">
        <v>153</v>
      </c>
      <c r="G114" s="59" t="s">
        <v>154</v>
      </c>
      <c r="H114" s="67"/>
      <c r="I114" s="34"/>
      <c r="J114" s="54"/>
      <c r="K114" s="61"/>
      <c r="L114" s="62"/>
      <c r="M114" s="62"/>
      <c r="N114" s="62"/>
    </row>
    <row r="115" spans="1:14" ht="15.75" x14ac:dyDescent="0.25">
      <c r="A115" s="50"/>
      <c r="B115" s="241" t="s">
        <v>217</v>
      </c>
      <c r="C115" s="241"/>
      <c r="D115" s="242"/>
      <c r="E115" s="63"/>
      <c r="F115" s="63"/>
      <c r="G115" s="63"/>
      <c r="H115" s="34"/>
      <c r="I115" s="34"/>
      <c r="J115" s="54"/>
      <c r="K115" s="61"/>
      <c r="L115" s="62"/>
      <c r="M115" s="62"/>
      <c r="N115" s="62"/>
    </row>
    <row r="116" spans="1:14" x14ac:dyDescent="0.25">
      <c r="A116" s="50"/>
      <c r="B116" s="50"/>
      <c r="C116" s="50"/>
      <c r="D116" s="34"/>
      <c r="E116" s="34"/>
      <c r="F116" s="34"/>
      <c r="G116" s="34"/>
      <c r="H116" s="34"/>
      <c r="I116" s="34"/>
      <c r="J116" s="54"/>
      <c r="K116" s="54"/>
    </row>
    <row r="117" spans="1:14" x14ac:dyDescent="0.25">
      <c r="A117" s="50"/>
      <c r="B117" s="50"/>
      <c r="C117" s="50"/>
      <c r="D117" s="34"/>
      <c r="E117" s="69" t="str">
        <f>IF(COUNTIF(E115:G115,"x")&gt;1,"error",IF(G115="x",3,IF(F115="x",1,IF(E115="x",0,""))))</f>
        <v/>
      </c>
      <c r="F117" s="34"/>
      <c r="G117" s="34"/>
      <c r="H117" s="34"/>
      <c r="I117" s="34"/>
      <c r="J117" s="54"/>
      <c r="K117" s="54"/>
    </row>
    <row r="118" spans="1:14" ht="6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34"/>
      <c r="J118" s="54"/>
      <c r="K118" s="54"/>
    </row>
    <row r="119" spans="1:14" x14ac:dyDescent="0.25">
      <c r="A119" s="50"/>
      <c r="B119" s="50"/>
      <c r="C119" s="50"/>
      <c r="D119" s="34"/>
      <c r="E119" s="34"/>
      <c r="F119" s="34"/>
      <c r="G119" s="34"/>
      <c r="H119" s="34"/>
      <c r="I119" s="34"/>
      <c r="J119" s="54"/>
      <c r="K119" s="54"/>
    </row>
    <row r="120" spans="1:14" x14ac:dyDescent="0.25">
      <c r="A120" s="50"/>
      <c r="B120" s="50"/>
      <c r="C120" s="50"/>
      <c r="D120" s="34"/>
      <c r="E120" s="34"/>
      <c r="F120" s="34"/>
      <c r="G120" s="34"/>
      <c r="H120" s="34"/>
      <c r="I120" s="34"/>
      <c r="J120" s="54"/>
      <c r="K120" s="54"/>
    </row>
    <row r="121" spans="1:14" ht="5.2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34"/>
      <c r="J121" s="54"/>
      <c r="K121" s="54"/>
    </row>
    <row r="122" spans="1:14" ht="6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34"/>
      <c r="J122" s="54"/>
      <c r="K122" s="54"/>
    </row>
    <row r="123" spans="1:14" ht="15.75" x14ac:dyDescent="0.25">
      <c r="A123" s="55" t="s">
        <v>218</v>
      </c>
      <c r="B123" s="56" t="s">
        <v>219</v>
      </c>
      <c r="C123" s="55"/>
      <c r="D123" s="67"/>
      <c r="E123" s="57" t="s">
        <v>152</v>
      </c>
      <c r="F123" s="58" t="s">
        <v>153</v>
      </c>
      <c r="G123" s="59" t="s">
        <v>154</v>
      </c>
      <c r="H123" s="67"/>
      <c r="I123" s="34"/>
      <c r="J123" s="54"/>
      <c r="K123" s="61"/>
      <c r="L123" s="62"/>
      <c r="M123" s="62"/>
      <c r="N123" s="62"/>
    </row>
    <row r="124" spans="1:14" ht="15.75" x14ac:dyDescent="0.25">
      <c r="A124" s="50">
        <v>1</v>
      </c>
      <c r="B124" s="66" t="s">
        <v>220</v>
      </c>
      <c r="C124" s="50"/>
      <c r="D124" s="34"/>
      <c r="E124" s="63"/>
      <c r="F124" s="63"/>
      <c r="G124" s="63"/>
      <c r="H124" s="34"/>
      <c r="I124" s="34"/>
      <c r="J124" s="54"/>
      <c r="K124" s="61"/>
      <c r="L124" s="62"/>
      <c r="M124" s="62"/>
      <c r="N124" s="62"/>
    </row>
    <row r="125" spans="1:14" ht="15.75" x14ac:dyDescent="0.25">
      <c r="A125" s="50">
        <v>2</v>
      </c>
      <c r="B125" s="66" t="s">
        <v>221</v>
      </c>
      <c r="C125" s="50"/>
      <c r="D125" s="34"/>
      <c r="E125" s="34"/>
      <c r="F125" s="34"/>
      <c r="G125" s="34"/>
      <c r="H125" s="34"/>
      <c r="I125" s="34"/>
      <c r="J125" s="54"/>
      <c r="K125" s="54"/>
    </row>
    <row r="126" spans="1:14" ht="15.75" x14ac:dyDescent="0.25">
      <c r="A126" s="50">
        <v>3</v>
      </c>
      <c r="B126" s="66" t="s">
        <v>222</v>
      </c>
      <c r="C126" s="50"/>
      <c r="D126" s="34"/>
      <c r="E126" s="69" t="str">
        <f>IF(COUNTIF(E124:G124,"x")&gt;1,"error",IF(G124="x",3,IF(F124="x",1,IF(E124="x",0,""))))</f>
        <v/>
      </c>
      <c r="F126" s="34"/>
      <c r="G126" s="34"/>
      <c r="H126" s="34"/>
      <c r="I126" s="34"/>
      <c r="J126" s="54"/>
      <c r="K126" s="54"/>
    </row>
    <row r="127" spans="1:14" ht="15.75" x14ac:dyDescent="0.25">
      <c r="A127" s="50">
        <v>4</v>
      </c>
      <c r="B127" s="66" t="s">
        <v>223</v>
      </c>
      <c r="C127" s="50"/>
      <c r="D127" s="34"/>
      <c r="E127" s="34"/>
      <c r="F127" s="34"/>
      <c r="G127" s="34"/>
      <c r="H127" s="34"/>
      <c r="I127" s="34"/>
      <c r="J127" s="54"/>
      <c r="K127" s="54"/>
    </row>
    <row r="128" spans="1:14" ht="4.5" customHeight="1" x14ac:dyDescent="0.25">
      <c r="A128" s="50"/>
      <c r="B128" s="50"/>
      <c r="C128" s="50"/>
      <c r="D128" s="34"/>
      <c r="E128" s="34"/>
      <c r="F128" s="34"/>
      <c r="G128" s="34"/>
      <c r="H128" s="34"/>
      <c r="I128" s="34"/>
      <c r="J128" s="54"/>
      <c r="K128" s="54"/>
    </row>
    <row r="129" spans="1:11" ht="4.5" customHeight="1" x14ac:dyDescent="0.25">
      <c r="A129" s="50"/>
      <c r="B129" s="50"/>
      <c r="C129" s="50"/>
      <c r="D129" s="34"/>
      <c r="E129" s="34"/>
      <c r="F129" s="34"/>
      <c r="G129" s="34"/>
      <c r="H129" s="34"/>
      <c r="I129" s="34"/>
      <c r="J129" s="54"/>
      <c r="K129" s="54"/>
    </row>
    <row r="130" spans="1:11" ht="4.5" customHeight="1" x14ac:dyDescent="0.25">
      <c r="A130" s="50"/>
      <c r="B130" s="50"/>
      <c r="C130" s="50"/>
      <c r="D130" s="34"/>
      <c r="E130" s="34"/>
      <c r="F130" s="34"/>
      <c r="G130" s="34"/>
      <c r="H130" s="34"/>
      <c r="I130" s="34"/>
      <c r="J130" s="54"/>
      <c r="K130" s="54"/>
    </row>
    <row r="131" spans="1:11" x14ac:dyDescent="0.25">
      <c r="A131" s="50"/>
      <c r="B131" s="50"/>
      <c r="C131" s="50"/>
      <c r="D131" s="34"/>
      <c r="E131" s="34"/>
      <c r="F131" s="34"/>
      <c r="G131" s="34"/>
      <c r="H131" s="34"/>
      <c r="I131" s="34"/>
      <c r="J131" s="54"/>
      <c r="K131" s="54"/>
    </row>
    <row r="132" spans="1:11" ht="6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34"/>
      <c r="J132" s="54"/>
      <c r="K132" s="54"/>
    </row>
    <row r="133" spans="1:11" x14ac:dyDescent="0.25">
      <c r="A133" s="50"/>
      <c r="B133" s="50"/>
      <c r="C133" s="50"/>
      <c r="D133" s="34"/>
      <c r="E133" s="34"/>
      <c r="F133" s="34"/>
      <c r="G133" s="34"/>
      <c r="H133" s="34"/>
      <c r="I133" s="34"/>
      <c r="J133" s="54"/>
      <c r="K133" s="54"/>
    </row>
    <row r="134" spans="1:11" x14ac:dyDescent="0.25">
      <c r="A134" s="50"/>
      <c r="B134" s="50"/>
      <c r="C134" s="50"/>
      <c r="D134" s="34"/>
      <c r="E134" s="34"/>
      <c r="F134" s="34"/>
      <c r="G134" s="34"/>
      <c r="H134" s="34"/>
      <c r="I134" s="34"/>
      <c r="J134" s="54"/>
      <c r="K134" s="54"/>
    </row>
    <row r="135" spans="1:11" x14ac:dyDescent="0.25">
      <c r="A135" s="50"/>
      <c r="B135" s="50"/>
      <c r="C135" s="50"/>
      <c r="D135" s="34"/>
      <c r="E135" s="34"/>
      <c r="F135" s="34"/>
      <c r="G135" s="34"/>
      <c r="H135" s="34"/>
      <c r="I135" s="34"/>
      <c r="J135" s="54"/>
      <c r="K135" s="54"/>
    </row>
    <row r="136" spans="1:11" ht="13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34"/>
      <c r="J136" s="54"/>
      <c r="K136" s="54"/>
    </row>
    <row r="137" spans="1:11" ht="6" customHeight="1" x14ac:dyDescent="0.25">
      <c r="A137" s="50"/>
      <c r="B137" s="50"/>
      <c r="C137" s="50"/>
      <c r="D137" s="34"/>
      <c r="E137" s="34"/>
      <c r="F137" s="34"/>
      <c r="G137" s="34"/>
      <c r="H137" s="34"/>
      <c r="I137" s="34"/>
      <c r="J137" s="54"/>
      <c r="K137" s="54"/>
    </row>
    <row r="138" spans="1:11" ht="6" customHeight="1" x14ac:dyDescent="0.25">
      <c r="A138" s="50"/>
      <c r="B138" s="50"/>
      <c r="C138" s="50"/>
      <c r="D138" s="34"/>
      <c r="E138" s="34"/>
      <c r="F138" s="34"/>
      <c r="G138" s="34"/>
      <c r="H138" s="34"/>
      <c r="I138" s="34"/>
      <c r="J138" s="54"/>
      <c r="K138" s="54"/>
    </row>
    <row r="139" spans="1:11" ht="15.75" x14ac:dyDescent="0.25">
      <c r="A139" s="56"/>
      <c r="B139" s="56" t="s">
        <v>184</v>
      </c>
      <c r="C139" s="56"/>
      <c r="D139" s="34"/>
      <c r="E139" s="67"/>
      <c r="F139" s="67"/>
      <c r="G139" s="67"/>
      <c r="H139" s="67"/>
      <c r="I139" s="34"/>
      <c r="J139" s="34"/>
      <c r="K139" s="34"/>
    </row>
    <row r="140" spans="1:11" ht="15.75" x14ac:dyDescent="0.25">
      <c r="A140" s="55"/>
      <c r="B140" s="71" t="s">
        <v>185</v>
      </c>
      <c r="C140" s="55"/>
      <c r="D140" s="67"/>
      <c r="E140" s="67"/>
      <c r="F140" s="67"/>
      <c r="G140" s="67"/>
      <c r="H140" s="67"/>
      <c r="I140" s="34"/>
      <c r="J140" s="34"/>
      <c r="K140" s="34"/>
    </row>
    <row r="141" spans="1:11" ht="6" customHeight="1" thickBot="1" x14ac:dyDescent="0.3">
      <c r="A141" s="50"/>
      <c r="B141" s="50"/>
      <c r="C141" s="50"/>
      <c r="D141" s="34"/>
      <c r="E141" s="34"/>
      <c r="F141" s="34"/>
      <c r="G141" s="34"/>
      <c r="H141" s="34"/>
      <c r="I141" s="34"/>
      <c r="J141" s="34"/>
      <c r="K141" s="34"/>
    </row>
    <row r="142" spans="1:11" ht="18.75" customHeight="1" thickBot="1" x14ac:dyDescent="0.3">
      <c r="A142" s="50"/>
      <c r="B142" s="50"/>
      <c r="C142" s="255" t="s">
        <v>186</v>
      </c>
      <c r="D142" s="256"/>
      <c r="E142" s="237" t="s">
        <v>187</v>
      </c>
      <c r="F142" s="238"/>
      <c r="G142" s="34"/>
      <c r="H142" s="34"/>
      <c r="I142" s="34"/>
      <c r="J142" s="34"/>
      <c r="K142" s="34"/>
    </row>
    <row r="143" spans="1:11" ht="18.75" customHeight="1" thickBot="1" x14ac:dyDescent="0.3">
      <c r="A143" s="50"/>
      <c r="B143" s="50"/>
      <c r="C143" s="257"/>
      <c r="D143" s="258"/>
      <c r="E143" s="84" t="s">
        <v>188</v>
      </c>
      <c r="F143" s="140" t="s">
        <v>189</v>
      </c>
      <c r="G143" s="34"/>
      <c r="H143" s="34"/>
      <c r="I143" s="34"/>
      <c r="J143" s="34"/>
      <c r="K143" s="34"/>
    </row>
    <row r="144" spans="1:11" ht="18.75" customHeight="1" thickBot="1" x14ac:dyDescent="0.3">
      <c r="A144" s="50"/>
      <c r="B144" s="85" t="s">
        <v>56</v>
      </c>
      <c r="C144" s="252" t="s">
        <v>190</v>
      </c>
      <c r="D144" s="253"/>
      <c r="E144" s="86" t="str">
        <f>$E$13</f>
        <v/>
      </c>
      <c r="F144" s="86" t="str">
        <f>E144</f>
        <v/>
      </c>
      <c r="G144" s="34"/>
      <c r="H144" s="34"/>
      <c r="I144" s="34"/>
      <c r="J144" s="34"/>
      <c r="K144" s="34"/>
    </row>
    <row r="145" spans="1:11" ht="18.75" customHeight="1" thickBot="1" x14ac:dyDescent="0.3">
      <c r="A145" s="50"/>
      <c r="B145" s="85" t="s">
        <v>58</v>
      </c>
      <c r="C145" s="252" t="s">
        <v>191</v>
      </c>
      <c r="D145" s="253"/>
      <c r="E145" s="86" t="str">
        <f>$E$35</f>
        <v/>
      </c>
      <c r="F145" s="86" t="str">
        <f t="shared" ref="F145:F152" si="0">E145</f>
        <v/>
      </c>
      <c r="G145" s="34"/>
      <c r="H145" s="34"/>
      <c r="I145" s="34"/>
      <c r="J145" s="34"/>
      <c r="K145" s="34"/>
    </row>
    <row r="146" spans="1:11" ht="18.75" customHeight="1" thickBot="1" x14ac:dyDescent="0.3">
      <c r="A146" s="50"/>
      <c r="B146" s="85" t="s">
        <v>60</v>
      </c>
      <c r="C146" s="252" t="s">
        <v>193</v>
      </c>
      <c r="D146" s="253"/>
      <c r="E146" s="86" t="str">
        <f>$E$52</f>
        <v/>
      </c>
      <c r="F146" s="86" t="str">
        <f t="shared" si="0"/>
        <v/>
      </c>
      <c r="G146" s="34"/>
      <c r="H146" s="34"/>
      <c r="I146" s="34"/>
      <c r="J146" s="34"/>
      <c r="K146" s="34"/>
    </row>
    <row r="147" spans="1:11" ht="18.75" customHeight="1" thickBot="1" x14ac:dyDescent="0.3">
      <c r="A147" s="50"/>
      <c r="B147" s="85" t="s">
        <v>63</v>
      </c>
      <c r="C147" s="252" t="s">
        <v>194</v>
      </c>
      <c r="D147" s="253"/>
      <c r="E147" s="86" t="str">
        <f>$E$68</f>
        <v/>
      </c>
      <c r="F147" s="86" t="str">
        <f t="shared" si="0"/>
        <v/>
      </c>
      <c r="G147" s="34"/>
      <c r="H147" s="34"/>
      <c r="I147" s="34"/>
      <c r="J147" s="34"/>
      <c r="K147" s="34"/>
    </row>
    <row r="148" spans="1:11" ht="18.75" customHeight="1" thickBot="1" x14ac:dyDescent="0.3">
      <c r="A148" s="50"/>
      <c r="B148" s="85" t="s">
        <v>66</v>
      </c>
      <c r="C148" s="252" t="s">
        <v>175</v>
      </c>
      <c r="D148" s="253"/>
      <c r="E148" s="86" t="str">
        <f>$E$79</f>
        <v/>
      </c>
      <c r="F148" s="86" t="str">
        <f t="shared" si="0"/>
        <v/>
      </c>
      <c r="G148" s="34"/>
      <c r="H148" s="34"/>
      <c r="I148" s="34"/>
      <c r="J148" s="34"/>
      <c r="K148" s="34"/>
    </row>
    <row r="149" spans="1:11" ht="18.75" customHeight="1" thickBot="1" x14ac:dyDescent="0.3">
      <c r="A149" s="50"/>
      <c r="B149" s="85" t="s">
        <v>69</v>
      </c>
      <c r="C149" s="252" t="s">
        <v>195</v>
      </c>
      <c r="D149" s="253"/>
      <c r="E149" s="86" t="str">
        <f>$E$93</f>
        <v/>
      </c>
      <c r="F149" s="86" t="str">
        <f t="shared" si="0"/>
        <v/>
      </c>
      <c r="G149" s="34"/>
      <c r="H149" s="34"/>
      <c r="I149" s="34"/>
      <c r="J149" s="34"/>
      <c r="K149" s="34"/>
    </row>
    <row r="150" spans="1:11" ht="18.75" customHeight="1" thickBot="1" x14ac:dyDescent="0.3">
      <c r="A150" s="50"/>
      <c r="B150" s="85" t="s">
        <v>71</v>
      </c>
      <c r="C150" s="252" t="s">
        <v>196</v>
      </c>
      <c r="D150" s="253"/>
      <c r="E150" s="86" t="str">
        <f>$E$103</f>
        <v/>
      </c>
      <c r="F150" s="86" t="str">
        <f t="shared" si="0"/>
        <v/>
      </c>
      <c r="G150" s="34"/>
      <c r="H150" s="34"/>
      <c r="I150" s="34"/>
      <c r="J150" s="34"/>
      <c r="K150" s="34"/>
    </row>
    <row r="151" spans="1:11" ht="18.75" customHeight="1" thickBot="1" x14ac:dyDescent="0.3">
      <c r="A151" s="50"/>
      <c r="B151" s="85" t="s">
        <v>73</v>
      </c>
      <c r="C151" s="252" t="s">
        <v>224</v>
      </c>
      <c r="D151" s="253"/>
      <c r="E151" s="86" t="str">
        <f>$E$117</f>
        <v/>
      </c>
      <c r="F151" s="86" t="str">
        <f t="shared" si="0"/>
        <v/>
      </c>
      <c r="G151" s="34"/>
      <c r="H151" s="34"/>
      <c r="I151" s="34"/>
      <c r="J151" s="34"/>
      <c r="K151" s="34"/>
    </row>
    <row r="152" spans="1:11" ht="18.75" customHeight="1" thickBot="1" x14ac:dyDescent="0.3">
      <c r="A152" s="50"/>
      <c r="B152" s="85" t="s">
        <v>81</v>
      </c>
      <c r="C152" s="252" t="s">
        <v>225</v>
      </c>
      <c r="D152" s="253"/>
      <c r="E152" s="86" t="str">
        <f>$E$126</f>
        <v/>
      </c>
      <c r="F152" s="86" t="str">
        <f t="shared" si="0"/>
        <v/>
      </c>
      <c r="G152" s="34"/>
      <c r="H152" s="34"/>
      <c r="I152" s="34"/>
      <c r="J152" s="34"/>
      <c r="K152" s="34"/>
    </row>
    <row r="153" spans="1:11" ht="18.75" customHeight="1" thickBot="1" x14ac:dyDescent="0.3">
      <c r="A153" s="50"/>
      <c r="B153" s="50"/>
      <c r="C153" s="250" t="s">
        <v>197</v>
      </c>
      <c r="D153" s="251"/>
      <c r="E153" s="239">
        <f>SUM(E144:E152)</f>
        <v>0</v>
      </c>
      <c r="F153" s="240"/>
      <c r="G153" s="34"/>
      <c r="H153" s="34"/>
      <c r="I153" s="34"/>
      <c r="J153" s="34"/>
      <c r="K153" s="34"/>
    </row>
    <row r="154" spans="1:11" ht="18.75" customHeight="1" thickBot="1" x14ac:dyDescent="0.3">
      <c r="A154" s="50"/>
      <c r="B154" s="50"/>
      <c r="C154" s="250" t="s">
        <v>198</v>
      </c>
      <c r="D154" s="251"/>
      <c r="E154" s="239">
        <f>E153</f>
        <v>0</v>
      </c>
      <c r="F154" s="240"/>
      <c r="G154" s="34"/>
      <c r="H154" s="34"/>
      <c r="I154" s="34"/>
      <c r="J154" s="34"/>
      <c r="K154" s="34"/>
    </row>
    <row r="155" spans="1:11" ht="5.25" customHeight="1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  <c r="K155" s="34"/>
    </row>
    <row r="156" spans="1:11" ht="15.75" x14ac:dyDescent="0.25">
      <c r="A156" s="55"/>
      <c r="B156" s="71" t="s">
        <v>199</v>
      </c>
      <c r="C156" s="55"/>
      <c r="D156" s="67"/>
      <c r="E156" s="67"/>
      <c r="F156" s="67"/>
      <c r="G156" s="67"/>
      <c r="H156" s="67"/>
      <c r="I156" s="34"/>
      <c r="J156" s="34"/>
      <c r="K156" s="34"/>
    </row>
    <row r="157" spans="1:1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  <c r="K165" s="34"/>
    </row>
    <row r="166" spans="1:11" ht="15.75" x14ac:dyDescent="0.25">
      <c r="A166" s="55"/>
      <c r="B166" s="71" t="s">
        <v>200</v>
      </c>
      <c r="C166" s="55"/>
      <c r="D166" s="67"/>
      <c r="E166" s="67"/>
      <c r="F166" s="67"/>
      <c r="G166" s="67"/>
      <c r="H166" s="67"/>
      <c r="I166" s="34"/>
      <c r="J166" s="34"/>
      <c r="K166" s="34"/>
    </row>
    <row r="167" spans="1:11" ht="3.75" customHeight="1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  <c r="K167" s="34"/>
    </row>
    <row r="168" spans="1:11" ht="3.75" customHeight="1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  <c r="K168" s="34"/>
    </row>
    <row r="169" spans="1:11" ht="3.75" customHeight="1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  <c r="K169" s="34"/>
    </row>
    <row r="170" spans="1:11" ht="9" customHeight="1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50"/>
      <c r="B176" s="50"/>
      <c r="C176" s="50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  <c r="K184" s="81"/>
    </row>
    <row r="185" spans="1:11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  <c r="K185" s="81"/>
    </row>
    <row r="186" spans="1:11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  <c r="K187" s="81"/>
    </row>
    <row r="188" spans="1:11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  <c r="K188" s="81"/>
    </row>
    <row r="189" spans="1:11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  <c r="K189" s="81"/>
    </row>
    <row r="190" spans="1:11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  <c r="K190" s="81"/>
    </row>
    <row r="191" spans="1:11" x14ac:dyDescent="0.25">
      <c r="A191" s="80"/>
      <c r="B191" s="80"/>
      <c r="C191" s="80"/>
      <c r="D191" s="81"/>
      <c r="E191" s="81"/>
      <c r="F191" s="81"/>
      <c r="G191" s="81"/>
      <c r="H191" s="81"/>
      <c r="I191" s="81"/>
      <c r="J191" s="81"/>
      <c r="K191" s="81"/>
    </row>
    <row r="192" spans="1:11" x14ac:dyDescent="0.25">
      <c r="A192" s="80"/>
      <c r="B192" s="80"/>
      <c r="C192" s="80"/>
      <c r="D192" s="81"/>
      <c r="E192" s="81"/>
      <c r="F192" s="81"/>
      <c r="G192" s="81"/>
      <c r="H192" s="81"/>
      <c r="I192" s="81"/>
      <c r="J192" s="81"/>
      <c r="K192" s="81"/>
    </row>
    <row r="193" spans="1:11" x14ac:dyDescent="0.25">
      <c r="A193" s="80"/>
      <c r="B193" s="80"/>
      <c r="C193" s="80"/>
      <c r="D193" s="81"/>
      <c r="E193" s="81"/>
      <c r="F193" s="81"/>
      <c r="G193" s="81"/>
      <c r="H193" s="81"/>
      <c r="I193" s="81"/>
      <c r="J193" s="81"/>
      <c r="K193" s="81"/>
    </row>
    <row r="194" spans="1:11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  <c r="K194" s="81"/>
    </row>
    <row r="195" spans="1:11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  <c r="K195" s="81"/>
    </row>
    <row r="196" spans="1:11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  <c r="K196" s="81"/>
    </row>
    <row r="197" spans="1:11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  <c r="K197" s="81"/>
    </row>
    <row r="198" spans="1:11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  <c r="K198" s="81"/>
    </row>
    <row r="199" spans="1:11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  <c r="K199" s="81"/>
    </row>
    <row r="200" spans="1:11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  <c r="K200" s="81"/>
    </row>
  </sheetData>
  <sheetProtection algorithmName="SHA-512" hashValue="lScS9TBrfU1vpG3qBOeI3hA9y6fD/+EpQ3Nptt8MPP43dpdlto9VUiIn+u2w405pXS6l14oDFts7+0ZAxvvfWw==" saltValue="gQiTs+P1SsDy8L3LrfpvgA==" spinCount="100000" sheet="1" objects="1" scenarios="1" selectLockedCells="1"/>
  <mergeCells count="25">
    <mergeCell ref="E142:F142"/>
    <mergeCell ref="A3:B3"/>
    <mergeCell ref="C3:D3"/>
    <mergeCell ref="F3:H3"/>
    <mergeCell ref="C4:D4"/>
    <mergeCell ref="C5:D5"/>
    <mergeCell ref="C6:D6"/>
    <mergeCell ref="B50:D50"/>
    <mergeCell ref="B77:D77"/>
    <mergeCell ref="B101:D104"/>
    <mergeCell ref="B115:D115"/>
    <mergeCell ref="C142:D143"/>
    <mergeCell ref="C154:D154"/>
    <mergeCell ref="E154:F154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E153:F153"/>
  </mergeCells>
  <conditionalFormatting sqref="F144:F152">
    <cfRule type="containsText" dxfId="159" priority="15" operator="containsText" text="morado">
      <formula>NOT(ISERROR(SEARCH("morado",F144)))</formula>
    </cfRule>
    <cfRule type="containsText" dxfId="158" priority="16" operator="containsText" text="rojo">
      <formula>NOT(ISERROR(SEARCH("rojo",F144)))</formula>
    </cfRule>
    <cfRule type="containsText" dxfId="157" priority="17" operator="containsText" text="naranja">
      <formula>NOT(ISERROR(SEARCH("naranja",F144)))</formula>
    </cfRule>
    <cfRule type="containsText" dxfId="156" priority="18" operator="containsText" text="verde">
      <formula>NOT(ISERROR(SEARCH("verde",F144)))</formula>
    </cfRule>
  </conditionalFormatting>
  <conditionalFormatting sqref="E154:F154">
    <cfRule type="cellIs" dxfId="155" priority="14" operator="between">
      <formula>0</formula>
      <formula>4</formula>
    </cfRule>
  </conditionalFormatting>
  <conditionalFormatting sqref="E154:F154">
    <cfRule type="cellIs" dxfId="154" priority="11" operator="between">
      <formula>21</formula>
      <formula>100</formula>
    </cfRule>
    <cfRule type="cellIs" dxfId="153" priority="12" operator="between">
      <formula>13</formula>
      <formula>20</formula>
    </cfRule>
    <cfRule type="cellIs" dxfId="152" priority="13" operator="between">
      <formula>5</formula>
      <formula>12</formula>
    </cfRule>
  </conditionalFormatting>
  <conditionalFormatting sqref="E144:E152">
    <cfRule type="cellIs" dxfId="151" priority="10" operator="equal">
      <formula>0</formula>
    </cfRule>
  </conditionalFormatting>
  <conditionalFormatting sqref="E144">
    <cfRule type="cellIs" dxfId="150" priority="7" operator="equal">
      <formula>10</formula>
    </cfRule>
    <cfRule type="cellIs" dxfId="149" priority="8" operator="equal">
      <formula>6</formula>
    </cfRule>
    <cfRule type="cellIs" dxfId="148" priority="9" operator="equal">
      <formula>4</formula>
    </cfRule>
  </conditionalFormatting>
  <conditionalFormatting sqref="E145">
    <cfRule type="cellIs" dxfId="147" priority="5" operator="equal">
      <formula>6</formula>
    </cfRule>
    <cfRule type="cellIs" dxfId="146" priority="6" operator="equal">
      <formula>3</formula>
    </cfRule>
  </conditionalFormatting>
  <conditionalFormatting sqref="E146:E152">
    <cfRule type="cellIs" dxfId="145" priority="4" operator="equal">
      <formula>1</formula>
    </cfRule>
  </conditionalFormatting>
  <conditionalFormatting sqref="E146 E148:E150">
    <cfRule type="cellIs" dxfId="144" priority="3" operator="equal">
      <formula>2</formula>
    </cfRule>
  </conditionalFormatting>
  <conditionalFormatting sqref="E147 E151:E152">
    <cfRule type="cellIs" dxfId="143" priority="2" operator="equal">
      <formula>3</formula>
    </cfRule>
  </conditionalFormatting>
  <conditionalFormatting sqref="E146">
    <cfRule type="cellIs" dxfId="142" priority="1" operator="equal">
      <formula>3</formula>
    </cfRule>
  </conditionalFormatting>
  <dataValidations count="1">
    <dataValidation type="list" allowBlank="1" showInputMessage="1" showErrorMessage="1" sqref="E33:G33 E66:G66 E77:G77 E91:G91 E101:G101 E115:G115 E124:G124 E50:H50 E11:H11" xr:uid="{00000000-0002-0000-0200-000000000000}">
      <formula1>$A$13:$A$14</formula1>
    </dataValidation>
  </dataValidations>
  <pageMargins left="0" right="0" top="0.75" bottom="0.5" header="0.3" footer="0.3"/>
  <pageSetup scale="74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5" max="7" man="1"/>
    <brk id="1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90"/>
  <sheetViews>
    <sheetView showGridLines="0" view="pageBreakPreview" topLeftCell="A20" zoomScaleNormal="55" zoomScaleSheetLayoutView="100" workbookViewId="0">
      <selection activeCell="F119" sqref="F119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86.42578125" style="52" customWidth="1"/>
    <col min="5" max="9" width="8.28515625" style="52" customWidth="1"/>
    <col min="10" max="10" width="9.28515625" style="52"/>
    <col min="11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J1" s="34"/>
    </row>
    <row r="2" spans="1:13" ht="14.25" customHeight="1" x14ac:dyDescent="0.25">
      <c r="A2" s="50"/>
      <c r="B2" s="50"/>
      <c r="C2" s="50"/>
      <c r="D2" s="51" t="s">
        <v>226</v>
      </c>
      <c r="E2" s="34"/>
      <c r="F2" s="34"/>
      <c r="G2" s="34"/>
      <c r="H2" s="34"/>
      <c r="J2" s="34"/>
    </row>
    <row r="3" spans="1:13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J3" s="34"/>
    </row>
    <row r="4" spans="1:13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J4" s="34"/>
    </row>
    <row r="5" spans="1:13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J5" s="34"/>
    </row>
    <row r="6" spans="1:13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J6" s="34"/>
    </row>
    <row r="7" spans="1:13" ht="8.25" customHeight="1" x14ac:dyDescent="0.25">
      <c r="A7" s="50"/>
      <c r="B7" s="50"/>
      <c r="C7" s="50"/>
      <c r="D7" s="51"/>
      <c r="E7" s="34"/>
      <c r="F7" s="34"/>
      <c r="G7" s="34"/>
      <c r="H7" s="34"/>
      <c r="J7" s="34"/>
    </row>
    <row r="8" spans="1:13" ht="15.75" x14ac:dyDescent="0.25">
      <c r="A8" s="56"/>
      <c r="B8" s="56" t="s">
        <v>228</v>
      </c>
      <c r="C8" s="56"/>
      <c r="D8" s="67"/>
      <c r="E8" s="67"/>
      <c r="F8" s="67"/>
      <c r="G8" s="67"/>
      <c r="H8" s="67"/>
      <c r="J8" s="54"/>
    </row>
    <row r="9" spans="1:13" x14ac:dyDescent="0.25">
      <c r="A9" s="55" t="s">
        <v>150</v>
      </c>
      <c r="B9" s="67" t="s">
        <v>229</v>
      </c>
      <c r="C9" s="55"/>
      <c r="D9" s="67"/>
      <c r="E9" s="57" t="s">
        <v>152</v>
      </c>
      <c r="F9" s="58" t="s">
        <v>153</v>
      </c>
      <c r="G9" s="59" t="s">
        <v>154</v>
      </c>
      <c r="H9" s="87" t="s">
        <v>155</v>
      </c>
      <c r="J9" s="54"/>
      <c r="K9" s="88"/>
    </row>
    <row r="10" spans="1:13" ht="15.75" x14ac:dyDescent="0.25">
      <c r="A10" s="50"/>
      <c r="B10" s="66" t="s">
        <v>230</v>
      </c>
      <c r="C10" s="50"/>
      <c r="D10" s="34"/>
      <c r="E10" s="63"/>
      <c r="F10" s="63"/>
      <c r="G10" s="63"/>
      <c r="H10" s="63"/>
      <c r="J10" s="61"/>
      <c r="K10" s="62"/>
      <c r="L10" s="62"/>
      <c r="M10" s="62"/>
    </row>
    <row r="11" spans="1:13" ht="15.75" x14ac:dyDescent="0.25">
      <c r="A11" s="50"/>
      <c r="B11" s="50"/>
      <c r="C11" s="50"/>
      <c r="D11" s="66"/>
      <c r="E11" s="34"/>
      <c r="F11" s="34"/>
      <c r="G11" s="34"/>
      <c r="H11" s="34"/>
      <c r="J11" s="61"/>
      <c r="K11" s="62"/>
      <c r="L11" s="62"/>
      <c r="M11" s="62"/>
    </row>
    <row r="12" spans="1:13" x14ac:dyDescent="0.25">
      <c r="A12" s="50"/>
      <c r="B12" s="50"/>
      <c r="C12" s="50"/>
      <c r="D12" s="34"/>
      <c r="E12" s="69" t="str">
        <f>IF(COUNTIF(E10:H10,"x")&gt;1,"error",IF(H10="x",10,IF(G10="x",6,IF(F10="x",4,IF(E10="x",0,"")))))</f>
        <v/>
      </c>
      <c r="F12" s="34"/>
      <c r="G12" s="34"/>
      <c r="H12" s="34"/>
      <c r="J12" s="54"/>
    </row>
    <row r="13" spans="1:13" x14ac:dyDescent="0.25">
      <c r="A13" s="64"/>
      <c r="B13" s="50"/>
      <c r="C13" s="50"/>
      <c r="D13" s="34"/>
      <c r="E13" s="34"/>
      <c r="F13" s="34"/>
      <c r="G13" s="34"/>
      <c r="H13" s="34"/>
      <c r="J13" s="54"/>
    </row>
    <row r="14" spans="1:13" x14ac:dyDescent="0.25">
      <c r="A14" s="64" t="s">
        <v>59</v>
      </c>
      <c r="B14" s="50"/>
      <c r="C14" s="50"/>
      <c r="D14" s="34"/>
      <c r="E14" s="34"/>
      <c r="F14" s="34"/>
      <c r="G14" s="34"/>
      <c r="H14" s="34"/>
      <c r="J14" s="54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J15" s="54"/>
    </row>
    <row r="16" spans="1:13" ht="11.25" customHeight="1" x14ac:dyDescent="0.25">
      <c r="A16" s="50"/>
      <c r="B16" s="50"/>
      <c r="C16" s="50"/>
      <c r="D16" s="34"/>
      <c r="E16" s="34"/>
      <c r="F16" s="34"/>
      <c r="G16" s="34"/>
      <c r="H16" s="34"/>
      <c r="J16" s="54"/>
    </row>
    <row r="17" spans="1:13" ht="2.25" customHeight="1" x14ac:dyDescent="0.25">
      <c r="A17" s="50"/>
      <c r="B17" s="50"/>
      <c r="C17" s="50"/>
      <c r="D17" s="34"/>
      <c r="E17" s="34"/>
      <c r="F17" s="34"/>
      <c r="G17" s="34"/>
      <c r="H17" s="34"/>
      <c r="J17" s="54"/>
    </row>
    <row r="18" spans="1:13" ht="2.25" customHeight="1" x14ac:dyDescent="0.25">
      <c r="A18" s="50"/>
      <c r="B18" s="50"/>
      <c r="C18" s="50"/>
      <c r="D18" s="34"/>
      <c r="E18" s="34"/>
      <c r="F18" s="34"/>
      <c r="G18" s="34"/>
      <c r="H18" s="34"/>
      <c r="J18" s="54"/>
    </row>
    <row r="19" spans="1:13" ht="4.5" customHeight="1" x14ac:dyDescent="0.25">
      <c r="A19" s="64"/>
      <c r="B19" s="50"/>
      <c r="C19" s="50"/>
      <c r="D19" s="34"/>
      <c r="E19" s="34"/>
      <c r="F19" s="34"/>
      <c r="G19" s="34"/>
      <c r="H19" s="34"/>
      <c r="J19" s="54"/>
    </row>
    <row r="20" spans="1:13" ht="15.75" x14ac:dyDescent="0.25">
      <c r="A20" s="55" t="s">
        <v>159</v>
      </c>
      <c r="B20" s="56" t="s">
        <v>206</v>
      </c>
      <c r="C20" s="55"/>
      <c r="D20" s="67"/>
      <c r="E20" s="57" t="s">
        <v>152</v>
      </c>
      <c r="F20" s="58" t="s">
        <v>153</v>
      </c>
      <c r="G20" s="59" t="s">
        <v>154</v>
      </c>
      <c r="H20" s="67"/>
      <c r="J20" s="61"/>
      <c r="K20" s="62"/>
      <c r="L20" s="62"/>
      <c r="M20" s="62"/>
    </row>
    <row r="21" spans="1:13" ht="30" customHeight="1" x14ac:dyDescent="0.25">
      <c r="A21" s="50"/>
      <c r="B21" s="241" t="s">
        <v>231</v>
      </c>
      <c r="C21" s="241"/>
      <c r="D21" s="241"/>
      <c r="E21" s="63"/>
      <c r="F21" s="63"/>
      <c r="G21" s="63"/>
      <c r="H21" s="34"/>
      <c r="J21" s="61"/>
      <c r="K21" s="62"/>
      <c r="L21" s="62"/>
      <c r="M21" s="62"/>
    </row>
    <row r="22" spans="1:13" x14ac:dyDescent="0.25">
      <c r="A22" s="50"/>
      <c r="B22" s="50"/>
      <c r="C22" s="50"/>
      <c r="D22" s="34"/>
      <c r="E22" s="34"/>
      <c r="F22" s="34"/>
      <c r="G22" s="34"/>
      <c r="H22" s="34"/>
      <c r="J22" s="54"/>
    </row>
    <row r="23" spans="1:13" x14ac:dyDescent="0.25">
      <c r="A23" s="50"/>
      <c r="B23" s="50"/>
      <c r="C23" s="50"/>
      <c r="D23" s="34"/>
      <c r="E23" s="69" t="str">
        <f>IF(COUNTIF(E21:G21,"x")&gt;1,"error",IF(G21="x",6,IF(F21="x",3,IF(E21="x",0,""))))</f>
        <v/>
      </c>
      <c r="F23" s="34"/>
      <c r="G23" s="34"/>
      <c r="H23" s="34"/>
      <c r="J23" s="54"/>
    </row>
    <row r="24" spans="1:13" ht="3.75" customHeight="1" x14ac:dyDescent="0.25">
      <c r="A24" s="50"/>
      <c r="B24" s="50"/>
      <c r="C24" s="50"/>
      <c r="D24" s="34"/>
      <c r="E24" s="34"/>
      <c r="F24" s="34"/>
      <c r="G24" s="34"/>
      <c r="H24" s="34"/>
      <c r="J24" s="54"/>
    </row>
    <row r="25" spans="1:13" ht="3.75" customHeight="1" x14ac:dyDescent="0.25">
      <c r="A25" s="50"/>
      <c r="B25" s="50"/>
      <c r="C25" s="50"/>
      <c r="D25" s="34"/>
      <c r="E25" s="34"/>
      <c r="F25" s="34"/>
      <c r="G25" s="34"/>
      <c r="H25" s="34"/>
      <c r="J25" s="54"/>
    </row>
    <row r="26" spans="1:13" ht="7.5" customHeight="1" x14ac:dyDescent="0.25">
      <c r="A26" s="50"/>
      <c r="B26" s="50"/>
      <c r="C26" s="50"/>
      <c r="D26" s="34"/>
      <c r="E26" s="34"/>
      <c r="F26" s="34"/>
      <c r="G26" s="34"/>
      <c r="H26" s="34"/>
      <c r="J26" s="54"/>
    </row>
    <row r="27" spans="1:13" ht="9.75" customHeight="1" x14ac:dyDescent="0.25">
      <c r="A27" s="50"/>
      <c r="B27" s="50"/>
      <c r="C27" s="50"/>
      <c r="D27" s="34"/>
      <c r="E27" s="34"/>
      <c r="F27" s="34"/>
      <c r="G27" s="34"/>
      <c r="H27" s="3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J29" s="54"/>
    </row>
    <row r="30" spans="1:13" x14ac:dyDescent="0.25">
      <c r="A30" s="50"/>
      <c r="B30" s="50"/>
      <c r="C30" s="50"/>
      <c r="D30" s="34"/>
      <c r="E30" s="34"/>
      <c r="F30" s="34"/>
      <c r="G30" s="34"/>
      <c r="H30" s="34"/>
      <c r="J30" s="54"/>
    </row>
    <row r="31" spans="1:13" x14ac:dyDescent="0.25">
      <c r="A31" s="50"/>
      <c r="B31" s="50"/>
      <c r="C31" s="50"/>
      <c r="D31" s="34"/>
      <c r="E31" s="34"/>
      <c r="F31" s="34"/>
      <c r="G31" s="34"/>
      <c r="H31" s="34"/>
      <c r="J31" s="54"/>
    </row>
    <row r="32" spans="1:13" x14ac:dyDescent="0.25">
      <c r="A32" s="50"/>
      <c r="B32" s="50"/>
      <c r="C32" s="50"/>
      <c r="D32" s="34"/>
      <c r="E32" s="34"/>
      <c r="F32" s="34"/>
      <c r="G32" s="34"/>
      <c r="H32" s="34"/>
      <c r="J32" s="54"/>
    </row>
    <row r="33" spans="1:13" x14ac:dyDescent="0.25">
      <c r="A33" s="50"/>
      <c r="B33" s="50"/>
      <c r="C33" s="50"/>
      <c r="D33" s="34"/>
      <c r="E33" s="34"/>
      <c r="F33" s="34"/>
      <c r="G33" s="34"/>
      <c r="H33" s="34"/>
      <c r="J33" s="54"/>
    </row>
    <row r="34" spans="1:13" ht="12.75" customHeight="1" x14ac:dyDescent="0.25">
      <c r="A34" s="50"/>
      <c r="B34" s="50"/>
      <c r="C34" s="50"/>
      <c r="D34" s="34"/>
      <c r="E34" s="34"/>
      <c r="F34" s="34"/>
      <c r="G34" s="34"/>
      <c r="H34" s="3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J35" s="54"/>
    </row>
    <row r="36" spans="1:13" ht="5.25" customHeight="1" x14ac:dyDescent="0.25">
      <c r="A36" s="50"/>
      <c r="B36" s="50"/>
      <c r="C36" s="50"/>
      <c r="D36" s="34"/>
      <c r="E36" s="34"/>
      <c r="F36" s="34"/>
      <c r="G36" s="34"/>
      <c r="H36" s="34"/>
      <c r="J36" s="54"/>
    </row>
    <row r="37" spans="1:13" ht="5.25" customHeight="1" x14ac:dyDescent="0.25">
      <c r="A37" s="50"/>
      <c r="B37" s="50"/>
      <c r="C37" s="50"/>
      <c r="D37" s="34"/>
      <c r="E37" s="34"/>
      <c r="F37" s="34"/>
      <c r="G37" s="34"/>
      <c r="H37" s="34"/>
      <c r="J37" s="54"/>
    </row>
    <row r="38" spans="1:13" ht="9.75" customHeight="1" x14ac:dyDescent="0.25">
      <c r="A38" s="50"/>
      <c r="B38" s="50"/>
      <c r="C38" s="50"/>
      <c r="D38" s="34"/>
      <c r="E38" s="34"/>
      <c r="F38" s="34"/>
      <c r="G38" s="34"/>
      <c r="H38" s="34"/>
      <c r="J38" s="54"/>
    </row>
    <row r="39" spans="1:13" ht="15.75" x14ac:dyDescent="0.25">
      <c r="A39" s="55" t="s">
        <v>163</v>
      </c>
      <c r="B39" s="56" t="s">
        <v>164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J39" s="54"/>
    </row>
    <row r="40" spans="1:13" ht="31.5" customHeight="1" x14ac:dyDescent="0.25">
      <c r="A40" s="50"/>
      <c r="B40" s="241" t="s">
        <v>232</v>
      </c>
      <c r="C40" s="241"/>
      <c r="D40" s="241"/>
      <c r="E40" s="63"/>
      <c r="F40" s="63"/>
      <c r="G40" s="63"/>
      <c r="H40" s="34"/>
      <c r="J40" s="61"/>
      <c r="K40" s="62"/>
      <c r="L40" s="62"/>
      <c r="M40" s="62"/>
    </row>
    <row r="41" spans="1:13" x14ac:dyDescent="0.25">
      <c r="A41" s="50"/>
      <c r="B41" s="50"/>
      <c r="C41" s="50"/>
      <c r="D41" s="34"/>
      <c r="E41" s="34"/>
      <c r="F41" s="34"/>
      <c r="G41" s="34"/>
      <c r="H41" s="34"/>
      <c r="J41" s="61"/>
      <c r="K41" s="62"/>
      <c r="L41" s="62"/>
      <c r="M41" s="62"/>
    </row>
    <row r="42" spans="1:13" x14ac:dyDescent="0.25">
      <c r="A42" s="50"/>
      <c r="B42" s="50"/>
      <c r="C42" s="50"/>
      <c r="D42" s="34"/>
      <c r="E42" s="69" t="str">
        <f>IF(COUNTIF(E40:G40,"x")&gt;1,"error",IF(G40="x",3,IF(F40="x",1,IF(E40="x",0,""))))</f>
        <v/>
      </c>
      <c r="F42" s="34"/>
      <c r="G42" s="34"/>
      <c r="H42" s="34"/>
      <c r="J42" s="54"/>
    </row>
    <row r="43" spans="1:13" ht="3" customHeight="1" x14ac:dyDescent="0.25">
      <c r="A43" s="50"/>
      <c r="B43" s="50"/>
      <c r="C43" s="50"/>
      <c r="D43" s="34"/>
      <c r="E43" s="34"/>
      <c r="F43" s="34"/>
      <c r="G43" s="34"/>
      <c r="H43" s="34"/>
      <c r="J43" s="54"/>
    </row>
    <row r="44" spans="1:13" ht="5.25" customHeight="1" x14ac:dyDescent="0.25">
      <c r="A44" s="50"/>
      <c r="B44" s="50"/>
      <c r="C44" s="50"/>
      <c r="D44" s="34"/>
      <c r="E44" s="34"/>
      <c r="F44" s="34"/>
      <c r="G44" s="34"/>
      <c r="H44" s="3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J48" s="54"/>
    </row>
    <row r="49" spans="1:13" x14ac:dyDescent="0.25">
      <c r="A49" s="50"/>
      <c r="B49" s="50"/>
      <c r="C49" s="50"/>
      <c r="D49" s="34"/>
      <c r="E49" s="34"/>
      <c r="F49" s="34"/>
      <c r="G49" s="34"/>
      <c r="H49" s="34"/>
      <c r="J49" s="54"/>
    </row>
    <row r="50" spans="1:13" x14ac:dyDescent="0.25">
      <c r="A50" s="50"/>
      <c r="B50" s="50"/>
      <c r="C50" s="50"/>
      <c r="D50" s="34"/>
      <c r="E50" s="34"/>
      <c r="F50" s="34"/>
      <c r="G50" s="34"/>
      <c r="H50" s="34"/>
      <c r="J50" s="54"/>
    </row>
    <row r="51" spans="1:13" x14ac:dyDescent="0.25">
      <c r="A51" s="50"/>
      <c r="B51" s="50"/>
      <c r="C51" s="50"/>
      <c r="D51" s="34"/>
      <c r="E51" s="34"/>
      <c r="F51" s="34"/>
      <c r="G51" s="34"/>
      <c r="H51" s="34"/>
      <c r="J51" s="54"/>
    </row>
    <row r="52" spans="1:13" x14ac:dyDescent="0.25">
      <c r="A52" s="50"/>
      <c r="B52" s="50"/>
      <c r="C52" s="50"/>
      <c r="D52" s="34"/>
      <c r="E52" s="34"/>
      <c r="F52" s="34"/>
      <c r="G52" s="34"/>
      <c r="H52" s="34"/>
      <c r="J52" s="54"/>
    </row>
    <row r="53" spans="1:13" x14ac:dyDescent="0.25">
      <c r="A53" s="50"/>
      <c r="B53" s="50"/>
      <c r="C53" s="50"/>
      <c r="D53" s="34"/>
      <c r="E53" s="34"/>
      <c r="F53" s="34"/>
      <c r="G53" s="34"/>
      <c r="H53" s="34"/>
      <c r="J53" s="54"/>
    </row>
    <row r="54" spans="1:13" ht="6" customHeight="1" x14ac:dyDescent="0.25">
      <c r="A54" s="50"/>
      <c r="B54" s="50"/>
      <c r="C54" s="50"/>
      <c r="D54" s="34"/>
      <c r="E54" s="34"/>
      <c r="F54" s="34"/>
      <c r="G54" s="34"/>
      <c r="H54" s="34"/>
      <c r="J54" s="54"/>
    </row>
    <row r="55" spans="1:13" ht="6" customHeight="1" x14ac:dyDescent="0.25">
      <c r="A55" s="50"/>
      <c r="B55" s="50"/>
      <c r="C55" s="50"/>
      <c r="D55" s="34"/>
      <c r="E55" s="34"/>
      <c r="F55" s="34"/>
      <c r="G55" s="34"/>
      <c r="H55" s="34"/>
      <c r="J55" s="54"/>
    </row>
    <row r="56" spans="1:13" ht="6" customHeight="1" x14ac:dyDescent="0.25">
      <c r="A56" s="50"/>
      <c r="B56" s="50"/>
      <c r="C56" s="50"/>
      <c r="D56" s="34"/>
      <c r="E56" s="34"/>
      <c r="F56" s="34"/>
      <c r="G56" s="34"/>
      <c r="H56" s="34"/>
      <c r="J56" s="54"/>
    </row>
    <row r="57" spans="1:13" ht="6" customHeight="1" x14ac:dyDescent="0.25">
      <c r="A57" s="50"/>
      <c r="B57" s="50"/>
      <c r="C57" s="50"/>
      <c r="D57" s="34"/>
      <c r="E57" s="34"/>
      <c r="F57" s="34"/>
      <c r="G57" s="34"/>
      <c r="H57" s="34"/>
      <c r="J57" s="54"/>
    </row>
    <row r="58" spans="1:13" ht="15.75" x14ac:dyDescent="0.25">
      <c r="A58" s="55" t="s">
        <v>166</v>
      </c>
      <c r="B58" s="56" t="s">
        <v>167</v>
      </c>
      <c r="C58" s="55"/>
      <c r="D58" s="67"/>
      <c r="E58" s="57" t="s">
        <v>152</v>
      </c>
      <c r="F58" s="58" t="s">
        <v>153</v>
      </c>
      <c r="G58" s="59" t="s">
        <v>154</v>
      </c>
      <c r="H58" s="67"/>
      <c r="J58" s="61"/>
      <c r="K58" s="62"/>
      <c r="L58" s="62"/>
      <c r="M58" s="62"/>
    </row>
    <row r="59" spans="1:13" ht="33.75" customHeight="1" x14ac:dyDescent="0.25">
      <c r="A59" s="70">
        <v>1</v>
      </c>
      <c r="B59" s="241" t="s">
        <v>233</v>
      </c>
      <c r="C59" s="241"/>
      <c r="D59" s="241"/>
      <c r="E59" s="63"/>
      <c r="F59" s="63"/>
      <c r="G59" s="63"/>
      <c r="H59" s="34"/>
      <c r="J59" s="61"/>
      <c r="K59" s="62"/>
      <c r="L59" s="62"/>
      <c r="M59" s="62"/>
    </row>
    <row r="60" spans="1:13" ht="15.75" x14ac:dyDescent="0.25">
      <c r="A60" s="50">
        <v>2</v>
      </c>
      <c r="B60" s="66" t="s">
        <v>234</v>
      </c>
      <c r="C60" s="50"/>
      <c r="D60" s="34"/>
      <c r="E60" s="34"/>
      <c r="F60" s="34"/>
      <c r="G60" s="34"/>
      <c r="H60" s="34"/>
      <c r="J60" s="54"/>
    </row>
    <row r="61" spans="1:13" x14ac:dyDescent="0.25">
      <c r="A61" s="50"/>
      <c r="B61" s="50"/>
      <c r="C61" s="50"/>
      <c r="D61" s="34"/>
      <c r="E61" s="69" t="str">
        <f>IF(COUNTIF(E59:G59,"x")&gt;1,"error",IF(G59="x",2,IF(F59="x",1,IF(E59="x",0,""))))</f>
        <v/>
      </c>
      <c r="F61" s="34"/>
      <c r="G61" s="34"/>
      <c r="H61" s="34"/>
      <c r="J61" s="54"/>
    </row>
    <row r="62" spans="1:13" ht="3.75" customHeight="1" x14ac:dyDescent="0.25">
      <c r="A62" s="50"/>
      <c r="B62" s="50"/>
      <c r="C62" s="50"/>
      <c r="D62" s="34"/>
      <c r="E62" s="34"/>
      <c r="F62" s="34"/>
      <c r="G62" s="34"/>
      <c r="H62" s="34"/>
      <c r="J62" s="54"/>
    </row>
    <row r="63" spans="1:13" x14ac:dyDescent="0.25">
      <c r="A63" s="50"/>
      <c r="B63" s="50"/>
      <c r="C63" s="50"/>
      <c r="D63" s="34"/>
      <c r="E63" s="34"/>
      <c r="F63" s="34"/>
      <c r="G63" s="34"/>
      <c r="H63" s="34"/>
      <c r="J63" s="54"/>
    </row>
    <row r="64" spans="1:13" x14ac:dyDescent="0.25">
      <c r="A64" s="50"/>
      <c r="B64" s="50"/>
      <c r="C64" s="50"/>
      <c r="D64" s="34"/>
      <c r="E64" s="34"/>
      <c r="F64" s="34"/>
      <c r="G64" s="34"/>
      <c r="H64" s="34"/>
      <c r="J64" s="54"/>
    </row>
    <row r="65" spans="1:13" ht="12.75" customHeight="1" x14ac:dyDescent="0.25">
      <c r="A65" s="50"/>
      <c r="B65" s="50"/>
      <c r="C65" s="50"/>
      <c r="D65" s="34"/>
      <c r="E65" s="34"/>
      <c r="F65" s="34"/>
      <c r="G65" s="34"/>
      <c r="H65" s="34"/>
      <c r="J65" s="54"/>
    </row>
    <row r="66" spans="1:13" ht="6.75" customHeight="1" x14ac:dyDescent="0.25">
      <c r="A66" s="50"/>
      <c r="B66" s="50"/>
      <c r="C66" s="50"/>
      <c r="D66" s="34"/>
      <c r="E66" s="34"/>
      <c r="F66" s="34"/>
      <c r="G66" s="34"/>
      <c r="H66" s="34"/>
      <c r="J66" s="54"/>
    </row>
    <row r="67" spans="1:13" ht="9.75" customHeight="1" x14ac:dyDescent="0.25">
      <c r="A67" s="50"/>
      <c r="B67" s="50"/>
      <c r="C67" s="50"/>
      <c r="D67" s="34"/>
      <c r="E67" s="34"/>
      <c r="F67" s="34"/>
      <c r="G67" s="34"/>
      <c r="H67" s="34"/>
      <c r="J67" s="54"/>
    </row>
    <row r="68" spans="1:13" ht="5.25" customHeight="1" x14ac:dyDescent="0.25">
      <c r="A68" s="50"/>
      <c r="B68" s="50"/>
      <c r="C68" s="50"/>
      <c r="D68" s="34"/>
      <c r="E68" s="34"/>
      <c r="F68" s="34"/>
      <c r="G68" s="34"/>
      <c r="H68" s="34"/>
      <c r="J68" s="54"/>
    </row>
    <row r="69" spans="1:13" ht="9" customHeight="1" x14ac:dyDescent="0.25">
      <c r="A69" s="50"/>
      <c r="B69" s="50"/>
      <c r="C69" s="50"/>
      <c r="D69" s="34"/>
      <c r="E69" s="34"/>
      <c r="F69" s="34"/>
      <c r="G69" s="34"/>
      <c r="H69" s="34"/>
      <c r="J69" s="54"/>
    </row>
    <row r="70" spans="1:13" ht="15.75" x14ac:dyDescent="0.25">
      <c r="A70" s="55" t="s">
        <v>169</v>
      </c>
      <c r="B70" s="56" t="s">
        <v>170</v>
      </c>
      <c r="C70" s="55"/>
      <c r="D70" s="67"/>
      <c r="E70" s="57" t="s">
        <v>152</v>
      </c>
      <c r="F70" s="58" t="s">
        <v>153</v>
      </c>
      <c r="G70" s="59" t="s">
        <v>154</v>
      </c>
      <c r="H70" s="67"/>
      <c r="J70" s="61"/>
      <c r="K70" s="62"/>
      <c r="L70" s="62"/>
      <c r="M70" s="62"/>
    </row>
    <row r="71" spans="1:13" ht="15.75" x14ac:dyDescent="0.25">
      <c r="A71" s="50">
        <v>1</v>
      </c>
      <c r="B71" s="66" t="s">
        <v>235</v>
      </c>
      <c r="C71" s="50"/>
      <c r="D71" s="34"/>
      <c r="E71" s="63"/>
      <c r="F71" s="63"/>
      <c r="G71" s="63"/>
      <c r="H71" s="34"/>
      <c r="J71" s="61"/>
      <c r="K71" s="62"/>
      <c r="L71" s="62"/>
      <c r="M71" s="62"/>
    </row>
    <row r="72" spans="1:13" ht="32.25" customHeight="1" x14ac:dyDescent="0.25">
      <c r="A72" s="70">
        <v>2</v>
      </c>
      <c r="B72" s="241" t="s">
        <v>236</v>
      </c>
      <c r="C72" s="241"/>
      <c r="D72" s="241"/>
      <c r="E72" s="34"/>
      <c r="F72" s="34"/>
      <c r="G72" s="34"/>
      <c r="H72" s="34"/>
      <c r="J72" s="54"/>
    </row>
    <row r="73" spans="1:13" ht="15.75" x14ac:dyDescent="0.25">
      <c r="A73" s="50">
        <v>3</v>
      </c>
      <c r="B73" s="89" t="s">
        <v>237</v>
      </c>
      <c r="C73" s="50"/>
      <c r="D73" s="34"/>
      <c r="E73" s="69" t="str">
        <f>IF(COUNTIF(E71:G71,"x")&gt;1,"error",IF(G71="x",3,IF(F71="x",1,IF(E71="x",0,""))))</f>
        <v/>
      </c>
      <c r="F73" s="34"/>
      <c r="G73" s="34"/>
      <c r="H73" s="34"/>
      <c r="J73" s="54"/>
    </row>
    <row r="74" spans="1:13" x14ac:dyDescent="0.25">
      <c r="A74" s="50"/>
      <c r="B74" s="50"/>
      <c r="C74" s="50"/>
      <c r="D74" s="34"/>
      <c r="E74" s="34"/>
      <c r="F74" s="34"/>
      <c r="G74" s="34"/>
      <c r="H74" s="34"/>
      <c r="J74" s="54"/>
    </row>
    <row r="75" spans="1:13" ht="6" customHeight="1" x14ac:dyDescent="0.25">
      <c r="A75" s="50"/>
      <c r="B75" s="50"/>
      <c r="C75" s="50"/>
      <c r="D75" s="34"/>
      <c r="E75" s="34"/>
      <c r="F75" s="34"/>
      <c r="G75" s="34"/>
      <c r="H75" s="34"/>
      <c r="J75" s="54"/>
    </row>
    <row r="76" spans="1:13" x14ac:dyDescent="0.25">
      <c r="A76" s="50"/>
      <c r="B76" s="50"/>
      <c r="C76" s="50"/>
      <c r="D76" s="34"/>
      <c r="E76" s="34"/>
      <c r="F76" s="34"/>
      <c r="G76" s="34"/>
      <c r="H76" s="34"/>
      <c r="J76" s="54"/>
    </row>
    <row r="77" spans="1:13" x14ac:dyDescent="0.25">
      <c r="A77" s="50"/>
      <c r="B77" s="50"/>
      <c r="C77" s="50"/>
      <c r="D77" s="34"/>
      <c r="E77" s="34"/>
      <c r="F77" s="34"/>
      <c r="G77" s="34"/>
      <c r="H77" s="34"/>
      <c r="J77" s="54"/>
    </row>
    <row r="78" spans="1:13" ht="8.25" customHeight="1" x14ac:dyDescent="0.25">
      <c r="A78" s="50"/>
      <c r="B78" s="50"/>
      <c r="C78" s="50"/>
      <c r="D78" s="34"/>
      <c r="E78" s="34"/>
      <c r="F78" s="34"/>
      <c r="G78" s="34"/>
      <c r="H78" s="34"/>
      <c r="J78" s="54"/>
    </row>
    <row r="79" spans="1:13" ht="5.25" customHeight="1" x14ac:dyDescent="0.25">
      <c r="A79" s="50"/>
      <c r="B79" s="50"/>
      <c r="C79" s="50"/>
      <c r="D79" s="34"/>
      <c r="E79" s="34"/>
      <c r="F79" s="34"/>
      <c r="G79" s="34"/>
      <c r="H79" s="34"/>
      <c r="J79" s="54"/>
    </row>
    <row r="80" spans="1:13" ht="15.75" x14ac:dyDescent="0.25">
      <c r="A80" s="55" t="s">
        <v>174</v>
      </c>
      <c r="B80" s="56" t="s">
        <v>175</v>
      </c>
      <c r="C80" s="55"/>
      <c r="D80" s="67"/>
      <c r="E80" s="57" t="s">
        <v>152</v>
      </c>
      <c r="F80" s="58" t="s">
        <v>153</v>
      </c>
      <c r="G80" s="59" t="s">
        <v>154</v>
      </c>
      <c r="H80" s="67"/>
      <c r="J80" s="61"/>
      <c r="K80" s="62"/>
      <c r="L80" s="62"/>
      <c r="M80" s="62"/>
    </row>
    <row r="81" spans="1:13" ht="28.5" customHeight="1" x14ac:dyDescent="0.25">
      <c r="A81" s="50"/>
      <c r="B81" s="241" t="s">
        <v>238</v>
      </c>
      <c r="C81" s="241"/>
      <c r="D81" s="241"/>
      <c r="E81" s="63"/>
      <c r="F81" s="63"/>
      <c r="G81" s="63"/>
      <c r="H81" s="34"/>
      <c r="J81" s="61"/>
      <c r="K81" s="62"/>
      <c r="L81" s="62"/>
      <c r="M81" s="62"/>
    </row>
    <row r="82" spans="1:13" ht="5.25" customHeight="1" x14ac:dyDescent="0.25">
      <c r="A82" s="50"/>
      <c r="B82" s="50"/>
      <c r="C82" s="50"/>
      <c r="D82" s="34"/>
      <c r="E82" s="34"/>
      <c r="F82" s="34"/>
      <c r="G82" s="34"/>
      <c r="H82" s="34"/>
      <c r="J82" s="54"/>
    </row>
    <row r="83" spans="1:13" x14ac:dyDescent="0.25">
      <c r="A83" s="50"/>
      <c r="B83" s="50"/>
      <c r="C83" s="50"/>
      <c r="D83" s="34"/>
      <c r="E83" s="69" t="str">
        <f>IF(COUNTIF(E81:G81,"x")&gt;1,"error",IF(G81="x",2,IF(F81="x",1,IF(E81="x",0,""))))</f>
        <v/>
      </c>
      <c r="F83" s="34"/>
      <c r="G83" s="34"/>
      <c r="H83" s="3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J85" s="54"/>
    </row>
    <row r="86" spans="1:13" x14ac:dyDescent="0.25">
      <c r="A86" s="50"/>
      <c r="B86" s="50"/>
      <c r="C86" s="50"/>
      <c r="D86" s="34"/>
      <c r="E86" s="34"/>
      <c r="F86" s="34"/>
      <c r="G86" s="34"/>
      <c r="H86" s="34"/>
      <c r="J86" s="54"/>
    </row>
    <row r="87" spans="1:13" x14ac:dyDescent="0.25">
      <c r="A87" s="50"/>
      <c r="B87" s="50"/>
      <c r="C87" s="50"/>
      <c r="D87" s="34"/>
      <c r="E87" s="34"/>
      <c r="F87" s="34"/>
      <c r="G87" s="34"/>
      <c r="H87" s="34"/>
      <c r="J87" s="54"/>
    </row>
    <row r="88" spans="1:13" x14ac:dyDescent="0.25">
      <c r="A88" s="50"/>
      <c r="B88" s="50"/>
      <c r="C88" s="50"/>
      <c r="D88" s="34"/>
      <c r="E88" s="34"/>
      <c r="F88" s="34"/>
      <c r="G88" s="34"/>
      <c r="H88" s="34"/>
      <c r="J88" s="54"/>
    </row>
    <row r="89" spans="1:13" x14ac:dyDescent="0.25">
      <c r="A89" s="50"/>
      <c r="B89" s="50"/>
      <c r="C89" s="50"/>
      <c r="D89" s="34"/>
      <c r="E89" s="34"/>
      <c r="F89" s="34"/>
      <c r="G89" s="34"/>
      <c r="H89" s="34"/>
      <c r="J89" s="54"/>
    </row>
    <row r="90" spans="1:13" x14ac:dyDescent="0.25">
      <c r="A90" s="50"/>
      <c r="B90" s="50"/>
      <c r="C90" s="50"/>
      <c r="D90" s="34"/>
      <c r="E90" s="34"/>
      <c r="F90" s="34"/>
      <c r="G90" s="34"/>
      <c r="H90" s="34"/>
      <c r="J90" s="54"/>
    </row>
    <row r="91" spans="1:13" x14ac:dyDescent="0.25">
      <c r="A91" s="50"/>
      <c r="B91" s="50"/>
      <c r="C91" s="50"/>
      <c r="D91" s="34"/>
      <c r="E91" s="34"/>
      <c r="F91" s="34"/>
      <c r="G91" s="34"/>
      <c r="H91" s="34"/>
      <c r="J91" s="54"/>
    </row>
    <row r="92" spans="1:13" ht="6" customHeight="1" x14ac:dyDescent="0.25">
      <c r="A92" s="50"/>
      <c r="B92" s="50"/>
      <c r="C92" s="50"/>
      <c r="D92" s="34"/>
      <c r="E92" s="34"/>
      <c r="F92" s="34"/>
      <c r="G92" s="34"/>
      <c r="H92" s="34"/>
      <c r="J92" s="54"/>
    </row>
    <row r="93" spans="1:13" ht="6" customHeight="1" x14ac:dyDescent="0.25">
      <c r="A93" s="50"/>
      <c r="B93" s="50"/>
      <c r="C93" s="50"/>
      <c r="D93" s="34"/>
      <c r="E93" s="34"/>
      <c r="F93" s="34"/>
      <c r="G93" s="34"/>
      <c r="H93" s="34"/>
      <c r="J93" s="54"/>
    </row>
    <row r="94" spans="1:13" ht="6" customHeight="1" x14ac:dyDescent="0.25">
      <c r="A94" s="50"/>
      <c r="B94" s="50"/>
      <c r="C94" s="50"/>
      <c r="D94" s="34"/>
      <c r="E94" s="34"/>
      <c r="F94" s="34"/>
      <c r="G94" s="34"/>
      <c r="H94" s="34"/>
      <c r="J94" s="54"/>
    </row>
    <row r="95" spans="1:13" ht="6" customHeight="1" x14ac:dyDescent="0.25">
      <c r="A95" s="50"/>
      <c r="B95" s="50"/>
      <c r="C95" s="50"/>
      <c r="D95" s="34"/>
      <c r="E95" s="34"/>
      <c r="F95" s="34"/>
      <c r="G95" s="34"/>
      <c r="H95" s="34"/>
      <c r="J95" s="54"/>
    </row>
    <row r="96" spans="1:13" ht="7.5" customHeight="1" x14ac:dyDescent="0.25">
      <c r="A96" s="50"/>
      <c r="B96" s="50"/>
      <c r="C96" s="50"/>
      <c r="D96" s="34"/>
      <c r="E96" s="34"/>
      <c r="F96" s="34"/>
      <c r="G96" s="34"/>
      <c r="H96" s="34"/>
      <c r="J96" s="54"/>
    </row>
    <row r="97" spans="1:13" ht="15.75" x14ac:dyDescent="0.25">
      <c r="A97" s="55" t="s">
        <v>176</v>
      </c>
      <c r="B97" s="56" t="s">
        <v>177</v>
      </c>
      <c r="C97" s="55"/>
      <c r="D97" s="67"/>
      <c r="E97" s="57" t="s">
        <v>152</v>
      </c>
      <c r="F97" s="58" t="s">
        <v>153</v>
      </c>
      <c r="G97" s="59" t="s">
        <v>154</v>
      </c>
      <c r="H97" s="67"/>
      <c r="J97" s="61"/>
      <c r="K97" s="62"/>
      <c r="L97" s="62"/>
      <c r="M97" s="62"/>
    </row>
    <row r="98" spans="1:13" ht="15.75" x14ac:dyDescent="0.25">
      <c r="A98" s="50"/>
      <c r="B98" s="66" t="s">
        <v>239</v>
      </c>
      <c r="C98" s="50"/>
      <c r="D98" s="34"/>
      <c r="E98" s="63"/>
      <c r="F98" s="63"/>
      <c r="G98" s="63"/>
      <c r="H98" s="34"/>
      <c r="J98" s="61"/>
      <c r="K98" s="62"/>
      <c r="L98" s="62"/>
      <c r="M98" s="62"/>
    </row>
    <row r="99" spans="1:13" ht="5.25" customHeight="1" x14ac:dyDescent="0.25">
      <c r="A99" s="50"/>
      <c r="B99" s="50"/>
      <c r="C99" s="50"/>
      <c r="D99" s="34"/>
      <c r="E99" s="34"/>
      <c r="F99" s="34"/>
      <c r="G99" s="34"/>
      <c r="H99" s="34"/>
      <c r="J99" s="54"/>
    </row>
    <row r="100" spans="1:13" x14ac:dyDescent="0.25">
      <c r="A100" s="50"/>
      <c r="B100" s="50"/>
      <c r="C100" s="50"/>
      <c r="D100" s="34"/>
      <c r="E100" s="69" t="str">
        <f>IF(COUNTIF(E98:G98,"x")&gt;1,"error",IF(G98="x",2,IF(F98="x",1,IF(E98="x",0,""))))</f>
        <v/>
      </c>
      <c r="F100" s="34"/>
      <c r="G100" s="34"/>
      <c r="H100" s="3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J102" s="54"/>
    </row>
    <row r="103" spans="1:13" x14ac:dyDescent="0.25">
      <c r="A103" s="50"/>
      <c r="B103" s="50"/>
      <c r="C103" s="50"/>
      <c r="D103" s="34"/>
      <c r="E103" s="34"/>
      <c r="F103" s="34"/>
      <c r="G103" s="34"/>
      <c r="H103" s="34"/>
      <c r="J103" s="54"/>
    </row>
    <row r="104" spans="1:13" ht="6.75" customHeight="1" x14ac:dyDescent="0.25">
      <c r="A104" s="50"/>
      <c r="B104" s="50"/>
      <c r="C104" s="50"/>
      <c r="D104" s="34"/>
      <c r="E104" s="34"/>
      <c r="F104" s="34"/>
      <c r="G104" s="34"/>
      <c r="H104" s="34"/>
      <c r="J104" s="54"/>
    </row>
    <row r="105" spans="1:13" x14ac:dyDescent="0.25">
      <c r="A105" s="50"/>
      <c r="B105" s="50"/>
      <c r="C105" s="50"/>
      <c r="D105" s="34"/>
      <c r="E105" s="34"/>
      <c r="F105" s="34"/>
      <c r="G105" s="34"/>
      <c r="H105" s="34"/>
      <c r="J105" s="54"/>
    </row>
    <row r="106" spans="1:13" ht="3" customHeight="1" x14ac:dyDescent="0.25">
      <c r="A106" s="50"/>
      <c r="B106" s="50"/>
      <c r="C106" s="50"/>
      <c r="D106" s="34"/>
      <c r="E106" s="34"/>
      <c r="F106" s="34"/>
      <c r="G106" s="34"/>
      <c r="H106" s="34"/>
      <c r="J106" s="54"/>
    </row>
    <row r="107" spans="1:13" ht="15.75" x14ac:dyDescent="0.25">
      <c r="A107" s="55" t="s">
        <v>179</v>
      </c>
      <c r="B107" s="56" t="s">
        <v>180</v>
      </c>
      <c r="C107" s="55"/>
      <c r="D107" s="67"/>
      <c r="E107" s="57" t="s">
        <v>152</v>
      </c>
      <c r="F107" s="58" t="s">
        <v>153</v>
      </c>
      <c r="G107" s="59" t="s">
        <v>154</v>
      </c>
      <c r="H107" s="67"/>
      <c r="J107" s="61"/>
      <c r="K107" s="62"/>
      <c r="L107" s="62"/>
      <c r="M107" s="62"/>
    </row>
    <row r="108" spans="1:13" ht="31.5" customHeight="1" x14ac:dyDescent="0.25">
      <c r="A108" s="70">
        <v>1</v>
      </c>
      <c r="B108" s="241" t="s">
        <v>240</v>
      </c>
      <c r="C108" s="241"/>
      <c r="D108" s="241"/>
      <c r="E108" s="63"/>
      <c r="F108" s="63"/>
      <c r="G108" s="63"/>
      <c r="H108" s="34"/>
      <c r="J108" s="61"/>
      <c r="K108" s="62"/>
      <c r="L108" s="62"/>
      <c r="M108" s="62"/>
    </row>
    <row r="109" spans="1:13" ht="15.75" x14ac:dyDescent="0.25">
      <c r="A109" s="50">
        <v>2</v>
      </c>
      <c r="B109" s="66" t="s">
        <v>241</v>
      </c>
      <c r="C109" s="50"/>
      <c r="D109" s="34"/>
      <c r="E109" s="34"/>
      <c r="F109" s="34"/>
      <c r="G109" s="34"/>
      <c r="H109" s="34"/>
      <c r="J109" s="54"/>
    </row>
    <row r="110" spans="1:13" ht="15.75" x14ac:dyDescent="0.25">
      <c r="A110" s="50">
        <v>3</v>
      </c>
      <c r="B110" s="66" t="s">
        <v>242</v>
      </c>
      <c r="C110" s="50"/>
      <c r="D110" s="34"/>
      <c r="E110" s="34"/>
      <c r="F110" s="34"/>
      <c r="G110" s="34"/>
      <c r="H110" s="34"/>
      <c r="J110" s="54"/>
    </row>
    <row r="111" spans="1:13" x14ac:dyDescent="0.25">
      <c r="A111" s="50"/>
      <c r="B111" s="50"/>
      <c r="C111" s="50"/>
      <c r="D111" s="34"/>
      <c r="E111" s="69" t="str">
        <f>IF(COUNTIF(E108:G108,"x")&gt;1,"error",IF(G108="x",2,IF(F108="x",1,IF(E108="x",0,""))))</f>
        <v/>
      </c>
      <c r="F111" s="34"/>
      <c r="G111" s="34"/>
      <c r="H111" s="3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J114" s="54"/>
    </row>
    <row r="115" spans="1:13" ht="8.25" customHeight="1" x14ac:dyDescent="0.25">
      <c r="A115" s="50"/>
      <c r="B115" s="50"/>
      <c r="C115" s="50"/>
      <c r="D115" s="34"/>
      <c r="E115" s="34"/>
      <c r="F115" s="34"/>
      <c r="G115" s="34"/>
      <c r="H115" s="34"/>
      <c r="J115" s="54"/>
    </row>
    <row r="116" spans="1:13" x14ac:dyDescent="0.25">
      <c r="A116" s="50"/>
      <c r="B116" s="50"/>
      <c r="C116" s="50"/>
      <c r="D116" s="34"/>
      <c r="E116" s="34"/>
      <c r="F116" s="34"/>
      <c r="G116" s="34"/>
      <c r="H116" s="34"/>
      <c r="J116" s="54"/>
    </row>
    <row r="117" spans="1:13" ht="3" customHeight="1" x14ac:dyDescent="0.25">
      <c r="A117" s="50"/>
      <c r="B117" s="50"/>
      <c r="C117" s="50"/>
      <c r="D117" s="34"/>
      <c r="E117" s="34"/>
      <c r="F117" s="34"/>
      <c r="G117" s="34"/>
      <c r="H117" s="34"/>
      <c r="J117" s="54"/>
    </row>
    <row r="118" spans="1:13" ht="15.75" x14ac:dyDescent="0.25">
      <c r="A118" s="55" t="s">
        <v>243</v>
      </c>
      <c r="B118" s="56" t="s">
        <v>244</v>
      </c>
      <c r="C118" s="55"/>
      <c r="D118" s="67"/>
      <c r="E118" s="57" t="s">
        <v>152</v>
      </c>
      <c r="F118" s="58" t="s">
        <v>153</v>
      </c>
      <c r="G118" s="59" t="s">
        <v>154</v>
      </c>
      <c r="H118" s="67"/>
      <c r="J118" s="61"/>
      <c r="K118" s="62"/>
      <c r="L118" s="62"/>
      <c r="M118" s="62"/>
    </row>
    <row r="119" spans="1:13" ht="15.75" x14ac:dyDescent="0.25">
      <c r="A119" s="50"/>
      <c r="B119" s="66" t="s">
        <v>245</v>
      </c>
      <c r="C119" s="50"/>
      <c r="D119" s="34"/>
      <c r="E119" s="63"/>
      <c r="F119" s="63"/>
      <c r="G119" s="63"/>
      <c r="H119" s="34"/>
      <c r="J119" s="61"/>
      <c r="K119" s="62"/>
      <c r="L119" s="62"/>
      <c r="M119" s="62"/>
    </row>
    <row r="120" spans="1:13" ht="3.75" customHeight="1" x14ac:dyDescent="0.25">
      <c r="A120" s="50"/>
      <c r="B120" s="50"/>
      <c r="C120" s="50"/>
      <c r="D120" s="34"/>
      <c r="E120" s="34"/>
      <c r="F120" s="34"/>
      <c r="G120" s="34"/>
      <c r="H120" s="34"/>
      <c r="J120" s="54"/>
    </row>
    <row r="121" spans="1:13" x14ac:dyDescent="0.25">
      <c r="A121" s="50"/>
      <c r="B121" s="50"/>
      <c r="C121" s="50"/>
      <c r="D121" s="34"/>
      <c r="E121" s="34"/>
      <c r="F121" s="34"/>
      <c r="G121" s="34"/>
      <c r="H121" s="34"/>
      <c r="J121" s="54"/>
    </row>
    <row r="122" spans="1:13" x14ac:dyDescent="0.25">
      <c r="A122" s="50"/>
      <c r="B122" s="50"/>
      <c r="C122" s="50"/>
      <c r="D122" s="34"/>
      <c r="E122" s="69" t="str">
        <f>IF(COUNTIF(E119:G119,"x")&gt;1,"error",IF(G119="x",3,IF(F119="x",1,IF(E119="x",0,""))))</f>
        <v/>
      </c>
      <c r="F122" s="34"/>
      <c r="G122" s="34"/>
      <c r="H122" s="34"/>
      <c r="J122" s="54"/>
    </row>
    <row r="123" spans="1:13" x14ac:dyDescent="0.25">
      <c r="A123" s="50"/>
      <c r="B123" s="50"/>
      <c r="C123" s="50"/>
      <c r="D123" s="34"/>
      <c r="E123" s="34"/>
      <c r="F123" s="34"/>
      <c r="G123" s="34"/>
      <c r="H123" s="34"/>
      <c r="J123" s="54"/>
    </row>
    <row r="124" spans="1:13" ht="9" customHeight="1" x14ac:dyDescent="0.25">
      <c r="A124" s="50"/>
      <c r="B124" s="50"/>
      <c r="C124" s="50"/>
      <c r="D124" s="34"/>
      <c r="E124" s="34"/>
      <c r="F124" s="34"/>
      <c r="G124" s="34"/>
      <c r="H124" s="34"/>
      <c r="I124" s="34"/>
      <c r="J124" s="54"/>
    </row>
    <row r="125" spans="1:13" ht="9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3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34"/>
      <c r="J126" s="34"/>
    </row>
    <row r="127" spans="1:13" ht="6.75" customHeight="1" x14ac:dyDescent="0.25">
      <c r="A127" s="50"/>
      <c r="B127" s="50"/>
      <c r="C127" s="50"/>
      <c r="D127" s="34"/>
      <c r="E127" s="34"/>
      <c r="F127" s="34"/>
      <c r="G127" s="34"/>
      <c r="H127" s="34"/>
      <c r="I127" s="34"/>
      <c r="J127" s="34"/>
    </row>
    <row r="128" spans="1:13" ht="15.75" x14ac:dyDescent="0.25">
      <c r="A128" s="90"/>
      <c r="B128" s="90" t="s">
        <v>184</v>
      </c>
      <c r="C128" s="90"/>
      <c r="D128" s="91"/>
      <c r="E128" s="91"/>
      <c r="F128" s="91"/>
      <c r="G128" s="91"/>
      <c r="H128" s="91"/>
      <c r="I128" s="34"/>
      <c r="J128" s="34"/>
    </row>
    <row r="129" spans="1:10" ht="15.75" x14ac:dyDescent="0.25">
      <c r="A129" s="55"/>
      <c r="B129" s="71" t="s">
        <v>185</v>
      </c>
      <c r="C129" s="55"/>
      <c r="D129" s="67"/>
      <c r="E129" s="67"/>
      <c r="F129" s="67"/>
      <c r="G129" s="67"/>
      <c r="H129" s="67"/>
      <c r="I129" s="34"/>
      <c r="J129" s="34"/>
    </row>
    <row r="130" spans="1:10" ht="6" customHeight="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</row>
    <row r="131" spans="1:10" ht="6" customHeight="1" thickBot="1" x14ac:dyDescent="0.3">
      <c r="A131" s="50"/>
      <c r="B131" s="50"/>
      <c r="C131" s="50"/>
      <c r="D131" s="34"/>
      <c r="E131" s="34"/>
      <c r="F131" s="34"/>
      <c r="G131" s="34"/>
      <c r="H131" s="34"/>
      <c r="I131" s="34"/>
      <c r="J131" s="34"/>
    </row>
    <row r="132" spans="1:10" ht="18.75" customHeight="1" thickBot="1" x14ac:dyDescent="0.3">
      <c r="A132" s="50"/>
      <c r="B132" s="50"/>
      <c r="C132" s="50"/>
      <c r="D132" s="235" t="s">
        <v>186</v>
      </c>
      <c r="E132" s="237" t="s">
        <v>246</v>
      </c>
      <c r="F132" s="238"/>
      <c r="G132" s="34"/>
      <c r="H132" s="34"/>
      <c r="I132" s="34"/>
      <c r="J132" s="34"/>
    </row>
    <row r="133" spans="1:10" ht="18.75" customHeight="1" thickBot="1" x14ac:dyDescent="0.3">
      <c r="A133" s="50"/>
      <c r="B133" s="50"/>
      <c r="C133" s="50"/>
      <c r="D133" s="236"/>
      <c r="E133" s="92" t="s">
        <v>188</v>
      </c>
      <c r="F133" s="84" t="s">
        <v>189</v>
      </c>
      <c r="G133" s="34"/>
      <c r="H133" s="34"/>
      <c r="I133" s="34"/>
      <c r="J133" s="34"/>
    </row>
    <row r="134" spans="1:10" ht="18.75" customHeight="1" thickBot="1" x14ac:dyDescent="0.3">
      <c r="A134" s="50"/>
      <c r="B134" s="50"/>
      <c r="C134" s="85" t="s">
        <v>56</v>
      </c>
      <c r="D134" s="75" t="s">
        <v>190</v>
      </c>
      <c r="E134" s="76" t="str">
        <f>$E$12</f>
        <v/>
      </c>
      <c r="F134" s="86" t="str">
        <f>E134</f>
        <v/>
      </c>
      <c r="G134" s="34"/>
      <c r="H134" s="34"/>
      <c r="I134" s="34"/>
      <c r="J134" s="34"/>
    </row>
    <row r="135" spans="1:10" ht="18.75" customHeight="1" thickBot="1" x14ac:dyDescent="0.3">
      <c r="A135" s="50"/>
      <c r="B135" s="50"/>
      <c r="C135" s="85" t="s">
        <v>58</v>
      </c>
      <c r="D135" s="75" t="s">
        <v>191</v>
      </c>
      <c r="E135" s="76" t="str">
        <f>$E$23</f>
        <v/>
      </c>
      <c r="F135" s="86" t="str">
        <f t="shared" ref="F135:F142" si="0">E135</f>
        <v/>
      </c>
      <c r="G135" s="34"/>
      <c r="H135" s="34"/>
      <c r="I135" s="34"/>
      <c r="J135" s="34"/>
    </row>
    <row r="136" spans="1:10" ht="18.75" customHeight="1" thickBot="1" x14ac:dyDescent="0.3">
      <c r="A136" s="50"/>
      <c r="B136" s="50"/>
      <c r="C136" s="85" t="s">
        <v>60</v>
      </c>
      <c r="D136" s="75" t="s">
        <v>192</v>
      </c>
      <c r="E136" s="76" t="str">
        <f>$E$42</f>
        <v/>
      </c>
      <c r="F136" s="86" t="str">
        <f t="shared" si="0"/>
        <v/>
      </c>
      <c r="G136" s="34"/>
      <c r="H136" s="34"/>
      <c r="I136" s="34"/>
      <c r="J136" s="34"/>
    </row>
    <row r="137" spans="1:10" ht="18.75" customHeight="1" thickBot="1" x14ac:dyDescent="0.3">
      <c r="A137" s="50"/>
      <c r="B137" s="50"/>
      <c r="C137" s="85" t="s">
        <v>63</v>
      </c>
      <c r="D137" s="75" t="s">
        <v>193</v>
      </c>
      <c r="E137" s="76" t="str">
        <f>$E$61</f>
        <v/>
      </c>
      <c r="F137" s="86" t="str">
        <f t="shared" si="0"/>
        <v/>
      </c>
      <c r="G137" s="34"/>
      <c r="H137" s="34"/>
      <c r="I137" s="34"/>
      <c r="J137" s="34"/>
    </row>
    <row r="138" spans="1:10" ht="18.75" customHeight="1" thickBot="1" x14ac:dyDescent="0.3">
      <c r="A138" s="50"/>
      <c r="B138" s="50"/>
      <c r="C138" s="85" t="s">
        <v>66</v>
      </c>
      <c r="D138" s="75" t="s">
        <v>194</v>
      </c>
      <c r="E138" s="76" t="str">
        <f>$E$73</f>
        <v/>
      </c>
      <c r="F138" s="86" t="str">
        <f t="shared" si="0"/>
        <v/>
      </c>
      <c r="G138" s="34"/>
      <c r="H138" s="34"/>
      <c r="I138" s="34"/>
      <c r="J138" s="34"/>
    </row>
    <row r="139" spans="1:10" ht="18.75" customHeight="1" thickBot="1" x14ac:dyDescent="0.3">
      <c r="A139" s="50"/>
      <c r="B139" s="50"/>
      <c r="C139" s="85" t="s">
        <v>69</v>
      </c>
      <c r="D139" s="75" t="s">
        <v>175</v>
      </c>
      <c r="E139" s="76" t="str">
        <f>$E$83</f>
        <v/>
      </c>
      <c r="F139" s="86" t="str">
        <f t="shared" si="0"/>
        <v/>
      </c>
      <c r="G139" s="34"/>
      <c r="H139" s="34"/>
      <c r="I139" s="34"/>
      <c r="J139" s="34"/>
    </row>
    <row r="140" spans="1:10" ht="18.75" customHeight="1" thickBot="1" x14ac:dyDescent="0.3">
      <c r="A140" s="50"/>
      <c r="B140" s="50"/>
      <c r="C140" s="85" t="s">
        <v>71</v>
      </c>
      <c r="D140" s="75" t="s">
        <v>195</v>
      </c>
      <c r="E140" s="76" t="str">
        <f>$E$100</f>
        <v/>
      </c>
      <c r="F140" s="86" t="str">
        <f t="shared" si="0"/>
        <v/>
      </c>
      <c r="G140" s="34"/>
      <c r="H140" s="34"/>
      <c r="I140" s="34"/>
      <c r="J140" s="34"/>
    </row>
    <row r="141" spans="1:10" ht="18.75" customHeight="1" thickBot="1" x14ac:dyDescent="0.3">
      <c r="A141" s="50"/>
      <c r="B141" s="50"/>
      <c r="C141" s="85" t="s">
        <v>73</v>
      </c>
      <c r="D141" s="75" t="s">
        <v>196</v>
      </c>
      <c r="E141" s="76" t="str">
        <f>$E$111</f>
        <v/>
      </c>
      <c r="F141" s="86" t="str">
        <f t="shared" si="0"/>
        <v/>
      </c>
      <c r="G141" s="34"/>
      <c r="H141" s="34"/>
      <c r="I141" s="34"/>
      <c r="J141" s="34"/>
    </row>
    <row r="142" spans="1:10" ht="18.75" customHeight="1" thickBot="1" x14ac:dyDescent="0.3">
      <c r="A142" s="50"/>
      <c r="B142" s="50"/>
      <c r="C142" s="85" t="s">
        <v>76</v>
      </c>
      <c r="D142" s="75" t="s">
        <v>247</v>
      </c>
      <c r="E142" s="76" t="str">
        <f>$E$122</f>
        <v/>
      </c>
      <c r="F142" s="86" t="str">
        <f t="shared" si="0"/>
        <v/>
      </c>
      <c r="G142" s="34"/>
      <c r="H142" s="34"/>
      <c r="I142" s="34"/>
      <c r="J142" s="34"/>
    </row>
    <row r="143" spans="1:10" ht="18.75" customHeight="1" thickBot="1" x14ac:dyDescent="0.3">
      <c r="A143" s="50"/>
      <c r="B143" s="50"/>
      <c r="C143" s="50"/>
      <c r="D143" s="78" t="s">
        <v>197</v>
      </c>
      <c r="E143" s="239">
        <f>SUM(E134:E142)</f>
        <v>0</v>
      </c>
      <c r="F143" s="240"/>
      <c r="G143" s="34"/>
      <c r="H143" s="34"/>
      <c r="I143" s="34"/>
      <c r="J143" s="34"/>
    </row>
    <row r="144" spans="1:10" ht="18.75" customHeight="1" thickBot="1" x14ac:dyDescent="0.3">
      <c r="A144" s="50"/>
      <c r="B144" s="50"/>
      <c r="C144" s="50"/>
      <c r="D144" s="78" t="s">
        <v>198</v>
      </c>
      <c r="E144" s="239">
        <f>E143</f>
        <v>0</v>
      </c>
      <c r="F144" s="240"/>
      <c r="G144" s="34"/>
      <c r="H144" s="34"/>
      <c r="I144" s="34"/>
      <c r="J144" s="34"/>
    </row>
    <row r="145" spans="1:10" ht="12.7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34"/>
      <c r="J145" s="34"/>
    </row>
    <row r="146" spans="1:10" ht="15.75" x14ac:dyDescent="0.25">
      <c r="A146" s="55"/>
      <c r="B146" s="71" t="s">
        <v>199</v>
      </c>
      <c r="C146" s="55"/>
      <c r="D146" s="67"/>
      <c r="E146" s="67"/>
      <c r="F146" s="67"/>
      <c r="G146" s="67"/>
      <c r="H146" s="67"/>
      <c r="I146" s="34"/>
      <c r="J146" s="34"/>
    </row>
    <row r="147" spans="1:10" x14ac:dyDescent="0.25">
      <c r="A147" s="50"/>
      <c r="B147" s="50"/>
      <c r="C147" s="50"/>
      <c r="D147" s="34"/>
      <c r="E147" s="34"/>
      <c r="F147" s="34"/>
      <c r="G147" s="34"/>
      <c r="H147" s="34"/>
      <c r="I147" s="34"/>
      <c r="J147" s="34"/>
    </row>
    <row r="148" spans="1:10" x14ac:dyDescent="0.25">
      <c r="A148" s="50"/>
      <c r="B148" s="50"/>
      <c r="C148" s="50"/>
      <c r="D148" s="34"/>
      <c r="E148" s="34"/>
      <c r="F148" s="34"/>
      <c r="G148" s="34"/>
      <c r="H148" s="34"/>
      <c r="I148" s="34"/>
      <c r="J148" s="34"/>
    </row>
    <row r="149" spans="1:10" x14ac:dyDescent="0.25">
      <c r="A149" s="50"/>
      <c r="B149" s="50"/>
      <c r="C149" s="50"/>
      <c r="D149" s="34"/>
      <c r="E149" s="34"/>
      <c r="F149" s="34"/>
      <c r="G149" s="34"/>
      <c r="H149" s="34"/>
      <c r="I149" s="34"/>
      <c r="J149" s="34"/>
    </row>
    <row r="150" spans="1:10" x14ac:dyDescent="0.25">
      <c r="A150" s="50"/>
      <c r="B150" s="50"/>
      <c r="C150" s="50"/>
      <c r="D150" s="34"/>
      <c r="E150" s="34"/>
      <c r="F150" s="34"/>
      <c r="G150" s="34"/>
      <c r="H150" s="34"/>
      <c r="I150" s="34"/>
      <c r="J150" s="34"/>
    </row>
    <row r="151" spans="1:10" x14ac:dyDescent="0.25">
      <c r="A151" s="50"/>
      <c r="B151" s="50"/>
      <c r="C151" s="50"/>
      <c r="D151" s="34"/>
      <c r="E151" s="34"/>
      <c r="F151" s="34"/>
      <c r="G151" s="34"/>
      <c r="H151" s="34"/>
      <c r="I151" s="34"/>
      <c r="J151" s="34"/>
    </row>
    <row r="152" spans="1:10" x14ac:dyDescent="0.25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x14ac:dyDescent="0.25">
      <c r="A153" s="50"/>
      <c r="B153" s="50"/>
      <c r="C153" s="50"/>
      <c r="D153" s="34"/>
      <c r="E153" s="34"/>
      <c r="F153" s="34"/>
      <c r="G153" s="34"/>
      <c r="H153" s="34"/>
      <c r="I153" s="34"/>
      <c r="J153" s="34"/>
    </row>
    <row r="154" spans="1:10" x14ac:dyDescent="0.25">
      <c r="A154" s="50"/>
      <c r="B154" s="50"/>
      <c r="C154" s="50"/>
      <c r="D154" s="34"/>
      <c r="E154" s="34"/>
      <c r="F154" s="34"/>
      <c r="G154" s="34"/>
      <c r="H154" s="34"/>
      <c r="I154" s="34"/>
      <c r="J154" s="34"/>
    </row>
    <row r="155" spans="1:10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</row>
    <row r="156" spans="1:10" ht="15.75" x14ac:dyDescent="0.25">
      <c r="A156" s="55"/>
      <c r="B156" s="71" t="s">
        <v>200</v>
      </c>
      <c r="C156" s="55"/>
      <c r="D156" s="67"/>
      <c r="E156" s="67"/>
      <c r="F156" s="67"/>
      <c r="G156" s="67"/>
      <c r="H156" s="67"/>
      <c r="I156" s="34"/>
      <c r="J156" s="34"/>
    </row>
    <row r="157" spans="1:10" ht="3.75" customHeight="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</row>
    <row r="158" spans="1:10" ht="3.75" customHeight="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</row>
    <row r="159" spans="1:10" ht="3.75" customHeight="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</row>
    <row r="160" spans="1:10" ht="9" customHeight="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</row>
    <row r="161" spans="1:10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</row>
    <row r="162" spans="1:10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</row>
    <row r="163" spans="1:10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</row>
    <row r="164" spans="1:10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</row>
    <row r="165" spans="1:10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x14ac:dyDescent="0.25">
      <c r="A166" s="50"/>
      <c r="B166" s="50"/>
      <c r="C166" s="50"/>
      <c r="D166" s="34"/>
      <c r="E166" s="34"/>
      <c r="F166" s="34"/>
      <c r="G166" s="34"/>
      <c r="H166" s="34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80"/>
      <c r="B174" s="80"/>
      <c r="C174" s="80"/>
      <c r="D174" s="81"/>
      <c r="E174" s="81"/>
      <c r="F174" s="81"/>
      <c r="G174" s="81"/>
      <c r="H174" s="81"/>
      <c r="I174" s="81"/>
      <c r="J174" s="81"/>
    </row>
    <row r="175" spans="1:10" x14ac:dyDescent="0.25">
      <c r="A175" s="80"/>
      <c r="B175" s="80"/>
      <c r="C175" s="80"/>
      <c r="D175" s="81"/>
      <c r="E175" s="81"/>
      <c r="F175" s="81"/>
      <c r="G175" s="81"/>
      <c r="H175" s="81"/>
      <c r="I175" s="81"/>
      <c r="J175" s="81"/>
    </row>
    <row r="176" spans="1:10" x14ac:dyDescent="0.25">
      <c r="A176" s="80"/>
      <c r="B176" s="80"/>
      <c r="C176" s="80"/>
      <c r="D176" s="81"/>
      <c r="E176" s="81"/>
      <c r="F176" s="81"/>
      <c r="G176" s="81"/>
      <c r="H176" s="81"/>
      <c r="I176" s="81"/>
      <c r="J176" s="81"/>
    </row>
    <row r="177" spans="1:10" x14ac:dyDescent="0.25">
      <c r="A177" s="80"/>
      <c r="B177" s="80"/>
      <c r="C177" s="80"/>
      <c r="D177" s="81"/>
      <c r="E177" s="81"/>
      <c r="F177" s="81"/>
      <c r="G177" s="81"/>
      <c r="H177" s="81"/>
      <c r="I177" s="81"/>
      <c r="J177" s="81"/>
    </row>
    <row r="178" spans="1:10" x14ac:dyDescent="0.25">
      <c r="A178" s="80"/>
      <c r="B178" s="80"/>
      <c r="C178" s="80"/>
      <c r="D178" s="81"/>
      <c r="E178" s="81"/>
      <c r="F178" s="81"/>
      <c r="G178" s="81"/>
      <c r="H178" s="81"/>
      <c r="I178" s="81"/>
      <c r="J178" s="81"/>
    </row>
    <row r="179" spans="1:10" x14ac:dyDescent="0.25">
      <c r="A179" s="80"/>
      <c r="B179" s="80"/>
      <c r="C179" s="80"/>
      <c r="D179" s="81"/>
      <c r="E179" s="81"/>
      <c r="F179" s="81"/>
      <c r="G179" s="81"/>
      <c r="H179" s="81"/>
      <c r="I179" s="81"/>
      <c r="J179" s="81"/>
    </row>
    <row r="180" spans="1:10" x14ac:dyDescent="0.25">
      <c r="A180" s="80"/>
      <c r="B180" s="80"/>
      <c r="C180" s="80"/>
      <c r="D180" s="81"/>
      <c r="E180" s="81"/>
      <c r="F180" s="81"/>
      <c r="G180" s="81"/>
      <c r="H180" s="81"/>
      <c r="I180" s="81"/>
      <c r="J180" s="81"/>
    </row>
    <row r="181" spans="1:10" x14ac:dyDescent="0.25">
      <c r="A181" s="80"/>
      <c r="B181" s="80"/>
      <c r="C181" s="80"/>
      <c r="D181" s="81"/>
      <c r="E181" s="81"/>
      <c r="F181" s="81"/>
      <c r="G181" s="81"/>
      <c r="H181" s="81"/>
      <c r="I181" s="81"/>
      <c r="J181" s="81"/>
    </row>
    <row r="182" spans="1:10" x14ac:dyDescent="0.25">
      <c r="A182" s="80"/>
      <c r="B182" s="80"/>
      <c r="C182" s="80"/>
      <c r="D182" s="81"/>
      <c r="E182" s="81"/>
      <c r="F182" s="81"/>
      <c r="G182" s="81"/>
      <c r="H182" s="81"/>
      <c r="I182" s="81"/>
      <c r="J182" s="81"/>
    </row>
    <row r="183" spans="1:10" x14ac:dyDescent="0.25">
      <c r="A183" s="80"/>
      <c r="B183" s="80"/>
      <c r="C183" s="80"/>
      <c r="D183" s="81"/>
      <c r="E183" s="81"/>
      <c r="F183" s="81"/>
      <c r="G183" s="81"/>
      <c r="H183" s="81"/>
      <c r="I183" s="81"/>
      <c r="J183" s="81"/>
    </row>
    <row r="184" spans="1:10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</row>
    <row r="185" spans="1:10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</row>
    <row r="186" spans="1:10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</row>
    <row r="187" spans="1:10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</row>
    <row r="188" spans="1:10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</row>
    <row r="189" spans="1:10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</row>
    <row r="190" spans="1:10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</row>
  </sheetData>
  <sheetProtection algorithmName="SHA-512" hashValue="LF06vxt0Q44D9NFjt1nssWN2VD5Oa3KbRibyoBch2GCuPEO2kwM33B7MbTlIktzctvQp60/gYMnuttl4Ph/+GQ==" saltValue="x9ctUdN0O2uBd2r+TokIjQ==" spinCount="100000" sheet="1" objects="1" scenarios="1" selectLockedCells="1"/>
  <mergeCells count="16">
    <mergeCell ref="C6:D6"/>
    <mergeCell ref="A3:B3"/>
    <mergeCell ref="C3:D3"/>
    <mergeCell ref="F3:H3"/>
    <mergeCell ref="C4:D4"/>
    <mergeCell ref="C5:D5"/>
    <mergeCell ref="D132:D133"/>
    <mergeCell ref="E132:F132"/>
    <mergeCell ref="E143:F143"/>
    <mergeCell ref="E144:F144"/>
    <mergeCell ref="B21:D21"/>
    <mergeCell ref="B40:D40"/>
    <mergeCell ref="B59:D59"/>
    <mergeCell ref="B72:D72"/>
    <mergeCell ref="B81:D81"/>
    <mergeCell ref="B108:D108"/>
  </mergeCells>
  <conditionalFormatting sqref="F134:F142">
    <cfRule type="containsText" dxfId="141" priority="13" operator="containsText" text="morado">
      <formula>NOT(ISERROR(SEARCH("morado",F134)))</formula>
    </cfRule>
    <cfRule type="containsText" dxfId="140" priority="14" operator="containsText" text="rojo">
      <formula>NOT(ISERROR(SEARCH("rojo",F134)))</formula>
    </cfRule>
    <cfRule type="containsText" dxfId="139" priority="15" operator="containsText" text="naranja">
      <formula>NOT(ISERROR(SEARCH("naranja",F134)))</formula>
    </cfRule>
  </conditionalFormatting>
  <conditionalFormatting sqref="E144:F144">
    <cfRule type="cellIs" dxfId="138" priority="12" operator="between">
      <formula>0</formula>
      <formula>4</formula>
    </cfRule>
  </conditionalFormatting>
  <conditionalFormatting sqref="E144:F144">
    <cfRule type="cellIs" dxfId="137" priority="9" operator="between">
      <formula>21</formula>
      <formula>110</formula>
    </cfRule>
    <cfRule type="cellIs" dxfId="136" priority="10" operator="between">
      <formula>13</formula>
      <formula>20</formula>
    </cfRule>
    <cfRule type="cellIs" dxfId="135" priority="11" operator="between">
      <formula>5</formula>
      <formula>12</formula>
    </cfRule>
  </conditionalFormatting>
  <conditionalFormatting sqref="E134:E142">
    <cfRule type="cellIs" dxfId="134" priority="8" operator="equal">
      <formula>0</formula>
    </cfRule>
  </conditionalFormatting>
  <conditionalFormatting sqref="E134">
    <cfRule type="cellIs" dxfId="133" priority="1" operator="equal">
      <formula>10</formula>
    </cfRule>
    <cfRule type="cellIs" dxfId="132" priority="7" operator="equal">
      <formula>4</formula>
    </cfRule>
  </conditionalFormatting>
  <conditionalFormatting sqref="E135">
    <cfRule type="cellIs" dxfId="131" priority="6" operator="equal">
      <formula>3</formula>
    </cfRule>
  </conditionalFormatting>
  <conditionalFormatting sqref="E136:E142">
    <cfRule type="cellIs" dxfId="130" priority="5" operator="equal">
      <formula>1</formula>
    </cfRule>
  </conditionalFormatting>
  <conditionalFormatting sqref="E134:E135">
    <cfRule type="cellIs" dxfId="129" priority="4" operator="equal">
      <formula>6</formula>
    </cfRule>
  </conditionalFormatting>
  <conditionalFormatting sqref="E136 E138 E142">
    <cfRule type="cellIs" dxfId="128" priority="3" operator="equal">
      <formula>3</formula>
    </cfRule>
  </conditionalFormatting>
  <conditionalFormatting sqref="E137 E139:E141">
    <cfRule type="cellIs" dxfId="127" priority="2" operator="equal">
      <formula>2</formula>
    </cfRule>
  </conditionalFormatting>
  <dataValidations count="1">
    <dataValidation type="list" allowBlank="1" showInputMessage="1" showErrorMessage="1" sqref="E10:H10 E119:G119 E108:G108 E98:G98 E81:G81 E71:G71 E59:G59 E40:G40 E21:G21" xr:uid="{00000000-0002-0000-0300-000000000000}">
      <formula1>$A$14:$A$15</formula1>
    </dataValidation>
  </dataValidations>
  <pageMargins left="0" right="0" top="0.5" bottom="0.5" header="0.3" footer="0.3"/>
  <pageSetup scale="73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9" max="7" man="1"/>
    <brk id="145" max="7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60"/>
  <sheetViews>
    <sheetView showGridLines="0" view="pageBreakPreview" topLeftCell="A128" zoomScaleNormal="100" zoomScaleSheetLayoutView="100" workbookViewId="0">
      <selection activeCell="F107" sqref="F107"/>
    </sheetView>
  </sheetViews>
  <sheetFormatPr defaultColWidth="9.28515625" defaultRowHeight="15" x14ac:dyDescent="0.25"/>
  <cols>
    <col min="1" max="1" width="5.7109375" style="112" customWidth="1"/>
    <col min="2" max="2" width="10.28515625" style="112" customWidth="1"/>
    <col min="3" max="3" width="6" style="112" customWidth="1"/>
    <col min="4" max="4" width="79.5703125" style="81" customWidth="1"/>
    <col min="5" max="5" width="6.5703125" style="81" customWidth="1"/>
    <col min="6" max="7" width="7.7109375" style="81" bestFit="1" customWidth="1"/>
    <col min="8" max="9" width="8" style="81" bestFit="1" customWidth="1"/>
    <col min="10" max="10" width="6.5703125" style="81" customWidth="1"/>
    <col min="11" max="22" width="0.5703125" style="81" customWidth="1"/>
    <col min="23" max="16384" width="9.28515625" style="81"/>
  </cols>
  <sheetData>
    <row r="1" spans="1:15" ht="18" customHeight="1" x14ac:dyDescent="0.25">
      <c r="A1" s="93"/>
      <c r="B1" s="93"/>
      <c r="C1" s="93"/>
      <c r="D1" s="139" t="s">
        <v>248</v>
      </c>
      <c r="E1" s="34"/>
      <c r="F1" s="34"/>
      <c r="G1" s="34"/>
      <c r="H1" s="34"/>
      <c r="I1" s="34"/>
      <c r="J1" s="34"/>
    </row>
    <row r="2" spans="1:15" ht="18" customHeight="1" x14ac:dyDescent="0.25">
      <c r="A2" s="93"/>
      <c r="B2" s="93"/>
      <c r="C2" s="93"/>
      <c r="D2" s="139" t="s">
        <v>249</v>
      </c>
      <c r="E2" s="34"/>
      <c r="F2" s="34"/>
      <c r="G2" s="34"/>
      <c r="H2" s="34"/>
      <c r="I2" s="34"/>
      <c r="J2" s="34"/>
    </row>
    <row r="3" spans="1:15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</row>
    <row r="4" spans="1:15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</row>
    <row r="5" spans="1:15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</row>
    <row r="6" spans="1:15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</row>
    <row r="7" spans="1:15" ht="6.75" customHeight="1" x14ac:dyDescent="0.25">
      <c r="A7" s="93"/>
      <c r="B7" s="93"/>
      <c r="C7" s="93"/>
      <c r="D7" s="34"/>
      <c r="E7" s="34"/>
      <c r="F7" s="34"/>
      <c r="G7" s="34"/>
      <c r="H7" s="34"/>
      <c r="I7" s="34"/>
      <c r="J7" s="34"/>
    </row>
    <row r="8" spans="1:15" ht="5.25" customHeight="1" x14ac:dyDescent="0.25">
      <c r="A8" s="94" t="s">
        <v>118</v>
      </c>
      <c r="B8" s="93"/>
      <c r="C8" s="93"/>
      <c r="D8" s="34"/>
      <c r="E8" s="34"/>
      <c r="F8" s="34"/>
      <c r="G8" s="34"/>
      <c r="H8" s="34"/>
      <c r="I8" s="34"/>
      <c r="J8" s="34"/>
    </row>
    <row r="9" spans="1:15" ht="15.75" x14ac:dyDescent="0.25">
      <c r="A9" s="95"/>
      <c r="B9" s="266" t="s">
        <v>250</v>
      </c>
      <c r="C9" s="266"/>
      <c r="D9" s="266"/>
      <c r="E9" s="34"/>
      <c r="F9" s="34"/>
      <c r="G9" s="34"/>
      <c r="H9" s="34"/>
      <c r="I9" s="34"/>
      <c r="J9" s="34"/>
    </row>
    <row r="10" spans="1:15" ht="15.75" x14ac:dyDescent="0.25">
      <c r="A10" s="96" t="s">
        <v>150</v>
      </c>
      <c r="B10" s="269" t="s">
        <v>251</v>
      </c>
      <c r="C10" s="269"/>
      <c r="D10" s="269"/>
      <c r="E10" s="97" t="s">
        <v>252</v>
      </c>
      <c r="F10" s="98" t="s">
        <v>136</v>
      </c>
      <c r="G10" s="59" t="s">
        <v>34</v>
      </c>
      <c r="H10" s="87" t="s">
        <v>106</v>
      </c>
      <c r="I10" s="34"/>
      <c r="J10" s="99"/>
      <c r="K10" s="62"/>
      <c r="L10" s="62"/>
      <c r="M10" s="62"/>
      <c r="N10" s="62"/>
      <c r="O10" s="52"/>
    </row>
    <row r="11" spans="1:15" ht="15.75" x14ac:dyDescent="0.25">
      <c r="A11" s="93">
        <v>1</v>
      </c>
      <c r="B11" s="241" t="s">
        <v>253</v>
      </c>
      <c r="C11" s="241"/>
      <c r="D11" s="242"/>
      <c r="E11" s="63"/>
      <c r="F11" s="63"/>
      <c r="G11" s="63"/>
      <c r="H11" s="63"/>
      <c r="I11" s="34"/>
      <c r="J11" s="100"/>
      <c r="K11" s="62"/>
      <c r="L11" s="62"/>
      <c r="M11" s="62"/>
      <c r="N11" s="62"/>
      <c r="O11" s="52"/>
    </row>
    <row r="12" spans="1:15" ht="15.75" x14ac:dyDescent="0.25">
      <c r="A12" s="93">
        <v>2</v>
      </c>
      <c r="B12" s="66" t="s">
        <v>254</v>
      </c>
      <c r="C12" s="93"/>
      <c r="D12" s="34"/>
      <c r="E12" s="34"/>
      <c r="F12" s="34"/>
      <c r="G12" s="34"/>
      <c r="H12" s="34"/>
      <c r="I12" s="34"/>
      <c r="J12" s="100"/>
      <c r="K12" s="52"/>
      <c r="L12" s="52"/>
      <c r="M12" s="52"/>
      <c r="N12" s="52"/>
      <c r="O12" s="52"/>
    </row>
    <row r="13" spans="1:15" ht="15.75" x14ac:dyDescent="0.25">
      <c r="A13" s="93">
        <v>3</v>
      </c>
      <c r="B13" s="66" t="s">
        <v>255</v>
      </c>
      <c r="C13" s="93"/>
      <c r="D13" s="34"/>
      <c r="E13" s="69" t="str">
        <f>IF(COUNTIF(E11:H11,"x")&gt;1,"error",IF(H11="x",8,IF(G11="x",4,IF(F11="x",2,IF(E11="x",0,"")))))</f>
        <v/>
      </c>
      <c r="F13" s="34"/>
      <c r="G13" s="34"/>
      <c r="H13" s="34"/>
      <c r="I13" s="34"/>
      <c r="J13" s="34"/>
    </row>
    <row r="14" spans="1:15" ht="15.75" x14ac:dyDescent="0.25">
      <c r="A14" s="93">
        <v>4</v>
      </c>
      <c r="B14" s="66" t="s">
        <v>256</v>
      </c>
      <c r="C14" s="93"/>
      <c r="D14" s="34"/>
      <c r="E14" s="34"/>
      <c r="F14" s="34"/>
      <c r="G14" s="34"/>
      <c r="H14" s="34"/>
      <c r="I14" s="34"/>
      <c r="J14" s="34"/>
    </row>
    <row r="15" spans="1:15" ht="15.75" x14ac:dyDescent="0.25">
      <c r="A15" s="93"/>
      <c r="B15" s="66" t="s">
        <v>257</v>
      </c>
      <c r="C15" s="93"/>
      <c r="D15" s="34"/>
      <c r="E15" s="34"/>
      <c r="F15" s="34"/>
      <c r="G15" s="34"/>
      <c r="H15" s="34"/>
      <c r="I15" s="34"/>
      <c r="J15" s="34"/>
    </row>
    <row r="16" spans="1:15" x14ac:dyDescent="0.25">
      <c r="A16" s="93"/>
      <c r="B16" s="93"/>
      <c r="C16" s="93"/>
      <c r="D16" s="34"/>
      <c r="E16" s="34"/>
      <c r="F16" s="34"/>
      <c r="G16" s="34"/>
      <c r="H16" s="34"/>
      <c r="I16" s="34"/>
      <c r="J16" s="34"/>
    </row>
    <row r="17" spans="1:10" x14ac:dyDescent="0.25">
      <c r="A17" s="93"/>
      <c r="B17" s="93"/>
      <c r="C17" s="93"/>
      <c r="D17" s="34"/>
      <c r="E17" s="34"/>
      <c r="F17" s="34"/>
      <c r="G17" s="34"/>
      <c r="H17" s="34"/>
      <c r="I17" s="34"/>
      <c r="J17" s="34"/>
    </row>
    <row r="18" spans="1:10" x14ac:dyDescent="0.25">
      <c r="A18" s="93"/>
      <c r="B18" s="93"/>
      <c r="C18" s="93"/>
      <c r="D18" s="34"/>
      <c r="E18" s="34"/>
      <c r="F18" s="34"/>
      <c r="G18" s="34"/>
      <c r="H18" s="34"/>
      <c r="I18" s="34"/>
      <c r="J18" s="34"/>
    </row>
    <row r="19" spans="1:10" x14ac:dyDescent="0.25">
      <c r="A19" s="93"/>
      <c r="B19" s="93"/>
      <c r="C19" s="93"/>
      <c r="D19" s="34"/>
      <c r="E19" s="34"/>
      <c r="F19" s="34"/>
      <c r="G19" s="34"/>
      <c r="H19" s="34"/>
      <c r="I19" s="34"/>
      <c r="J19" s="34"/>
    </row>
    <row r="20" spans="1:10" x14ac:dyDescent="0.25">
      <c r="A20" s="93"/>
      <c r="B20" s="93"/>
      <c r="C20" s="93"/>
      <c r="D20" s="34"/>
      <c r="E20" s="34"/>
      <c r="F20" s="34"/>
      <c r="G20" s="34"/>
      <c r="H20" s="34"/>
      <c r="I20" s="34"/>
      <c r="J20" s="34"/>
    </row>
    <row r="21" spans="1:10" ht="15.75" x14ac:dyDescent="0.25">
      <c r="A21" s="93"/>
      <c r="B21" s="241" t="s">
        <v>258</v>
      </c>
      <c r="C21" s="241"/>
      <c r="D21" s="241"/>
      <c r="E21" s="34"/>
      <c r="F21" s="34"/>
      <c r="G21" s="34"/>
      <c r="H21" s="34"/>
      <c r="I21" s="34"/>
      <c r="J21" s="34"/>
    </row>
    <row r="22" spans="1:10" x14ac:dyDescent="0.25">
      <c r="A22" s="93"/>
      <c r="B22" s="93"/>
      <c r="C22" s="93"/>
      <c r="D22" s="34"/>
      <c r="E22" s="34"/>
      <c r="F22" s="34"/>
      <c r="G22" s="34"/>
      <c r="H22" s="34"/>
      <c r="I22" s="34"/>
      <c r="J22" s="34"/>
    </row>
    <row r="23" spans="1:10" x14ac:dyDescent="0.25">
      <c r="A23" s="93"/>
      <c r="B23" s="93"/>
      <c r="C23" s="93"/>
      <c r="D23" s="34"/>
      <c r="E23" s="34"/>
      <c r="F23" s="34"/>
      <c r="G23" s="34"/>
      <c r="H23" s="34"/>
      <c r="I23" s="34"/>
      <c r="J23" s="34"/>
    </row>
    <row r="24" spans="1:10" x14ac:dyDescent="0.25">
      <c r="A24" s="93"/>
      <c r="B24" s="93"/>
      <c r="C24" s="93"/>
      <c r="D24" s="34"/>
      <c r="E24" s="34"/>
      <c r="F24" s="34"/>
      <c r="G24" s="34"/>
      <c r="H24" s="34"/>
      <c r="I24" s="34"/>
      <c r="J24" s="34"/>
    </row>
    <row r="25" spans="1:10" x14ac:dyDescent="0.25">
      <c r="A25" s="93"/>
      <c r="B25" s="93"/>
      <c r="C25" s="93"/>
      <c r="D25" s="34"/>
      <c r="E25" s="34"/>
      <c r="F25" s="34"/>
      <c r="G25" s="34"/>
      <c r="H25" s="34"/>
      <c r="I25" s="34"/>
      <c r="J25" s="34"/>
    </row>
    <row r="26" spans="1:10" ht="9" customHeight="1" x14ac:dyDescent="0.25">
      <c r="A26" s="93"/>
      <c r="B26" s="93"/>
      <c r="C26" s="93"/>
      <c r="D26" s="34"/>
      <c r="E26" s="34"/>
      <c r="F26" s="34"/>
      <c r="G26" s="34"/>
      <c r="H26" s="34"/>
      <c r="I26" s="34"/>
      <c r="J26" s="34"/>
    </row>
    <row r="27" spans="1:10" ht="15.75" x14ac:dyDescent="0.25">
      <c r="A27" s="93"/>
      <c r="B27" s="66" t="s">
        <v>259</v>
      </c>
      <c r="C27" s="93"/>
      <c r="D27" s="34"/>
      <c r="E27" s="34"/>
      <c r="F27" s="34"/>
      <c r="G27" s="34"/>
      <c r="H27" s="34"/>
      <c r="I27" s="34"/>
      <c r="J27" s="34"/>
    </row>
    <row r="28" spans="1:10" x14ac:dyDescent="0.25">
      <c r="A28" s="93"/>
      <c r="B28" s="93"/>
      <c r="C28" s="93"/>
      <c r="D28" s="34"/>
      <c r="E28" s="34"/>
      <c r="F28" s="34"/>
      <c r="G28" s="34"/>
      <c r="H28" s="34"/>
      <c r="I28" s="34"/>
      <c r="J28" s="34"/>
    </row>
    <row r="29" spans="1:10" x14ac:dyDescent="0.25">
      <c r="A29" s="93"/>
      <c r="B29" s="93"/>
      <c r="C29" s="93"/>
      <c r="D29" s="34"/>
      <c r="E29" s="34"/>
      <c r="F29" s="34"/>
      <c r="G29" s="34"/>
      <c r="H29" s="34"/>
      <c r="I29" s="34"/>
      <c r="J29" s="34"/>
    </row>
    <row r="30" spans="1:10" x14ac:dyDescent="0.25">
      <c r="A30" s="93"/>
      <c r="B30" s="93"/>
      <c r="C30" s="93"/>
      <c r="D30" s="34"/>
      <c r="E30" s="34"/>
      <c r="F30" s="34"/>
      <c r="G30" s="34"/>
      <c r="H30" s="34"/>
      <c r="I30" s="34"/>
      <c r="J30" s="34"/>
    </row>
    <row r="31" spans="1:10" x14ac:dyDescent="0.25">
      <c r="A31" s="93"/>
      <c r="B31" s="93"/>
      <c r="C31" s="93"/>
      <c r="D31" s="34"/>
      <c r="E31" s="34"/>
      <c r="F31" s="34"/>
      <c r="G31" s="34"/>
      <c r="H31" s="34"/>
      <c r="I31" s="34"/>
      <c r="J31" s="34"/>
    </row>
    <row r="32" spans="1:10" x14ac:dyDescent="0.25">
      <c r="A32" s="93"/>
      <c r="B32" s="93"/>
      <c r="C32" s="93"/>
      <c r="D32" s="34"/>
      <c r="E32" s="34"/>
      <c r="F32" s="34"/>
      <c r="G32" s="34"/>
      <c r="H32" s="34"/>
      <c r="I32" s="34"/>
      <c r="J32" s="34"/>
    </row>
    <row r="33" spans="1:14" ht="15.75" x14ac:dyDescent="0.25">
      <c r="A33" s="96" t="s">
        <v>159</v>
      </c>
      <c r="B33" s="56" t="s">
        <v>260</v>
      </c>
      <c r="C33" s="96"/>
      <c r="D33" s="67"/>
      <c r="E33" s="97" t="s">
        <v>252</v>
      </c>
      <c r="F33" s="98" t="s">
        <v>136</v>
      </c>
      <c r="G33" s="59" t="s">
        <v>34</v>
      </c>
      <c r="H33" s="67"/>
      <c r="I33" s="34"/>
      <c r="J33" s="99"/>
      <c r="K33" s="62"/>
      <c r="L33" s="62"/>
      <c r="M33" s="62"/>
      <c r="N33" s="62"/>
    </row>
    <row r="34" spans="1:14" ht="15.75" x14ac:dyDescent="0.25">
      <c r="A34" s="93"/>
      <c r="B34" s="66" t="s">
        <v>261</v>
      </c>
      <c r="C34" s="93"/>
      <c r="D34" s="34"/>
      <c r="E34" s="63"/>
      <c r="F34" s="63"/>
      <c r="G34" s="63"/>
      <c r="H34" s="34"/>
      <c r="I34" s="34"/>
      <c r="J34" s="100"/>
      <c r="K34" s="62"/>
      <c r="L34" s="62"/>
      <c r="M34" s="62"/>
      <c r="N34" s="62"/>
    </row>
    <row r="35" spans="1:14" ht="15.75" x14ac:dyDescent="0.25">
      <c r="A35" s="93"/>
      <c r="B35" s="93"/>
      <c r="C35" s="93"/>
      <c r="D35" s="66"/>
      <c r="E35" s="34"/>
      <c r="F35" s="34"/>
      <c r="G35" s="34"/>
      <c r="H35" s="34"/>
      <c r="I35" s="34"/>
      <c r="J35" s="34"/>
    </row>
    <row r="36" spans="1:14" x14ac:dyDescent="0.25">
      <c r="A36" s="93"/>
      <c r="B36" s="93"/>
      <c r="C36" s="93"/>
      <c r="D36" s="34"/>
      <c r="E36" s="69" t="str">
        <f>IF(COUNTIF(E34:G34,"x")&gt;1,"error",IF(G34="x",6,IF(F34="x",3,IF(E34="x",0,""))))</f>
        <v/>
      </c>
      <c r="F36" s="34"/>
      <c r="G36" s="34"/>
      <c r="H36" s="34"/>
      <c r="I36" s="34"/>
      <c r="J36" s="34"/>
    </row>
    <row r="37" spans="1:14" x14ac:dyDescent="0.25">
      <c r="A37" s="93"/>
      <c r="B37" s="93"/>
      <c r="C37" s="93"/>
      <c r="D37" s="34"/>
      <c r="E37" s="34"/>
      <c r="F37" s="34"/>
      <c r="G37" s="34"/>
      <c r="H37" s="34"/>
      <c r="I37" s="34"/>
      <c r="J37" s="34"/>
    </row>
    <row r="38" spans="1:14" x14ac:dyDescent="0.25">
      <c r="A38" s="93"/>
      <c r="B38" s="93"/>
      <c r="C38" s="93"/>
      <c r="D38" s="34"/>
      <c r="E38" s="34"/>
      <c r="F38" s="34"/>
      <c r="G38" s="34"/>
      <c r="H38" s="34"/>
      <c r="I38" s="34"/>
      <c r="J38" s="34"/>
    </row>
    <row r="39" spans="1:14" x14ac:dyDescent="0.25">
      <c r="A39" s="93"/>
      <c r="B39" s="93"/>
      <c r="C39" s="93"/>
      <c r="D39" s="34"/>
      <c r="E39" s="34"/>
      <c r="F39" s="34"/>
      <c r="G39" s="34"/>
      <c r="H39" s="34"/>
      <c r="I39" s="34"/>
      <c r="J39" s="34"/>
    </row>
    <row r="40" spans="1:14" x14ac:dyDescent="0.25">
      <c r="A40" s="93"/>
      <c r="B40" s="93"/>
      <c r="C40" s="93"/>
      <c r="D40" s="34"/>
      <c r="E40" s="34"/>
      <c r="F40" s="34"/>
      <c r="G40" s="34"/>
      <c r="H40" s="34"/>
      <c r="I40" s="34"/>
      <c r="J40" s="34"/>
    </row>
    <row r="41" spans="1:14" x14ac:dyDescent="0.25">
      <c r="A41" s="93"/>
      <c r="B41" s="93"/>
      <c r="C41" s="93"/>
      <c r="D41" s="34"/>
      <c r="E41" s="34"/>
      <c r="F41" s="34"/>
      <c r="G41" s="34"/>
      <c r="H41" s="34"/>
      <c r="I41" s="34"/>
      <c r="J41" s="34"/>
    </row>
    <row r="42" spans="1:14" x14ac:dyDescent="0.25">
      <c r="A42" s="93"/>
      <c r="B42" s="93"/>
      <c r="C42" s="93"/>
      <c r="D42" s="34"/>
      <c r="E42" s="34"/>
      <c r="F42" s="34"/>
      <c r="G42" s="34"/>
      <c r="H42" s="34"/>
      <c r="I42" s="34"/>
      <c r="J42" s="34"/>
    </row>
    <row r="43" spans="1:14" x14ac:dyDescent="0.25">
      <c r="A43" s="93"/>
      <c r="B43" s="93"/>
      <c r="C43" s="93"/>
      <c r="D43" s="34"/>
      <c r="E43" s="34"/>
      <c r="F43" s="34"/>
      <c r="G43" s="34"/>
      <c r="H43" s="34"/>
      <c r="I43" s="34"/>
      <c r="J43" s="34"/>
    </row>
    <row r="44" spans="1:14" x14ac:dyDescent="0.25">
      <c r="A44" s="93"/>
      <c r="B44" s="93"/>
      <c r="C44" s="93"/>
      <c r="D44" s="34"/>
      <c r="E44" s="34"/>
      <c r="F44" s="34"/>
      <c r="G44" s="34"/>
      <c r="H44" s="34"/>
      <c r="I44" s="34"/>
      <c r="J44" s="34"/>
    </row>
    <row r="45" spans="1:14" x14ac:dyDescent="0.25">
      <c r="A45" s="93"/>
      <c r="B45" s="93"/>
      <c r="C45" s="93"/>
      <c r="D45" s="34"/>
      <c r="E45" s="34"/>
      <c r="F45" s="34"/>
      <c r="G45" s="34"/>
      <c r="H45" s="34"/>
      <c r="I45" s="34"/>
      <c r="J45" s="34"/>
    </row>
    <row r="46" spans="1:14" x14ac:dyDescent="0.25">
      <c r="A46" s="93"/>
      <c r="B46" s="93"/>
      <c r="C46" s="93"/>
      <c r="D46" s="34"/>
      <c r="E46" s="34"/>
      <c r="F46" s="34"/>
      <c r="G46" s="34"/>
      <c r="H46" s="34"/>
      <c r="I46" s="34"/>
      <c r="J46" s="34"/>
    </row>
    <row r="47" spans="1:14" x14ac:dyDescent="0.25">
      <c r="A47" s="93"/>
      <c r="B47" s="93"/>
      <c r="C47" s="93"/>
      <c r="D47" s="34"/>
      <c r="E47" s="34"/>
      <c r="F47" s="34"/>
      <c r="G47" s="34"/>
      <c r="H47" s="34"/>
      <c r="I47" s="34"/>
      <c r="J47" s="34"/>
    </row>
    <row r="48" spans="1:14" x14ac:dyDescent="0.25">
      <c r="A48" s="93"/>
      <c r="B48" s="93"/>
      <c r="C48" s="93"/>
      <c r="D48" s="34"/>
      <c r="E48" s="34"/>
      <c r="F48" s="34"/>
      <c r="G48" s="34"/>
      <c r="H48" s="34"/>
      <c r="I48" s="34"/>
      <c r="J48" s="34"/>
    </row>
    <row r="49" spans="1:14" x14ac:dyDescent="0.25">
      <c r="A49" s="93"/>
      <c r="B49" s="93"/>
      <c r="C49" s="93"/>
      <c r="D49" s="34"/>
      <c r="E49" s="34"/>
      <c r="F49" s="34"/>
      <c r="G49" s="34"/>
      <c r="H49" s="34"/>
      <c r="I49" s="34"/>
      <c r="J49" s="34"/>
    </row>
    <row r="50" spans="1:14" x14ac:dyDescent="0.25">
      <c r="A50" s="93"/>
      <c r="B50" s="93"/>
      <c r="C50" s="93"/>
      <c r="D50" s="34"/>
      <c r="E50" s="34"/>
      <c r="F50" s="34"/>
      <c r="G50" s="34"/>
      <c r="H50" s="34"/>
      <c r="I50" s="34"/>
      <c r="J50" s="34"/>
    </row>
    <row r="51" spans="1:14" ht="15.75" x14ac:dyDescent="0.25">
      <c r="A51" s="96" t="s">
        <v>163</v>
      </c>
      <c r="B51" s="56" t="s">
        <v>262</v>
      </c>
      <c r="C51" s="96"/>
      <c r="D51" s="67"/>
      <c r="E51" s="97" t="s">
        <v>252</v>
      </c>
      <c r="F51" s="98" t="s">
        <v>136</v>
      </c>
      <c r="G51" s="59" t="s">
        <v>34</v>
      </c>
      <c r="H51" s="67"/>
      <c r="I51" s="34"/>
      <c r="J51" s="99"/>
      <c r="K51" s="62"/>
      <c r="L51" s="62"/>
      <c r="M51" s="62"/>
      <c r="N51" s="62"/>
    </row>
    <row r="52" spans="1:14" ht="15" customHeight="1" x14ac:dyDescent="0.25">
      <c r="A52" s="93"/>
      <c r="B52" s="241" t="s">
        <v>263</v>
      </c>
      <c r="C52" s="241"/>
      <c r="D52" s="242"/>
      <c r="E52" s="63"/>
      <c r="F52" s="63"/>
      <c r="G52" s="63"/>
      <c r="H52" s="34"/>
      <c r="I52" s="34"/>
      <c r="J52" s="101"/>
      <c r="K52" s="102"/>
      <c r="L52" s="102"/>
      <c r="M52" s="102"/>
      <c r="N52" s="102"/>
    </row>
    <row r="53" spans="1:14" x14ac:dyDescent="0.25">
      <c r="A53" s="93"/>
      <c r="B53" s="265" t="s">
        <v>264</v>
      </c>
      <c r="C53" s="265"/>
      <c r="D53" s="34"/>
      <c r="E53" s="34"/>
      <c r="F53" s="34"/>
      <c r="G53" s="34"/>
      <c r="H53" s="34"/>
      <c r="I53" s="34"/>
      <c r="J53" s="34"/>
    </row>
    <row r="54" spans="1:14" x14ac:dyDescent="0.25">
      <c r="A54" s="93"/>
      <c r="B54" s="93"/>
      <c r="C54" s="93"/>
      <c r="D54" s="34"/>
      <c r="E54" s="69" t="str">
        <f>IF(COUNTIF(E52:G52,"x")&gt;1,"error",IF(G52="x",2,IF(F52="x",1,IF(E52="x",0,""))))</f>
        <v/>
      </c>
      <c r="F54" s="34"/>
      <c r="G54" s="34"/>
      <c r="H54" s="34"/>
      <c r="I54" s="34"/>
      <c r="J54" s="34"/>
    </row>
    <row r="55" spans="1:14" x14ac:dyDescent="0.25">
      <c r="A55" s="93"/>
      <c r="B55" s="93"/>
      <c r="C55" s="93"/>
      <c r="D55" s="34"/>
      <c r="E55" s="34"/>
      <c r="F55" s="34"/>
      <c r="G55" s="34"/>
      <c r="H55" s="34"/>
      <c r="I55" s="34"/>
      <c r="J55" s="34"/>
    </row>
    <row r="56" spans="1:14" x14ac:dyDescent="0.25">
      <c r="A56" s="93"/>
      <c r="B56" s="93"/>
      <c r="C56" s="93"/>
      <c r="D56" s="34"/>
      <c r="E56" s="34"/>
      <c r="F56" s="34"/>
      <c r="G56" s="34"/>
      <c r="H56" s="34"/>
      <c r="I56" s="34"/>
      <c r="J56" s="34"/>
    </row>
    <row r="57" spans="1:14" x14ac:dyDescent="0.25">
      <c r="A57" s="93"/>
      <c r="B57" s="93"/>
      <c r="C57" s="93"/>
      <c r="D57" s="34"/>
      <c r="E57" s="34"/>
      <c r="F57" s="34"/>
      <c r="G57" s="34"/>
      <c r="H57" s="34"/>
      <c r="I57" s="34"/>
      <c r="J57" s="34"/>
    </row>
    <row r="58" spans="1:14" x14ac:dyDescent="0.25">
      <c r="A58" s="93"/>
      <c r="B58" s="93"/>
      <c r="C58" s="93"/>
      <c r="D58" s="34"/>
      <c r="E58" s="34"/>
      <c r="F58" s="34"/>
      <c r="G58" s="34"/>
      <c r="H58" s="34"/>
      <c r="I58" s="34"/>
      <c r="J58" s="34"/>
    </row>
    <row r="59" spans="1:14" x14ac:dyDescent="0.25">
      <c r="A59" s="93"/>
      <c r="B59" s="93"/>
      <c r="C59" s="93"/>
      <c r="D59" s="34"/>
      <c r="E59" s="34"/>
      <c r="F59" s="34"/>
      <c r="G59" s="34"/>
      <c r="H59" s="34"/>
      <c r="I59" s="34"/>
      <c r="J59" s="34"/>
    </row>
    <row r="60" spans="1:14" x14ac:dyDescent="0.25">
      <c r="A60" s="93"/>
      <c r="B60" s="93"/>
      <c r="C60" s="93"/>
      <c r="D60" s="34"/>
      <c r="E60" s="34"/>
      <c r="F60" s="34"/>
      <c r="G60" s="34"/>
      <c r="H60" s="34"/>
      <c r="I60" s="34"/>
      <c r="J60" s="34"/>
    </row>
    <row r="61" spans="1:14" x14ac:dyDescent="0.25">
      <c r="A61" s="93"/>
      <c r="B61" s="93"/>
      <c r="C61" s="93"/>
      <c r="D61" s="34"/>
      <c r="E61" s="34"/>
      <c r="F61" s="34"/>
      <c r="G61" s="34"/>
      <c r="H61" s="34"/>
      <c r="I61" s="34"/>
      <c r="J61" s="34"/>
    </row>
    <row r="62" spans="1:14" x14ac:dyDescent="0.25">
      <c r="A62" s="93"/>
      <c r="B62" s="93"/>
      <c r="C62" s="93"/>
      <c r="D62" s="34"/>
      <c r="E62" s="34"/>
      <c r="F62" s="34"/>
      <c r="G62" s="34"/>
      <c r="H62" s="34"/>
      <c r="I62" s="34"/>
      <c r="J62" s="34"/>
    </row>
    <row r="63" spans="1:14" x14ac:dyDescent="0.25">
      <c r="A63" s="93"/>
      <c r="B63" s="93"/>
      <c r="C63" s="93"/>
      <c r="D63" s="34"/>
      <c r="E63" s="34"/>
      <c r="F63" s="34"/>
      <c r="G63" s="34"/>
      <c r="H63" s="34"/>
      <c r="I63" s="34"/>
      <c r="J63" s="34"/>
    </row>
    <row r="64" spans="1:14" ht="3" customHeight="1" x14ac:dyDescent="0.25">
      <c r="A64" s="93"/>
      <c r="B64" s="93"/>
      <c r="C64" s="93"/>
      <c r="D64" s="34"/>
      <c r="E64" s="34"/>
      <c r="F64" s="34"/>
      <c r="G64" s="34"/>
      <c r="H64" s="34"/>
      <c r="I64" s="34"/>
      <c r="J64" s="34"/>
    </row>
    <row r="65" spans="1:14" ht="15.75" x14ac:dyDescent="0.25">
      <c r="A65" s="96" t="s">
        <v>166</v>
      </c>
      <c r="B65" s="56" t="s">
        <v>265</v>
      </c>
      <c r="C65" s="96"/>
      <c r="D65" s="67"/>
      <c r="E65" s="97" t="s">
        <v>252</v>
      </c>
      <c r="F65" s="98" t="s">
        <v>136</v>
      </c>
      <c r="G65" s="59" t="s">
        <v>34</v>
      </c>
      <c r="H65" s="67"/>
      <c r="I65" s="34"/>
      <c r="J65" s="99"/>
      <c r="K65" s="62"/>
      <c r="L65" s="62"/>
      <c r="M65" s="62"/>
      <c r="N65" s="62"/>
    </row>
    <row r="66" spans="1:14" ht="15" customHeight="1" x14ac:dyDescent="0.25">
      <c r="A66" s="93"/>
      <c r="B66" s="241" t="s">
        <v>266</v>
      </c>
      <c r="C66" s="241"/>
      <c r="D66" s="242"/>
      <c r="E66" s="63"/>
      <c r="F66" s="63"/>
      <c r="G66" s="63"/>
      <c r="H66" s="34"/>
      <c r="I66" s="34"/>
      <c r="J66" s="101"/>
      <c r="K66" s="102"/>
      <c r="L66" s="102"/>
      <c r="M66" s="102"/>
      <c r="N66" s="102"/>
    </row>
    <row r="67" spans="1:14" x14ac:dyDescent="0.25">
      <c r="A67" s="93"/>
      <c r="B67" s="265" t="s">
        <v>267</v>
      </c>
      <c r="C67" s="265"/>
      <c r="D67" s="34"/>
      <c r="E67" s="34"/>
      <c r="F67" s="34"/>
      <c r="G67" s="34"/>
      <c r="H67" s="34"/>
      <c r="I67" s="34"/>
      <c r="J67" s="34"/>
    </row>
    <row r="68" spans="1:14" x14ac:dyDescent="0.25">
      <c r="A68" s="93"/>
      <c r="B68" s="93"/>
      <c r="C68" s="93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34"/>
    </row>
    <row r="69" spans="1:14" x14ac:dyDescent="0.25">
      <c r="A69" s="93"/>
      <c r="B69" s="93"/>
      <c r="C69" s="93"/>
      <c r="D69" s="34"/>
      <c r="E69" s="34"/>
      <c r="F69" s="34"/>
      <c r="G69" s="34"/>
      <c r="H69" s="34"/>
      <c r="I69" s="34"/>
      <c r="J69" s="34"/>
    </row>
    <row r="70" spans="1:14" x14ac:dyDescent="0.25">
      <c r="A70" s="93"/>
      <c r="B70" s="93"/>
      <c r="C70" s="93"/>
      <c r="D70" s="34"/>
      <c r="E70" s="34"/>
      <c r="F70" s="34"/>
      <c r="G70" s="34"/>
      <c r="H70" s="34"/>
      <c r="I70" s="34"/>
      <c r="J70" s="34"/>
    </row>
    <row r="71" spans="1:14" x14ac:dyDescent="0.25">
      <c r="A71" s="93"/>
      <c r="B71" s="93"/>
      <c r="C71" s="93"/>
      <c r="D71" s="34"/>
      <c r="E71" s="34"/>
      <c r="F71" s="34"/>
      <c r="G71" s="34"/>
      <c r="H71" s="34"/>
      <c r="I71" s="34"/>
      <c r="J71" s="34"/>
    </row>
    <row r="72" spans="1:14" x14ac:dyDescent="0.25">
      <c r="A72" s="93"/>
      <c r="B72" s="93"/>
      <c r="C72" s="93"/>
      <c r="D72" s="34"/>
      <c r="E72" s="34"/>
      <c r="F72" s="34"/>
      <c r="G72" s="34"/>
      <c r="H72" s="34"/>
      <c r="I72" s="34"/>
      <c r="J72" s="34"/>
    </row>
    <row r="73" spans="1:14" x14ac:dyDescent="0.25">
      <c r="A73" s="93"/>
      <c r="B73" s="93"/>
      <c r="C73" s="93"/>
      <c r="D73" s="34"/>
      <c r="E73" s="34"/>
      <c r="F73" s="34"/>
      <c r="G73" s="34"/>
      <c r="H73" s="34"/>
      <c r="I73" s="34"/>
      <c r="J73" s="34"/>
    </row>
    <row r="74" spans="1:14" x14ac:dyDescent="0.25">
      <c r="A74" s="93"/>
      <c r="B74" s="93"/>
      <c r="C74" s="93"/>
      <c r="D74" s="34"/>
      <c r="E74" s="34"/>
      <c r="F74" s="34"/>
      <c r="G74" s="34"/>
      <c r="H74" s="34"/>
      <c r="I74" s="34"/>
      <c r="J74" s="34"/>
    </row>
    <row r="75" spans="1:14" ht="10.5" customHeight="1" x14ac:dyDescent="0.25">
      <c r="A75" s="93"/>
      <c r="B75" s="93"/>
      <c r="C75" s="93"/>
      <c r="D75" s="34"/>
      <c r="E75" s="34"/>
      <c r="F75" s="34"/>
      <c r="G75" s="34"/>
      <c r="H75" s="34"/>
      <c r="I75" s="34"/>
      <c r="J75" s="34"/>
    </row>
    <row r="76" spans="1:14" ht="15.75" x14ac:dyDescent="0.25">
      <c r="A76" s="96" t="s">
        <v>169</v>
      </c>
      <c r="B76" s="56" t="s">
        <v>268</v>
      </c>
      <c r="C76" s="96"/>
      <c r="D76" s="67"/>
      <c r="E76" s="97" t="s">
        <v>252</v>
      </c>
      <c r="F76" s="98" t="s">
        <v>136</v>
      </c>
      <c r="G76" s="59" t="s">
        <v>34</v>
      </c>
      <c r="H76" s="67"/>
      <c r="I76" s="34"/>
      <c r="J76" s="99"/>
      <c r="K76" s="62"/>
      <c r="L76" s="62"/>
      <c r="M76" s="62"/>
      <c r="N76" s="62"/>
    </row>
    <row r="77" spans="1:14" ht="15.75" x14ac:dyDescent="0.25">
      <c r="A77" s="93">
        <v>1</v>
      </c>
      <c r="B77" s="66" t="s">
        <v>269</v>
      </c>
      <c r="C77" s="93"/>
      <c r="D77" s="34"/>
      <c r="E77" s="63"/>
      <c r="F77" s="63"/>
      <c r="G77" s="63"/>
      <c r="H77" s="34"/>
      <c r="I77" s="34"/>
      <c r="J77" s="101"/>
      <c r="K77" s="102"/>
      <c r="L77" s="102"/>
      <c r="M77" s="102"/>
      <c r="N77" s="102"/>
    </row>
    <row r="78" spans="1:14" ht="15.75" x14ac:dyDescent="0.25">
      <c r="A78" s="93">
        <v>2</v>
      </c>
      <c r="B78" s="66" t="s">
        <v>270</v>
      </c>
      <c r="C78" s="93"/>
      <c r="D78" s="34"/>
      <c r="E78" s="34"/>
      <c r="F78" s="34"/>
      <c r="G78" s="34"/>
      <c r="H78" s="34"/>
      <c r="I78" s="34"/>
      <c r="J78" s="34"/>
    </row>
    <row r="79" spans="1:14" ht="15.75" x14ac:dyDescent="0.25">
      <c r="A79" s="93">
        <v>3</v>
      </c>
      <c r="B79" s="66" t="s">
        <v>271</v>
      </c>
      <c r="C79" s="93"/>
      <c r="D79" s="34"/>
      <c r="E79" s="69" t="str">
        <f>IF(COUNTIF(E77:G77,"x")&gt;1,"error",IF(G77="x",3,IF(F77="x",1,IF(E77="x",0,""))))</f>
        <v/>
      </c>
      <c r="F79" s="34"/>
      <c r="G79" s="34"/>
      <c r="H79" s="34"/>
      <c r="I79" s="34"/>
      <c r="J79" s="34"/>
    </row>
    <row r="80" spans="1:14" x14ac:dyDescent="0.25">
      <c r="A80" s="93"/>
      <c r="B80" s="93"/>
      <c r="C80" s="93"/>
      <c r="D80" s="34"/>
      <c r="E80" s="34"/>
      <c r="F80" s="34"/>
      <c r="G80" s="34"/>
      <c r="H80" s="34"/>
      <c r="I80" s="34"/>
      <c r="J80" s="34"/>
    </row>
    <row r="81" spans="1:14" x14ac:dyDescent="0.25">
      <c r="A81" s="93"/>
      <c r="B81" s="93"/>
      <c r="C81" s="93"/>
      <c r="D81" s="34"/>
      <c r="E81" s="34"/>
      <c r="F81" s="34"/>
      <c r="G81" s="34"/>
      <c r="H81" s="34"/>
      <c r="I81" s="34"/>
      <c r="J81" s="34"/>
    </row>
    <row r="82" spans="1:14" ht="12.75" customHeight="1" x14ac:dyDescent="0.25">
      <c r="A82" s="93"/>
      <c r="B82" s="93"/>
      <c r="C82" s="93"/>
      <c r="D82" s="34"/>
      <c r="E82" s="34"/>
      <c r="F82" s="34"/>
      <c r="G82" s="34"/>
      <c r="H82" s="34"/>
      <c r="I82" s="34"/>
      <c r="J82" s="34"/>
    </row>
    <row r="83" spans="1:14" ht="3.75" customHeight="1" x14ac:dyDescent="0.25">
      <c r="A83" s="93"/>
      <c r="B83" s="93"/>
      <c r="C83" s="93"/>
      <c r="D83" s="34"/>
      <c r="E83" s="34"/>
      <c r="F83" s="34"/>
      <c r="G83" s="34"/>
      <c r="H83" s="34"/>
      <c r="I83" s="34"/>
      <c r="J83" s="34"/>
    </row>
    <row r="84" spans="1:14" ht="15.75" x14ac:dyDescent="0.25">
      <c r="A84" s="96" t="s">
        <v>174</v>
      </c>
      <c r="B84" s="56" t="s">
        <v>177</v>
      </c>
      <c r="C84" s="96"/>
      <c r="D84" s="67"/>
      <c r="E84" s="97" t="s">
        <v>252</v>
      </c>
      <c r="F84" s="98" t="s">
        <v>136</v>
      </c>
      <c r="G84" s="59" t="s">
        <v>34</v>
      </c>
      <c r="H84" s="67"/>
      <c r="I84" s="34"/>
      <c r="J84" s="99"/>
      <c r="K84" s="62"/>
      <c r="L84" s="62"/>
      <c r="M84" s="62"/>
      <c r="N84" s="62"/>
    </row>
    <row r="85" spans="1:14" ht="15.75" x14ac:dyDescent="0.25">
      <c r="A85" s="93"/>
      <c r="B85" s="66" t="s">
        <v>272</v>
      </c>
      <c r="C85" s="93"/>
      <c r="D85" s="34"/>
      <c r="E85" s="63"/>
      <c r="F85" s="63"/>
      <c r="G85" s="63"/>
      <c r="H85" s="34"/>
      <c r="I85" s="34"/>
      <c r="J85" s="101"/>
      <c r="K85" s="102"/>
      <c r="L85" s="102"/>
      <c r="M85" s="102"/>
      <c r="N85" s="102"/>
    </row>
    <row r="86" spans="1:14" x14ac:dyDescent="0.25">
      <c r="A86" s="93"/>
      <c r="B86" s="93"/>
      <c r="C86" s="93"/>
      <c r="D86" s="34"/>
      <c r="E86" s="34"/>
      <c r="F86" s="34"/>
      <c r="G86" s="34"/>
      <c r="H86" s="34"/>
      <c r="I86" s="34"/>
      <c r="J86" s="34"/>
    </row>
    <row r="87" spans="1:14" x14ac:dyDescent="0.25">
      <c r="A87" s="93"/>
      <c r="B87" s="93"/>
      <c r="C87" s="93"/>
      <c r="D87" s="34"/>
      <c r="E87" s="69" t="str">
        <f>IF(COUNTIF(E85:G85,"x")&gt;1,"error",IF(G85="x",4,IF(F85="x",1,IF(E85="x",0,""))))</f>
        <v/>
      </c>
      <c r="F87" s="34"/>
      <c r="G87" s="34"/>
      <c r="H87" s="34"/>
      <c r="I87" s="34"/>
      <c r="J87" s="34"/>
    </row>
    <row r="88" spans="1:14" x14ac:dyDescent="0.25">
      <c r="A88" s="93"/>
      <c r="B88" s="93"/>
      <c r="C88" s="93"/>
      <c r="D88" s="34"/>
      <c r="E88" s="34"/>
      <c r="F88" s="34"/>
      <c r="G88" s="34"/>
      <c r="H88" s="34"/>
      <c r="I88" s="34"/>
      <c r="J88" s="34"/>
    </row>
    <row r="89" spans="1:14" x14ac:dyDescent="0.25">
      <c r="A89" s="93"/>
      <c r="B89" s="93"/>
      <c r="C89" s="93"/>
      <c r="D89" s="34"/>
      <c r="E89" s="34"/>
      <c r="F89" s="34"/>
      <c r="G89" s="34"/>
      <c r="H89" s="34"/>
      <c r="I89" s="34"/>
      <c r="J89" s="34"/>
    </row>
    <row r="90" spans="1:14" x14ac:dyDescent="0.25">
      <c r="A90" s="93"/>
      <c r="B90" s="93"/>
      <c r="C90" s="93"/>
      <c r="D90" s="34"/>
      <c r="E90" s="34"/>
      <c r="F90" s="34"/>
      <c r="G90" s="34"/>
      <c r="H90" s="34"/>
      <c r="I90" s="34"/>
      <c r="J90" s="34"/>
    </row>
    <row r="91" spans="1:14" x14ac:dyDescent="0.25">
      <c r="A91" s="93"/>
      <c r="B91" s="93"/>
      <c r="C91" s="93"/>
      <c r="D91" s="34"/>
      <c r="E91" s="34"/>
      <c r="F91" s="34"/>
      <c r="G91" s="34"/>
      <c r="H91" s="34"/>
      <c r="I91" s="34"/>
      <c r="J91" s="34"/>
    </row>
    <row r="92" spans="1:14" x14ac:dyDescent="0.25">
      <c r="A92" s="93"/>
      <c r="B92" s="93"/>
      <c r="C92" s="93"/>
      <c r="D92" s="34"/>
      <c r="E92" s="34"/>
      <c r="F92" s="34"/>
      <c r="G92" s="34"/>
      <c r="H92" s="34"/>
      <c r="I92" s="34"/>
      <c r="J92" s="34"/>
    </row>
    <row r="93" spans="1:14" x14ac:dyDescent="0.25">
      <c r="A93" s="93"/>
      <c r="B93" s="93"/>
      <c r="C93" s="93"/>
      <c r="D93" s="34"/>
      <c r="E93" s="34"/>
      <c r="F93" s="34"/>
      <c r="G93" s="34"/>
      <c r="H93" s="34"/>
      <c r="I93" s="34"/>
      <c r="J93" s="34"/>
    </row>
    <row r="94" spans="1:14" x14ac:dyDescent="0.25">
      <c r="A94" s="93"/>
      <c r="B94" s="93"/>
      <c r="C94" s="93"/>
      <c r="D94" s="34"/>
      <c r="E94" s="34"/>
      <c r="F94" s="34"/>
      <c r="G94" s="34"/>
      <c r="H94" s="34"/>
      <c r="I94" s="34"/>
      <c r="J94" s="34"/>
    </row>
    <row r="95" spans="1:14" x14ac:dyDescent="0.25">
      <c r="A95" s="93"/>
      <c r="B95" s="93"/>
      <c r="C95" s="93"/>
      <c r="D95" s="34"/>
      <c r="E95" s="34"/>
      <c r="F95" s="34"/>
      <c r="G95" s="34"/>
      <c r="H95" s="34"/>
      <c r="I95" s="34"/>
      <c r="J95" s="34"/>
    </row>
    <row r="96" spans="1:14" x14ac:dyDescent="0.25">
      <c r="A96" s="93"/>
      <c r="B96" s="93"/>
      <c r="C96" s="93"/>
      <c r="D96" s="34"/>
      <c r="E96" s="34"/>
      <c r="F96" s="34"/>
      <c r="G96" s="34"/>
      <c r="H96" s="34"/>
      <c r="I96" s="34"/>
      <c r="J96" s="34"/>
    </row>
    <row r="97" spans="1:14" ht="2.25" customHeight="1" x14ac:dyDescent="0.25">
      <c r="A97" s="93"/>
      <c r="B97" s="93"/>
      <c r="C97" s="93"/>
      <c r="D97" s="34"/>
      <c r="E97" s="34"/>
      <c r="F97" s="34"/>
      <c r="G97" s="34"/>
      <c r="H97" s="34"/>
      <c r="I97" s="34"/>
      <c r="J97" s="34"/>
    </row>
    <row r="98" spans="1:14" ht="15.75" x14ac:dyDescent="0.25">
      <c r="A98" s="96" t="s">
        <v>176</v>
      </c>
      <c r="B98" s="56" t="s">
        <v>273</v>
      </c>
      <c r="C98" s="96"/>
      <c r="D98" s="67"/>
      <c r="E98" s="97" t="s">
        <v>252</v>
      </c>
      <c r="F98" s="98" t="s">
        <v>136</v>
      </c>
      <c r="G98" s="59" t="s">
        <v>34</v>
      </c>
      <c r="H98" s="67"/>
      <c r="I98" s="34"/>
      <c r="J98" s="34"/>
    </row>
    <row r="99" spans="1:14" ht="15.75" x14ac:dyDescent="0.25">
      <c r="A99" s="93">
        <v>1</v>
      </c>
      <c r="B99" s="66" t="s">
        <v>274</v>
      </c>
      <c r="C99" s="93"/>
      <c r="D99" s="34"/>
      <c r="E99" s="63"/>
      <c r="F99" s="63"/>
      <c r="G99" s="63"/>
      <c r="H99" s="34"/>
      <c r="I99" s="34"/>
      <c r="J99" s="99"/>
      <c r="K99" s="103"/>
      <c r="L99" s="103"/>
      <c r="M99" s="103"/>
      <c r="N99" s="103"/>
    </row>
    <row r="100" spans="1:14" ht="15.75" customHeight="1" x14ac:dyDescent="0.25">
      <c r="A100" s="93">
        <v>2</v>
      </c>
      <c r="B100" s="241" t="s">
        <v>275</v>
      </c>
      <c r="C100" s="241"/>
      <c r="D100" s="241"/>
      <c r="E100" s="34"/>
      <c r="F100" s="34"/>
      <c r="G100" s="34"/>
      <c r="H100" s="34"/>
      <c r="I100" s="34"/>
      <c r="J100" s="101"/>
    </row>
    <row r="101" spans="1:14" x14ac:dyDescent="0.25">
      <c r="A101" s="93"/>
      <c r="B101" s="93"/>
      <c r="C101" s="93"/>
      <c r="D101" s="34"/>
      <c r="E101" s="69" t="str">
        <f>IF(COUNTIF(E99:G99,"x")&gt;1,"error",IF(G99="x",3,IF(F99="x",2,IF(E99="x",0,""))))</f>
        <v/>
      </c>
      <c r="F101" s="34"/>
      <c r="G101" s="34"/>
      <c r="H101" s="34"/>
      <c r="I101" s="34"/>
      <c r="J101" s="34"/>
    </row>
    <row r="102" spans="1:14" x14ac:dyDescent="0.25">
      <c r="A102" s="93"/>
      <c r="B102" s="93"/>
      <c r="C102" s="93"/>
      <c r="D102" s="34"/>
      <c r="E102" s="34"/>
      <c r="F102" s="34"/>
      <c r="G102" s="34"/>
      <c r="H102" s="34"/>
      <c r="I102" s="34"/>
      <c r="J102" s="34"/>
    </row>
    <row r="103" spans="1:14" x14ac:dyDescent="0.25">
      <c r="A103" s="93"/>
      <c r="B103" s="93"/>
      <c r="C103" s="93"/>
      <c r="D103" s="34"/>
      <c r="E103" s="34"/>
      <c r="F103" s="34"/>
      <c r="G103" s="34"/>
      <c r="H103" s="34"/>
      <c r="I103" s="34"/>
      <c r="J103" s="34"/>
    </row>
    <row r="104" spans="1:14" x14ac:dyDescent="0.25">
      <c r="A104" s="93"/>
      <c r="B104" s="93"/>
      <c r="C104" s="93"/>
      <c r="D104" s="34"/>
      <c r="E104" s="34"/>
      <c r="F104" s="34"/>
      <c r="G104" s="34"/>
      <c r="H104" s="34"/>
      <c r="I104" s="34"/>
      <c r="J104" s="34"/>
    </row>
    <row r="105" spans="1:14" ht="11.25" customHeight="1" x14ac:dyDescent="0.25">
      <c r="A105" s="93"/>
      <c r="B105" s="93"/>
      <c r="C105" s="93"/>
      <c r="D105" s="34"/>
      <c r="E105" s="34"/>
      <c r="F105" s="34"/>
      <c r="G105" s="34"/>
      <c r="H105" s="34"/>
      <c r="I105" s="34"/>
      <c r="J105" s="34"/>
    </row>
    <row r="106" spans="1:14" ht="15.75" x14ac:dyDescent="0.25">
      <c r="A106" s="96" t="s">
        <v>179</v>
      </c>
      <c r="B106" s="56" t="s">
        <v>276</v>
      </c>
      <c r="C106" s="96"/>
      <c r="D106" s="67"/>
      <c r="E106" s="97" t="s">
        <v>252</v>
      </c>
      <c r="F106" s="98" t="s">
        <v>136</v>
      </c>
      <c r="G106" s="59" t="s">
        <v>34</v>
      </c>
      <c r="H106" s="67"/>
      <c r="I106" s="34"/>
      <c r="J106" s="99"/>
      <c r="K106" s="62"/>
      <c r="L106" s="62"/>
      <c r="M106" s="62"/>
      <c r="N106" s="62"/>
    </row>
    <row r="107" spans="1:14" ht="15.75" x14ac:dyDescent="0.25">
      <c r="A107" s="93">
        <v>1</v>
      </c>
      <c r="B107" s="66" t="s">
        <v>277</v>
      </c>
      <c r="C107" s="93"/>
      <c r="D107" s="34"/>
      <c r="E107" s="63"/>
      <c r="F107" s="63"/>
      <c r="G107" s="63"/>
      <c r="H107" s="34"/>
      <c r="I107" s="34"/>
      <c r="J107" s="101"/>
      <c r="K107" s="102"/>
      <c r="L107" s="102"/>
      <c r="M107" s="102"/>
      <c r="N107" s="102"/>
    </row>
    <row r="108" spans="1:14" ht="15.75" x14ac:dyDescent="0.25">
      <c r="A108" s="93">
        <v>2</v>
      </c>
      <c r="B108" s="66" t="s">
        <v>278</v>
      </c>
      <c r="C108" s="93"/>
      <c r="D108" s="34"/>
      <c r="E108" s="34"/>
      <c r="F108" s="34"/>
      <c r="G108" s="34"/>
      <c r="H108" s="34"/>
      <c r="I108" s="34"/>
      <c r="J108" s="34"/>
    </row>
    <row r="109" spans="1:14" ht="15.75" x14ac:dyDescent="0.25">
      <c r="A109" s="93">
        <v>3</v>
      </c>
      <c r="B109" s="66" t="s">
        <v>279</v>
      </c>
      <c r="C109" s="93"/>
      <c r="D109" s="34"/>
      <c r="E109" s="69" t="str">
        <f>IF(COUNTIF(E107:G107,"x")&gt;1,"error",IF(G107="x",2,IF(F107="x",1,IF(E107="x",0,""))))</f>
        <v/>
      </c>
      <c r="F109" s="34"/>
      <c r="G109" s="34"/>
      <c r="H109" s="34"/>
      <c r="I109" s="34"/>
      <c r="J109" s="34"/>
    </row>
    <row r="110" spans="1:14" ht="15.75" x14ac:dyDescent="0.25">
      <c r="A110" s="93">
        <v>4</v>
      </c>
      <c r="B110" s="66" t="s">
        <v>280</v>
      </c>
      <c r="C110" s="93"/>
      <c r="D110" s="34"/>
      <c r="E110" s="34"/>
      <c r="F110" s="34"/>
      <c r="G110" s="34"/>
      <c r="H110" s="34"/>
      <c r="I110" s="34"/>
      <c r="J110" s="34"/>
    </row>
    <row r="111" spans="1:14" ht="15.75" x14ac:dyDescent="0.25">
      <c r="A111" s="93">
        <v>5</v>
      </c>
      <c r="B111" s="66" t="s">
        <v>281</v>
      </c>
      <c r="C111" s="93"/>
      <c r="D111" s="34"/>
      <c r="E111" s="34"/>
      <c r="F111" s="34"/>
      <c r="G111" s="34"/>
      <c r="H111" s="34"/>
      <c r="I111" s="34"/>
      <c r="J111" s="34"/>
    </row>
    <row r="112" spans="1:14" ht="15.75" x14ac:dyDescent="0.25">
      <c r="A112" s="93">
        <v>6</v>
      </c>
      <c r="B112" s="66" t="s">
        <v>282</v>
      </c>
      <c r="C112" s="93"/>
      <c r="D112" s="34"/>
      <c r="E112" s="34"/>
      <c r="F112" s="34"/>
      <c r="G112" s="34"/>
      <c r="H112" s="34"/>
      <c r="I112" s="34"/>
      <c r="J112" s="34"/>
    </row>
    <row r="113" spans="1:10" ht="15.75" x14ac:dyDescent="0.25">
      <c r="A113" s="93">
        <v>7</v>
      </c>
      <c r="B113" s="241" t="s">
        <v>283</v>
      </c>
      <c r="C113" s="241"/>
      <c r="D113" s="241"/>
      <c r="E113" s="34"/>
      <c r="F113" s="34"/>
      <c r="G113" s="34"/>
      <c r="H113" s="34"/>
      <c r="I113" s="34"/>
      <c r="J113" s="34"/>
    </row>
    <row r="114" spans="1:10" x14ac:dyDescent="0.25">
      <c r="A114" s="93"/>
      <c r="B114" s="93"/>
      <c r="C114" s="93"/>
      <c r="D114" s="34"/>
      <c r="E114" s="34"/>
      <c r="F114" s="34"/>
      <c r="G114" s="34"/>
      <c r="H114" s="34"/>
      <c r="I114" s="34"/>
      <c r="J114" s="34"/>
    </row>
    <row r="115" spans="1:10" x14ac:dyDescent="0.25">
      <c r="A115" s="93"/>
      <c r="B115" s="93"/>
      <c r="C115" s="93"/>
      <c r="D115" s="34"/>
      <c r="E115" s="34"/>
      <c r="F115" s="34"/>
      <c r="G115" s="34"/>
      <c r="H115" s="34"/>
      <c r="I115" s="34"/>
      <c r="J115" s="34"/>
    </row>
    <row r="116" spans="1:10" x14ac:dyDescent="0.25">
      <c r="A116" s="93"/>
      <c r="B116" s="93"/>
      <c r="C116" s="93"/>
      <c r="D116" s="34"/>
      <c r="E116" s="34"/>
      <c r="F116" s="34"/>
      <c r="G116" s="34"/>
      <c r="H116" s="34"/>
      <c r="I116" s="34"/>
      <c r="J116" s="34"/>
    </row>
    <row r="117" spans="1:10" ht="5.25" customHeight="1" x14ac:dyDescent="0.25">
      <c r="A117" s="93"/>
      <c r="B117" s="93"/>
      <c r="C117" s="93"/>
      <c r="D117" s="34"/>
      <c r="E117" s="34"/>
      <c r="F117" s="34"/>
      <c r="G117" s="34"/>
      <c r="H117" s="34"/>
      <c r="I117" s="34"/>
      <c r="J117" s="34"/>
    </row>
    <row r="118" spans="1:10" ht="16.5" customHeight="1" thickBot="1" x14ac:dyDescent="0.3">
      <c r="A118" s="95"/>
      <c r="B118" s="266" t="s">
        <v>284</v>
      </c>
      <c r="C118" s="266"/>
      <c r="D118" s="266"/>
      <c r="E118" s="266"/>
      <c r="F118" s="266"/>
      <c r="G118" s="266"/>
      <c r="H118" s="34"/>
      <c r="I118" s="34"/>
      <c r="J118" s="34"/>
    </row>
    <row r="119" spans="1:10" ht="15.75" thickBot="1" x14ac:dyDescent="0.3">
      <c r="A119" s="93"/>
      <c r="B119" s="93"/>
      <c r="C119" s="93"/>
      <c r="D119" s="104"/>
      <c r="E119" s="267" t="s">
        <v>59</v>
      </c>
      <c r="F119" s="268"/>
      <c r="G119" s="34"/>
      <c r="H119" s="34"/>
      <c r="I119" s="34"/>
      <c r="J119" s="34"/>
    </row>
    <row r="120" spans="1:10" ht="24" customHeight="1" thickBot="1" x14ac:dyDescent="0.3">
      <c r="A120" s="93"/>
      <c r="B120" s="93"/>
      <c r="C120" s="93"/>
      <c r="D120" s="259" t="s">
        <v>186</v>
      </c>
      <c r="E120" s="261" t="s">
        <v>257</v>
      </c>
      <c r="F120" s="262"/>
      <c r="G120" s="34"/>
      <c r="H120" s="34"/>
      <c r="I120" s="34"/>
      <c r="J120" s="34"/>
    </row>
    <row r="121" spans="1:10" ht="15.75" thickBot="1" x14ac:dyDescent="0.3">
      <c r="A121" s="93"/>
      <c r="B121" s="93"/>
      <c r="C121" s="93"/>
      <c r="D121" s="260"/>
      <c r="E121" s="141" t="s">
        <v>189</v>
      </c>
      <c r="F121" s="105" t="s">
        <v>188</v>
      </c>
      <c r="G121" s="34"/>
      <c r="H121" s="34"/>
      <c r="I121" s="34"/>
      <c r="J121" s="34"/>
    </row>
    <row r="122" spans="1:10" ht="16.5" customHeight="1" thickBot="1" x14ac:dyDescent="0.3">
      <c r="A122" s="93"/>
      <c r="B122" s="93"/>
      <c r="C122" s="106" t="s">
        <v>56</v>
      </c>
      <c r="D122" s="107" t="s">
        <v>229</v>
      </c>
      <c r="E122" s="86" t="str">
        <f>IF($E$119="x",E13,"")</f>
        <v/>
      </c>
      <c r="F122" s="86" t="str">
        <f>E122</f>
        <v/>
      </c>
      <c r="G122" s="34"/>
      <c r="H122" s="34"/>
      <c r="I122" s="34"/>
      <c r="J122" s="34"/>
    </row>
    <row r="123" spans="1:10" ht="16.5" customHeight="1" thickBot="1" x14ac:dyDescent="0.3">
      <c r="A123" s="93"/>
      <c r="B123" s="93"/>
      <c r="C123" s="106" t="s">
        <v>58</v>
      </c>
      <c r="D123" s="107" t="s">
        <v>260</v>
      </c>
      <c r="E123" s="86" t="str">
        <f>IF($E$119="x",E36,"")</f>
        <v/>
      </c>
      <c r="F123" s="86" t="str">
        <f t="shared" ref="F123:F129" si="0">E123</f>
        <v/>
      </c>
      <c r="G123" s="34"/>
      <c r="H123" s="34"/>
      <c r="I123" s="34"/>
      <c r="J123" s="34"/>
    </row>
    <row r="124" spans="1:10" ht="16.5" customHeight="1" thickBot="1" x14ac:dyDescent="0.3">
      <c r="A124" s="93"/>
      <c r="B124" s="93"/>
      <c r="C124" s="106" t="s">
        <v>60</v>
      </c>
      <c r="D124" s="107" t="s">
        <v>285</v>
      </c>
      <c r="E124" s="86" t="str">
        <f>IF($E$119="x",E54,"")</f>
        <v/>
      </c>
      <c r="F124" s="86" t="str">
        <f t="shared" si="0"/>
        <v/>
      </c>
      <c r="G124" s="34"/>
      <c r="H124" s="34"/>
      <c r="I124" s="34"/>
      <c r="J124" s="34"/>
    </row>
    <row r="125" spans="1:10" ht="16.5" customHeight="1" thickBot="1" x14ac:dyDescent="0.3">
      <c r="A125" s="93"/>
      <c r="B125" s="93"/>
      <c r="C125" s="106" t="s">
        <v>63</v>
      </c>
      <c r="D125" s="107" t="s">
        <v>286</v>
      </c>
      <c r="E125" s="86" t="str">
        <f>IF($E$119="x",E68,"")</f>
        <v/>
      </c>
      <c r="F125" s="86" t="str">
        <f t="shared" si="0"/>
        <v/>
      </c>
      <c r="G125" s="34"/>
      <c r="H125" s="34"/>
      <c r="I125" s="34"/>
      <c r="J125" s="34"/>
    </row>
    <row r="126" spans="1:10" ht="16.5" customHeight="1" thickBot="1" x14ac:dyDescent="0.3">
      <c r="A126" s="93"/>
      <c r="B126" s="93"/>
      <c r="C126" s="106" t="s">
        <v>66</v>
      </c>
      <c r="D126" s="107" t="s">
        <v>268</v>
      </c>
      <c r="E126" s="86" t="str">
        <f>IF($E$119="x",E79,"")</f>
        <v/>
      </c>
      <c r="F126" s="86" t="str">
        <f t="shared" si="0"/>
        <v/>
      </c>
      <c r="G126" s="34"/>
      <c r="H126" s="34"/>
      <c r="I126" s="34"/>
      <c r="J126" s="34"/>
    </row>
    <row r="127" spans="1:10" ht="16.5" customHeight="1" thickBot="1" x14ac:dyDescent="0.3">
      <c r="A127" s="93"/>
      <c r="B127" s="93"/>
      <c r="C127" s="106" t="s">
        <v>69</v>
      </c>
      <c r="D127" s="107" t="s">
        <v>177</v>
      </c>
      <c r="E127" s="86" t="str">
        <f>IF($E$119="x",E87,"")</f>
        <v/>
      </c>
      <c r="F127" s="86" t="str">
        <f t="shared" si="0"/>
        <v/>
      </c>
      <c r="G127" s="34"/>
      <c r="H127" s="34"/>
      <c r="I127" s="34"/>
      <c r="J127" s="34"/>
    </row>
    <row r="128" spans="1:10" ht="16.5" customHeight="1" thickBot="1" x14ac:dyDescent="0.3">
      <c r="A128" s="93"/>
      <c r="B128" s="93"/>
      <c r="C128" s="106" t="s">
        <v>71</v>
      </c>
      <c r="D128" s="107" t="s">
        <v>273</v>
      </c>
      <c r="E128" s="86" t="str">
        <f>IF($E$119="x",E101,"")</f>
        <v/>
      </c>
      <c r="F128" s="86" t="str">
        <f t="shared" si="0"/>
        <v/>
      </c>
      <c r="G128" s="34"/>
      <c r="H128" s="34"/>
      <c r="I128" s="34"/>
      <c r="J128" s="34"/>
    </row>
    <row r="129" spans="1:10" ht="16.5" customHeight="1" thickBot="1" x14ac:dyDescent="0.3">
      <c r="A129" s="93"/>
      <c r="B129" s="93"/>
      <c r="C129" s="106" t="s">
        <v>73</v>
      </c>
      <c r="D129" s="107" t="s">
        <v>276</v>
      </c>
      <c r="E129" s="86" t="str">
        <f>IF($E$119="x",E109,"")</f>
        <v/>
      </c>
      <c r="F129" s="86" t="str">
        <f t="shared" si="0"/>
        <v/>
      </c>
      <c r="G129" s="34"/>
      <c r="H129" s="34"/>
      <c r="I129" s="34"/>
      <c r="J129" s="34"/>
    </row>
    <row r="130" spans="1:10" ht="15.75" thickBot="1" x14ac:dyDescent="0.3">
      <c r="A130" s="93"/>
      <c r="B130" s="93"/>
      <c r="C130" s="93"/>
      <c r="D130" s="108" t="s">
        <v>197</v>
      </c>
      <c r="E130" s="263">
        <f>SUM(E122:E129)</f>
        <v>0</v>
      </c>
      <c r="F130" s="264"/>
      <c r="G130" s="34"/>
      <c r="H130" s="34"/>
      <c r="I130" s="34"/>
      <c r="J130" s="34"/>
    </row>
    <row r="131" spans="1:10" ht="15.75" thickBot="1" x14ac:dyDescent="0.3">
      <c r="A131" s="93"/>
      <c r="B131" s="93"/>
      <c r="C131" s="93"/>
      <c r="D131" s="108" t="s">
        <v>198</v>
      </c>
      <c r="E131" s="263">
        <f>E130</f>
        <v>0</v>
      </c>
      <c r="F131" s="264"/>
      <c r="G131" s="34"/>
      <c r="H131" s="34"/>
      <c r="I131" s="34"/>
      <c r="J131" s="34"/>
    </row>
    <row r="132" spans="1:10" x14ac:dyDescent="0.25">
      <c r="A132" s="93"/>
      <c r="B132" s="93"/>
      <c r="C132" s="93"/>
      <c r="D132" s="34"/>
      <c r="E132" s="34"/>
      <c r="F132" s="34"/>
      <c r="G132" s="79"/>
      <c r="H132" s="79"/>
      <c r="I132" s="79"/>
      <c r="J132" s="79"/>
    </row>
    <row r="133" spans="1:10" ht="15.75" x14ac:dyDescent="0.25">
      <c r="A133" s="109" t="s">
        <v>159</v>
      </c>
      <c r="B133" s="110"/>
      <c r="C133" s="110"/>
      <c r="D133" s="56" t="s">
        <v>287</v>
      </c>
      <c r="E133" s="67"/>
      <c r="F133" s="67"/>
      <c r="G133" s="111"/>
      <c r="H133" s="111"/>
      <c r="I133" s="79"/>
      <c r="J133" s="79"/>
    </row>
    <row r="134" spans="1:10" x14ac:dyDescent="0.25">
      <c r="A134" s="93"/>
      <c r="B134" s="93"/>
      <c r="C134" s="93"/>
      <c r="D134" s="34"/>
      <c r="E134" s="34"/>
      <c r="F134" s="34"/>
      <c r="G134" s="79"/>
      <c r="H134" s="79"/>
      <c r="I134" s="79"/>
      <c r="J134" s="79"/>
    </row>
    <row r="135" spans="1:10" x14ac:dyDescent="0.25">
      <c r="A135" s="93"/>
      <c r="B135" s="93"/>
      <c r="C135" s="93"/>
      <c r="D135" s="34"/>
      <c r="E135" s="34"/>
      <c r="F135" s="34"/>
      <c r="G135" s="34"/>
      <c r="H135" s="34"/>
      <c r="I135" s="34"/>
      <c r="J135" s="34"/>
    </row>
    <row r="136" spans="1:10" x14ac:dyDescent="0.25">
      <c r="A136" s="93"/>
      <c r="B136" s="93"/>
      <c r="C136" s="93"/>
      <c r="D136" s="34"/>
      <c r="E136" s="34"/>
      <c r="F136" s="34"/>
      <c r="G136" s="34"/>
      <c r="H136" s="34"/>
      <c r="I136" s="34"/>
      <c r="J136" s="34"/>
    </row>
    <row r="137" spans="1:10" x14ac:dyDescent="0.25">
      <c r="A137" s="93"/>
      <c r="B137" s="93"/>
      <c r="C137" s="93"/>
      <c r="D137" s="34"/>
      <c r="E137" s="34"/>
      <c r="F137" s="34"/>
      <c r="G137" s="34"/>
      <c r="H137" s="34"/>
      <c r="I137" s="34"/>
      <c r="J137" s="34"/>
    </row>
    <row r="138" spans="1:10" x14ac:dyDescent="0.25">
      <c r="A138" s="93"/>
      <c r="B138" s="93"/>
      <c r="C138" s="93"/>
      <c r="D138" s="34"/>
      <c r="E138" s="34"/>
      <c r="F138" s="34"/>
      <c r="G138" s="34"/>
      <c r="H138" s="34"/>
      <c r="I138" s="34"/>
      <c r="J138" s="34"/>
    </row>
    <row r="139" spans="1:10" x14ac:dyDescent="0.25">
      <c r="A139" s="93"/>
      <c r="B139" s="93"/>
      <c r="C139" s="93"/>
      <c r="D139" s="34"/>
      <c r="E139" s="34"/>
      <c r="F139" s="34"/>
      <c r="G139" s="34"/>
      <c r="H139" s="34"/>
      <c r="I139" s="34"/>
      <c r="J139" s="34"/>
    </row>
    <row r="140" spans="1:10" x14ac:dyDescent="0.25">
      <c r="A140" s="93"/>
      <c r="B140" s="93"/>
      <c r="C140" s="93"/>
      <c r="D140" s="34"/>
      <c r="E140" s="34"/>
      <c r="F140" s="34"/>
      <c r="G140" s="34"/>
      <c r="H140" s="34"/>
      <c r="I140" s="34"/>
      <c r="J140" s="34"/>
    </row>
    <row r="141" spans="1:10" x14ac:dyDescent="0.25">
      <c r="A141" s="93"/>
      <c r="B141" s="93"/>
      <c r="C141" s="93"/>
      <c r="D141" s="34"/>
      <c r="E141" s="34"/>
      <c r="F141" s="34"/>
      <c r="G141" s="34"/>
      <c r="H141" s="34"/>
      <c r="I141" s="34"/>
      <c r="J141" s="34"/>
    </row>
    <row r="142" spans="1:10" ht="15.75" x14ac:dyDescent="0.25">
      <c r="A142" s="109" t="s">
        <v>288</v>
      </c>
      <c r="B142" s="110"/>
      <c r="C142" s="110"/>
      <c r="D142" s="56" t="s">
        <v>289</v>
      </c>
      <c r="E142" s="67"/>
      <c r="F142" s="67"/>
      <c r="G142" s="67"/>
      <c r="H142" s="67"/>
      <c r="I142" s="34"/>
      <c r="J142" s="34"/>
    </row>
    <row r="143" spans="1:10" x14ac:dyDescent="0.25">
      <c r="A143" s="93"/>
      <c r="B143" s="93"/>
      <c r="C143" s="93"/>
      <c r="D143" s="34"/>
      <c r="E143" s="34"/>
      <c r="F143" s="34"/>
      <c r="G143" s="34"/>
      <c r="H143" s="34"/>
      <c r="I143" s="34"/>
      <c r="J143" s="34"/>
    </row>
    <row r="144" spans="1:10" x14ac:dyDescent="0.25">
      <c r="A144" s="93"/>
      <c r="B144" s="93"/>
      <c r="C144" s="93"/>
      <c r="D144" s="34"/>
      <c r="E144" s="34"/>
      <c r="F144" s="34"/>
      <c r="G144" s="34"/>
      <c r="H144" s="34"/>
      <c r="I144" s="34"/>
      <c r="J144" s="34"/>
    </row>
    <row r="145" spans="1:10" x14ac:dyDescent="0.25">
      <c r="A145" s="93"/>
      <c r="B145" s="93"/>
      <c r="C145" s="93"/>
      <c r="D145" s="34"/>
      <c r="E145" s="34"/>
      <c r="F145" s="34"/>
      <c r="G145" s="34"/>
      <c r="H145" s="34"/>
      <c r="I145" s="34"/>
      <c r="J145" s="34"/>
    </row>
    <row r="146" spans="1:10" x14ac:dyDescent="0.25">
      <c r="A146" s="93"/>
      <c r="B146" s="93"/>
      <c r="C146" s="93"/>
      <c r="D146" s="34"/>
      <c r="E146" s="34"/>
      <c r="F146" s="34"/>
      <c r="G146" s="34"/>
      <c r="H146" s="34"/>
      <c r="I146" s="34"/>
      <c r="J146" s="34"/>
    </row>
    <row r="147" spans="1:10" x14ac:dyDescent="0.25">
      <c r="A147" s="93"/>
      <c r="B147" s="93"/>
      <c r="C147" s="93"/>
      <c r="D147" s="34"/>
      <c r="E147" s="34"/>
      <c r="F147" s="34"/>
      <c r="G147" s="34"/>
      <c r="H147" s="34"/>
      <c r="I147" s="34"/>
      <c r="J147" s="34"/>
    </row>
    <row r="148" spans="1:10" x14ac:dyDescent="0.25">
      <c r="A148" s="93"/>
      <c r="B148" s="93"/>
      <c r="C148" s="93"/>
      <c r="D148" s="34"/>
      <c r="E148" s="34"/>
      <c r="F148" s="34"/>
      <c r="G148" s="34"/>
      <c r="H148" s="34"/>
      <c r="I148" s="34"/>
      <c r="J148" s="34"/>
    </row>
    <row r="149" spans="1:10" x14ac:dyDescent="0.25">
      <c r="A149" s="93"/>
      <c r="B149" s="93"/>
      <c r="C149" s="93"/>
      <c r="D149" s="34"/>
      <c r="E149" s="34"/>
      <c r="F149" s="34"/>
      <c r="G149" s="34"/>
      <c r="H149" s="34"/>
      <c r="I149" s="34"/>
      <c r="J149" s="34"/>
    </row>
    <row r="150" spans="1:10" x14ac:dyDescent="0.25">
      <c r="A150" s="93"/>
      <c r="B150" s="93"/>
      <c r="C150" s="93"/>
      <c r="D150" s="34"/>
      <c r="E150" s="34"/>
      <c r="F150" s="34"/>
      <c r="G150" s="34"/>
      <c r="H150" s="34"/>
      <c r="I150" s="34"/>
      <c r="J150" s="34"/>
    </row>
    <row r="151" spans="1:10" x14ac:dyDescent="0.25">
      <c r="A151" s="93"/>
      <c r="B151" s="93"/>
      <c r="C151" s="93"/>
      <c r="D151" s="34"/>
      <c r="E151" s="34"/>
      <c r="F151" s="34"/>
      <c r="G151" s="34"/>
      <c r="H151" s="34"/>
      <c r="I151" s="34"/>
      <c r="J151" s="34"/>
    </row>
    <row r="152" spans="1:10" x14ac:dyDescent="0.25">
      <c r="A152" s="93"/>
      <c r="B152" s="93"/>
      <c r="C152" s="93"/>
      <c r="D152" s="34"/>
      <c r="E152" s="34"/>
      <c r="F152" s="34"/>
      <c r="G152" s="34"/>
      <c r="H152" s="34"/>
      <c r="I152" s="34"/>
      <c r="J152" s="34"/>
    </row>
    <row r="153" spans="1:10" x14ac:dyDescent="0.25">
      <c r="A153" s="93"/>
      <c r="B153" s="93"/>
      <c r="C153" s="93"/>
      <c r="D153" s="34"/>
      <c r="E153" s="34"/>
      <c r="F153" s="34"/>
      <c r="G153" s="34"/>
      <c r="H153" s="34"/>
      <c r="I153" s="34"/>
      <c r="J153" s="34"/>
    </row>
    <row r="154" spans="1:10" x14ac:dyDescent="0.25">
      <c r="A154" s="93"/>
      <c r="B154" s="93"/>
      <c r="C154" s="93"/>
      <c r="D154" s="34"/>
      <c r="E154" s="34"/>
      <c r="F154" s="34"/>
      <c r="G154" s="34"/>
      <c r="H154" s="34"/>
      <c r="I154" s="34"/>
      <c r="J154" s="34"/>
    </row>
    <row r="155" spans="1:10" x14ac:dyDescent="0.25">
      <c r="A155" s="93"/>
      <c r="B155" s="93"/>
      <c r="C155" s="93"/>
      <c r="D155" s="34"/>
      <c r="E155" s="34"/>
      <c r="F155" s="34"/>
      <c r="G155" s="34"/>
      <c r="H155" s="34"/>
      <c r="I155" s="34"/>
      <c r="J155" s="34"/>
    </row>
    <row r="156" spans="1:10" x14ac:dyDescent="0.25">
      <c r="A156" s="93"/>
      <c r="B156" s="93"/>
      <c r="C156" s="93"/>
      <c r="D156" s="34"/>
      <c r="E156" s="34"/>
      <c r="F156" s="34"/>
      <c r="G156" s="34"/>
      <c r="H156" s="34"/>
      <c r="I156" s="34"/>
      <c r="J156" s="34"/>
    </row>
    <row r="157" spans="1:10" x14ac:dyDescent="0.25">
      <c r="A157" s="93"/>
      <c r="B157" s="93"/>
      <c r="C157" s="93"/>
      <c r="D157" s="34"/>
      <c r="E157" s="34"/>
      <c r="F157" s="34"/>
      <c r="G157" s="34"/>
      <c r="H157" s="34"/>
      <c r="I157" s="34"/>
      <c r="J157" s="34"/>
    </row>
    <row r="158" spans="1:10" x14ac:dyDescent="0.25">
      <c r="A158" s="93"/>
      <c r="B158" s="93"/>
      <c r="C158" s="93"/>
      <c r="D158" s="34"/>
      <c r="E158" s="34"/>
      <c r="F158" s="34"/>
      <c r="G158" s="34"/>
      <c r="H158" s="34"/>
      <c r="I158" s="34"/>
      <c r="J158" s="34"/>
    </row>
    <row r="159" spans="1:10" x14ac:dyDescent="0.25">
      <c r="A159" s="93"/>
      <c r="B159" s="93"/>
      <c r="C159" s="93"/>
      <c r="D159" s="34"/>
      <c r="E159" s="34"/>
      <c r="F159" s="34"/>
      <c r="G159" s="34"/>
      <c r="H159" s="34"/>
      <c r="I159" s="34"/>
      <c r="J159" s="34"/>
    </row>
    <row r="160" spans="1:10" ht="6.75" customHeight="1" x14ac:dyDescent="0.25">
      <c r="A160" s="93"/>
      <c r="B160" s="93"/>
      <c r="C160" s="93"/>
      <c r="D160" s="34"/>
      <c r="E160" s="34"/>
      <c r="F160" s="34"/>
      <c r="G160" s="34"/>
      <c r="H160" s="34"/>
      <c r="I160" s="34"/>
      <c r="J160" s="34"/>
    </row>
  </sheetData>
  <sheetProtection algorithmName="SHA-512" hashValue="wbqTQb5oUcrquTRd8VY9spjVjaBSfAUeSfVUIti7kDdfvJOscz0RJL4SY1Vm7ppTwfLtvYswErwiLuPyXFs+XA==" saltValue="S+i+/htE/WICwwHD/etwqQ==" spinCount="100000" sheet="1" objects="1" scenarios="1" selectLockedCells="1"/>
  <mergeCells count="22">
    <mergeCell ref="B53:C53"/>
    <mergeCell ref="A3:B3"/>
    <mergeCell ref="C3:D3"/>
    <mergeCell ref="F3:H3"/>
    <mergeCell ref="C4:D4"/>
    <mergeCell ref="C5:D5"/>
    <mergeCell ref="C6:D6"/>
    <mergeCell ref="B9:D9"/>
    <mergeCell ref="B10:D10"/>
    <mergeCell ref="B11:D11"/>
    <mergeCell ref="B21:D21"/>
    <mergeCell ref="B52:D52"/>
    <mergeCell ref="D120:D121"/>
    <mergeCell ref="E120:F120"/>
    <mergeCell ref="E130:F130"/>
    <mergeCell ref="E131:F131"/>
    <mergeCell ref="B66:D66"/>
    <mergeCell ref="B67:C67"/>
    <mergeCell ref="B100:D100"/>
    <mergeCell ref="B113:D113"/>
    <mergeCell ref="B118:G118"/>
    <mergeCell ref="E119:F119"/>
  </mergeCells>
  <conditionalFormatting sqref="E131:F131">
    <cfRule type="cellIs" dxfId="126" priority="19" operator="between">
      <formula>21</formula>
      <formula>32</formula>
    </cfRule>
    <cfRule type="cellIs" dxfId="125" priority="20" operator="between">
      <formula>13</formula>
      <formula>20</formula>
    </cfRule>
    <cfRule type="cellIs" dxfId="124" priority="21" operator="between">
      <formula>5</formula>
      <formula>12</formula>
    </cfRule>
    <cfRule type="cellIs" dxfId="123" priority="22" operator="between">
      <formula>0</formula>
      <formula>4</formula>
    </cfRule>
  </conditionalFormatting>
  <conditionalFormatting sqref="F122:F129">
    <cfRule type="cellIs" dxfId="122" priority="18" operator="equal">
      <formula>0</formula>
    </cfRule>
  </conditionalFormatting>
  <conditionalFormatting sqref="F122">
    <cfRule type="cellIs" dxfId="121" priority="15" operator="equal">
      <formula>8</formula>
    </cfRule>
    <cfRule type="cellIs" dxfId="120" priority="16" operator="equal">
      <formula>4</formula>
    </cfRule>
    <cfRule type="cellIs" dxfId="119" priority="17" operator="equal">
      <formula>2</formula>
    </cfRule>
  </conditionalFormatting>
  <conditionalFormatting sqref="F123">
    <cfRule type="cellIs" dxfId="118" priority="13" operator="equal">
      <formula>6</formula>
    </cfRule>
    <cfRule type="cellIs" dxfId="117" priority="14" operator="equal">
      <formula>3</formula>
    </cfRule>
  </conditionalFormatting>
  <conditionalFormatting sqref="F124">
    <cfRule type="cellIs" dxfId="116" priority="11" operator="equal">
      <formula>2</formula>
    </cfRule>
    <cfRule type="cellIs" dxfId="115" priority="12" operator="equal">
      <formula>1</formula>
    </cfRule>
  </conditionalFormatting>
  <conditionalFormatting sqref="F125">
    <cfRule type="cellIs" dxfId="114" priority="9" operator="equal">
      <formula>3</formula>
    </cfRule>
    <cfRule type="cellIs" dxfId="113" priority="10" operator="equal">
      <formula>1</formula>
    </cfRule>
  </conditionalFormatting>
  <conditionalFormatting sqref="F126">
    <cfRule type="cellIs" dxfId="112" priority="7" operator="equal">
      <formula>3</formula>
    </cfRule>
    <cfRule type="cellIs" dxfId="111" priority="8" operator="equal">
      <formula>1</formula>
    </cfRule>
  </conditionalFormatting>
  <conditionalFormatting sqref="F127">
    <cfRule type="cellIs" dxfId="110" priority="5" operator="equal">
      <formula>4</formula>
    </cfRule>
    <cfRule type="cellIs" dxfId="109" priority="6" operator="equal">
      <formula>1</formula>
    </cfRule>
  </conditionalFormatting>
  <conditionalFormatting sqref="F128">
    <cfRule type="cellIs" dxfId="108" priority="3" operator="equal">
      <formula>3</formula>
    </cfRule>
    <cfRule type="cellIs" dxfId="107" priority="4" operator="equal">
      <formula>2</formula>
    </cfRule>
  </conditionalFormatting>
  <conditionalFormatting sqref="F129">
    <cfRule type="cellIs" dxfId="106" priority="1" operator="equal">
      <formula>2</formula>
    </cfRule>
    <cfRule type="cellIs" dxfId="105" priority="2" operator="equal">
      <formula>1</formula>
    </cfRule>
  </conditionalFormatting>
  <dataValidations count="3">
    <dataValidation type="list" allowBlank="1" showInputMessage="1" showErrorMessage="1" sqref="E11:H11" xr:uid="{00000000-0002-0000-0400-000000000000}">
      <formula1>$A$8:$A$9</formula1>
    </dataValidation>
    <dataValidation type="list" allowBlank="1" showInputMessage="1" showErrorMessage="1" sqref="E34:G34 E52:G52 E66:G66 E77:G77 E85:G85 E99:G99 E107:G107" xr:uid="{00000000-0002-0000-0400-000001000000}">
      <formula1>$A$8:$A$8</formula1>
    </dataValidation>
    <dataValidation type="list" allowBlank="1" showInputMessage="1" showErrorMessage="1" sqref="E119:F119" xr:uid="{00000000-0002-0000-0400-000002000000}">
      <formula1>$Q$11:$Q$12</formula1>
    </dataValidation>
  </dataValidations>
  <pageMargins left="0.2" right="0.2" top="0.75" bottom="0.5" header="0.3" footer="0.3"/>
  <pageSetup scale="75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64" max="7" man="1"/>
    <brk id="117" max="7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224"/>
  <sheetViews>
    <sheetView showGridLines="0" view="pageBreakPreview" topLeftCell="A125" zoomScaleNormal="85" zoomScaleSheetLayoutView="100" workbookViewId="0">
      <selection activeCell="F158" sqref="F158"/>
    </sheetView>
  </sheetViews>
  <sheetFormatPr defaultRowHeight="15" x14ac:dyDescent="0.25"/>
  <cols>
    <col min="1" max="1" width="6" style="114" bestFit="1" customWidth="1"/>
    <col min="2" max="2" width="15.28515625" style="114" customWidth="1"/>
    <col min="3" max="3" width="6" style="114" customWidth="1"/>
    <col min="4" max="4" width="80" customWidth="1"/>
    <col min="5" max="7" width="7" customWidth="1"/>
    <col min="8" max="8" width="10.7109375" customWidth="1"/>
    <col min="9" max="10" width="7" customWidth="1"/>
  </cols>
  <sheetData>
    <row r="1" spans="1:14" ht="15.75" x14ac:dyDescent="0.25">
      <c r="A1" s="113"/>
      <c r="B1" s="282" t="s">
        <v>0</v>
      </c>
      <c r="C1" s="282"/>
      <c r="D1" s="282"/>
      <c r="E1" s="282"/>
      <c r="F1" s="282"/>
      <c r="G1" s="282"/>
      <c r="H1" s="282"/>
    </row>
    <row r="2" spans="1:14" ht="15.75" x14ac:dyDescent="0.25">
      <c r="A2" s="113"/>
      <c r="B2" s="282" t="s">
        <v>290</v>
      </c>
      <c r="C2" s="282"/>
      <c r="D2" s="282"/>
      <c r="E2" s="282"/>
      <c r="F2" s="282"/>
      <c r="G2" s="282"/>
      <c r="H2" s="282"/>
    </row>
    <row r="3" spans="1:14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>
        <f>Mov!D6</f>
        <v>0</v>
      </c>
      <c r="G3" s="223"/>
      <c r="H3" s="223"/>
    </row>
    <row r="4" spans="1:14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</row>
    <row r="5" spans="1:14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</row>
    <row r="6" spans="1:14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</row>
    <row r="7" spans="1:14" ht="6.75" customHeight="1" x14ac:dyDescent="0.25"/>
    <row r="8" spans="1:14" ht="15.75" x14ac:dyDescent="0.25">
      <c r="A8" s="114" t="s">
        <v>150</v>
      </c>
      <c r="B8" s="115" t="s">
        <v>291</v>
      </c>
      <c r="E8" s="116" t="s">
        <v>252</v>
      </c>
      <c r="F8" s="98" t="s">
        <v>136</v>
      </c>
      <c r="G8" s="59" t="s">
        <v>34</v>
      </c>
      <c r="H8" s="87" t="s">
        <v>106</v>
      </c>
      <c r="J8" s="99"/>
      <c r="K8" s="99"/>
      <c r="L8" s="99"/>
      <c r="M8" s="99"/>
      <c r="N8" s="99"/>
    </row>
    <row r="9" spans="1:14" ht="16.5" thickBot="1" x14ac:dyDescent="0.3">
      <c r="A9" s="114">
        <v>1</v>
      </c>
      <c r="B9" s="117" t="s">
        <v>292</v>
      </c>
      <c r="E9" s="63"/>
      <c r="F9" s="83"/>
      <c r="G9" s="118"/>
      <c r="H9" s="119"/>
      <c r="J9" s="101"/>
      <c r="K9" s="103"/>
      <c r="L9" s="103"/>
      <c r="M9" s="103"/>
      <c r="N9" s="103"/>
    </row>
    <row r="10" spans="1:14" ht="15" customHeight="1" thickBot="1" x14ac:dyDescent="0.3">
      <c r="A10" s="114">
        <v>2</v>
      </c>
      <c r="B10" s="275" t="s">
        <v>293</v>
      </c>
      <c r="C10" s="275"/>
      <c r="D10" s="275"/>
      <c r="G10" s="120"/>
      <c r="J10" s="101"/>
      <c r="K10" s="103"/>
      <c r="L10" s="103"/>
      <c r="M10" s="103"/>
      <c r="N10" s="103"/>
    </row>
    <row r="11" spans="1:14" ht="15" customHeight="1" x14ac:dyDescent="0.25">
      <c r="B11" s="275"/>
      <c r="C11" s="275"/>
      <c r="D11" s="275"/>
      <c r="E11" s="69" t="str">
        <f>IF(COUNTIF(E9:H10,"x")&gt;1,"error",IF(H9="x",21,IF(G9="x",4,IF(G10="x",8,IF(F9="x",2,IF(E9="x",0,""))))))</f>
        <v/>
      </c>
    </row>
    <row r="12" spans="1:14" ht="15.75" x14ac:dyDescent="0.25">
      <c r="A12" s="114">
        <v>3</v>
      </c>
      <c r="B12" s="117" t="s">
        <v>294</v>
      </c>
    </row>
    <row r="13" spans="1:14" ht="7.5" customHeight="1" x14ac:dyDescent="0.25"/>
    <row r="14" spans="1:14" ht="15.75" x14ac:dyDescent="0.25">
      <c r="B14" s="115" t="s">
        <v>295</v>
      </c>
    </row>
    <row r="18" spans="1:3" x14ac:dyDescent="0.25">
      <c r="A18" s="64" t="s">
        <v>59</v>
      </c>
      <c r="B18" s="64"/>
      <c r="C18" s="64"/>
    </row>
    <row r="24" spans="1:3" ht="15.75" x14ac:dyDescent="0.25">
      <c r="B24" s="115" t="s">
        <v>296</v>
      </c>
    </row>
    <row r="35" spans="1:14" ht="15.75" x14ac:dyDescent="0.25">
      <c r="B35" s="115" t="s">
        <v>297</v>
      </c>
    </row>
    <row r="44" spans="1:14" ht="6.75" customHeight="1" x14ac:dyDescent="0.25"/>
    <row r="45" spans="1:14" ht="15.75" x14ac:dyDescent="0.25">
      <c r="A45" s="114">
        <v>4</v>
      </c>
      <c r="B45" s="117" t="s">
        <v>298</v>
      </c>
    </row>
    <row r="46" spans="1:14" ht="33" customHeight="1" x14ac:dyDescent="0.25">
      <c r="B46" s="275" t="s">
        <v>299</v>
      </c>
      <c r="C46" s="275"/>
      <c r="D46" s="275"/>
    </row>
    <row r="47" spans="1:14" ht="7.5" customHeight="1" x14ac:dyDescent="0.25"/>
    <row r="48" spans="1:14" ht="15.75" x14ac:dyDescent="0.25">
      <c r="A48" s="114" t="s">
        <v>159</v>
      </c>
      <c r="B48" s="115" t="s">
        <v>260</v>
      </c>
      <c r="E48" s="116" t="s">
        <v>252</v>
      </c>
      <c r="F48" s="98" t="s">
        <v>136</v>
      </c>
      <c r="G48" s="59" t="s">
        <v>34</v>
      </c>
      <c r="J48" s="99"/>
      <c r="K48" s="99"/>
      <c r="L48" s="99"/>
      <c r="M48" s="99"/>
      <c r="N48" s="99"/>
    </row>
    <row r="49" spans="1:14" ht="15.75" x14ac:dyDescent="0.25">
      <c r="A49" s="114">
        <v>1</v>
      </c>
      <c r="B49" s="117" t="s">
        <v>261</v>
      </c>
      <c r="E49" s="63"/>
      <c r="F49" s="63"/>
      <c r="G49" s="63"/>
      <c r="H49" s="34"/>
      <c r="J49" s="101"/>
      <c r="K49" s="103"/>
      <c r="L49" s="103"/>
      <c r="M49" s="103"/>
      <c r="N49" s="103"/>
    </row>
    <row r="50" spans="1:14" x14ac:dyDescent="0.25">
      <c r="H50" s="34"/>
    </row>
    <row r="51" spans="1:14" x14ac:dyDescent="0.25">
      <c r="E51" s="69" t="str">
        <f>IF(COUNTIF(E49:H49,"x")&gt;1,"error",IF(H49="x",0,IF(G49="x",6,IF(F49="x",3,IF(E49="x",0,"")))))</f>
        <v/>
      </c>
      <c r="H51" s="34"/>
    </row>
    <row r="52" spans="1:14" x14ac:dyDescent="0.25">
      <c r="H52" s="34"/>
    </row>
    <row r="53" spans="1:14" x14ac:dyDescent="0.25">
      <c r="H53" s="34"/>
    </row>
    <row r="54" spans="1:14" x14ac:dyDescent="0.25">
      <c r="H54" s="34"/>
    </row>
    <row r="55" spans="1:14" x14ac:dyDescent="0.25">
      <c r="H55" s="34"/>
    </row>
    <row r="56" spans="1:14" x14ac:dyDescent="0.25">
      <c r="H56" s="34"/>
    </row>
    <row r="57" spans="1:14" x14ac:dyDescent="0.25">
      <c r="H57" s="34"/>
    </row>
    <row r="58" spans="1:14" x14ac:dyDescent="0.25">
      <c r="H58" s="34"/>
    </row>
    <row r="59" spans="1:14" x14ac:dyDescent="0.25">
      <c r="H59" s="34"/>
    </row>
    <row r="60" spans="1:14" x14ac:dyDescent="0.25">
      <c r="H60" s="34"/>
    </row>
    <row r="61" spans="1:14" x14ac:dyDescent="0.25">
      <c r="H61" s="34"/>
    </row>
    <row r="62" spans="1:14" x14ac:dyDescent="0.25">
      <c r="H62" s="34"/>
    </row>
    <row r="63" spans="1:14" x14ac:dyDescent="0.25">
      <c r="H63" s="34"/>
    </row>
    <row r="64" spans="1:14" x14ac:dyDescent="0.25">
      <c r="H64" s="34"/>
    </row>
    <row r="65" spans="1:14" x14ac:dyDescent="0.25">
      <c r="H65" s="34"/>
    </row>
    <row r="66" spans="1:14" x14ac:dyDescent="0.25">
      <c r="H66" s="34"/>
    </row>
    <row r="67" spans="1:14" x14ac:dyDescent="0.25">
      <c r="H67" s="34"/>
    </row>
    <row r="68" spans="1:14" x14ac:dyDescent="0.25">
      <c r="H68" s="34"/>
    </row>
    <row r="69" spans="1:14" x14ac:dyDescent="0.25">
      <c r="H69" s="34"/>
    </row>
    <row r="70" spans="1:14" x14ac:dyDescent="0.25">
      <c r="H70" s="34"/>
    </row>
    <row r="71" spans="1:14" x14ac:dyDescent="0.25">
      <c r="H71" s="34"/>
    </row>
    <row r="72" spans="1:14" x14ac:dyDescent="0.25">
      <c r="H72" s="34"/>
    </row>
    <row r="73" spans="1:14" x14ac:dyDescent="0.25">
      <c r="H73" s="34"/>
    </row>
    <row r="74" spans="1:14" x14ac:dyDescent="0.25">
      <c r="H74" s="34"/>
    </row>
    <row r="75" spans="1:14" ht="6" customHeight="1" x14ac:dyDescent="0.25">
      <c r="H75" s="34"/>
    </row>
    <row r="76" spans="1:14" ht="15.75" x14ac:dyDescent="0.25">
      <c r="A76" s="114" t="s">
        <v>163</v>
      </c>
      <c r="B76" s="115" t="s">
        <v>262</v>
      </c>
      <c r="E76" s="116" t="s">
        <v>252</v>
      </c>
      <c r="F76" s="98" t="s">
        <v>136</v>
      </c>
      <c r="G76" s="59" t="s">
        <v>34</v>
      </c>
      <c r="H76" s="34"/>
      <c r="J76" s="99"/>
      <c r="K76" s="99"/>
      <c r="L76" s="99"/>
      <c r="M76" s="99"/>
      <c r="N76" s="99"/>
    </row>
    <row r="77" spans="1:14" ht="15.75" x14ac:dyDescent="0.25">
      <c r="A77" s="114">
        <v>1</v>
      </c>
      <c r="B77" s="275" t="s">
        <v>300</v>
      </c>
      <c r="C77" s="275"/>
      <c r="D77" s="281"/>
      <c r="E77" s="63"/>
      <c r="F77" s="63"/>
      <c r="G77" s="63"/>
      <c r="H77" s="34"/>
      <c r="J77" s="101"/>
      <c r="K77" s="103"/>
      <c r="L77" s="103"/>
      <c r="M77" s="103"/>
      <c r="N77" s="103"/>
    </row>
    <row r="78" spans="1:14" x14ac:dyDescent="0.25">
      <c r="H78" s="34"/>
    </row>
    <row r="79" spans="1:14" x14ac:dyDescent="0.25">
      <c r="E79" s="69" t="str">
        <f>IF(COUNTIF(E77:H77,"x")&gt;1,"error",IF(H77="x",0,IF(G77="x",2,IF(F77="x",1,IF(E77="x",0,"")))))</f>
        <v/>
      </c>
      <c r="H79" s="34"/>
    </row>
    <row r="80" spans="1:14" x14ac:dyDescent="0.25">
      <c r="H80" s="34"/>
    </row>
    <row r="81" spans="1:14" x14ac:dyDescent="0.25">
      <c r="H81" s="34"/>
    </row>
    <row r="82" spans="1:14" x14ac:dyDescent="0.25">
      <c r="H82" s="34"/>
    </row>
    <row r="83" spans="1:14" x14ac:dyDescent="0.25">
      <c r="H83" s="34"/>
    </row>
    <row r="84" spans="1:14" x14ac:dyDescent="0.25">
      <c r="H84" s="34"/>
    </row>
    <row r="85" spans="1:14" x14ac:dyDescent="0.25">
      <c r="H85" s="34"/>
    </row>
    <row r="86" spans="1:14" x14ac:dyDescent="0.25">
      <c r="H86" s="34"/>
    </row>
    <row r="87" spans="1:14" x14ac:dyDescent="0.25">
      <c r="H87" s="34"/>
    </row>
    <row r="88" spans="1:14" x14ac:dyDescent="0.25">
      <c r="H88" s="34"/>
    </row>
    <row r="89" spans="1:14" x14ac:dyDescent="0.25">
      <c r="H89" s="34"/>
    </row>
    <row r="90" spans="1:14" x14ac:dyDescent="0.25">
      <c r="H90" s="34"/>
    </row>
    <row r="91" spans="1:14" x14ac:dyDescent="0.25">
      <c r="H91" s="34"/>
    </row>
    <row r="92" spans="1:14" x14ac:dyDescent="0.25">
      <c r="H92" s="34"/>
    </row>
    <row r="93" spans="1:14" x14ac:dyDescent="0.25">
      <c r="H93" s="34"/>
    </row>
    <row r="94" spans="1:14" ht="15.75" x14ac:dyDescent="0.25">
      <c r="A94" s="114" t="s">
        <v>166</v>
      </c>
      <c r="B94" s="115" t="s">
        <v>265</v>
      </c>
      <c r="E94" s="116" t="s">
        <v>252</v>
      </c>
      <c r="F94" s="98" t="s">
        <v>136</v>
      </c>
      <c r="G94" s="59" t="s">
        <v>34</v>
      </c>
      <c r="H94" s="34"/>
      <c r="J94" s="99"/>
      <c r="K94" s="99"/>
      <c r="L94" s="99"/>
      <c r="M94" s="99"/>
      <c r="N94" s="99"/>
    </row>
    <row r="95" spans="1:14" ht="15" customHeight="1" x14ac:dyDescent="0.25">
      <c r="B95" s="275" t="s">
        <v>301</v>
      </c>
      <c r="C95" s="275"/>
      <c r="D95" s="281"/>
      <c r="E95" s="63"/>
      <c r="F95" s="63"/>
      <c r="G95" s="63"/>
      <c r="H95" s="34"/>
      <c r="J95" s="101"/>
      <c r="K95" s="103"/>
      <c r="L95" s="103"/>
      <c r="M95" s="103"/>
      <c r="N95" s="103"/>
    </row>
    <row r="96" spans="1:14" x14ac:dyDescent="0.25">
      <c r="H96" s="34"/>
    </row>
    <row r="97" spans="1:14" x14ac:dyDescent="0.25">
      <c r="E97" s="69" t="str">
        <f>IF(COUNTIF(E95:H95,"x")&gt;1,"error",IF(H95="x",0,IF(G95="x",3,IF(F95="x",1,IF(E95="x",0,"")))))</f>
        <v/>
      </c>
      <c r="H97" s="34"/>
    </row>
    <row r="98" spans="1:14" x14ac:dyDescent="0.25">
      <c r="H98" s="34"/>
    </row>
    <row r="99" spans="1:14" x14ac:dyDescent="0.25">
      <c r="H99" s="34"/>
    </row>
    <row r="100" spans="1:14" x14ac:dyDescent="0.25">
      <c r="H100" s="34"/>
    </row>
    <row r="101" spans="1:14" x14ac:dyDescent="0.25">
      <c r="H101" s="34"/>
    </row>
    <row r="102" spans="1:14" x14ac:dyDescent="0.25">
      <c r="H102" s="34"/>
    </row>
    <row r="103" spans="1:14" x14ac:dyDescent="0.25">
      <c r="H103" s="34"/>
    </row>
    <row r="104" spans="1:14" x14ac:dyDescent="0.25">
      <c r="H104" s="34"/>
    </row>
    <row r="105" spans="1:14" x14ac:dyDescent="0.25">
      <c r="H105" s="34"/>
    </row>
    <row r="106" spans="1:14" x14ac:dyDescent="0.25">
      <c r="H106" s="34"/>
    </row>
    <row r="107" spans="1:14" x14ac:dyDescent="0.25">
      <c r="H107" s="34"/>
    </row>
    <row r="108" spans="1:14" x14ac:dyDescent="0.25">
      <c r="H108" s="34"/>
    </row>
    <row r="109" spans="1:14" x14ac:dyDescent="0.25">
      <c r="H109" s="34"/>
    </row>
    <row r="110" spans="1:14" ht="15.75" x14ac:dyDescent="0.25">
      <c r="A110" s="114" t="s">
        <v>169</v>
      </c>
      <c r="B110" s="115" t="s">
        <v>268</v>
      </c>
      <c r="E110" s="116" t="s">
        <v>252</v>
      </c>
      <c r="F110" s="98" t="s">
        <v>136</v>
      </c>
      <c r="G110" s="59" t="s">
        <v>34</v>
      </c>
      <c r="H110" s="34"/>
      <c r="J110" s="99"/>
      <c r="K110" s="99"/>
      <c r="L110" s="99"/>
      <c r="M110" s="99"/>
      <c r="N110" s="99"/>
    </row>
    <row r="111" spans="1:14" ht="15.75" x14ac:dyDescent="0.25">
      <c r="A111" s="114">
        <v>1</v>
      </c>
      <c r="B111" s="117" t="s">
        <v>302</v>
      </c>
      <c r="E111" s="63"/>
      <c r="F111" s="63"/>
      <c r="G111" s="63"/>
      <c r="H111" s="34"/>
      <c r="J111" s="101"/>
      <c r="K111" s="103"/>
      <c r="L111" s="103"/>
      <c r="M111" s="103"/>
      <c r="N111" s="103"/>
    </row>
    <row r="112" spans="1:14" ht="15.75" x14ac:dyDescent="0.25">
      <c r="A112" s="114">
        <v>2</v>
      </c>
      <c r="B112" s="117" t="s">
        <v>303</v>
      </c>
      <c r="H112" s="34"/>
    </row>
    <row r="113" spans="1:14" ht="15.75" x14ac:dyDescent="0.25">
      <c r="A113" s="114">
        <v>3</v>
      </c>
      <c r="B113" s="117" t="s">
        <v>304</v>
      </c>
      <c r="E113" s="69" t="str">
        <f>IF(COUNTIF(E111:H111,"x")&gt;1,"error",IF(H111="x",0,IF(G111="x",3,IF(F111="x",1,IF(E111="x",0,"")))))</f>
        <v/>
      </c>
      <c r="H113" s="34"/>
    </row>
    <row r="114" spans="1:14" x14ac:dyDescent="0.25">
      <c r="H114" s="34"/>
    </row>
    <row r="115" spans="1:14" x14ac:dyDescent="0.25">
      <c r="H115" s="34"/>
    </row>
    <row r="116" spans="1:14" x14ac:dyDescent="0.25">
      <c r="H116" s="34"/>
    </row>
    <row r="117" spans="1:14" x14ac:dyDescent="0.25">
      <c r="H117" s="34"/>
    </row>
    <row r="118" spans="1:14" x14ac:dyDescent="0.25">
      <c r="H118" s="34"/>
    </row>
    <row r="119" spans="1:14" ht="15.75" x14ac:dyDescent="0.25">
      <c r="A119" s="114" t="s">
        <v>174</v>
      </c>
      <c r="B119" s="115" t="s">
        <v>305</v>
      </c>
      <c r="E119" s="116" t="s">
        <v>252</v>
      </c>
      <c r="F119" s="98" t="s">
        <v>136</v>
      </c>
      <c r="G119" s="59" t="s">
        <v>34</v>
      </c>
      <c r="H119" s="34"/>
      <c r="J119" s="99"/>
      <c r="K119" s="99"/>
      <c r="L119" s="99"/>
      <c r="M119" s="99"/>
      <c r="N119" s="99"/>
    </row>
    <row r="120" spans="1:14" ht="15" customHeight="1" x14ac:dyDescent="0.25">
      <c r="A120" s="114">
        <v>1</v>
      </c>
      <c r="B120" s="272" t="s">
        <v>306</v>
      </c>
      <c r="C120" s="272"/>
      <c r="D120" s="273"/>
      <c r="E120" s="63"/>
      <c r="F120" s="63"/>
      <c r="G120" s="63"/>
      <c r="H120" s="34"/>
      <c r="J120" s="101"/>
      <c r="K120" s="103"/>
      <c r="L120" s="103"/>
      <c r="M120" s="103"/>
      <c r="N120" s="103"/>
    </row>
    <row r="121" spans="1:14" x14ac:dyDescent="0.25">
      <c r="H121" s="34"/>
    </row>
    <row r="122" spans="1:14" x14ac:dyDescent="0.25">
      <c r="E122" s="69" t="str">
        <f>IF(COUNTIF(E120:H120,"x")&gt;1,"error",IF(H120="x",0,IF(G120="x",4,IF(F120="x",2,IF(E120="x",0,"")))))</f>
        <v/>
      </c>
      <c r="H122" s="34"/>
    </row>
    <row r="123" spans="1:14" x14ac:dyDescent="0.25">
      <c r="H123" s="34"/>
    </row>
    <row r="124" spans="1:14" x14ac:dyDescent="0.25">
      <c r="H124" s="34"/>
    </row>
    <row r="125" spans="1:14" x14ac:dyDescent="0.25">
      <c r="H125" s="34"/>
    </row>
    <row r="126" spans="1:14" x14ac:dyDescent="0.25">
      <c r="H126" s="34"/>
    </row>
    <row r="127" spans="1:14" x14ac:dyDescent="0.25">
      <c r="H127" s="34"/>
    </row>
    <row r="128" spans="1:14" x14ac:dyDescent="0.25">
      <c r="H128" s="34"/>
    </row>
    <row r="129" spans="1:14" x14ac:dyDescent="0.25">
      <c r="H129" s="34"/>
    </row>
    <row r="130" spans="1:14" x14ac:dyDescent="0.25">
      <c r="H130" s="34"/>
    </row>
    <row r="131" spans="1:14" x14ac:dyDescent="0.25">
      <c r="H131" s="34"/>
    </row>
    <row r="132" spans="1:14" ht="15.75" x14ac:dyDescent="0.25">
      <c r="A132" s="114" t="s">
        <v>243</v>
      </c>
      <c r="B132" s="115" t="s">
        <v>177</v>
      </c>
      <c r="E132" s="116" t="s">
        <v>252</v>
      </c>
      <c r="F132" s="98" t="s">
        <v>136</v>
      </c>
      <c r="G132" s="59" t="s">
        <v>34</v>
      </c>
      <c r="H132" s="34"/>
      <c r="J132" s="99"/>
      <c r="K132" s="99"/>
      <c r="L132" s="99"/>
      <c r="M132" s="99"/>
      <c r="N132" s="99"/>
    </row>
    <row r="133" spans="1:14" ht="15.75" x14ac:dyDescent="0.25">
      <c r="B133" s="117" t="s">
        <v>272</v>
      </c>
      <c r="E133" s="63"/>
      <c r="F133" s="63"/>
      <c r="G133" s="63"/>
      <c r="H133" s="34"/>
      <c r="J133" s="101"/>
      <c r="K133" s="103"/>
      <c r="L133" s="103"/>
      <c r="M133" s="103"/>
      <c r="N133" s="103"/>
    </row>
    <row r="134" spans="1:14" x14ac:dyDescent="0.25">
      <c r="H134" s="34"/>
    </row>
    <row r="135" spans="1:14" x14ac:dyDescent="0.25">
      <c r="E135" s="69" t="str">
        <f>IF(COUNTIF(E133:H133,"x")&gt;1,"error",IF(H133="x",0,IF(G133="x",4,IF(F133="x",1,IF(E133="x",0,"")))))</f>
        <v/>
      </c>
      <c r="H135" s="34"/>
    </row>
    <row r="136" spans="1:14" x14ac:dyDescent="0.25">
      <c r="H136" s="34"/>
    </row>
    <row r="137" spans="1:14" x14ac:dyDescent="0.25">
      <c r="H137" s="34"/>
    </row>
    <row r="138" spans="1:14" x14ac:dyDescent="0.25">
      <c r="H138" s="34"/>
    </row>
    <row r="139" spans="1:14" x14ac:dyDescent="0.25">
      <c r="H139" s="34"/>
    </row>
    <row r="140" spans="1:14" x14ac:dyDescent="0.25">
      <c r="H140" s="34"/>
    </row>
    <row r="141" spans="1:14" x14ac:dyDescent="0.25">
      <c r="H141" s="34"/>
    </row>
    <row r="142" spans="1:14" x14ac:dyDescent="0.25">
      <c r="H142" s="34"/>
    </row>
    <row r="143" spans="1:14" x14ac:dyDescent="0.25">
      <c r="H143" s="34"/>
    </row>
    <row r="144" spans="1:14" x14ac:dyDescent="0.25">
      <c r="H144" s="34"/>
    </row>
    <row r="145" spans="1:14" x14ac:dyDescent="0.25">
      <c r="H145" s="34"/>
    </row>
    <row r="146" spans="1:14" x14ac:dyDescent="0.25">
      <c r="H146" s="34"/>
    </row>
    <row r="147" spans="1:14" ht="6.75" customHeight="1" x14ac:dyDescent="0.25">
      <c r="H147" s="34"/>
    </row>
    <row r="148" spans="1:14" ht="15.75" x14ac:dyDescent="0.25">
      <c r="A148" s="114" t="s">
        <v>218</v>
      </c>
      <c r="B148" s="115" t="s">
        <v>273</v>
      </c>
      <c r="E148" s="116" t="s">
        <v>252</v>
      </c>
      <c r="F148" s="98" t="s">
        <v>136</v>
      </c>
      <c r="G148" s="59" t="s">
        <v>34</v>
      </c>
      <c r="H148" s="34"/>
      <c r="J148" s="99"/>
      <c r="K148" s="99"/>
      <c r="L148" s="99"/>
      <c r="M148" s="99"/>
      <c r="N148" s="99"/>
    </row>
    <row r="149" spans="1:14" ht="15.75" x14ac:dyDescent="0.25">
      <c r="A149" s="114">
        <v>1</v>
      </c>
      <c r="B149" s="117" t="s">
        <v>274</v>
      </c>
      <c r="E149" s="63"/>
      <c r="F149" s="63"/>
      <c r="G149" s="63"/>
      <c r="H149" s="34"/>
      <c r="J149" s="101"/>
      <c r="K149" s="103"/>
      <c r="L149" s="103"/>
      <c r="M149" s="103"/>
      <c r="N149" s="103"/>
    </row>
    <row r="150" spans="1:14" ht="15.75" x14ac:dyDescent="0.25">
      <c r="A150" s="114">
        <v>2</v>
      </c>
      <c r="B150" s="117" t="s">
        <v>307</v>
      </c>
      <c r="H150" s="34"/>
    </row>
    <row r="151" spans="1:14" x14ac:dyDescent="0.25">
      <c r="E151" s="69" t="str">
        <f>IF(COUNTIF(E149:H149,"x")&gt;1,"error",IF(H149="x",0,IF(G149="x",3,IF(F149="x",2,IF(E149="x",0,"")))))</f>
        <v/>
      </c>
      <c r="H151" s="34"/>
    </row>
    <row r="152" spans="1:14" x14ac:dyDescent="0.25">
      <c r="H152" s="34"/>
    </row>
    <row r="153" spans="1:14" x14ac:dyDescent="0.25">
      <c r="H153" s="34"/>
    </row>
    <row r="154" spans="1:14" x14ac:dyDescent="0.25">
      <c r="H154" s="34"/>
    </row>
    <row r="155" spans="1:14" x14ac:dyDescent="0.25">
      <c r="H155" s="34"/>
    </row>
    <row r="156" spans="1:14" x14ac:dyDescent="0.25">
      <c r="H156" s="34"/>
    </row>
    <row r="157" spans="1:14" ht="15.75" x14ac:dyDescent="0.25">
      <c r="A157" s="114" t="s">
        <v>308</v>
      </c>
      <c r="B157" s="115" t="s">
        <v>276</v>
      </c>
      <c r="E157" s="116" t="s">
        <v>252</v>
      </c>
      <c r="F157" s="98" t="s">
        <v>136</v>
      </c>
      <c r="G157" s="59" t="s">
        <v>34</v>
      </c>
      <c r="H157" s="34"/>
      <c r="J157" s="99"/>
      <c r="K157" s="99"/>
      <c r="L157" s="99"/>
      <c r="M157" s="99"/>
      <c r="N157" s="99"/>
    </row>
    <row r="158" spans="1:14" ht="15.75" x14ac:dyDescent="0.25">
      <c r="A158" s="114">
        <v>1</v>
      </c>
      <c r="B158" s="117" t="s">
        <v>309</v>
      </c>
      <c r="E158" s="63"/>
      <c r="F158" s="63"/>
      <c r="G158" s="63"/>
      <c r="H158" s="34"/>
      <c r="J158" s="101"/>
      <c r="K158" s="103"/>
      <c r="L158" s="103"/>
      <c r="M158" s="103"/>
      <c r="N158" s="103"/>
    </row>
    <row r="159" spans="1:14" ht="15.75" x14ac:dyDescent="0.25">
      <c r="A159" s="114">
        <v>2</v>
      </c>
      <c r="B159" s="117" t="s">
        <v>310</v>
      </c>
    </row>
    <row r="160" spans="1:14" ht="15" customHeight="1" x14ac:dyDescent="0.25">
      <c r="A160" s="121">
        <v>3</v>
      </c>
      <c r="B160" s="274" t="s">
        <v>311</v>
      </c>
      <c r="C160" s="274"/>
      <c r="D160" s="274"/>
      <c r="E160" s="69" t="str">
        <f>IF(COUNTIF(E158:H158,"x")&gt;1,"error",IF(H158="x",0,IF(G158="x",2,IF(F158="x",1,IF(E158="x",0,"")))))</f>
        <v/>
      </c>
    </row>
    <row r="161" spans="1:9" ht="15.75" x14ac:dyDescent="0.25">
      <c r="A161" s="114">
        <v>4</v>
      </c>
      <c r="B161" s="117" t="s">
        <v>280</v>
      </c>
    </row>
    <row r="162" spans="1:9" ht="15.75" x14ac:dyDescent="0.25">
      <c r="A162" s="114">
        <v>5</v>
      </c>
      <c r="B162" s="117" t="s">
        <v>281</v>
      </c>
    </row>
    <row r="163" spans="1:9" ht="15.75" x14ac:dyDescent="0.25">
      <c r="A163" s="114">
        <v>6</v>
      </c>
      <c r="B163" s="117" t="s">
        <v>282</v>
      </c>
    </row>
    <row r="164" spans="1:9" ht="15" customHeight="1" x14ac:dyDescent="0.25">
      <c r="A164" s="114">
        <v>7</v>
      </c>
      <c r="B164" s="275" t="s">
        <v>312</v>
      </c>
      <c r="C164" s="275"/>
      <c r="D164" s="275"/>
    </row>
    <row r="170" spans="1:9" ht="36.75" customHeight="1" x14ac:dyDescent="0.25">
      <c r="A170" s="122" t="s">
        <v>313</v>
      </c>
      <c r="B170" s="276" t="s">
        <v>314</v>
      </c>
      <c r="C170" s="276"/>
      <c r="D170" s="276"/>
      <c r="E170" s="276"/>
      <c r="F170" s="276"/>
      <c r="G170" s="276"/>
      <c r="H170" s="276"/>
      <c r="I170" s="123"/>
    </row>
    <row r="171" spans="1:9" ht="9" customHeight="1" thickBot="1" x14ac:dyDescent="0.3"/>
    <row r="172" spans="1:9" ht="24" customHeight="1" thickBot="1" x14ac:dyDescent="0.3">
      <c r="D172" s="277" t="s">
        <v>186</v>
      </c>
      <c r="E172" s="279" t="s">
        <v>315</v>
      </c>
      <c r="F172" s="280"/>
    </row>
    <row r="173" spans="1:9" ht="15.75" thickBot="1" x14ac:dyDescent="0.3">
      <c r="D173" s="278"/>
      <c r="E173" s="124" t="s">
        <v>188</v>
      </c>
      <c r="F173" s="142" t="s">
        <v>189</v>
      </c>
    </row>
    <row r="174" spans="1:9" ht="15.75" thickBot="1" x14ac:dyDescent="0.3">
      <c r="C174" s="114" t="s">
        <v>56</v>
      </c>
      <c r="D174" s="125" t="s">
        <v>229</v>
      </c>
      <c r="E174" s="126" t="str">
        <f>E11</f>
        <v/>
      </c>
      <c r="F174" s="86" t="str">
        <f>E174</f>
        <v/>
      </c>
    </row>
    <row r="175" spans="1:9" ht="15.75" thickBot="1" x14ac:dyDescent="0.3">
      <c r="C175" s="114" t="s">
        <v>58</v>
      </c>
      <c r="D175" s="125" t="s">
        <v>260</v>
      </c>
      <c r="E175" s="126" t="str">
        <f>E51</f>
        <v/>
      </c>
      <c r="F175" s="86" t="str">
        <f t="shared" ref="F175:F182" si="0">E175</f>
        <v/>
      </c>
    </row>
    <row r="176" spans="1:9" ht="15.75" thickBot="1" x14ac:dyDescent="0.3">
      <c r="C176" s="114" t="s">
        <v>60</v>
      </c>
      <c r="D176" s="125" t="s">
        <v>316</v>
      </c>
      <c r="E176" s="126" t="str">
        <f>E79</f>
        <v/>
      </c>
      <c r="F176" s="86" t="str">
        <f t="shared" si="0"/>
        <v/>
      </c>
    </row>
    <row r="177" spans="3:6" ht="15.75" thickBot="1" x14ac:dyDescent="0.3">
      <c r="C177" s="114" t="s">
        <v>63</v>
      </c>
      <c r="D177" s="125" t="s">
        <v>286</v>
      </c>
      <c r="E177" s="126" t="str">
        <f>E97</f>
        <v/>
      </c>
      <c r="F177" s="86" t="str">
        <f t="shared" si="0"/>
        <v/>
      </c>
    </row>
    <row r="178" spans="3:6" ht="15.75" thickBot="1" x14ac:dyDescent="0.3">
      <c r="C178" s="114" t="s">
        <v>66</v>
      </c>
      <c r="D178" s="125" t="s">
        <v>268</v>
      </c>
      <c r="E178" s="126" t="str">
        <f>E113</f>
        <v/>
      </c>
      <c r="F178" s="86" t="str">
        <f t="shared" si="0"/>
        <v/>
      </c>
    </row>
    <row r="179" spans="3:6" ht="15.75" thickBot="1" x14ac:dyDescent="0.3">
      <c r="C179" s="114" t="s">
        <v>69</v>
      </c>
      <c r="D179" s="125" t="s">
        <v>317</v>
      </c>
      <c r="E179" s="126" t="str">
        <f>E122</f>
        <v/>
      </c>
      <c r="F179" s="86" t="str">
        <f t="shared" si="0"/>
        <v/>
      </c>
    </row>
    <row r="180" spans="3:6" ht="15.75" thickBot="1" x14ac:dyDescent="0.3">
      <c r="C180" s="114" t="s">
        <v>76</v>
      </c>
      <c r="D180" s="125" t="s">
        <v>177</v>
      </c>
      <c r="E180" s="126" t="str">
        <f>E135</f>
        <v/>
      </c>
      <c r="F180" s="86" t="str">
        <f t="shared" si="0"/>
        <v/>
      </c>
    </row>
    <row r="181" spans="3:6" ht="15.75" thickBot="1" x14ac:dyDescent="0.3">
      <c r="C181" s="114" t="s">
        <v>81</v>
      </c>
      <c r="D181" s="125" t="s">
        <v>273</v>
      </c>
      <c r="E181" s="126" t="str">
        <f>E151</f>
        <v/>
      </c>
      <c r="F181" s="86" t="str">
        <f t="shared" si="0"/>
        <v/>
      </c>
    </row>
    <row r="182" spans="3:6" ht="15.75" thickBot="1" x14ac:dyDescent="0.3">
      <c r="C182" s="114" t="s">
        <v>82</v>
      </c>
      <c r="D182" s="125" t="s">
        <v>276</v>
      </c>
      <c r="E182" s="126" t="str">
        <f>E160</f>
        <v/>
      </c>
      <c r="F182" s="86" t="str">
        <f t="shared" si="0"/>
        <v/>
      </c>
    </row>
    <row r="183" spans="3:6" ht="15.75" thickBot="1" x14ac:dyDescent="0.3">
      <c r="D183" s="127" t="s">
        <v>197</v>
      </c>
      <c r="E183" s="270">
        <f>SUM(E174:E182)</f>
        <v>0</v>
      </c>
      <c r="F183" s="271"/>
    </row>
    <row r="184" spans="3:6" ht="15.75" thickBot="1" x14ac:dyDescent="0.3">
      <c r="D184" s="127" t="s">
        <v>198</v>
      </c>
      <c r="E184" s="270">
        <f>E183</f>
        <v>0</v>
      </c>
      <c r="F184" s="271"/>
    </row>
    <row r="185" spans="3:6" ht="6" customHeight="1" x14ac:dyDescent="0.25"/>
    <row r="186" spans="3:6" ht="15.75" x14ac:dyDescent="0.25">
      <c r="D186" s="117" t="s">
        <v>199</v>
      </c>
    </row>
    <row r="196" spans="4:4" ht="15.75" x14ac:dyDescent="0.25">
      <c r="D196" s="117" t="s">
        <v>289</v>
      </c>
    </row>
    <row r="213" spans="4:51" hidden="1" x14ac:dyDescent="0.25">
      <c r="D213" s="137" t="s">
        <v>318</v>
      </c>
      <c r="I213" s="128" t="s">
        <v>319</v>
      </c>
      <c r="J213" s="128" t="s">
        <v>320</v>
      </c>
      <c r="K213" s="128" t="s">
        <v>321</v>
      </c>
      <c r="L213" s="128" t="s">
        <v>322</v>
      </c>
      <c r="M213" s="128" t="s">
        <v>323</v>
      </c>
      <c r="N213" s="128" t="s">
        <v>324</v>
      </c>
      <c r="O213" s="128" t="s">
        <v>325</v>
      </c>
      <c r="P213" s="128" t="s">
        <v>326</v>
      </c>
      <c r="Q213" s="128" t="s">
        <v>327</v>
      </c>
      <c r="R213" s="128" t="s">
        <v>328</v>
      </c>
      <c r="S213" s="128" t="s">
        <v>329</v>
      </c>
      <c r="T213" s="128" t="s">
        <v>330</v>
      </c>
      <c r="U213" s="128" t="s">
        <v>331</v>
      </c>
      <c r="V213" s="128" t="s">
        <v>332</v>
      </c>
      <c r="W213" s="128" t="s">
        <v>333</v>
      </c>
      <c r="X213" s="128" t="s">
        <v>334</v>
      </c>
      <c r="Y213" s="128" t="s">
        <v>335</v>
      </c>
      <c r="Z213" s="128" t="s">
        <v>336</v>
      </c>
      <c r="AA213" s="128" t="s">
        <v>337</v>
      </c>
      <c r="AB213" s="128" t="s">
        <v>338</v>
      </c>
      <c r="AC213" s="128" t="s">
        <v>339</v>
      </c>
      <c r="AD213" s="128" t="s">
        <v>340</v>
      </c>
      <c r="AE213" s="128" t="s">
        <v>341</v>
      </c>
      <c r="AF213" s="128" t="s">
        <v>342</v>
      </c>
      <c r="AG213" s="128" t="s">
        <v>343</v>
      </c>
      <c r="AH213" s="128" t="s">
        <v>344</v>
      </c>
      <c r="AI213" s="128" t="s">
        <v>345</v>
      </c>
      <c r="AJ213" s="128" t="s">
        <v>346</v>
      </c>
      <c r="AK213" s="128" t="s">
        <v>347</v>
      </c>
      <c r="AL213" s="128" t="s">
        <v>348</v>
      </c>
      <c r="AM213" s="128" t="s">
        <v>349</v>
      </c>
      <c r="AN213" s="128" t="s">
        <v>350</v>
      </c>
      <c r="AO213" s="128" t="s">
        <v>351</v>
      </c>
      <c r="AP213" s="128" t="s">
        <v>352</v>
      </c>
      <c r="AQ213" s="128" t="s">
        <v>353</v>
      </c>
      <c r="AR213" s="128" t="s">
        <v>354</v>
      </c>
      <c r="AS213" s="128" t="s">
        <v>355</v>
      </c>
      <c r="AT213" s="128" t="s">
        <v>356</v>
      </c>
      <c r="AU213" s="128" t="s">
        <v>357</v>
      </c>
      <c r="AV213" s="128" t="s">
        <v>358</v>
      </c>
      <c r="AW213" s="128" t="s">
        <v>359</v>
      </c>
      <c r="AX213" s="128" t="s">
        <v>360</v>
      </c>
      <c r="AY213" s="128" t="s">
        <v>361</v>
      </c>
    </row>
    <row r="214" spans="4:51" hidden="1" x14ac:dyDescent="0.25">
      <c r="D214" s="137" t="s">
        <v>362</v>
      </c>
      <c r="G214" t="str">
        <f>C3&amp;" - "&amp;C4</f>
        <v>0 - 0</v>
      </c>
      <c r="H214" s="137">
        <v>23</v>
      </c>
      <c r="I214" s="28">
        <f>'Levantamiento (1)'!F155</f>
        <v>0</v>
      </c>
      <c r="J214" s="28">
        <f>'Levantamiento (1)'!F156</f>
        <v>0</v>
      </c>
      <c r="K214" s="28">
        <f>'Levantamiento (1)'!F157</f>
        <v>0</v>
      </c>
      <c r="L214" s="28">
        <f>'Levantamiento (1)'!F158</f>
        <v>0</v>
      </c>
      <c r="M214" s="28">
        <f>'Levantamiento (1)'!F159</f>
        <v>0</v>
      </c>
      <c r="N214" s="28">
        <f>'Levantamiento (1)'!F160</f>
        <v>0</v>
      </c>
      <c r="O214" s="28">
        <f>'Levantamiento (1)'!F161</f>
        <v>0</v>
      </c>
      <c r="P214" s="28">
        <f>'Levantamiento (1)'!F162</f>
        <v>0</v>
      </c>
      <c r="Q214" s="28" t="str">
        <f>'Transporte (2)'!F144</f>
        <v/>
      </c>
      <c r="R214" s="28" t="str">
        <f>'Transporte (2)'!F145</f>
        <v/>
      </c>
      <c r="S214" s="28" t="str">
        <f>'Transporte (2)'!F146</f>
        <v/>
      </c>
      <c r="T214" s="28" t="str">
        <f>'Transporte (2)'!F147</f>
        <v/>
      </c>
      <c r="U214" s="28" t="str">
        <f>'Transporte (2)'!F148</f>
        <v/>
      </c>
      <c r="V214" s="28" t="str">
        <f>'Transporte (2)'!F149</f>
        <v/>
      </c>
      <c r="W214" s="28" t="str">
        <f>'Transporte (2)'!F150</f>
        <v/>
      </c>
      <c r="X214" s="28" t="str">
        <f>'Transporte (2)'!F151</f>
        <v/>
      </c>
      <c r="Y214" s="28" t="str">
        <f>'Transporte (2)'!F152</f>
        <v/>
      </c>
      <c r="Z214" s="28" t="str">
        <f>'Equipo (3)'!F134</f>
        <v/>
      </c>
      <c r="AA214" s="28" t="str">
        <f>'Equipo (3)'!F135</f>
        <v/>
      </c>
      <c r="AB214" s="28" t="str">
        <f>'Equipo (3)'!F136</f>
        <v/>
      </c>
      <c r="AC214" s="28" t="str">
        <f>'Equipo (3)'!F137</f>
        <v/>
      </c>
      <c r="AD214" s="28" t="str">
        <f>'Equipo (3)'!F138</f>
        <v/>
      </c>
      <c r="AE214" s="28" t="str">
        <f>'Equipo (3)'!F139</f>
        <v/>
      </c>
      <c r="AF214" s="28" t="str">
        <f>'Equipo (3)'!F140</f>
        <v/>
      </c>
      <c r="AG214" s="28" t="str">
        <f>'Equipo (3)'!F141</f>
        <v/>
      </c>
      <c r="AH214" s="28" t="str">
        <f>'Equipo (3)'!F142</f>
        <v/>
      </c>
      <c r="AI214" s="28" t="str">
        <f>'sin auxiliar (4)'!E122</f>
        <v/>
      </c>
      <c r="AJ214" s="28" t="str">
        <f>'sin auxiliar (4)'!E123</f>
        <v/>
      </c>
      <c r="AK214" s="28" t="str">
        <f>'sin auxiliar (4)'!E124</f>
        <v/>
      </c>
      <c r="AL214" s="28" t="str">
        <f>'sin auxiliar (4)'!E125</f>
        <v/>
      </c>
      <c r="AM214" s="28" t="str">
        <f>'sin auxiliar (4)'!E126</f>
        <v/>
      </c>
      <c r="AN214" s="28" t="str">
        <f>'sin auxiliar (4)'!E127</f>
        <v/>
      </c>
      <c r="AO214" s="28" t="str">
        <f>'sin auxiliar (4)'!E128</f>
        <v/>
      </c>
      <c r="AP214" s="28" t="str">
        <f>'sin auxiliar (4)'!E129</f>
        <v/>
      </c>
      <c r="AQ214" s="28" t="str">
        <f>F174</f>
        <v/>
      </c>
      <c r="AR214" s="28" t="str">
        <f>F175</f>
        <v/>
      </c>
      <c r="AS214" s="28" t="str">
        <f>F176</f>
        <v/>
      </c>
      <c r="AT214" s="28" t="str">
        <f>F177</f>
        <v/>
      </c>
      <c r="AU214" s="28" t="str">
        <f>F178</f>
        <v/>
      </c>
      <c r="AV214" s="28" t="str">
        <f>F179</f>
        <v/>
      </c>
      <c r="AW214" s="28" t="str">
        <f>F180</f>
        <v/>
      </c>
      <c r="AX214" s="28" t="str">
        <f>F181</f>
        <v/>
      </c>
      <c r="AY214" s="28" t="str">
        <f>F182</f>
        <v/>
      </c>
    </row>
    <row r="215" spans="4:51" hidden="1" x14ac:dyDescent="0.25">
      <c r="D215" s="137" t="s">
        <v>363</v>
      </c>
      <c r="I215" s="28"/>
      <c r="J215" s="28"/>
      <c r="K215" s="28"/>
      <c r="L215" s="28"/>
      <c r="M215" s="28"/>
      <c r="N215" s="28"/>
      <c r="O215" s="28"/>
      <c r="P215" s="28"/>
      <c r="R215" s="28"/>
      <c r="S215" s="28"/>
      <c r="T215" s="28"/>
      <c r="U215" s="28"/>
      <c r="V215" s="28"/>
      <c r="W215" s="28"/>
      <c r="X215" s="28"/>
      <c r="Y215" s="28"/>
      <c r="AA215" s="28"/>
      <c r="AB215" s="28"/>
      <c r="AC215" s="28"/>
      <c r="AD215" s="28"/>
      <c r="AE215" s="28"/>
      <c r="AG215" s="28"/>
      <c r="AH215" s="28"/>
    </row>
    <row r="216" spans="4:51" hidden="1" x14ac:dyDescent="0.25">
      <c r="D216" s="137" t="s">
        <v>364</v>
      </c>
    </row>
    <row r="223" spans="4:51" x14ac:dyDescent="0.25">
      <c r="Q223" s="28"/>
    </row>
    <row r="224" spans="4:51" x14ac:dyDescent="0.25">
      <c r="Q224" s="28"/>
    </row>
  </sheetData>
  <sheetProtection algorithmName="SHA-512" hashValue="hS+eFDzBDox2ySVgQQSoK+g/d7e1mlKBvXE9DGbIAessNzHYqZFXF4QKoMSzAgkUhl4hnE332G0p59tUQRmHHg==" saltValue="qRXgUvyNzTQUu3LFPkBbeQ==" spinCount="100000" sheet="1" selectLockedCells="1"/>
  <mergeCells count="20">
    <mergeCell ref="B95:D95"/>
    <mergeCell ref="B1:H1"/>
    <mergeCell ref="B2:H2"/>
    <mergeCell ref="A3:B3"/>
    <mergeCell ref="C3:D3"/>
    <mergeCell ref="F3:H3"/>
    <mergeCell ref="C4:D4"/>
    <mergeCell ref="C5:D5"/>
    <mergeCell ref="C6:D6"/>
    <mergeCell ref="B10:D11"/>
    <mergeCell ref="B46:D46"/>
    <mergeCell ref="B77:D77"/>
    <mergeCell ref="E183:F183"/>
    <mergeCell ref="E184:F184"/>
    <mergeCell ref="B120:D120"/>
    <mergeCell ref="B160:D160"/>
    <mergeCell ref="B164:D164"/>
    <mergeCell ref="B170:H170"/>
    <mergeCell ref="D172:D173"/>
    <mergeCell ref="E172:F172"/>
  </mergeCells>
  <conditionalFormatting sqref="E174">
    <cfRule type="cellIs" dxfId="104" priority="29" operator="equal">
      <formula>0</formula>
    </cfRule>
    <cfRule type="cellIs" dxfId="103" priority="30" operator="equal">
      <formula>2</formula>
    </cfRule>
    <cfRule type="cellIs" dxfId="102" priority="31" operator="between">
      <formula>3</formula>
      <formula>9</formula>
    </cfRule>
    <cfRule type="cellIs" dxfId="101" priority="32" operator="equal">
      <formula>21</formula>
    </cfRule>
  </conditionalFormatting>
  <conditionalFormatting sqref="E175">
    <cfRule type="cellIs" dxfId="100" priority="26" operator="equal">
      <formula>0</formula>
    </cfRule>
    <cfRule type="cellIs" dxfId="99" priority="27" operator="equal">
      <formula>3</formula>
    </cfRule>
    <cfRule type="cellIs" dxfId="98" priority="28" operator="equal">
      <formula>6</formula>
    </cfRule>
  </conditionalFormatting>
  <conditionalFormatting sqref="E176">
    <cfRule type="cellIs" dxfId="97" priority="23" operator="equal">
      <formula>0</formula>
    </cfRule>
    <cfRule type="cellIs" dxfId="96" priority="24" operator="equal">
      <formula>1</formula>
    </cfRule>
    <cfRule type="cellIs" dxfId="95" priority="25" operator="equal">
      <formula>2</formula>
    </cfRule>
  </conditionalFormatting>
  <conditionalFormatting sqref="E177">
    <cfRule type="cellIs" dxfId="94" priority="20" operator="equal">
      <formula>0</formula>
    </cfRule>
    <cfRule type="cellIs" dxfId="93" priority="21" operator="equal">
      <formula>1</formula>
    </cfRule>
    <cfRule type="cellIs" dxfId="92" priority="22" operator="equal">
      <formula>3</formula>
    </cfRule>
  </conditionalFormatting>
  <conditionalFormatting sqref="E178">
    <cfRule type="cellIs" dxfId="91" priority="17" operator="equal">
      <formula>0</formula>
    </cfRule>
    <cfRule type="cellIs" dxfId="90" priority="18" operator="equal">
      <formula>1</formula>
    </cfRule>
    <cfRule type="cellIs" dxfId="89" priority="19" operator="equal">
      <formula>3</formula>
    </cfRule>
  </conditionalFormatting>
  <conditionalFormatting sqref="E179">
    <cfRule type="cellIs" dxfId="88" priority="14" operator="equal">
      <formula>0</formula>
    </cfRule>
    <cfRule type="cellIs" dxfId="87" priority="15" operator="equal">
      <formula>2</formula>
    </cfRule>
    <cfRule type="cellIs" dxfId="86" priority="16" operator="equal">
      <formula>4</formula>
    </cfRule>
  </conditionalFormatting>
  <conditionalFormatting sqref="E180">
    <cfRule type="cellIs" dxfId="85" priority="11" operator="equal">
      <formula>0</formula>
    </cfRule>
    <cfRule type="cellIs" dxfId="84" priority="12" operator="equal">
      <formula>1</formula>
    </cfRule>
    <cfRule type="cellIs" dxfId="83" priority="13" operator="equal">
      <formula>4</formula>
    </cfRule>
  </conditionalFormatting>
  <conditionalFormatting sqref="E181">
    <cfRule type="cellIs" dxfId="82" priority="8" operator="equal">
      <formula>0</formula>
    </cfRule>
    <cfRule type="cellIs" dxfId="81" priority="9" operator="equal">
      <formula>2</formula>
    </cfRule>
    <cfRule type="cellIs" dxfId="80" priority="10" operator="equal">
      <formula>3</formula>
    </cfRule>
  </conditionalFormatting>
  <conditionalFormatting sqref="E182">
    <cfRule type="cellIs" dxfId="79" priority="5" operator="equal">
      <formula>0</formula>
    </cfRule>
    <cfRule type="cellIs" dxfId="78" priority="6" operator="equal">
      <formula>1</formula>
    </cfRule>
    <cfRule type="cellIs" dxfId="77" priority="7" operator="equal">
      <formula>2</formula>
    </cfRule>
  </conditionalFormatting>
  <conditionalFormatting sqref="E184">
    <cfRule type="cellIs" dxfId="76" priority="1" operator="between">
      <formula>21</formula>
      <formula>100</formula>
    </cfRule>
    <cfRule type="cellIs" dxfId="75" priority="2" operator="between">
      <formula>13</formula>
      <formula>20</formula>
    </cfRule>
    <cfRule type="cellIs" dxfId="74" priority="3" operator="between">
      <formula>5</formula>
      <formula>12</formula>
    </cfRule>
    <cfRule type="cellIs" dxfId="73" priority="4" operator="between">
      <formula>0</formula>
      <formula>4</formula>
    </cfRule>
  </conditionalFormatting>
  <dataValidations count="2">
    <dataValidation type="list" allowBlank="1" showInputMessage="1" showErrorMessage="1" sqref="E9:H9 G10 E158:G158 E49:G49 E77:G77 E95:G95 E111:G111 E120:G120 E133:G133 E149:G149" xr:uid="{00000000-0002-0000-0500-000000000000}">
      <formula1>$A$18:$A$19</formula1>
    </dataValidation>
    <dataValidation type="list" allowBlank="1" showInputMessage="1" showErrorMessage="1" sqref="E10:F10 H10" xr:uid="{00000000-0002-0000-0500-000001000000}">
      <formula1>$U$9:$U$11</formula1>
    </dataValidation>
  </dataValidations>
  <pageMargins left="0.7" right="0.7" top="0.75" bottom="0.75" header="0.3" footer="0.3"/>
  <pageSetup scale="64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75" max="7" man="1"/>
    <brk id="147" max="7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5A0-B7CE-4980-892C-D062E9596C8E}">
  <dimension ref="A1:O136"/>
  <sheetViews>
    <sheetView showGridLines="0" topLeftCell="A110" workbookViewId="0">
      <selection activeCell="A17" sqref="A17"/>
    </sheetView>
  </sheetViews>
  <sheetFormatPr defaultColWidth="8.85546875" defaultRowHeight="15" x14ac:dyDescent="0.25"/>
  <cols>
    <col min="1" max="1" width="14" style="192" bestFit="1" customWidth="1"/>
    <col min="2" max="2" width="2.28515625" style="200" bestFit="1" customWidth="1"/>
    <col min="3" max="3" width="5.7109375" style="192" bestFit="1" customWidth="1"/>
    <col min="4" max="4" width="55.7109375" style="192" bestFit="1" customWidth="1"/>
    <col min="5" max="5" width="5.7109375" style="200" customWidth="1"/>
    <col min="6" max="6" width="34.42578125" style="192" bestFit="1" customWidth="1"/>
    <col min="7" max="7" width="8.85546875" style="192"/>
    <col min="8" max="8" width="4.7109375" style="192" bestFit="1" customWidth="1"/>
    <col min="9" max="9" width="40.42578125" style="192" bestFit="1" customWidth="1"/>
    <col min="10" max="10" width="6.28515625" style="200" customWidth="1"/>
    <col min="11" max="16384" width="8.85546875" style="192"/>
  </cols>
  <sheetData>
    <row r="1" spans="1:10" ht="30" x14ac:dyDescent="0.25">
      <c r="A1" s="207" t="s">
        <v>372</v>
      </c>
      <c r="B1" s="193" t="s">
        <v>20</v>
      </c>
      <c r="C1" s="194"/>
      <c r="D1" s="164" t="s">
        <v>21</v>
      </c>
      <c r="E1" s="195" t="str">
        <f>Mov!L8</f>
        <v>A</v>
      </c>
      <c r="H1" s="192" t="s">
        <v>372</v>
      </c>
      <c r="I1" s="196" t="str">
        <f>D1</f>
        <v>Marcar las area en donde se toma el material</v>
      </c>
      <c r="J1" s="195" t="str">
        <f>E1</f>
        <v>A</v>
      </c>
    </row>
    <row r="2" spans="1:10" ht="30" x14ac:dyDescent="0.25">
      <c r="A2" s="207" t="s">
        <v>372</v>
      </c>
      <c r="B2" s="194" t="s">
        <v>39</v>
      </c>
      <c r="C2" s="194"/>
      <c r="D2" s="197"/>
      <c r="E2" s="200" t="str">
        <f>Mov!L37</f>
        <v>Pie</v>
      </c>
      <c r="H2" s="192" t="s">
        <v>372</v>
      </c>
      <c r="I2" s="196" t="str">
        <f>D16</f>
        <v>Area de trabajo</v>
      </c>
      <c r="J2" s="147" t="str">
        <f>E16</f>
        <v>V</v>
      </c>
    </row>
    <row r="3" spans="1:10" ht="30" x14ac:dyDescent="0.25">
      <c r="A3" s="207" t="s">
        <v>372</v>
      </c>
      <c r="B3" s="194" t="s">
        <v>39</v>
      </c>
      <c r="C3" s="198" t="s">
        <v>392</v>
      </c>
      <c r="D3" s="197" t="s">
        <v>64</v>
      </c>
      <c r="E3" s="194">
        <f>Mov!P38</f>
        <v>0</v>
      </c>
      <c r="H3" s="192" t="s">
        <v>372</v>
      </c>
      <c r="I3" s="196" t="str">
        <f>D53</f>
        <v>Fuerza</v>
      </c>
      <c r="J3" s="147" t="str">
        <f>E53</f>
        <v/>
      </c>
    </row>
    <row r="4" spans="1:10" ht="30" x14ac:dyDescent="0.25">
      <c r="A4" s="207" t="s">
        <v>372</v>
      </c>
      <c r="B4" s="194" t="s">
        <v>39</v>
      </c>
      <c r="C4" s="198" t="s">
        <v>392</v>
      </c>
      <c r="D4" s="197" t="s">
        <v>385</v>
      </c>
      <c r="E4" s="194">
        <f>Mov!P39</f>
        <v>0</v>
      </c>
      <c r="H4" s="192" t="s">
        <v>372</v>
      </c>
      <c r="I4" s="196" t="str">
        <f>D68</f>
        <v>(A) Análisis del brazo, antebrazo y muñeca</v>
      </c>
      <c r="J4" s="147" t="str">
        <f>E68</f>
        <v>A</v>
      </c>
    </row>
    <row r="5" spans="1:10" ht="30" x14ac:dyDescent="0.25">
      <c r="A5" s="207" t="s">
        <v>372</v>
      </c>
      <c r="B5" s="194" t="s">
        <v>39</v>
      </c>
      <c r="C5" s="198" t="s">
        <v>393</v>
      </c>
      <c r="D5" s="197" t="s">
        <v>390</v>
      </c>
      <c r="E5" s="194" t="str">
        <f>Mov!P40</f>
        <v/>
      </c>
      <c r="H5" s="192" t="s">
        <v>372</v>
      </c>
      <c r="I5" s="196" t="str">
        <f>D73</f>
        <v xml:space="preserve">Accesibilidad </v>
      </c>
      <c r="J5" s="195" t="str">
        <f>E73</f>
        <v>V</v>
      </c>
    </row>
    <row r="6" spans="1:10" ht="30" x14ac:dyDescent="0.25">
      <c r="A6" s="207" t="s">
        <v>372</v>
      </c>
      <c r="B6" s="194" t="s">
        <v>39</v>
      </c>
      <c r="C6" s="198" t="s">
        <v>393</v>
      </c>
      <c r="D6" s="197" t="s">
        <v>396</v>
      </c>
      <c r="E6" s="194" t="str">
        <f>Mov!P41</f>
        <v/>
      </c>
      <c r="H6" s="192" t="s">
        <v>372</v>
      </c>
      <c r="I6" s="196" t="str">
        <f>D77</f>
        <v>Visual - Señalización</v>
      </c>
      <c r="J6" s="199" t="str">
        <f>E77</f>
        <v>V</v>
      </c>
    </row>
    <row r="7" spans="1:10" ht="30" x14ac:dyDescent="0.25">
      <c r="A7" s="207" t="s">
        <v>372</v>
      </c>
      <c r="B7" s="194" t="s">
        <v>39</v>
      </c>
      <c r="C7" s="198" t="s">
        <v>393</v>
      </c>
      <c r="D7" s="197" t="s">
        <v>386</v>
      </c>
      <c r="E7" s="194"/>
      <c r="H7" s="192" t="s">
        <v>372</v>
      </c>
      <c r="I7" s="196" t="str">
        <f>D81</f>
        <v>Iluminacion</v>
      </c>
      <c r="J7" s="199" t="str">
        <f>E81</f>
        <v>V</v>
      </c>
    </row>
    <row r="8" spans="1:10" ht="30" x14ac:dyDescent="0.25">
      <c r="A8" s="207" t="s">
        <v>372</v>
      </c>
      <c r="B8" s="194" t="s">
        <v>39</v>
      </c>
      <c r="C8" s="198"/>
      <c r="D8" s="197" t="s">
        <v>400</v>
      </c>
      <c r="E8" s="194" t="str">
        <f>Mov!P43</f>
        <v>V</v>
      </c>
      <c r="H8" s="192" t="s">
        <v>372</v>
      </c>
      <c r="I8" s="196" t="str">
        <f>D87</f>
        <v>Evaluacion del Operador</v>
      </c>
      <c r="J8" s="199">
        <f>E87</f>
        <v>2</v>
      </c>
    </row>
    <row r="9" spans="1:10" x14ac:dyDescent="0.25">
      <c r="A9" s="207" t="s">
        <v>372</v>
      </c>
      <c r="B9" s="194" t="s">
        <v>39</v>
      </c>
      <c r="C9" s="198"/>
      <c r="D9" s="197" t="s">
        <v>399</v>
      </c>
      <c r="E9" s="194"/>
      <c r="H9" s="200">
        <v>1</v>
      </c>
      <c r="I9" s="192" t="str">
        <f>D97</f>
        <v>Levantamiento</v>
      </c>
      <c r="J9" s="200">
        <f>E97</f>
        <v>0</v>
      </c>
    </row>
    <row r="10" spans="1:10" x14ac:dyDescent="0.25">
      <c r="A10" s="207" t="s">
        <v>372</v>
      </c>
      <c r="B10" s="194" t="s">
        <v>39</v>
      </c>
      <c r="C10" s="198"/>
      <c r="D10" s="197"/>
      <c r="E10" s="194"/>
      <c r="H10" s="200">
        <v>2</v>
      </c>
      <c r="I10" s="192" t="str">
        <f>D107</f>
        <v>Transporte</v>
      </c>
      <c r="J10" s="200">
        <f>E107</f>
        <v>0</v>
      </c>
    </row>
    <row r="11" spans="1:10" x14ac:dyDescent="0.25">
      <c r="A11" s="207" t="s">
        <v>372</v>
      </c>
      <c r="B11" s="194" t="s">
        <v>39</v>
      </c>
      <c r="C11" s="198" t="s">
        <v>394</v>
      </c>
      <c r="D11" s="197" t="s">
        <v>387</v>
      </c>
      <c r="E11" s="194"/>
      <c r="H11" s="200">
        <v>3</v>
      </c>
      <c r="I11" s="192" t="str">
        <f>D117</f>
        <v>Equipo</v>
      </c>
      <c r="J11" s="200">
        <f>E117</f>
        <v>0</v>
      </c>
    </row>
    <row r="12" spans="1:10" x14ac:dyDescent="0.25">
      <c r="A12" s="207" t="s">
        <v>372</v>
      </c>
      <c r="B12" s="194" t="s">
        <v>39</v>
      </c>
      <c r="C12" s="198"/>
      <c r="D12" s="192" t="s">
        <v>388</v>
      </c>
      <c r="E12" s="194" t="str">
        <f>Mov!P47</f>
        <v/>
      </c>
      <c r="H12" s="200">
        <v>4</v>
      </c>
      <c r="I12" s="192" t="str">
        <f>D126</f>
        <v>Sin auxiliar</v>
      </c>
      <c r="J12" s="200">
        <f>E126</f>
        <v>0</v>
      </c>
    </row>
    <row r="13" spans="1:10" x14ac:dyDescent="0.25">
      <c r="A13" s="207" t="s">
        <v>372</v>
      </c>
      <c r="B13" s="194" t="s">
        <v>39</v>
      </c>
      <c r="C13" s="198"/>
      <c r="D13" s="192" t="s">
        <v>389</v>
      </c>
      <c r="E13" s="194" t="str">
        <f>Mov!P48</f>
        <v/>
      </c>
      <c r="H13" s="200">
        <v>5</v>
      </c>
      <c r="I13" s="192" t="str">
        <f>D136</f>
        <v>Con auxiliar</v>
      </c>
      <c r="J13" s="200">
        <f>E136</f>
        <v>0</v>
      </c>
    </row>
    <row r="14" spans="1:10" x14ac:dyDescent="0.25">
      <c r="A14" s="207" t="s">
        <v>372</v>
      </c>
      <c r="B14" s="194" t="s">
        <v>39</v>
      </c>
      <c r="C14" s="198" t="s">
        <v>394</v>
      </c>
      <c r="D14" s="197" t="s">
        <v>55</v>
      </c>
      <c r="E14" s="194" t="str">
        <f>Mov!P49</f>
        <v/>
      </c>
    </row>
    <row r="15" spans="1:10" x14ac:dyDescent="0.25">
      <c r="A15" s="207" t="s">
        <v>372</v>
      </c>
      <c r="B15" s="194" t="s">
        <v>39</v>
      </c>
      <c r="C15" s="198" t="s">
        <v>394</v>
      </c>
      <c r="D15" s="197" t="s">
        <v>57</v>
      </c>
      <c r="E15" s="194" t="str">
        <f>Mov!P50</f>
        <v/>
      </c>
    </row>
    <row r="16" spans="1:10" x14ac:dyDescent="0.25">
      <c r="A16" s="207" t="s">
        <v>372</v>
      </c>
      <c r="B16" s="193" t="s">
        <v>39</v>
      </c>
      <c r="C16" s="200"/>
      <c r="D16" s="164" t="s">
        <v>40</v>
      </c>
      <c r="E16" s="147" t="str">
        <f>Mov!P51</f>
        <v>V</v>
      </c>
    </row>
    <row r="17" spans="1:5" x14ac:dyDescent="0.25">
      <c r="A17" s="207" t="s">
        <v>372</v>
      </c>
      <c r="B17" s="200" t="s">
        <v>80</v>
      </c>
      <c r="D17" s="172" t="s">
        <v>463</v>
      </c>
      <c r="E17" s="200" t="str">
        <f>Mov!L58</f>
        <v/>
      </c>
    </row>
    <row r="18" spans="1:5" x14ac:dyDescent="0.25">
      <c r="A18" s="207" t="s">
        <v>372</v>
      </c>
      <c r="B18" s="200" t="s">
        <v>80</v>
      </c>
      <c r="D18" s="172" t="s">
        <v>403</v>
      </c>
      <c r="E18" s="200">
        <f>Mov!L59</f>
        <v>0</v>
      </c>
    </row>
    <row r="19" spans="1:5" x14ac:dyDescent="0.25">
      <c r="A19" s="207" t="s">
        <v>372</v>
      </c>
      <c r="B19" s="200" t="s">
        <v>80</v>
      </c>
      <c r="D19" s="171" t="s">
        <v>404</v>
      </c>
      <c r="E19" s="200">
        <f>Mov!L60</f>
        <v>0</v>
      </c>
    </row>
    <row r="20" spans="1:5" x14ac:dyDescent="0.25">
      <c r="A20" s="207" t="s">
        <v>372</v>
      </c>
      <c r="B20" s="200" t="s">
        <v>80</v>
      </c>
      <c r="D20" s="171" t="s">
        <v>405</v>
      </c>
      <c r="E20" s="200">
        <f>Mov!L61</f>
        <v>0</v>
      </c>
    </row>
    <row r="21" spans="1:5" x14ac:dyDescent="0.25">
      <c r="A21" s="207" t="s">
        <v>372</v>
      </c>
      <c r="B21" s="200" t="s">
        <v>80</v>
      </c>
      <c r="D21" s="171" t="s">
        <v>406</v>
      </c>
      <c r="E21" s="200">
        <f>Mov!L62</f>
        <v>0</v>
      </c>
    </row>
    <row r="22" spans="1:5" x14ac:dyDescent="0.25">
      <c r="A22" s="207" t="s">
        <v>372</v>
      </c>
      <c r="B22" s="200" t="s">
        <v>80</v>
      </c>
      <c r="D22" s="171" t="s">
        <v>407</v>
      </c>
      <c r="E22" s="200">
        <f>Mov!L63</f>
        <v>0</v>
      </c>
    </row>
    <row r="23" spans="1:5" x14ac:dyDescent="0.25">
      <c r="A23" s="207" t="s">
        <v>372</v>
      </c>
      <c r="B23" s="200" t="s">
        <v>80</v>
      </c>
      <c r="D23" s="171" t="s">
        <v>408</v>
      </c>
      <c r="E23" s="200">
        <f>Mov!L64</f>
        <v>0</v>
      </c>
    </row>
    <row r="24" spans="1:5" x14ac:dyDescent="0.25">
      <c r="A24" s="207" t="s">
        <v>372</v>
      </c>
      <c r="B24" s="200" t="s">
        <v>80</v>
      </c>
      <c r="D24" s="171" t="s">
        <v>409</v>
      </c>
      <c r="E24" s="200">
        <f>Mov!L65</f>
        <v>0</v>
      </c>
    </row>
    <row r="25" spans="1:5" x14ac:dyDescent="0.25">
      <c r="A25" s="207" t="s">
        <v>372</v>
      </c>
      <c r="B25" s="200" t="s">
        <v>80</v>
      </c>
      <c r="D25" s="171" t="s">
        <v>410</v>
      </c>
      <c r="E25" s="200">
        <f>Mov!L66</f>
        <v>0</v>
      </c>
    </row>
    <row r="26" spans="1:5" x14ac:dyDescent="0.25">
      <c r="A26" s="207" t="s">
        <v>372</v>
      </c>
      <c r="B26" s="200" t="s">
        <v>80</v>
      </c>
      <c r="D26" s="171" t="s">
        <v>411</v>
      </c>
      <c r="E26" s="200">
        <f>Mov!L67</f>
        <v>0</v>
      </c>
    </row>
    <row r="27" spans="1:5" x14ac:dyDescent="0.25">
      <c r="A27" s="207" t="s">
        <v>372</v>
      </c>
      <c r="B27" s="200" t="s">
        <v>80</v>
      </c>
      <c r="D27" s="171" t="s">
        <v>412</v>
      </c>
      <c r="E27" s="200">
        <f>Mov!L68</f>
        <v>0</v>
      </c>
    </row>
    <row r="28" spans="1:5" x14ac:dyDescent="0.25">
      <c r="A28" s="207" t="s">
        <v>372</v>
      </c>
      <c r="B28" s="200" t="s">
        <v>80</v>
      </c>
      <c r="D28" s="171" t="s">
        <v>413</v>
      </c>
      <c r="E28" s="200">
        <f>Mov!L69</f>
        <v>0</v>
      </c>
    </row>
    <row r="29" spans="1:5" x14ac:dyDescent="0.25">
      <c r="A29" s="207" t="s">
        <v>372</v>
      </c>
      <c r="B29" s="200" t="s">
        <v>80</v>
      </c>
      <c r="D29" s="171" t="s">
        <v>414</v>
      </c>
      <c r="E29" s="200">
        <f>Mov!L70</f>
        <v>0</v>
      </c>
    </row>
    <row r="30" spans="1:5" x14ac:dyDescent="0.25">
      <c r="A30" s="207" t="s">
        <v>372</v>
      </c>
      <c r="B30" s="200" t="s">
        <v>80</v>
      </c>
      <c r="D30" s="171" t="s">
        <v>415</v>
      </c>
      <c r="E30" s="200">
        <f>Mov!L71</f>
        <v>0</v>
      </c>
    </row>
    <row r="31" spans="1:5" x14ac:dyDescent="0.25">
      <c r="A31" s="207" t="s">
        <v>372</v>
      </c>
      <c r="B31" s="200" t="s">
        <v>80</v>
      </c>
      <c r="D31" s="171" t="s">
        <v>416</v>
      </c>
      <c r="E31" s="200">
        <f>Mov!L72</f>
        <v>0</v>
      </c>
    </row>
    <row r="32" spans="1:5" x14ac:dyDescent="0.25">
      <c r="A32" s="207" t="s">
        <v>372</v>
      </c>
      <c r="B32" s="200" t="s">
        <v>80</v>
      </c>
      <c r="D32"/>
      <c r="E32" s="200">
        <f>Mov!L73</f>
        <v>0</v>
      </c>
    </row>
    <row r="33" spans="1:5" x14ac:dyDescent="0.25">
      <c r="A33" s="207" t="s">
        <v>372</v>
      </c>
      <c r="B33" s="200" t="s">
        <v>80</v>
      </c>
      <c r="D33" s="172" t="s">
        <v>420</v>
      </c>
      <c r="E33" s="200">
        <f>Mov!L74</f>
        <v>0</v>
      </c>
    </row>
    <row r="34" spans="1:5" x14ac:dyDescent="0.25">
      <c r="A34" s="207" t="s">
        <v>372</v>
      </c>
      <c r="B34" s="200" t="s">
        <v>80</v>
      </c>
      <c r="D34" t="s">
        <v>421</v>
      </c>
      <c r="E34" s="200">
        <f>Mov!L75</f>
        <v>0</v>
      </c>
    </row>
    <row r="35" spans="1:5" x14ac:dyDescent="0.25">
      <c r="A35" s="207" t="s">
        <v>372</v>
      </c>
      <c r="B35" s="200" t="s">
        <v>80</v>
      </c>
      <c r="D35" t="s">
        <v>422</v>
      </c>
      <c r="E35" s="200">
        <f>Mov!L76</f>
        <v>0</v>
      </c>
    </row>
    <row r="36" spans="1:5" x14ac:dyDescent="0.25">
      <c r="A36" s="207" t="s">
        <v>372</v>
      </c>
      <c r="B36" s="200" t="s">
        <v>80</v>
      </c>
      <c r="D36"/>
      <c r="E36" s="200">
        <f>Mov!L77</f>
        <v>0</v>
      </c>
    </row>
    <row r="37" spans="1:5" x14ac:dyDescent="0.25">
      <c r="A37" s="207" t="s">
        <v>372</v>
      </c>
      <c r="B37" s="200" t="s">
        <v>80</v>
      </c>
      <c r="D37" s="172" t="s">
        <v>483</v>
      </c>
      <c r="E37" s="200">
        <f>Mov!L78</f>
        <v>0</v>
      </c>
    </row>
    <row r="38" spans="1:5" x14ac:dyDescent="0.25">
      <c r="A38" s="207" t="s">
        <v>372</v>
      </c>
      <c r="B38" s="200" t="s">
        <v>80</v>
      </c>
      <c r="D38" t="s">
        <v>484</v>
      </c>
      <c r="E38" s="200">
        <f>Mov!L79</f>
        <v>0</v>
      </c>
    </row>
    <row r="39" spans="1:5" x14ac:dyDescent="0.25">
      <c r="A39" s="207" t="s">
        <v>372</v>
      </c>
      <c r="B39" s="200" t="s">
        <v>80</v>
      </c>
      <c r="D39" t="s">
        <v>485</v>
      </c>
      <c r="E39" s="200">
        <f>Mov!L80</f>
        <v>0</v>
      </c>
    </row>
    <row r="40" spans="1:5" x14ac:dyDescent="0.25">
      <c r="A40" s="207" t="s">
        <v>372</v>
      </c>
      <c r="B40" s="200" t="s">
        <v>80</v>
      </c>
      <c r="D40"/>
      <c r="E40" s="200">
        <f>Mov!L81</f>
        <v>0</v>
      </c>
    </row>
    <row r="41" spans="1:5" x14ac:dyDescent="0.25">
      <c r="A41" s="207" t="s">
        <v>372</v>
      </c>
      <c r="B41" s="200" t="s">
        <v>80</v>
      </c>
      <c r="D41" s="172" t="s">
        <v>423</v>
      </c>
      <c r="E41" s="200">
        <f>Mov!L82</f>
        <v>0</v>
      </c>
    </row>
    <row r="42" spans="1:5" x14ac:dyDescent="0.25">
      <c r="A42" s="207" t="s">
        <v>372</v>
      </c>
      <c r="B42" s="200" t="s">
        <v>80</v>
      </c>
      <c r="D42" t="s">
        <v>486</v>
      </c>
      <c r="E42" s="200">
        <f>Mov!L83</f>
        <v>0</v>
      </c>
    </row>
    <row r="43" spans="1:5" x14ac:dyDescent="0.25">
      <c r="A43" s="207" t="s">
        <v>372</v>
      </c>
      <c r="B43" s="200" t="s">
        <v>80</v>
      </c>
      <c r="D43" t="s">
        <v>487</v>
      </c>
      <c r="E43" s="200">
        <f>Mov!L84</f>
        <v>0</v>
      </c>
    </row>
    <row r="44" spans="1:5" x14ac:dyDescent="0.25">
      <c r="A44" s="207" t="s">
        <v>372</v>
      </c>
      <c r="B44" s="200" t="s">
        <v>80</v>
      </c>
      <c r="D44" t="s">
        <v>488</v>
      </c>
      <c r="E44" s="200">
        <f>Mov!L85</f>
        <v>0</v>
      </c>
    </row>
    <row r="45" spans="1:5" x14ac:dyDescent="0.25">
      <c r="A45" s="207" t="s">
        <v>372</v>
      </c>
      <c r="B45" s="200" t="s">
        <v>80</v>
      </c>
      <c r="D45" t="s">
        <v>489</v>
      </c>
      <c r="E45" s="200">
        <f>Mov!L86</f>
        <v>0</v>
      </c>
    </row>
    <row r="46" spans="1:5" x14ac:dyDescent="0.25">
      <c r="A46" s="207" t="s">
        <v>372</v>
      </c>
      <c r="B46" s="200" t="s">
        <v>80</v>
      </c>
      <c r="D46"/>
      <c r="E46" s="200">
        <f>Mov!L87</f>
        <v>0</v>
      </c>
    </row>
    <row r="47" spans="1:5" x14ac:dyDescent="0.25">
      <c r="A47" s="207" t="s">
        <v>372</v>
      </c>
      <c r="B47" s="200" t="s">
        <v>80</v>
      </c>
      <c r="D47" s="172" t="s">
        <v>425</v>
      </c>
      <c r="E47" s="200">
        <f>Mov!L88</f>
        <v>0</v>
      </c>
    </row>
    <row r="48" spans="1:5" x14ac:dyDescent="0.25">
      <c r="A48" s="207" t="s">
        <v>372</v>
      </c>
      <c r="B48" s="200" t="s">
        <v>80</v>
      </c>
      <c r="D48" t="s">
        <v>424</v>
      </c>
      <c r="E48" s="200">
        <f>Mov!L89</f>
        <v>0</v>
      </c>
    </row>
    <row r="49" spans="1:5" x14ac:dyDescent="0.25">
      <c r="A49" s="207" t="s">
        <v>372</v>
      </c>
      <c r="B49" s="200" t="s">
        <v>80</v>
      </c>
      <c r="D49" t="s">
        <v>426</v>
      </c>
      <c r="E49" s="200">
        <f>Mov!L90</f>
        <v>0</v>
      </c>
    </row>
    <row r="50" spans="1:5" x14ac:dyDescent="0.25">
      <c r="A50" s="207" t="s">
        <v>372</v>
      </c>
      <c r="B50" s="200" t="s">
        <v>80</v>
      </c>
      <c r="D50" t="s">
        <v>427</v>
      </c>
      <c r="E50" s="200">
        <f>Mov!L91</f>
        <v>0</v>
      </c>
    </row>
    <row r="51" spans="1:5" x14ac:dyDescent="0.25">
      <c r="A51" s="207" t="s">
        <v>372</v>
      </c>
      <c r="B51" s="200" t="s">
        <v>80</v>
      </c>
      <c r="D51"/>
      <c r="E51" s="200">
        <f>Mov!L92</f>
        <v>0</v>
      </c>
    </row>
    <row r="52" spans="1:5" x14ac:dyDescent="0.25">
      <c r="A52" s="207" t="s">
        <v>372</v>
      </c>
      <c r="B52" s="200" t="s">
        <v>80</v>
      </c>
      <c r="D52" t="s">
        <v>428</v>
      </c>
      <c r="E52" s="200" t="str">
        <f>Mov!L93</f>
        <v/>
      </c>
    </row>
    <row r="53" spans="1:5" x14ac:dyDescent="0.25">
      <c r="A53" s="207" t="s">
        <v>372</v>
      </c>
      <c r="B53" s="193" t="s">
        <v>80</v>
      </c>
      <c r="D53" s="164" t="s">
        <v>462</v>
      </c>
      <c r="E53" s="147" t="str">
        <f>Mov!L54</f>
        <v/>
      </c>
    </row>
    <row r="54" spans="1:5" x14ac:dyDescent="0.25">
      <c r="A54" s="207" t="s">
        <v>372</v>
      </c>
      <c r="B54" s="200" t="s">
        <v>83</v>
      </c>
      <c r="D54" t="s">
        <v>446</v>
      </c>
      <c r="E54" s="200">
        <f>Mov!L99</f>
        <v>3</v>
      </c>
    </row>
    <row r="55" spans="1:5" x14ac:dyDescent="0.25">
      <c r="A55" s="207" t="s">
        <v>372</v>
      </c>
      <c r="B55" s="200" t="s">
        <v>83</v>
      </c>
      <c r="D55" t="s">
        <v>440</v>
      </c>
      <c r="E55" s="200">
        <f>Mov!L107</f>
        <v>1</v>
      </c>
    </row>
    <row r="56" spans="1:5" x14ac:dyDescent="0.25">
      <c r="A56" s="207" t="s">
        <v>372</v>
      </c>
      <c r="B56" s="200" t="s">
        <v>83</v>
      </c>
      <c r="D56" t="s">
        <v>441</v>
      </c>
      <c r="E56" s="200">
        <f>Mov!L116</f>
        <v>2</v>
      </c>
    </row>
    <row r="57" spans="1:5" x14ac:dyDescent="0.25">
      <c r="A57" s="207" t="s">
        <v>372</v>
      </c>
      <c r="B57" s="200" t="s">
        <v>83</v>
      </c>
      <c r="D57" t="s">
        <v>442</v>
      </c>
      <c r="E57" s="200">
        <f>Mov!L116</f>
        <v>2</v>
      </c>
    </row>
    <row r="58" spans="1:5" x14ac:dyDescent="0.25">
      <c r="A58" s="207" t="s">
        <v>372</v>
      </c>
      <c r="B58" s="200" t="s">
        <v>83</v>
      </c>
      <c r="D58" t="s">
        <v>443</v>
      </c>
      <c r="E58" s="200">
        <f>Mov!L130</f>
        <v>0</v>
      </c>
    </row>
    <row r="59" spans="1:5" x14ac:dyDescent="0.25">
      <c r="A59" s="207" t="s">
        <v>372</v>
      </c>
      <c r="B59" s="200" t="s">
        <v>83</v>
      </c>
      <c r="D59" t="s">
        <v>444</v>
      </c>
      <c r="E59" s="200">
        <f>Mov!L134</f>
        <v>0</v>
      </c>
    </row>
    <row r="60" spans="1:5" x14ac:dyDescent="0.25">
      <c r="A60" s="207" t="s">
        <v>372</v>
      </c>
      <c r="B60" s="200" t="s">
        <v>83</v>
      </c>
      <c r="D60" t="s">
        <v>445</v>
      </c>
    </row>
    <row r="61" spans="1:5" x14ac:dyDescent="0.25">
      <c r="A61" s="207" t="s">
        <v>372</v>
      </c>
      <c r="B61" s="200" t="s">
        <v>83</v>
      </c>
      <c r="D61" t="s">
        <v>448</v>
      </c>
      <c r="E61" s="200">
        <f>Mov!L140</f>
        <v>2</v>
      </c>
    </row>
    <row r="62" spans="1:5" x14ac:dyDescent="0.25">
      <c r="A62" s="207" t="s">
        <v>372</v>
      </c>
      <c r="B62" s="200" t="s">
        <v>83</v>
      </c>
      <c r="D62" t="s">
        <v>449</v>
      </c>
      <c r="E62" s="200">
        <f>Mov!L148</f>
        <v>2</v>
      </c>
    </row>
    <row r="63" spans="1:5" x14ac:dyDescent="0.25">
      <c r="A63" s="207" t="s">
        <v>372</v>
      </c>
      <c r="B63" s="200" t="s">
        <v>83</v>
      </c>
      <c r="D63" t="s">
        <v>450</v>
      </c>
      <c r="E63" s="200">
        <f>Mov!L157</f>
        <v>1</v>
      </c>
    </row>
    <row r="64" spans="1:5" x14ac:dyDescent="0.25">
      <c r="A64" s="207" t="s">
        <v>372</v>
      </c>
      <c r="B64" s="200" t="s">
        <v>83</v>
      </c>
      <c r="D64" t="s">
        <v>451</v>
      </c>
      <c r="E64" s="200">
        <f>Mov!L164</f>
        <v>1</v>
      </c>
    </row>
    <row r="65" spans="1:12" x14ac:dyDescent="0.25">
      <c r="A65" s="207" t="s">
        <v>372</v>
      </c>
      <c r="B65" s="200" t="s">
        <v>83</v>
      </c>
      <c r="D65" t="s">
        <v>452</v>
      </c>
      <c r="E65" s="200">
        <f>Mov!L169</f>
        <v>0</v>
      </c>
    </row>
    <row r="66" spans="1:12" x14ac:dyDescent="0.25">
      <c r="A66" s="207" t="s">
        <v>372</v>
      </c>
      <c r="B66" s="200" t="s">
        <v>83</v>
      </c>
      <c r="D66" t="s">
        <v>453</v>
      </c>
      <c r="E66" s="200">
        <f>Mov!L172</f>
        <v>3</v>
      </c>
    </row>
    <row r="67" spans="1:12" x14ac:dyDescent="0.25">
      <c r="A67" s="207" t="s">
        <v>372</v>
      </c>
      <c r="B67" s="200" t="s">
        <v>83</v>
      </c>
      <c r="D67" t="s">
        <v>454</v>
      </c>
      <c r="E67" s="200">
        <f>Mov!L174</f>
        <v>2</v>
      </c>
    </row>
    <row r="68" spans="1:12" x14ac:dyDescent="0.25">
      <c r="A68" s="207" t="s">
        <v>372</v>
      </c>
      <c r="B68" s="193" t="s">
        <v>83</v>
      </c>
      <c r="D68" s="164" t="s">
        <v>447</v>
      </c>
      <c r="E68" s="147" t="str">
        <f>Mov!L95</f>
        <v>A</v>
      </c>
    </row>
    <row r="69" spans="1:12" x14ac:dyDescent="0.25">
      <c r="A69" s="207" t="s">
        <v>372</v>
      </c>
      <c r="B69" s="200" t="s">
        <v>107</v>
      </c>
      <c r="D69" t="s">
        <v>109</v>
      </c>
      <c r="E69" s="200" t="str">
        <f>Mov!G182</f>
        <v>Si</v>
      </c>
      <c r="F69" s="201" t="s">
        <v>110</v>
      </c>
      <c r="G69" s="202"/>
      <c r="H69" s="202"/>
    </row>
    <row r="70" spans="1:12" x14ac:dyDescent="0.25">
      <c r="A70" s="207" t="s">
        <v>372</v>
      </c>
      <c r="B70" s="200" t="s">
        <v>107</v>
      </c>
      <c r="D70" t="s">
        <v>111</v>
      </c>
      <c r="E70" s="200" t="str">
        <f>Mov!G183</f>
        <v>Si</v>
      </c>
      <c r="F70" s="201" t="s">
        <v>112</v>
      </c>
      <c r="G70" s="202"/>
      <c r="H70" s="202"/>
    </row>
    <row r="71" spans="1:12" x14ac:dyDescent="0.25">
      <c r="A71" s="207" t="s">
        <v>372</v>
      </c>
      <c r="B71" s="200" t="s">
        <v>107</v>
      </c>
      <c r="D71" t="s">
        <v>113</v>
      </c>
      <c r="E71" s="200" t="str">
        <f>Mov!G184</f>
        <v>Si</v>
      </c>
      <c r="F71" s="201" t="s">
        <v>114</v>
      </c>
      <c r="G71" s="202"/>
      <c r="H71" s="202"/>
    </row>
    <row r="72" spans="1:12" x14ac:dyDescent="0.25">
      <c r="A72" s="207" t="s">
        <v>372</v>
      </c>
      <c r="B72" s="200" t="s">
        <v>107</v>
      </c>
      <c r="D72" t="s">
        <v>115</v>
      </c>
      <c r="E72" s="200" t="str">
        <f>Mov!G185</f>
        <v>Si</v>
      </c>
      <c r="F72" s="201" t="s">
        <v>114</v>
      </c>
      <c r="G72" s="202"/>
      <c r="H72" s="202"/>
    </row>
    <row r="73" spans="1:12" x14ac:dyDescent="0.25">
      <c r="A73" s="207" t="s">
        <v>372</v>
      </c>
      <c r="B73" s="193" t="s">
        <v>107</v>
      </c>
      <c r="D73" s="164" t="s">
        <v>108</v>
      </c>
      <c r="E73" s="147" t="str">
        <f>Mov!L181</f>
        <v>V</v>
      </c>
      <c r="F73" s="203"/>
    </row>
    <row r="74" spans="1:12" x14ac:dyDescent="0.25">
      <c r="A74" s="207" t="s">
        <v>372</v>
      </c>
      <c r="B74" s="200" t="s">
        <v>116</v>
      </c>
      <c r="D74" s="192" t="s">
        <v>382</v>
      </c>
      <c r="E74" s="200" t="str">
        <f>Mov!G193</f>
        <v>X</v>
      </c>
      <c r="F74" s="203">
        <v>1</v>
      </c>
    </row>
    <row r="75" spans="1:12" x14ac:dyDescent="0.25">
      <c r="A75" s="207" t="s">
        <v>372</v>
      </c>
      <c r="B75" s="200" t="s">
        <v>116</v>
      </c>
      <c r="D75" s="192" t="s">
        <v>490</v>
      </c>
      <c r="E75" s="200">
        <f>Mov!G194</f>
        <v>0</v>
      </c>
      <c r="F75" s="203">
        <v>3</v>
      </c>
    </row>
    <row r="76" spans="1:12" x14ac:dyDescent="0.25">
      <c r="A76" s="207" t="s">
        <v>372</v>
      </c>
      <c r="B76" s="200" t="s">
        <v>116</v>
      </c>
      <c r="D76" s="192" t="s">
        <v>124</v>
      </c>
      <c r="E76" s="200">
        <f>Mov!G196</f>
        <v>0</v>
      </c>
      <c r="F76" s="203" t="s">
        <v>493</v>
      </c>
    </row>
    <row r="77" spans="1:12" x14ac:dyDescent="0.25">
      <c r="A77" s="207" t="s">
        <v>372</v>
      </c>
      <c r="B77" s="193" t="s">
        <v>116</v>
      </c>
      <c r="D77" s="164" t="s">
        <v>117</v>
      </c>
      <c r="E77" s="195" t="str">
        <f>Mov!L187</f>
        <v>V</v>
      </c>
      <c r="F77" s="203"/>
    </row>
    <row r="78" spans="1:12" x14ac:dyDescent="0.25">
      <c r="A78" s="207" t="s">
        <v>372</v>
      </c>
      <c r="B78" s="200" t="s">
        <v>125</v>
      </c>
      <c r="D78" t="s">
        <v>127</v>
      </c>
      <c r="E78" s="200">
        <f>Mov!C199</f>
        <v>2</v>
      </c>
      <c r="F78" s="203"/>
      <c r="L78"/>
    </row>
    <row r="79" spans="1:12" x14ac:dyDescent="0.25">
      <c r="A79" s="207" t="s">
        <v>372</v>
      </c>
      <c r="B79" s="200" t="s">
        <v>125</v>
      </c>
      <c r="D79" t="s">
        <v>126</v>
      </c>
      <c r="E79" s="200">
        <f>Mov!C200</f>
        <v>975</v>
      </c>
      <c r="F79" s="203" t="s">
        <v>494</v>
      </c>
      <c r="L79"/>
    </row>
    <row r="80" spans="1:12" x14ac:dyDescent="0.25">
      <c r="A80" s="207" t="s">
        <v>372</v>
      </c>
      <c r="B80" s="200" t="s">
        <v>125</v>
      </c>
      <c r="D80" t="s">
        <v>130</v>
      </c>
      <c r="E80" s="200">
        <f>Mov!C201</f>
        <v>86</v>
      </c>
      <c r="F80" s="203" t="s">
        <v>494</v>
      </c>
      <c r="L80"/>
    </row>
    <row r="81" spans="1:15" x14ac:dyDescent="0.25">
      <c r="A81" s="207" t="s">
        <v>372</v>
      </c>
      <c r="B81" s="193" t="s">
        <v>125</v>
      </c>
      <c r="D81" s="164" t="s">
        <v>126</v>
      </c>
      <c r="E81" s="195" t="str">
        <f>Mov!L197</f>
        <v>V</v>
      </c>
      <c r="F81" s="203"/>
      <c r="L81"/>
    </row>
    <row r="82" spans="1:15" x14ac:dyDescent="0.25">
      <c r="A82" s="207" t="s">
        <v>372</v>
      </c>
      <c r="B82" s="200" t="s">
        <v>95</v>
      </c>
      <c r="D82" s="192" t="s">
        <v>140</v>
      </c>
      <c r="E82" s="200" t="str">
        <f>IF($E$87=F82,"x","")</f>
        <v/>
      </c>
      <c r="F82" s="203">
        <v>1</v>
      </c>
      <c r="L82"/>
      <c r="O82"/>
    </row>
    <row r="83" spans="1:15" x14ac:dyDescent="0.25">
      <c r="A83" s="207" t="s">
        <v>372</v>
      </c>
      <c r="B83" s="200" t="s">
        <v>95</v>
      </c>
      <c r="D83" s="192" t="s">
        <v>141</v>
      </c>
      <c r="E83" s="200" t="str">
        <f t="shared" ref="E83:E86" si="0">IF($E$87=F83,"x","")</f>
        <v>x</v>
      </c>
      <c r="F83" s="203">
        <v>2</v>
      </c>
      <c r="L83"/>
    </row>
    <row r="84" spans="1:15" x14ac:dyDescent="0.25">
      <c r="A84" s="207" t="s">
        <v>372</v>
      </c>
      <c r="B84" s="200" t="s">
        <v>95</v>
      </c>
      <c r="D84" s="192" t="s">
        <v>142</v>
      </c>
      <c r="E84" s="200" t="str">
        <f t="shared" si="0"/>
        <v/>
      </c>
      <c r="F84" s="203">
        <v>3</v>
      </c>
      <c r="L84"/>
    </row>
    <row r="85" spans="1:15" x14ac:dyDescent="0.25">
      <c r="A85" s="207" t="s">
        <v>372</v>
      </c>
      <c r="B85" s="200" t="s">
        <v>95</v>
      </c>
      <c r="D85" s="192" t="s">
        <v>143</v>
      </c>
      <c r="E85" s="200" t="str">
        <f t="shared" si="0"/>
        <v/>
      </c>
      <c r="F85" s="203">
        <v>4</v>
      </c>
      <c r="L85"/>
    </row>
    <row r="86" spans="1:15" ht="30" x14ac:dyDescent="0.25">
      <c r="A86" s="207" t="s">
        <v>372</v>
      </c>
      <c r="B86" s="200" t="s">
        <v>95</v>
      </c>
      <c r="D86" s="192" t="s">
        <v>144</v>
      </c>
      <c r="E86" s="200" t="str">
        <f t="shared" si="0"/>
        <v/>
      </c>
      <c r="F86" s="203">
        <v>5</v>
      </c>
      <c r="L86"/>
    </row>
    <row r="87" spans="1:15" x14ac:dyDescent="0.25">
      <c r="A87" s="207" t="s">
        <v>372</v>
      </c>
      <c r="B87" s="193" t="s">
        <v>95</v>
      </c>
      <c r="D87" s="164" t="s">
        <v>138</v>
      </c>
      <c r="E87" s="195">
        <f>Mov!C208</f>
        <v>2</v>
      </c>
      <c r="F87" s="203"/>
    </row>
    <row r="89" spans="1:15" ht="30" x14ac:dyDescent="0.25">
      <c r="A89" s="208" t="s">
        <v>495</v>
      </c>
      <c r="B89" s="200" t="s">
        <v>20</v>
      </c>
      <c r="D89" s="203" t="s">
        <v>190</v>
      </c>
      <c r="E89" s="200">
        <f>'Levantamiento (1)'!F155</f>
        <v>0</v>
      </c>
    </row>
    <row r="90" spans="1:15" ht="30" x14ac:dyDescent="0.25">
      <c r="A90" s="208" t="s">
        <v>495</v>
      </c>
      <c r="B90" s="200" t="s">
        <v>39</v>
      </c>
      <c r="D90" s="203" t="s">
        <v>191</v>
      </c>
      <c r="E90" s="200">
        <f>'Levantamiento (1)'!F156</f>
        <v>0</v>
      </c>
    </row>
    <row r="91" spans="1:15" ht="30" x14ac:dyDescent="0.25">
      <c r="A91" s="208" t="s">
        <v>495</v>
      </c>
      <c r="B91" s="200" t="s">
        <v>80</v>
      </c>
      <c r="D91" s="203" t="s">
        <v>192</v>
      </c>
      <c r="E91" s="200">
        <f>'Levantamiento (1)'!F157</f>
        <v>0</v>
      </c>
    </row>
    <row r="92" spans="1:15" ht="30" x14ac:dyDescent="0.25">
      <c r="A92" s="208" t="s">
        <v>495</v>
      </c>
      <c r="B92" s="200" t="s">
        <v>83</v>
      </c>
      <c r="D92" s="203" t="s">
        <v>193</v>
      </c>
      <c r="E92" s="200">
        <f>'Levantamiento (1)'!F158</f>
        <v>0</v>
      </c>
    </row>
    <row r="93" spans="1:15" ht="30" x14ac:dyDescent="0.25">
      <c r="A93" s="208" t="s">
        <v>495</v>
      </c>
      <c r="B93" s="200" t="s">
        <v>107</v>
      </c>
      <c r="D93" s="203" t="s">
        <v>194</v>
      </c>
      <c r="E93" s="200">
        <f>'Levantamiento (1)'!F159</f>
        <v>0</v>
      </c>
    </row>
    <row r="94" spans="1:15" ht="30" x14ac:dyDescent="0.25">
      <c r="A94" s="208" t="s">
        <v>495</v>
      </c>
      <c r="B94" s="200" t="s">
        <v>116</v>
      </c>
      <c r="D94" s="203" t="s">
        <v>175</v>
      </c>
      <c r="E94" s="200">
        <f>'Levantamiento (1)'!F160</f>
        <v>0</v>
      </c>
    </row>
    <row r="95" spans="1:15" ht="30" x14ac:dyDescent="0.25">
      <c r="A95" s="208" t="s">
        <v>495</v>
      </c>
      <c r="B95" s="200" t="s">
        <v>125</v>
      </c>
      <c r="D95" s="203" t="s">
        <v>195</v>
      </c>
      <c r="E95" s="200">
        <f>'Levantamiento (1)'!F161</f>
        <v>0</v>
      </c>
    </row>
    <row r="96" spans="1:15" ht="30" x14ac:dyDescent="0.25">
      <c r="A96" s="208" t="s">
        <v>495</v>
      </c>
      <c r="B96" s="200" t="s">
        <v>95</v>
      </c>
      <c r="D96" s="203" t="s">
        <v>196</v>
      </c>
      <c r="E96" s="200">
        <f>'Levantamiento (1)'!F162</f>
        <v>0</v>
      </c>
    </row>
    <row r="97" spans="1:5" x14ac:dyDescent="0.25">
      <c r="A97" s="208"/>
      <c r="B97" s="193"/>
      <c r="D97" s="164" t="s">
        <v>495</v>
      </c>
      <c r="E97" s="200">
        <f>SUM(E89:E96)</f>
        <v>0</v>
      </c>
    </row>
    <row r="98" spans="1:5" x14ac:dyDescent="0.25">
      <c r="A98" s="207" t="s">
        <v>201</v>
      </c>
      <c r="B98" s="200" t="s">
        <v>20</v>
      </c>
      <c r="D98" s="203" t="s">
        <v>190</v>
      </c>
      <c r="E98" s="200" t="str">
        <f>'Transporte (2)'!F144</f>
        <v/>
      </c>
    </row>
    <row r="99" spans="1:5" ht="30" x14ac:dyDescent="0.25">
      <c r="A99" s="207" t="s">
        <v>201</v>
      </c>
      <c r="B99" s="200" t="s">
        <v>39</v>
      </c>
      <c r="D99" s="203" t="s">
        <v>191</v>
      </c>
      <c r="E99" s="200" t="str">
        <f>'Transporte (2)'!F145</f>
        <v/>
      </c>
    </row>
    <row r="100" spans="1:5" ht="30" x14ac:dyDescent="0.25">
      <c r="A100" s="207" t="s">
        <v>201</v>
      </c>
      <c r="B100" s="200" t="s">
        <v>80</v>
      </c>
      <c r="D100" s="203" t="s">
        <v>193</v>
      </c>
      <c r="E100" s="200" t="str">
        <f>'Transporte (2)'!F146</f>
        <v/>
      </c>
    </row>
    <row r="101" spans="1:5" ht="30" x14ac:dyDescent="0.25">
      <c r="A101" s="207" t="s">
        <v>201</v>
      </c>
      <c r="B101" s="200" t="s">
        <v>83</v>
      </c>
      <c r="D101" s="203" t="s">
        <v>194</v>
      </c>
      <c r="E101" s="200" t="str">
        <f>'Transporte (2)'!F147</f>
        <v/>
      </c>
    </row>
    <row r="102" spans="1:5" x14ac:dyDescent="0.25">
      <c r="A102" s="207" t="s">
        <v>201</v>
      </c>
      <c r="B102" s="200" t="s">
        <v>107</v>
      </c>
      <c r="D102" s="203" t="s">
        <v>175</v>
      </c>
      <c r="E102" s="200" t="str">
        <f>'Transporte (2)'!F148</f>
        <v/>
      </c>
    </row>
    <row r="103" spans="1:5" x14ac:dyDescent="0.25">
      <c r="A103" s="207" t="s">
        <v>201</v>
      </c>
      <c r="B103" s="200" t="s">
        <v>116</v>
      </c>
      <c r="D103" s="203" t="s">
        <v>195</v>
      </c>
      <c r="E103" s="200" t="str">
        <f>'Transporte (2)'!F149</f>
        <v/>
      </c>
    </row>
    <row r="104" spans="1:5" x14ac:dyDescent="0.25">
      <c r="A104" s="207" t="s">
        <v>201</v>
      </c>
      <c r="B104" s="200" t="s">
        <v>125</v>
      </c>
      <c r="D104" s="203" t="s">
        <v>196</v>
      </c>
      <c r="E104" s="200" t="str">
        <f>'Transporte (2)'!F150</f>
        <v/>
      </c>
    </row>
    <row r="105" spans="1:5" x14ac:dyDescent="0.25">
      <c r="A105" s="207" t="s">
        <v>201</v>
      </c>
      <c r="B105" s="200" t="s">
        <v>95</v>
      </c>
      <c r="D105" s="203" t="s">
        <v>224</v>
      </c>
      <c r="E105" s="200" t="str">
        <f>'Transporte (2)'!F151</f>
        <v/>
      </c>
    </row>
    <row r="106" spans="1:5" x14ac:dyDescent="0.25">
      <c r="A106" s="207" t="s">
        <v>201</v>
      </c>
      <c r="B106" s="200" t="s">
        <v>134</v>
      </c>
      <c r="D106" s="203" t="s">
        <v>498</v>
      </c>
      <c r="E106" s="200" t="str">
        <f>'Transporte (2)'!F152</f>
        <v/>
      </c>
    </row>
    <row r="107" spans="1:5" x14ac:dyDescent="0.25">
      <c r="A107" s="207"/>
      <c r="B107" s="193"/>
      <c r="D107" s="164" t="s">
        <v>201</v>
      </c>
      <c r="E107" s="200">
        <f>SUM(E98:E106)</f>
        <v>0</v>
      </c>
    </row>
    <row r="108" spans="1:5" x14ac:dyDescent="0.25">
      <c r="A108" s="208" t="s">
        <v>246</v>
      </c>
      <c r="B108" s="200" t="s">
        <v>20</v>
      </c>
      <c r="D108" s="203" t="s">
        <v>190</v>
      </c>
      <c r="E108" s="200" t="str">
        <f>'Equipo (3)'!F134</f>
        <v/>
      </c>
    </row>
    <row r="109" spans="1:5" ht="30" x14ac:dyDescent="0.25">
      <c r="A109" s="208" t="s">
        <v>246</v>
      </c>
      <c r="B109" s="200" t="s">
        <v>39</v>
      </c>
      <c r="D109" s="203" t="s">
        <v>191</v>
      </c>
      <c r="E109" s="200" t="str">
        <f>'Equipo (3)'!F135</f>
        <v/>
      </c>
    </row>
    <row r="110" spans="1:5" x14ac:dyDescent="0.25">
      <c r="A110" s="208" t="s">
        <v>246</v>
      </c>
      <c r="B110" s="200" t="s">
        <v>80</v>
      </c>
      <c r="D110" s="203" t="s">
        <v>192</v>
      </c>
      <c r="E110" s="200" t="str">
        <f>'Equipo (3)'!F136</f>
        <v/>
      </c>
    </row>
    <row r="111" spans="1:5" ht="30" x14ac:dyDescent="0.25">
      <c r="A111" s="208" t="s">
        <v>246</v>
      </c>
      <c r="B111" s="200" t="s">
        <v>83</v>
      </c>
      <c r="D111" s="203" t="s">
        <v>193</v>
      </c>
      <c r="E111" s="200" t="str">
        <f>'Equipo (3)'!F137</f>
        <v/>
      </c>
    </row>
    <row r="112" spans="1:5" ht="30" x14ac:dyDescent="0.25">
      <c r="A112" s="208" t="s">
        <v>246</v>
      </c>
      <c r="B112" s="200" t="s">
        <v>107</v>
      </c>
      <c r="D112" s="203" t="s">
        <v>194</v>
      </c>
      <c r="E112" s="200" t="str">
        <f>'Equipo (3)'!F138</f>
        <v/>
      </c>
    </row>
    <row r="113" spans="1:5" x14ac:dyDescent="0.25">
      <c r="A113" s="208" t="s">
        <v>246</v>
      </c>
      <c r="B113" s="200" t="s">
        <v>116</v>
      </c>
      <c r="D113" s="203" t="s">
        <v>175</v>
      </c>
      <c r="E113" s="200" t="str">
        <f>'Equipo (3)'!F139</f>
        <v/>
      </c>
    </row>
    <row r="114" spans="1:5" x14ac:dyDescent="0.25">
      <c r="A114" s="208" t="s">
        <v>246</v>
      </c>
      <c r="B114" s="200" t="s">
        <v>125</v>
      </c>
      <c r="D114" s="203" t="s">
        <v>195</v>
      </c>
      <c r="E114" s="200" t="str">
        <f>'Equipo (3)'!F140</f>
        <v/>
      </c>
    </row>
    <row r="115" spans="1:5" x14ac:dyDescent="0.25">
      <c r="A115" s="208" t="s">
        <v>246</v>
      </c>
      <c r="B115" s="200" t="s">
        <v>95</v>
      </c>
      <c r="D115" s="203" t="s">
        <v>196</v>
      </c>
      <c r="E115" s="200" t="str">
        <f>'Equipo (3)'!F141</f>
        <v/>
      </c>
    </row>
    <row r="116" spans="1:5" ht="30" x14ac:dyDescent="0.25">
      <c r="A116" s="208" t="s">
        <v>246</v>
      </c>
      <c r="B116" s="200" t="s">
        <v>134</v>
      </c>
      <c r="D116" s="203" t="s">
        <v>499</v>
      </c>
      <c r="E116" s="200" t="str">
        <f>'Equipo (3)'!F142</f>
        <v/>
      </c>
    </row>
    <row r="117" spans="1:5" x14ac:dyDescent="0.25">
      <c r="B117" s="193"/>
      <c r="D117" s="164" t="s">
        <v>246</v>
      </c>
      <c r="E117" s="200">
        <f>SUM(E108:E116)</f>
        <v>0</v>
      </c>
    </row>
    <row r="118" spans="1:5" x14ac:dyDescent="0.25">
      <c r="A118" s="207" t="s">
        <v>496</v>
      </c>
      <c r="B118" s="200" t="s">
        <v>20</v>
      </c>
      <c r="D118" s="203" t="s">
        <v>229</v>
      </c>
      <c r="E118" s="200" t="str">
        <f>'sin auxiliar (4)'!E122</f>
        <v/>
      </c>
    </row>
    <row r="119" spans="1:5" x14ac:dyDescent="0.25">
      <c r="A119" s="207" t="s">
        <v>496</v>
      </c>
      <c r="B119" s="200" t="s">
        <v>39</v>
      </c>
      <c r="D119" s="203" t="s">
        <v>260</v>
      </c>
      <c r="E119" s="200" t="str">
        <f>'sin auxiliar (4)'!E123</f>
        <v/>
      </c>
    </row>
    <row r="120" spans="1:5" x14ac:dyDescent="0.25">
      <c r="A120" s="207" t="s">
        <v>496</v>
      </c>
      <c r="B120" s="200" t="s">
        <v>80</v>
      </c>
      <c r="D120" s="203" t="s">
        <v>285</v>
      </c>
      <c r="E120" s="200" t="str">
        <f>'sin auxiliar (4)'!E124</f>
        <v/>
      </c>
    </row>
    <row r="121" spans="1:5" x14ac:dyDescent="0.25">
      <c r="A121" s="207" t="s">
        <v>496</v>
      </c>
      <c r="B121" s="200" t="s">
        <v>83</v>
      </c>
      <c r="D121" s="203" t="s">
        <v>286</v>
      </c>
      <c r="E121" s="200" t="str">
        <f>'sin auxiliar (4)'!E125</f>
        <v/>
      </c>
    </row>
    <row r="122" spans="1:5" x14ac:dyDescent="0.25">
      <c r="A122" s="207" t="s">
        <v>496</v>
      </c>
      <c r="B122" s="200" t="s">
        <v>107</v>
      </c>
      <c r="D122" s="203" t="s">
        <v>268</v>
      </c>
      <c r="E122" s="200" t="str">
        <f>'sin auxiliar (4)'!E126</f>
        <v/>
      </c>
    </row>
    <row r="123" spans="1:5" x14ac:dyDescent="0.25">
      <c r="A123" s="207" t="s">
        <v>496</v>
      </c>
      <c r="B123" s="200" t="s">
        <v>116</v>
      </c>
      <c r="D123" s="203" t="s">
        <v>177</v>
      </c>
      <c r="E123" s="200" t="str">
        <f>'sin auxiliar (4)'!E127</f>
        <v/>
      </c>
    </row>
    <row r="124" spans="1:5" x14ac:dyDescent="0.25">
      <c r="A124" s="207" t="s">
        <v>496</v>
      </c>
      <c r="B124" s="200" t="s">
        <v>125</v>
      </c>
      <c r="D124" s="203" t="s">
        <v>273</v>
      </c>
      <c r="E124" s="200" t="str">
        <f>'sin auxiliar (4)'!E128</f>
        <v/>
      </c>
    </row>
    <row r="125" spans="1:5" x14ac:dyDescent="0.25">
      <c r="A125" s="207" t="s">
        <v>496</v>
      </c>
      <c r="B125" s="200" t="s">
        <v>95</v>
      </c>
      <c r="D125" s="203" t="s">
        <v>276</v>
      </c>
      <c r="E125" s="200" t="str">
        <f>'sin auxiliar (4)'!E129</f>
        <v/>
      </c>
    </row>
    <row r="126" spans="1:5" x14ac:dyDescent="0.25">
      <c r="B126" s="193"/>
      <c r="D126" s="164" t="s">
        <v>496</v>
      </c>
      <c r="E126" s="200">
        <f>SUM(E118:E125)</f>
        <v>0</v>
      </c>
    </row>
    <row r="127" spans="1:5" x14ac:dyDescent="0.25">
      <c r="A127" s="208" t="s">
        <v>497</v>
      </c>
      <c r="B127" s="200" t="s">
        <v>20</v>
      </c>
      <c r="D127" s="203" t="s">
        <v>229</v>
      </c>
      <c r="E127" s="200" t="str">
        <f>'con auxiliar (5)'!F174</f>
        <v/>
      </c>
    </row>
    <row r="128" spans="1:5" x14ac:dyDescent="0.25">
      <c r="A128" s="208" t="s">
        <v>497</v>
      </c>
      <c r="B128" s="200" t="s">
        <v>39</v>
      </c>
      <c r="D128" s="203" t="s">
        <v>260</v>
      </c>
      <c r="E128" s="200" t="str">
        <f>'con auxiliar (5)'!F175</f>
        <v/>
      </c>
    </row>
    <row r="129" spans="1:5" x14ac:dyDescent="0.25">
      <c r="A129" s="208" t="s">
        <v>497</v>
      </c>
      <c r="B129" s="200" t="s">
        <v>80</v>
      </c>
      <c r="D129" s="203" t="s">
        <v>316</v>
      </c>
      <c r="E129" s="200" t="str">
        <f>'con auxiliar (5)'!F176</f>
        <v/>
      </c>
    </row>
    <row r="130" spans="1:5" x14ac:dyDescent="0.25">
      <c r="A130" s="208" t="s">
        <v>497</v>
      </c>
      <c r="B130" s="200" t="s">
        <v>83</v>
      </c>
      <c r="D130" s="203" t="s">
        <v>286</v>
      </c>
      <c r="E130" s="200" t="str">
        <f>'con auxiliar (5)'!F177</f>
        <v/>
      </c>
    </row>
    <row r="131" spans="1:5" x14ac:dyDescent="0.25">
      <c r="A131" s="208" t="s">
        <v>497</v>
      </c>
      <c r="B131" s="200" t="s">
        <v>107</v>
      </c>
      <c r="D131" s="203" t="s">
        <v>268</v>
      </c>
      <c r="E131" s="200" t="str">
        <f>'con auxiliar (5)'!F178</f>
        <v/>
      </c>
    </row>
    <row r="132" spans="1:5" x14ac:dyDescent="0.25">
      <c r="A132" s="208" t="s">
        <v>497</v>
      </c>
      <c r="B132" s="200" t="s">
        <v>116</v>
      </c>
      <c r="D132" s="203" t="s">
        <v>317</v>
      </c>
      <c r="E132" s="200" t="str">
        <f>'con auxiliar (5)'!F179</f>
        <v/>
      </c>
    </row>
    <row r="133" spans="1:5" x14ac:dyDescent="0.25">
      <c r="A133" s="208" t="s">
        <v>497</v>
      </c>
      <c r="B133" s="200" t="s">
        <v>134</v>
      </c>
      <c r="D133" s="203" t="s">
        <v>177</v>
      </c>
      <c r="E133" s="200" t="str">
        <f>'con auxiliar (5)'!F180</f>
        <v/>
      </c>
    </row>
    <row r="134" spans="1:5" x14ac:dyDescent="0.25">
      <c r="A134" s="208" t="s">
        <v>497</v>
      </c>
      <c r="B134" s="200" t="s">
        <v>135</v>
      </c>
      <c r="D134" s="203" t="s">
        <v>273</v>
      </c>
      <c r="E134" s="200" t="str">
        <f>'con auxiliar (5)'!F181</f>
        <v/>
      </c>
    </row>
    <row r="135" spans="1:5" x14ac:dyDescent="0.25">
      <c r="A135" s="208" t="s">
        <v>497</v>
      </c>
      <c r="B135" s="200" t="s">
        <v>137</v>
      </c>
      <c r="D135" s="203" t="s">
        <v>276</v>
      </c>
      <c r="E135" s="200" t="str">
        <f>'con auxiliar (5)'!F182</f>
        <v/>
      </c>
    </row>
    <row r="136" spans="1:5" x14ac:dyDescent="0.25">
      <c r="B136" s="193"/>
      <c r="D136" s="164" t="s">
        <v>497</v>
      </c>
      <c r="E136" s="200">
        <f>SUM(E127:E135)</f>
        <v>0</v>
      </c>
    </row>
  </sheetData>
  <sheetProtection algorithmName="SHA-512" hashValue="5InP/G+Rrth0uVqMaw19AYeg/ViheqOVvjM4uw7Pc+F+GqDlBDnzrB22wHdcwG4ctoMxyzU7bFf1IOkRlHyrjA==" saltValue="Brll5Y+pCohGV7h9bb8Dlg==" spinCount="100000" sheet="1" insertColumns="0" insertRows="0" deleteColumns="0" deleteRows="0" sort="0"/>
  <conditionalFormatting sqref="E53">
    <cfRule type="cellIs" dxfId="72" priority="97" operator="equal">
      <formula>"R"</formula>
    </cfRule>
    <cfRule type="cellIs" dxfId="71" priority="98" operator="equal">
      <formula>"A"</formula>
    </cfRule>
    <cfRule type="cellIs" dxfId="70" priority="99" operator="equal">
      <formula>"V"</formula>
    </cfRule>
  </conditionalFormatting>
  <conditionalFormatting sqref="E16">
    <cfRule type="cellIs" dxfId="69" priority="94" operator="equal">
      <formula>"R"</formula>
    </cfRule>
    <cfRule type="cellIs" dxfId="68" priority="95" operator="equal">
      <formula>"A"</formula>
    </cfRule>
    <cfRule type="cellIs" dxfId="67" priority="96" operator="equal">
      <formula>"V"</formula>
    </cfRule>
  </conditionalFormatting>
  <conditionalFormatting sqref="E1">
    <cfRule type="cellIs" dxfId="66" priority="86" operator="equal">
      <formula>0</formula>
    </cfRule>
    <cfRule type="cellIs" dxfId="65" priority="87" operator="between">
      <formula>1</formula>
      <formula>2</formula>
    </cfRule>
    <cfRule type="cellIs" dxfId="64" priority="88" operator="equal">
      <formula>3</formula>
    </cfRule>
    <cfRule type="cellIs" dxfId="63" priority="89" stopIfTrue="1" operator="equal">
      <formula>4</formula>
    </cfRule>
    <cfRule type="cellIs" dxfId="62" priority="90" operator="equal">
      <formula>5</formula>
    </cfRule>
  </conditionalFormatting>
  <conditionalFormatting sqref="E68">
    <cfRule type="cellIs" dxfId="61" priority="83" operator="equal">
      <formula>"R"</formula>
    </cfRule>
    <cfRule type="cellIs" dxfId="60" priority="84" operator="equal">
      <formula>"A"</formula>
    </cfRule>
    <cfRule type="cellIs" dxfId="59" priority="85" operator="equal">
      <formula>"V"</formula>
    </cfRule>
  </conditionalFormatting>
  <conditionalFormatting sqref="E77">
    <cfRule type="cellIs" dxfId="58" priority="73" operator="equal">
      <formula>0</formula>
    </cfRule>
    <cfRule type="cellIs" dxfId="57" priority="74" operator="between">
      <formula>1</formula>
      <formula>2</formula>
    </cfRule>
    <cfRule type="cellIs" dxfId="56" priority="75" operator="equal">
      <formula>3</formula>
    </cfRule>
    <cfRule type="cellIs" dxfId="55" priority="76" stopIfTrue="1" operator="equal">
      <formula>4</formula>
    </cfRule>
    <cfRule type="cellIs" dxfId="54" priority="77" operator="equal">
      <formula>5</formula>
    </cfRule>
  </conditionalFormatting>
  <conditionalFormatting sqref="E81">
    <cfRule type="cellIs" dxfId="53" priority="68" operator="equal">
      <formula>0</formula>
    </cfRule>
    <cfRule type="cellIs" dxfId="52" priority="69" operator="between">
      <formula>1</formula>
      <formula>2</formula>
    </cfRule>
    <cfRule type="cellIs" dxfId="51" priority="70" operator="equal">
      <formula>3</formula>
    </cfRule>
    <cfRule type="cellIs" dxfId="50" priority="71" stopIfTrue="1" operator="equal">
      <formula>4</formula>
    </cfRule>
    <cfRule type="cellIs" dxfId="49" priority="72" operator="equal">
      <formula>5</formula>
    </cfRule>
  </conditionalFormatting>
  <conditionalFormatting sqref="E87">
    <cfRule type="cellIs" dxfId="48" priority="63" operator="equal">
      <formula>0</formula>
    </cfRule>
    <cfRule type="cellIs" dxfId="47" priority="64" operator="between">
      <formula>1</formula>
      <formula>2</formula>
    </cfRule>
    <cfRule type="cellIs" dxfId="46" priority="65" operator="equal">
      <formula>3</formula>
    </cfRule>
    <cfRule type="cellIs" dxfId="45" priority="66" stopIfTrue="1" operator="equal">
      <formula>4</formula>
    </cfRule>
    <cfRule type="cellIs" dxfId="44" priority="67" operator="equal">
      <formula>5</formula>
    </cfRule>
  </conditionalFormatting>
  <conditionalFormatting sqref="E97">
    <cfRule type="cellIs" dxfId="43" priority="57" operator="between">
      <formula>21</formula>
      <formula>32</formula>
    </cfRule>
    <cfRule type="cellIs" dxfId="42" priority="58" operator="between">
      <formula>13</formula>
      <formula>20</formula>
    </cfRule>
    <cfRule type="cellIs" dxfId="41" priority="59" operator="lessThan">
      <formula>5</formula>
    </cfRule>
    <cfRule type="cellIs" dxfId="40" priority="60" operator="between">
      <formula>5</formula>
      <formula>12</formula>
    </cfRule>
  </conditionalFormatting>
  <conditionalFormatting sqref="E107">
    <cfRule type="cellIs" dxfId="39" priority="49" operator="between">
      <formula>21</formula>
      <formula>32</formula>
    </cfRule>
    <cfRule type="cellIs" dxfId="38" priority="50" operator="between">
      <formula>13</formula>
      <formula>20</formula>
    </cfRule>
    <cfRule type="cellIs" dxfId="37" priority="51" operator="lessThan">
      <formula>5</formula>
    </cfRule>
    <cfRule type="cellIs" dxfId="36" priority="52" operator="between">
      <formula>5</formula>
      <formula>12</formula>
    </cfRule>
  </conditionalFormatting>
  <conditionalFormatting sqref="E117">
    <cfRule type="cellIs" dxfId="35" priority="33" operator="between">
      <formula>21</formula>
      <formula>32</formula>
    </cfRule>
    <cfRule type="cellIs" dxfId="34" priority="34" operator="between">
      <formula>13</formula>
      <formula>20</formula>
    </cfRule>
    <cfRule type="cellIs" dxfId="33" priority="35" operator="lessThan">
      <formula>5</formula>
    </cfRule>
    <cfRule type="cellIs" dxfId="32" priority="36" operator="between">
      <formula>5</formula>
      <formula>12</formula>
    </cfRule>
  </conditionalFormatting>
  <conditionalFormatting sqref="E126">
    <cfRule type="cellIs" dxfId="31" priority="29" operator="between">
      <formula>21</formula>
      <formula>32</formula>
    </cfRule>
    <cfRule type="cellIs" dxfId="30" priority="30" operator="between">
      <formula>13</formula>
      <formula>20</formula>
    </cfRule>
    <cfRule type="cellIs" dxfId="29" priority="31" operator="lessThan">
      <formula>5</formula>
    </cfRule>
    <cfRule type="cellIs" dxfId="28" priority="32" operator="between">
      <formula>5</formula>
      <formula>12</formula>
    </cfRule>
  </conditionalFormatting>
  <conditionalFormatting sqref="E136">
    <cfRule type="cellIs" dxfId="27" priority="25" operator="between">
      <formula>21</formula>
      <formula>32</formula>
    </cfRule>
    <cfRule type="cellIs" dxfId="26" priority="26" operator="between">
      <formula>13</formula>
      <formula>20</formula>
    </cfRule>
    <cfRule type="cellIs" dxfId="25" priority="27" operator="lessThan">
      <formula>5</formula>
    </cfRule>
    <cfRule type="cellIs" dxfId="24" priority="28" operator="between">
      <formula>5</formula>
      <formula>12</formula>
    </cfRule>
  </conditionalFormatting>
  <conditionalFormatting sqref="J1">
    <cfRule type="cellIs" dxfId="23" priority="20" operator="equal">
      <formula>0</formula>
    </cfRule>
    <cfRule type="cellIs" dxfId="22" priority="21" operator="between">
      <formula>1</formula>
      <formula>2</formula>
    </cfRule>
    <cfRule type="cellIs" dxfId="21" priority="22" operator="equal">
      <formula>3</formula>
    </cfRule>
    <cfRule type="cellIs" dxfId="20" priority="23" stopIfTrue="1" operator="equal">
      <formula>4</formula>
    </cfRule>
    <cfRule type="cellIs" dxfId="19" priority="24" operator="equal">
      <formula>5</formula>
    </cfRule>
  </conditionalFormatting>
  <conditionalFormatting sqref="J2">
    <cfRule type="cellIs" dxfId="18" priority="17" operator="equal">
      <formula>"R"</formula>
    </cfRule>
    <cfRule type="cellIs" dxfId="17" priority="18" operator="equal">
      <formula>"A"</formula>
    </cfRule>
    <cfRule type="cellIs" dxfId="16" priority="19" operator="equal">
      <formula>"V"</formula>
    </cfRule>
  </conditionalFormatting>
  <conditionalFormatting sqref="J3">
    <cfRule type="cellIs" dxfId="15" priority="14" operator="equal">
      <formula>"R"</formula>
    </cfRule>
    <cfRule type="cellIs" dxfId="14" priority="15" operator="equal">
      <formula>"A"</formula>
    </cfRule>
    <cfRule type="cellIs" dxfId="13" priority="16" operator="equal">
      <formula>"V"</formula>
    </cfRule>
  </conditionalFormatting>
  <conditionalFormatting sqref="J4">
    <cfRule type="cellIs" dxfId="12" priority="11" operator="equal">
      <formula>"R"</formula>
    </cfRule>
    <cfRule type="cellIs" dxfId="11" priority="12" operator="equal">
      <formula>"A"</formula>
    </cfRule>
    <cfRule type="cellIs" dxfId="10" priority="13" operator="equal">
      <formula>"V"</formula>
    </cfRule>
  </conditionalFormatting>
  <conditionalFormatting sqref="J5">
    <cfRule type="cellIs" dxfId="9" priority="6" operator="equal">
      <formula>0</formula>
    </cfRule>
    <cfRule type="cellIs" dxfId="8" priority="7" operator="between">
      <formula>1</formula>
      <formula>2</formula>
    </cfRule>
    <cfRule type="cellIs" dxfId="7" priority="8" operator="equal">
      <formula>3</formula>
    </cfRule>
    <cfRule type="cellIs" dxfId="6" priority="9" stopIfTrue="1" operator="equal">
      <formula>4</formula>
    </cfRule>
    <cfRule type="cellIs" dxfId="5" priority="10" operator="equal">
      <formula>5</formula>
    </cfRule>
  </conditionalFormatting>
  <conditionalFormatting sqref="E73">
    <cfRule type="cellIs" dxfId="4" priority="1" operator="equal">
      <formula>0</formula>
    </cfRule>
    <cfRule type="cellIs" dxfId="3" priority="2" operator="equal">
      <formula>"V"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"R"</formula>
    </cfRule>
  </conditionalFormatting>
  <dataValidations count="1">
    <dataValidation allowBlank="1" showInputMessage="1" showErrorMessage="1" sqref="D4:D11 D14" xr:uid="{FD16ABD3-D59B-4562-89D2-3DAAF89E72FE}"/>
  </dataValidations>
  <pageMargins left="0.7" right="0.7" top="0.75" bottom="0.75" header="0.3" footer="0.3"/>
  <pageSetup orientation="portrait" horizontalDpi="360" verticalDpi="360" r:id="rId1"/>
  <headerFooter>
    <oddFooter>&amp;L16-PE80-6500-00014 G / 16-PE30-6500-00002&amp;RTiempo de retencion en punto de origen: permanente; 
NA en archivo muerto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I51"/>
  <sheetViews>
    <sheetView zoomScale="85" zoomScaleNormal="85" workbookViewId="0">
      <selection activeCell="D21" sqref="D21"/>
    </sheetView>
  </sheetViews>
  <sheetFormatPr defaultRowHeight="15" x14ac:dyDescent="0.25"/>
  <cols>
    <col min="1" max="1" width="1.7109375" customWidth="1"/>
    <col min="2" max="2" width="18.5703125" style="130" bestFit="1" customWidth="1"/>
    <col min="3" max="3" width="18.28515625" style="28" bestFit="1" customWidth="1"/>
    <col min="4" max="5" width="61.28515625" customWidth="1"/>
    <col min="6" max="6" width="45.7109375" style="28" customWidth="1"/>
    <col min="7" max="8" width="5.42578125" style="28" customWidth="1"/>
    <col min="9" max="9" width="6.5703125" style="28" customWidth="1"/>
    <col min="10" max="10" width="16.42578125" style="28" customWidth="1"/>
    <col min="11" max="11" width="9.28515625" style="28"/>
    <col min="12" max="12" width="9.28515625" style="130"/>
    <col min="13" max="13" width="9.28515625" style="34"/>
    <col min="14" max="16" width="0" style="34" hidden="1" customWidth="1"/>
    <col min="17" max="35" width="0" hidden="1" customWidth="1"/>
  </cols>
  <sheetData>
    <row r="1" spans="1:35" ht="18.75" thickBot="1" x14ac:dyDescent="0.3">
      <c r="A1" s="32"/>
      <c r="B1" s="131" t="s">
        <v>365</v>
      </c>
      <c r="C1" s="131" t="s">
        <v>366</v>
      </c>
      <c r="D1" s="33" t="s">
        <v>367</v>
      </c>
      <c r="E1" s="133" t="s">
        <v>368</v>
      </c>
      <c r="F1" s="143" t="s">
        <v>369</v>
      </c>
      <c r="G1" s="283" t="s">
        <v>370</v>
      </c>
      <c r="H1" s="284"/>
      <c r="I1" s="284"/>
      <c r="J1" s="285"/>
      <c r="K1" s="136" t="s">
        <v>371</v>
      </c>
      <c r="N1" s="34">
        <v>1</v>
      </c>
      <c r="O1" s="34">
        <v>2</v>
      </c>
      <c r="P1" s="34">
        <v>3</v>
      </c>
      <c r="Q1" s="34">
        <v>4</v>
      </c>
      <c r="R1" s="34">
        <v>5</v>
      </c>
      <c r="S1" t="s">
        <v>372</v>
      </c>
      <c r="U1">
        <v>1</v>
      </c>
      <c r="V1">
        <v>1</v>
      </c>
      <c r="W1">
        <v>2020</v>
      </c>
      <c r="Y1" t="s">
        <v>20</v>
      </c>
      <c r="Z1" t="s">
        <v>39</v>
      </c>
      <c r="AA1" t="s">
        <v>80</v>
      </c>
      <c r="AB1" t="s">
        <v>83</v>
      </c>
      <c r="AC1" t="s">
        <v>107</v>
      </c>
      <c r="AD1" t="s">
        <v>116</v>
      </c>
      <c r="AE1" t="s">
        <v>125</v>
      </c>
      <c r="AF1" t="s">
        <v>95</v>
      </c>
      <c r="AG1" t="s">
        <v>134</v>
      </c>
      <c r="AH1" t="s">
        <v>135</v>
      </c>
      <c r="AI1" t="s">
        <v>137</v>
      </c>
    </row>
    <row r="2" spans="1:35" x14ac:dyDescent="0.25">
      <c r="A2" s="32" t="s">
        <v>20</v>
      </c>
      <c r="B2" s="129" t="s">
        <v>373</v>
      </c>
      <c r="C2" s="129" t="s">
        <v>374</v>
      </c>
      <c r="D2" s="129" t="s">
        <v>375</v>
      </c>
      <c r="E2" s="134" t="s">
        <v>376</v>
      </c>
      <c r="F2" s="135" t="s">
        <v>377</v>
      </c>
      <c r="G2" s="129" t="s">
        <v>378</v>
      </c>
      <c r="H2" s="129" t="s">
        <v>379</v>
      </c>
      <c r="I2" s="129" t="s">
        <v>380</v>
      </c>
      <c r="J2" s="129" t="s">
        <v>146</v>
      </c>
      <c r="K2" s="129" t="s">
        <v>381</v>
      </c>
      <c r="U2">
        <v>2</v>
      </c>
      <c r="V2">
        <v>2</v>
      </c>
      <c r="W2">
        <v>2021</v>
      </c>
    </row>
    <row r="3" spans="1:35" x14ac:dyDescent="0.25">
      <c r="A3" s="32" t="s">
        <v>39</v>
      </c>
      <c r="C3" s="30"/>
      <c r="D3" s="29"/>
      <c r="E3" s="29"/>
      <c r="F3" s="30"/>
      <c r="G3" s="30"/>
      <c r="H3" s="30"/>
      <c r="J3" s="132"/>
      <c r="K3" s="130"/>
      <c r="U3">
        <v>3</v>
      </c>
      <c r="V3">
        <v>3</v>
      </c>
      <c r="W3">
        <v>2022</v>
      </c>
    </row>
    <row r="4" spans="1:35" x14ac:dyDescent="0.25">
      <c r="A4" s="32" t="s">
        <v>80</v>
      </c>
      <c r="C4" s="30"/>
      <c r="D4" s="29"/>
      <c r="E4" s="29"/>
      <c r="F4" s="30"/>
      <c r="G4" s="30"/>
      <c r="H4" s="30"/>
      <c r="J4" s="132"/>
      <c r="K4" s="130"/>
      <c r="U4">
        <v>4</v>
      </c>
      <c r="V4">
        <v>4</v>
      </c>
      <c r="W4">
        <v>2023</v>
      </c>
    </row>
    <row r="5" spans="1:35" x14ac:dyDescent="0.25">
      <c r="A5" s="32" t="s">
        <v>83</v>
      </c>
      <c r="C5" s="30"/>
      <c r="D5" s="29"/>
      <c r="E5" s="29"/>
      <c r="F5" s="30"/>
      <c r="G5" s="30"/>
      <c r="H5" s="30"/>
      <c r="J5" s="132"/>
      <c r="K5" s="130"/>
      <c r="U5">
        <v>5</v>
      </c>
      <c r="V5">
        <v>5</v>
      </c>
    </row>
    <row r="6" spans="1:35" x14ac:dyDescent="0.25">
      <c r="A6" s="32" t="s">
        <v>107</v>
      </c>
      <c r="C6" s="30"/>
      <c r="D6" s="29"/>
      <c r="E6" s="29"/>
      <c r="F6" s="30"/>
      <c r="G6" s="30"/>
      <c r="H6" s="30"/>
      <c r="J6" s="132"/>
      <c r="K6" s="130"/>
      <c r="U6">
        <v>6</v>
      </c>
      <c r="V6">
        <v>6</v>
      </c>
    </row>
    <row r="7" spans="1:35" x14ac:dyDescent="0.25">
      <c r="A7" s="32" t="s">
        <v>116</v>
      </c>
      <c r="C7" s="30"/>
      <c r="D7" s="29"/>
      <c r="E7" s="29"/>
      <c r="F7" s="30"/>
      <c r="J7" s="132"/>
      <c r="K7" s="130"/>
      <c r="U7">
        <v>7</v>
      </c>
      <c r="V7">
        <v>7</v>
      </c>
    </row>
    <row r="8" spans="1:35" x14ac:dyDescent="0.25">
      <c r="A8" s="32" t="s">
        <v>125</v>
      </c>
      <c r="C8" s="30"/>
      <c r="D8" s="29"/>
      <c r="E8" s="29"/>
      <c r="F8" s="30"/>
      <c r="G8" s="30"/>
      <c r="H8" s="30"/>
      <c r="I8" s="30"/>
      <c r="J8" s="132"/>
      <c r="K8" s="130"/>
      <c r="U8">
        <v>8</v>
      </c>
      <c r="V8">
        <v>8</v>
      </c>
    </row>
    <row r="9" spans="1:35" x14ac:dyDescent="0.25">
      <c r="A9" s="32" t="s">
        <v>95</v>
      </c>
      <c r="C9" s="30"/>
      <c r="D9" s="29"/>
      <c r="E9" s="29"/>
      <c r="F9" s="30"/>
      <c r="G9" s="30"/>
      <c r="H9" s="30"/>
      <c r="I9" s="30"/>
      <c r="J9" s="132" t="str">
        <f t="shared" ref="J9:J50" si="0">IFERROR(DATE(I9,H9,G9),"")</f>
        <v/>
      </c>
      <c r="K9" s="130" t="str">
        <f>IFERROR('OBSERVACIONES Y MEJORAS'!J9-#REF!,"")</f>
        <v/>
      </c>
      <c r="U9">
        <v>9</v>
      </c>
      <c r="V9">
        <v>9</v>
      </c>
    </row>
    <row r="10" spans="1:35" x14ac:dyDescent="0.25">
      <c r="A10" s="32" t="s">
        <v>134</v>
      </c>
      <c r="C10" s="30"/>
      <c r="D10" s="29"/>
      <c r="E10" s="29"/>
      <c r="F10" s="30"/>
      <c r="G10" s="30"/>
      <c r="H10" s="30"/>
      <c r="I10" s="30"/>
      <c r="J10" s="132" t="str">
        <f t="shared" si="0"/>
        <v/>
      </c>
      <c r="K10" s="130" t="str">
        <f>IFERROR('OBSERVACIONES Y MEJORAS'!J10-#REF!,"")</f>
        <v/>
      </c>
      <c r="U10">
        <v>10</v>
      </c>
      <c r="V10">
        <v>10</v>
      </c>
    </row>
    <row r="11" spans="1:35" x14ac:dyDescent="0.25">
      <c r="A11" s="32" t="s">
        <v>135</v>
      </c>
      <c r="C11" s="30"/>
      <c r="D11" s="29"/>
      <c r="E11" s="29"/>
      <c r="F11" s="30"/>
      <c r="G11" s="30"/>
      <c r="H11" s="30"/>
      <c r="I11" s="30"/>
      <c r="J11" s="132" t="str">
        <f t="shared" si="0"/>
        <v/>
      </c>
      <c r="K11" s="130" t="str">
        <f>IFERROR('OBSERVACIONES Y MEJORAS'!J11-#REF!,"")</f>
        <v/>
      </c>
      <c r="U11">
        <v>11</v>
      </c>
      <c r="V11">
        <v>11</v>
      </c>
    </row>
    <row r="12" spans="1:35" x14ac:dyDescent="0.25">
      <c r="A12" s="32" t="s">
        <v>137</v>
      </c>
      <c r="C12" s="30"/>
      <c r="D12" s="29"/>
      <c r="E12" s="29"/>
      <c r="F12" s="30"/>
      <c r="G12" s="30"/>
      <c r="H12" s="30"/>
      <c r="I12" s="30"/>
      <c r="J12" s="132" t="str">
        <f t="shared" si="0"/>
        <v/>
      </c>
      <c r="K12" s="130" t="str">
        <f>IFERROR('OBSERVACIONES Y MEJORAS'!J12-#REF!,"")</f>
        <v/>
      </c>
      <c r="U12">
        <v>12</v>
      </c>
      <c r="V12">
        <v>12</v>
      </c>
    </row>
    <row r="13" spans="1:35" x14ac:dyDescent="0.25">
      <c r="A13" s="32"/>
      <c r="C13" s="30"/>
      <c r="D13" s="29"/>
      <c r="E13" s="29"/>
      <c r="F13" s="30"/>
      <c r="G13" s="30"/>
      <c r="H13" s="30"/>
      <c r="I13" s="30"/>
      <c r="J13" s="132" t="str">
        <f t="shared" si="0"/>
        <v/>
      </c>
      <c r="K13" s="130" t="str">
        <f>IFERROR('OBSERVACIONES Y MEJORAS'!J13-#REF!,"")</f>
        <v/>
      </c>
      <c r="U13">
        <v>13</v>
      </c>
    </row>
    <row r="14" spans="1:35" x14ac:dyDescent="0.25">
      <c r="A14" s="32"/>
      <c r="C14" s="30"/>
      <c r="D14" s="29"/>
      <c r="E14" s="29"/>
      <c r="F14" s="30"/>
      <c r="G14" s="30"/>
      <c r="H14" s="30"/>
      <c r="I14" s="30"/>
      <c r="J14" s="132" t="str">
        <f t="shared" si="0"/>
        <v/>
      </c>
      <c r="K14" s="130" t="str">
        <f>IFERROR('OBSERVACIONES Y MEJORAS'!J14-#REF!,"")</f>
        <v/>
      </c>
      <c r="U14">
        <v>14</v>
      </c>
    </row>
    <row r="15" spans="1:35" x14ac:dyDescent="0.25">
      <c r="A15" s="32"/>
      <c r="C15" s="30"/>
      <c r="D15" s="29"/>
      <c r="E15" s="29"/>
      <c r="F15" s="30"/>
      <c r="G15" s="30"/>
      <c r="H15" s="30"/>
      <c r="I15" s="30"/>
      <c r="J15" s="132" t="str">
        <f t="shared" si="0"/>
        <v/>
      </c>
      <c r="K15" s="130" t="str">
        <f>IFERROR('OBSERVACIONES Y MEJORAS'!J15-#REF!,"")</f>
        <v/>
      </c>
      <c r="U15">
        <v>15</v>
      </c>
    </row>
    <row r="16" spans="1:35" x14ac:dyDescent="0.25">
      <c r="A16" s="32"/>
      <c r="C16" s="30"/>
      <c r="D16" s="29"/>
      <c r="E16" s="29"/>
      <c r="F16" s="30"/>
      <c r="G16" s="30"/>
      <c r="H16" s="30"/>
      <c r="I16" s="30"/>
      <c r="J16" s="132" t="str">
        <f t="shared" si="0"/>
        <v/>
      </c>
      <c r="K16" s="130" t="str">
        <f>IFERROR('OBSERVACIONES Y MEJORAS'!J16-#REF!,"")</f>
        <v/>
      </c>
      <c r="U16">
        <v>16</v>
      </c>
    </row>
    <row r="17" spans="1:21" x14ac:dyDescent="0.25">
      <c r="A17" s="32"/>
      <c r="C17" s="30"/>
      <c r="D17" s="29"/>
      <c r="E17" s="29"/>
      <c r="F17" s="30"/>
      <c r="G17" s="30"/>
      <c r="H17" s="30"/>
      <c r="I17" s="30"/>
      <c r="J17" s="132" t="str">
        <f t="shared" si="0"/>
        <v/>
      </c>
      <c r="K17" s="130" t="str">
        <f>IFERROR('OBSERVACIONES Y MEJORAS'!J17-#REF!,"")</f>
        <v/>
      </c>
      <c r="U17">
        <v>17</v>
      </c>
    </row>
    <row r="18" spans="1:21" x14ac:dyDescent="0.25">
      <c r="A18" s="32"/>
      <c r="C18" s="30"/>
      <c r="D18" s="29"/>
      <c r="E18" s="29"/>
      <c r="F18" s="30"/>
      <c r="G18" s="30"/>
      <c r="H18" s="30"/>
      <c r="I18" s="30"/>
      <c r="J18" s="132" t="str">
        <f t="shared" si="0"/>
        <v/>
      </c>
      <c r="K18" s="130" t="str">
        <f>IFERROR('OBSERVACIONES Y MEJORAS'!J18-#REF!,"")</f>
        <v/>
      </c>
      <c r="U18">
        <v>18</v>
      </c>
    </row>
    <row r="19" spans="1:21" x14ac:dyDescent="0.25">
      <c r="A19" s="32"/>
      <c r="C19" s="30"/>
      <c r="D19" s="29"/>
      <c r="E19" s="29"/>
      <c r="F19" s="30"/>
      <c r="G19" s="30"/>
      <c r="H19" s="30"/>
      <c r="I19" s="30"/>
      <c r="J19" s="132" t="str">
        <f t="shared" si="0"/>
        <v/>
      </c>
      <c r="K19" s="130" t="str">
        <f>IFERROR('OBSERVACIONES Y MEJORAS'!J19-#REF!,"")</f>
        <v/>
      </c>
      <c r="U19">
        <v>19</v>
      </c>
    </row>
    <row r="20" spans="1:21" x14ac:dyDescent="0.25">
      <c r="A20" s="32"/>
      <c r="C20" s="30"/>
      <c r="D20" s="29"/>
      <c r="E20" s="29"/>
      <c r="F20" s="30"/>
      <c r="G20" s="30"/>
      <c r="H20" s="30"/>
      <c r="I20" s="30"/>
      <c r="J20" s="132" t="str">
        <f t="shared" si="0"/>
        <v/>
      </c>
      <c r="K20" s="130" t="str">
        <f>IFERROR('OBSERVACIONES Y MEJORAS'!J20-#REF!,"")</f>
        <v/>
      </c>
      <c r="U20">
        <v>20</v>
      </c>
    </row>
    <row r="21" spans="1:21" x14ac:dyDescent="0.25">
      <c r="A21" s="32"/>
      <c r="C21" s="30"/>
      <c r="D21" s="29"/>
      <c r="E21" s="29"/>
      <c r="F21" s="30"/>
      <c r="G21" s="30"/>
      <c r="H21" s="30"/>
      <c r="I21" s="30"/>
      <c r="J21" s="132" t="str">
        <f t="shared" si="0"/>
        <v/>
      </c>
      <c r="K21" s="130" t="str">
        <f>IFERROR('OBSERVACIONES Y MEJORAS'!J21-#REF!,"")</f>
        <v/>
      </c>
      <c r="U21">
        <v>21</v>
      </c>
    </row>
    <row r="22" spans="1:21" x14ac:dyDescent="0.25">
      <c r="A22" s="32"/>
      <c r="C22" s="30"/>
      <c r="D22" s="29"/>
      <c r="E22" s="29"/>
      <c r="F22" s="30"/>
      <c r="G22" s="30"/>
      <c r="H22" s="30"/>
      <c r="I22" s="30"/>
      <c r="J22" s="132" t="str">
        <f t="shared" si="0"/>
        <v/>
      </c>
      <c r="K22" s="130" t="str">
        <f>IFERROR('OBSERVACIONES Y MEJORAS'!J22-#REF!,"")</f>
        <v/>
      </c>
      <c r="U22">
        <v>22</v>
      </c>
    </row>
    <row r="23" spans="1:21" x14ac:dyDescent="0.25">
      <c r="A23" s="32"/>
      <c r="C23" s="30"/>
      <c r="D23" s="29"/>
      <c r="E23" s="29"/>
      <c r="F23" s="30"/>
      <c r="G23" s="30"/>
      <c r="H23" s="30"/>
      <c r="I23" s="30"/>
      <c r="J23" s="132" t="str">
        <f t="shared" si="0"/>
        <v/>
      </c>
      <c r="K23" s="130" t="str">
        <f>IFERROR('OBSERVACIONES Y MEJORAS'!J23-#REF!,"")</f>
        <v/>
      </c>
      <c r="U23">
        <v>23</v>
      </c>
    </row>
    <row r="24" spans="1:21" x14ac:dyDescent="0.25">
      <c r="A24" s="32"/>
      <c r="C24" s="30"/>
      <c r="D24" s="29"/>
      <c r="E24" s="29"/>
      <c r="F24" s="30"/>
      <c r="G24" s="30"/>
      <c r="H24" s="30"/>
      <c r="I24" s="30"/>
      <c r="J24" s="132" t="str">
        <f t="shared" si="0"/>
        <v/>
      </c>
      <c r="K24" s="130" t="str">
        <f>IFERROR('OBSERVACIONES Y MEJORAS'!J24-#REF!,"")</f>
        <v/>
      </c>
      <c r="U24">
        <v>24</v>
      </c>
    </row>
    <row r="25" spans="1:21" x14ac:dyDescent="0.25">
      <c r="A25" s="32"/>
      <c r="C25" s="30"/>
      <c r="D25" s="29"/>
      <c r="E25" s="29"/>
      <c r="F25" s="30"/>
      <c r="G25" s="30"/>
      <c r="H25" s="30"/>
      <c r="I25" s="30"/>
      <c r="J25" s="132" t="str">
        <f t="shared" si="0"/>
        <v/>
      </c>
      <c r="K25" s="130" t="str">
        <f>IFERROR('OBSERVACIONES Y MEJORAS'!J25-#REF!,"")</f>
        <v/>
      </c>
      <c r="U25">
        <v>25</v>
      </c>
    </row>
    <row r="26" spans="1:21" x14ac:dyDescent="0.25">
      <c r="A26" s="32"/>
      <c r="C26" s="30"/>
      <c r="D26" s="29"/>
      <c r="E26" s="29"/>
      <c r="F26" s="30"/>
      <c r="G26" s="30"/>
      <c r="H26" s="30"/>
      <c r="I26" s="30"/>
      <c r="J26" s="132" t="str">
        <f t="shared" si="0"/>
        <v/>
      </c>
      <c r="K26" s="130" t="str">
        <f>IFERROR('OBSERVACIONES Y MEJORAS'!J26-#REF!,"")</f>
        <v/>
      </c>
      <c r="U26">
        <v>26</v>
      </c>
    </row>
    <row r="27" spans="1:21" x14ac:dyDescent="0.25">
      <c r="A27" s="32"/>
      <c r="C27" s="30"/>
      <c r="D27" s="29"/>
      <c r="E27" s="29"/>
      <c r="F27" s="30"/>
      <c r="G27" s="30"/>
      <c r="H27" s="30"/>
      <c r="I27" s="30"/>
      <c r="J27" s="132" t="str">
        <f t="shared" si="0"/>
        <v/>
      </c>
      <c r="K27" s="130" t="str">
        <f>IFERROR('OBSERVACIONES Y MEJORAS'!J27-#REF!,"")</f>
        <v/>
      </c>
      <c r="U27">
        <v>27</v>
      </c>
    </row>
    <row r="28" spans="1:21" x14ac:dyDescent="0.25">
      <c r="A28" s="32"/>
      <c r="C28" s="30"/>
      <c r="D28" s="29"/>
      <c r="E28" s="29"/>
      <c r="F28" s="30"/>
      <c r="G28" s="30"/>
      <c r="H28" s="30"/>
      <c r="I28" s="30"/>
      <c r="J28" s="132" t="str">
        <f t="shared" si="0"/>
        <v/>
      </c>
      <c r="K28" s="130" t="str">
        <f>IFERROR('OBSERVACIONES Y MEJORAS'!J28-#REF!,"")</f>
        <v/>
      </c>
      <c r="U28">
        <v>28</v>
      </c>
    </row>
    <row r="29" spans="1:21" x14ac:dyDescent="0.25">
      <c r="A29" s="32"/>
      <c r="C29" s="30"/>
      <c r="D29" s="29"/>
      <c r="E29" s="29"/>
      <c r="F29" s="30"/>
      <c r="G29" s="30"/>
      <c r="H29" s="30"/>
      <c r="I29" s="30"/>
      <c r="J29" s="132" t="str">
        <f t="shared" si="0"/>
        <v/>
      </c>
      <c r="K29" s="130" t="str">
        <f>IFERROR('OBSERVACIONES Y MEJORAS'!J29-#REF!,"")</f>
        <v/>
      </c>
      <c r="U29">
        <v>29</v>
      </c>
    </row>
    <row r="30" spans="1:21" x14ac:dyDescent="0.25">
      <c r="A30" s="32"/>
      <c r="C30" s="30"/>
      <c r="D30" s="29"/>
      <c r="E30" s="29"/>
      <c r="F30" s="30"/>
      <c r="G30" s="30"/>
      <c r="H30" s="30"/>
      <c r="I30" s="30"/>
      <c r="J30" s="132" t="str">
        <f t="shared" si="0"/>
        <v/>
      </c>
      <c r="K30" s="130" t="str">
        <f>IFERROR('OBSERVACIONES Y MEJORAS'!J30-#REF!,"")</f>
        <v/>
      </c>
      <c r="U30">
        <v>30</v>
      </c>
    </row>
    <row r="31" spans="1:21" x14ac:dyDescent="0.25">
      <c r="A31" s="32"/>
      <c r="C31" s="30"/>
      <c r="D31" s="29"/>
      <c r="E31" s="29"/>
      <c r="F31" s="30"/>
      <c r="G31" s="30"/>
      <c r="H31" s="30"/>
      <c r="I31" s="30"/>
      <c r="J31" s="132" t="str">
        <f t="shared" si="0"/>
        <v/>
      </c>
      <c r="K31" s="130" t="str">
        <f>IFERROR('OBSERVACIONES Y MEJORAS'!J31-#REF!,"")</f>
        <v/>
      </c>
      <c r="U31">
        <v>31</v>
      </c>
    </row>
    <row r="32" spans="1:21" x14ac:dyDescent="0.25">
      <c r="A32" s="32"/>
      <c r="C32" s="30"/>
      <c r="D32" s="29"/>
      <c r="E32" s="29"/>
      <c r="F32" s="30"/>
      <c r="G32" s="30"/>
      <c r="H32" s="30"/>
      <c r="I32" s="30"/>
      <c r="J32" s="132" t="str">
        <f t="shared" si="0"/>
        <v/>
      </c>
      <c r="K32" s="130" t="str">
        <f>IFERROR('OBSERVACIONES Y MEJORAS'!J32-#REF!,"")</f>
        <v/>
      </c>
    </row>
    <row r="33" spans="1:11" x14ac:dyDescent="0.25">
      <c r="A33" s="32"/>
      <c r="C33" s="30"/>
      <c r="D33" s="29"/>
      <c r="E33" s="29"/>
      <c r="F33" s="30"/>
      <c r="G33" s="30"/>
      <c r="H33" s="30"/>
      <c r="I33" s="30"/>
      <c r="J33" s="132" t="str">
        <f t="shared" si="0"/>
        <v/>
      </c>
      <c r="K33" s="130" t="str">
        <f>IFERROR('OBSERVACIONES Y MEJORAS'!J33-#REF!,"")</f>
        <v/>
      </c>
    </row>
    <row r="34" spans="1:11" x14ac:dyDescent="0.25">
      <c r="A34" s="32"/>
      <c r="C34" s="30"/>
      <c r="D34" s="29"/>
      <c r="E34" s="29"/>
      <c r="F34" s="30"/>
      <c r="G34" s="30"/>
      <c r="H34" s="30"/>
      <c r="I34" s="30"/>
      <c r="J34" s="132" t="str">
        <f t="shared" si="0"/>
        <v/>
      </c>
      <c r="K34" s="130" t="str">
        <f>IFERROR('OBSERVACIONES Y MEJORAS'!J34-#REF!,"")</f>
        <v/>
      </c>
    </row>
    <row r="35" spans="1:11" x14ac:dyDescent="0.25">
      <c r="A35" s="32"/>
      <c r="C35" s="30"/>
      <c r="D35" s="29"/>
      <c r="E35" s="29"/>
      <c r="F35" s="30"/>
      <c r="G35" s="30"/>
      <c r="H35" s="30"/>
      <c r="I35" s="30"/>
      <c r="J35" s="132" t="str">
        <f t="shared" si="0"/>
        <v/>
      </c>
      <c r="K35" s="130" t="str">
        <f>IFERROR('OBSERVACIONES Y MEJORAS'!J35-#REF!,"")</f>
        <v/>
      </c>
    </row>
    <row r="36" spans="1:11" x14ac:dyDescent="0.25">
      <c r="A36" s="32"/>
      <c r="C36" s="30"/>
      <c r="D36" s="29"/>
      <c r="E36" s="29"/>
      <c r="F36" s="30"/>
      <c r="G36" s="30"/>
      <c r="H36" s="30"/>
      <c r="I36" s="30"/>
      <c r="J36" s="132" t="str">
        <f t="shared" si="0"/>
        <v/>
      </c>
      <c r="K36" s="130" t="str">
        <f>IFERROR('OBSERVACIONES Y MEJORAS'!J36-#REF!,"")</f>
        <v/>
      </c>
    </row>
    <row r="37" spans="1:11" x14ac:dyDescent="0.25">
      <c r="A37" s="32"/>
      <c r="C37" s="30"/>
      <c r="D37" s="29"/>
      <c r="E37" s="29"/>
      <c r="F37" s="30"/>
      <c r="G37" s="30"/>
      <c r="H37" s="30"/>
      <c r="I37" s="30"/>
      <c r="J37" s="132" t="str">
        <f t="shared" si="0"/>
        <v/>
      </c>
      <c r="K37" s="130" t="str">
        <f>IFERROR('OBSERVACIONES Y MEJORAS'!J37-#REF!,"")</f>
        <v/>
      </c>
    </row>
    <row r="38" spans="1:11" x14ac:dyDescent="0.25">
      <c r="A38" s="32"/>
      <c r="C38" s="30"/>
      <c r="D38" s="29"/>
      <c r="E38" s="29"/>
      <c r="F38" s="30"/>
      <c r="G38" s="30"/>
      <c r="H38" s="30"/>
      <c r="I38" s="30"/>
      <c r="J38" s="132" t="str">
        <f t="shared" si="0"/>
        <v/>
      </c>
      <c r="K38" s="130" t="str">
        <f>IFERROR('OBSERVACIONES Y MEJORAS'!J38-#REF!,"")</f>
        <v/>
      </c>
    </row>
    <row r="39" spans="1:11" x14ac:dyDescent="0.25">
      <c r="A39" s="32"/>
      <c r="C39" s="30"/>
      <c r="D39" s="29"/>
      <c r="E39" s="29"/>
      <c r="F39" s="30"/>
      <c r="G39" s="30"/>
      <c r="H39" s="30"/>
      <c r="I39" s="30"/>
      <c r="J39" s="132" t="str">
        <f t="shared" si="0"/>
        <v/>
      </c>
      <c r="K39" s="130" t="str">
        <f>IFERROR('OBSERVACIONES Y MEJORAS'!J39-#REF!,"")</f>
        <v/>
      </c>
    </row>
    <row r="40" spans="1:11" x14ac:dyDescent="0.25">
      <c r="A40" s="32"/>
      <c r="C40" s="30"/>
      <c r="D40" s="29"/>
      <c r="E40" s="29"/>
      <c r="F40" s="30"/>
      <c r="G40" s="30"/>
      <c r="H40" s="30"/>
      <c r="I40" s="30"/>
      <c r="J40" s="132" t="str">
        <f t="shared" si="0"/>
        <v/>
      </c>
      <c r="K40" s="130" t="str">
        <f>IFERROR('OBSERVACIONES Y MEJORAS'!J40-#REF!,"")</f>
        <v/>
      </c>
    </row>
    <row r="41" spans="1:11" x14ac:dyDescent="0.25">
      <c r="A41" s="32"/>
      <c r="C41" s="30"/>
      <c r="D41" s="29"/>
      <c r="E41" s="29"/>
      <c r="F41" s="30"/>
      <c r="G41" s="30"/>
      <c r="H41" s="30"/>
      <c r="I41" s="30"/>
      <c r="J41" s="132" t="str">
        <f t="shared" si="0"/>
        <v/>
      </c>
      <c r="K41" s="130" t="str">
        <f>IFERROR('OBSERVACIONES Y MEJORAS'!J41-#REF!,"")</f>
        <v/>
      </c>
    </row>
    <row r="42" spans="1:11" x14ac:dyDescent="0.25">
      <c r="A42" s="32"/>
      <c r="C42" s="30"/>
      <c r="D42" s="29"/>
      <c r="E42" s="29"/>
      <c r="F42" s="30"/>
      <c r="G42" s="30"/>
      <c r="H42" s="30"/>
      <c r="I42" s="30"/>
      <c r="J42" s="132" t="str">
        <f t="shared" si="0"/>
        <v/>
      </c>
      <c r="K42" s="130" t="str">
        <f>IFERROR('OBSERVACIONES Y MEJORAS'!J42-#REF!,"")</f>
        <v/>
      </c>
    </row>
    <row r="43" spans="1:11" x14ac:dyDescent="0.25">
      <c r="A43" s="32"/>
      <c r="C43" s="30"/>
      <c r="D43" s="29"/>
      <c r="E43" s="29"/>
      <c r="F43" s="30"/>
      <c r="G43" s="30"/>
      <c r="H43" s="30"/>
      <c r="I43" s="30"/>
      <c r="J43" s="132" t="str">
        <f t="shared" si="0"/>
        <v/>
      </c>
      <c r="K43" s="130" t="str">
        <f>IFERROR('OBSERVACIONES Y MEJORAS'!J43-#REF!,"")</f>
        <v/>
      </c>
    </row>
    <row r="44" spans="1:11" x14ac:dyDescent="0.25">
      <c r="A44" s="32"/>
      <c r="C44" s="30"/>
      <c r="D44" s="29"/>
      <c r="E44" s="29"/>
      <c r="F44" s="30"/>
      <c r="G44" s="30"/>
      <c r="H44" s="30"/>
      <c r="I44" s="30"/>
      <c r="J44" s="132" t="str">
        <f t="shared" si="0"/>
        <v/>
      </c>
      <c r="K44" s="130" t="str">
        <f>IFERROR('OBSERVACIONES Y MEJORAS'!J44-#REF!,"")</f>
        <v/>
      </c>
    </row>
    <row r="45" spans="1:11" x14ac:dyDescent="0.25">
      <c r="A45" s="32"/>
      <c r="C45" s="30"/>
      <c r="D45" s="29"/>
      <c r="E45" s="29"/>
      <c r="F45" s="30"/>
      <c r="G45" s="30"/>
      <c r="H45" s="30"/>
      <c r="I45" s="30"/>
      <c r="J45" s="132" t="str">
        <f t="shared" si="0"/>
        <v/>
      </c>
      <c r="K45" s="130" t="str">
        <f>IFERROR('OBSERVACIONES Y MEJORAS'!J45-#REF!,"")</f>
        <v/>
      </c>
    </row>
    <row r="46" spans="1:11" x14ac:dyDescent="0.25">
      <c r="A46" s="32"/>
      <c r="C46" s="30"/>
      <c r="D46" s="29"/>
      <c r="E46" s="29"/>
      <c r="F46" s="30"/>
      <c r="G46" s="30"/>
      <c r="H46" s="30"/>
      <c r="I46" s="30"/>
      <c r="J46" s="132" t="str">
        <f t="shared" si="0"/>
        <v/>
      </c>
      <c r="K46" s="130" t="str">
        <f>IFERROR('OBSERVACIONES Y MEJORAS'!J46-#REF!,"")</f>
        <v/>
      </c>
    </row>
    <row r="47" spans="1:11" x14ac:dyDescent="0.25">
      <c r="A47" s="32"/>
      <c r="C47" s="30"/>
      <c r="D47" s="29"/>
      <c r="E47" s="29"/>
      <c r="F47" s="30"/>
      <c r="G47" s="30"/>
      <c r="H47" s="30"/>
      <c r="I47" s="30"/>
      <c r="J47" s="132" t="str">
        <f t="shared" si="0"/>
        <v/>
      </c>
      <c r="K47" s="130" t="str">
        <f>IFERROR('OBSERVACIONES Y MEJORAS'!J47-#REF!,"")</f>
        <v/>
      </c>
    </row>
    <row r="48" spans="1:11" x14ac:dyDescent="0.25">
      <c r="A48" s="32"/>
      <c r="C48" s="30"/>
      <c r="D48" s="29"/>
      <c r="E48" s="29"/>
      <c r="F48" s="30"/>
      <c r="G48" s="30"/>
      <c r="H48" s="30"/>
      <c r="I48" s="30"/>
      <c r="J48" s="132" t="str">
        <f t="shared" si="0"/>
        <v/>
      </c>
      <c r="K48" s="130" t="str">
        <f>IFERROR('OBSERVACIONES Y MEJORAS'!J48-#REF!,"")</f>
        <v/>
      </c>
    </row>
    <row r="49" spans="1:11" x14ac:dyDescent="0.25">
      <c r="A49" s="32"/>
      <c r="C49" s="30"/>
      <c r="G49" s="30"/>
      <c r="H49" s="30"/>
      <c r="I49" s="30"/>
      <c r="J49" s="132" t="str">
        <f t="shared" si="0"/>
        <v/>
      </c>
      <c r="K49" s="130" t="str">
        <f>IFERROR('OBSERVACIONES Y MEJORAS'!J49-#REF!,"")</f>
        <v/>
      </c>
    </row>
    <row r="50" spans="1:11" x14ac:dyDescent="0.25">
      <c r="A50" s="32"/>
      <c r="C50" s="30"/>
      <c r="G50" s="30"/>
      <c r="H50" s="30"/>
      <c r="I50" s="30"/>
      <c r="J50" s="132" t="str">
        <f t="shared" si="0"/>
        <v/>
      </c>
      <c r="K50" s="130" t="str">
        <f>IFERROR('OBSERVACIONES Y MEJORAS'!J50-#REF!,"")</f>
        <v/>
      </c>
    </row>
    <row r="51" spans="1:11" x14ac:dyDescent="0.25">
      <c r="J51" s="130"/>
      <c r="K51" s="130"/>
    </row>
  </sheetData>
  <mergeCells count="1">
    <mergeCell ref="G1:J1"/>
  </mergeCells>
  <dataValidations count="5">
    <dataValidation type="list" allowBlank="1" showInputMessage="1" showErrorMessage="1" sqref="C3:C50" xr:uid="{00000000-0002-0000-0600-000000000000}">
      <formula1>$A$2:$A$13</formula1>
    </dataValidation>
    <dataValidation type="list" allowBlank="1" showInputMessage="1" showErrorMessage="1" sqref="B3:B50" xr:uid="{00000000-0002-0000-0600-000001000000}">
      <formula1>$N$1:$T$1</formula1>
    </dataValidation>
    <dataValidation type="list" allowBlank="1" showInputMessage="1" showErrorMessage="1" sqref="G8:G50 G3:G6" xr:uid="{00000000-0002-0000-0600-000002000000}">
      <formula1>$U$1:$U$32</formula1>
    </dataValidation>
    <dataValidation type="list" allowBlank="1" showInputMessage="1" showErrorMessage="1" sqref="H8:H50 H3:H6" xr:uid="{00000000-0002-0000-0600-000003000000}">
      <formula1>$V$1:$V$13</formula1>
    </dataValidation>
    <dataValidation type="list" allowBlank="1" showInputMessage="1" showErrorMessage="1" sqref="I8:I50" xr:uid="{00000000-0002-0000-0600-000004000000}">
      <formula1>$W$1:$W$5</formula1>
    </dataValidation>
  </dataValidations>
  <pageMargins left="0.7" right="0.7" top="0.75" bottom="0.75" header="0.3" footer="0.3"/>
  <pageSetup scale="36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FCC1DDF011D34F88ABF837B1310F6F" ma:contentTypeVersion="4" ma:contentTypeDescription="Create a new document." ma:contentTypeScope="" ma:versionID="184870bd1ddbeba97213063846f6ed7e">
  <xsd:schema xmlns:xsd="http://www.w3.org/2001/XMLSchema" xmlns:xs="http://www.w3.org/2001/XMLSchema" xmlns:p="http://schemas.microsoft.com/office/2006/metadata/properties" xmlns:ns2="752b749e-9398-4f4e-87cd-b2cf2272c78c" targetNamespace="http://schemas.microsoft.com/office/2006/metadata/properties" ma:root="true" ma:fieldsID="efd2a48c2d68bc83effa9d3a4afafb56" ns2:_="">
    <xsd:import namespace="752b749e-9398-4f4e-87cd-b2cf2272c7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b749e-9398-4f4e-87cd-b2cf2272c7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B97309-E17A-4B94-BCD3-52572AE40A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277A59-761A-48A6-9648-A4BB83F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2b749e-9398-4f4e-87cd-b2cf2272c7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666004-9D5A-4C0A-AFA2-2946E10568A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FF1E8A-E652-47D2-B2EA-CA4A120F4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Mov</vt:lpstr>
      <vt:lpstr>Levantamiento (1)</vt:lpstr>
      <vt:lpstr>Transporte (2)</vt:lpstr>
      <vt:lpstr>Equipo (3)</vt:lpstr>
      <vt:lpstr>sin auxiliar (4)</vt:lpstr>
      <vt:lpstr>con auxiliar (5)</vt:lpstr>
      <vt:lpstr>Resultado</vt:lpstr>
      <vt:lpstr>OBSERVACIONES Y MEJORAS</vt:lpstr>
      <vt:lpstr>'con auxiliar (5)'!Print_Area</vt:lpstr>
      <vt:lpstr>'Equipo (3)'!Print_Area</vt:lpstr>
      <vt:lpstr>'Levantamiento (1)'!Print_Area</vt:lpstr>
      <vt:lpstr>Mov!Print_Area</vt:lpstr>
      <vt:lpstr>'sin auxiliar (4)'!Print_Area</vt:lpstr>
      <vt:lpstr>'Transporte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HERNAN ESPARZA</dc:creator>
  <cp:keywords/>
  <dc:description/>
  <cp:lastModifiedBy>Jacqueline Legarda</cp:lastModifiedBy>
  <cp:revision/>
  <cp:lastPrinted>2026-05-30T18:16:15Z</cp:lastPrinted>
  <dcterms:created xsi:type="dcterms:W3CDTF">2020-06-24T14:12:00Z</dcterms:created>
  <dcterms:modified xsi:type="dcterms:W3CDTF">2026-09-26T16:52:35Z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DOC_STAT">
    <vt:lpwstr>RELEASED</vt:lpwstr>
  </property>
  <property fmtid="{D5CDD505-2E9C-101B-9397-08002B2CF9AE}" pid="3" name="JDOC_NUM">
    <vt:lpwstr>16-PE80-6500-00014</vt:lpwstr>
  </property>
  <property fmtid="{D5CDD505-2E9C-101B-9397-08002B2CF9AE}" pid="4" name="JDOC_REV">
    <vt:lpwstr>G</vt:lpwstr>
  </property>
  <property fmtid="{D5CDD505-2E9C-101B-9397-08002B2CF9AE}" pid="5" name="JDOC_TITLE">
    <vt:lpwstr>EVALUACION DE ERGONOMIA</vt:lpwstr>
  </property>
  <property fmtid="{D5CDD505-2E9C-101B-9397-08002B2CF9AE}" pid="6" name="JDOC_NOTES">
    <vt:lpwstr>20260216-225444-1407730-NOTES Se modifica todo el formato para evaluar correctamente 20260216-222158-1407730-NOTES    </vt:lpwstr>
  </property>
  <property fmtid="{D5CDD505-2E9C-101B-9397-08002B2CF9AE}" pid="7" name="JDOC_AUTHID">
    <vt:lpwstr>1407730</vt:lpwstr>
  </property>
  <property fmtid="{D5CDD505-2E9C-101B-9397-08002B2CF9AE}" pid="8" name="JDOC_AUTHNAME">
    <vt:lpwstr>Hernan,Esparza</vt:lpwstr>
  </property>
  <property fmtid="{D5CDD505-2E9C-101B-9397-08002B2CF9AE}" pid="9" name="JDOC_OWNID">
    <vt:lpwstr>1040166</vt:lpwstr>
  </property>
  <property fmtid="{D5CDD505-2E9C-101B-9397-08002B2CF9AE}" pid="10" name="JDOC_OWNNAME">
    <vt:lpwstr>LUIS,REYNOSA</vt:lpwstr>
  </property>
  <property fmtid="{D5CDD505-2E9C-101B-9397-08002B2CF9AE}" pid="11" name="JDOC_FUNC">
    <vt:lpwstr/>
  </property>
  <property fmtid="{D5CDD505-2E9C-101B-9397-08002B2CF9AE}" pid="12" name="JDOC_CR_DT">
    <vt:lpwstr>16 FEB 2026</vt:lpwstr>
  </property>
  <property fmtid="{D5CDD505-2E9C-101B-9397-08002B2CF9AE}" pid="13" name="JDOC_RL_DT">
    <vt:lpwstr>11 MAR 2026</vt:lpwstr>
  </property>
  <property fmtid="{D5CDD505-2E9C-101B-9397-08002B2CF9AE}" pid="14" name="JDOC_EF_DT">
    <vt:lpwstr>11 MAR 2026</vt:lpwstr>
  </property>
  <property fmtid="{D5CDD505-2E9C-101B-9397-08002B2CF9AE}" pid="15" name="JDOC_EX_DT">
    <vt:lpwstr>11 MAR 2026</vt:lpwstr>
  </property>
  <property fmtid="{D5CDD505-2E9C-101B-9397-08002B2CF9AE}" pid="16" name="JDOC_RV_DT">
    <vt:lpwstr>11 MAR 2026</vt:lpwstr>
  </property>
  <property fmtid="{D5CDD505-2E9C-101B-9397-08002B2CF9AE}" pid="17" name="JDOC_CUST">
    <vt:lpwstr>ALL PLANT</vt:lpwstr>
  </property>
  <property fmtid="{D5CDD505-2E9C-101B-9397-08002B2CF9AE}" pid="18" name="JDOC_WKCL">
    <vt:lpwstr/>
  </property>
  <property fmtid="{D5CDD505-2E9C-101B-9397-08002B2CF9AE}" pid="19" name="JDOC_FIELD01">
    <vt:lpwstr/>
  </property>
  <property fmtid="{D5CDD505-2E9C-101B-9397-08002B2CF9AE}" pid="20" name="JDOC_FIELD02">
    <vt:lpwstr/>
  </property>
  <property fmtid="{D5CDD505-2E9C-101B-9397-08002B2CF9AE}" pid="21" name="JDOC_FIELD03">
    <vt:lpwstr/>
  </property>
  <property fmtid="{D5CDD505-2E9C-101B-9397-08002B2CF9AE}" pid="22" name="JDOC_FIELD04">
    <vt:lpwstr/>
  </property>
  <property fmtid="{D5CDD505-2E9C-101B-9397-08002B2CF9AE}" pid="23" name="JDOC_FIELD05">
    <vt:lpwstr/>
  </property>
  <property fmtid="{D5CDD505-2E9C-101B-9397-08002B2CF9AE}" pid="24" name="JDOC_FIELD06">
    <vt:lpwstr/>
  </property>
  <property fmtid="{D5CDD505-2E9C-101B-9397-08002B2CF9AE}" pid="25" name="JDOC_FIELD07">
    <vt:lpwstr/>
  </property>
  <property fmtid="{D5CDD505-2E9C-101B-9397-08002B2CF9AE}" pid="26" name="JDOC_FIELD08">
    <vt:lpwstr/>
  </property>
  <property fmtid="{D5CDD505-2E9C-101B-9397-08002B2CF9AE}" pid="27" name="JDOC_FIELD09">
    <vt:lpwstr/>
  </property>
  <property fmtid="{D5CDD505-2E9C-101B-9397-08002B2CF9AE}" pid="28" name="JDOC_FIELD10">
    <vt:lpwstr/>
  </property>
  <property fmtid="{D5CDD505-2E9C-101B-9397-08002B2CF9AE}" pid="29" name="ContentTypeId">
    <vt:lpwstr>0x01010034FCC1DDF011D34F88ABF837B1310F6F</vt:lpwstr>
  </property>
</Properties>
</file>