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filterPrivacy="1"/>
  <xr:revisionPtr revIDLastSave="0" documentId="13_ncr:1_{B7A69457-6226-4DF8-8FB5-FA047230F3D9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DADOS" sheetId="1" r:id="rId1"/>
    <sheet name="Tab_Dinamica" sheetId="2" r:id="rId2"/>
    <sheet name="dashboard" sheetId="4" r:id="rId3"/>
    <sheet name="PAC - Contratos vigentes" sheetId="5" r:id="rId4"/>
    <sheet name="PAC - Novas Aquisições" sheetId="6" r:id="rId5"/>
    <sheet name="PAC - Novas Aquisições (saldos)" sheetId="7" r:id="rId6"/>
    <sheet name="DASHBOARD PAC" sheetId="8" r:id="rId7"/>
  </sheets>
  <definedNames>
    <definedName name="_xlnm._FilterDatabase" localSheetId="4" hidden="1">'PAC - Novas Aquisições'!$A$10:$H$56</definedName>
    <definedName name="DOT">DADOS[#All]</definedName>
    <definedName name="dotações">DADOS[#All]</definedName>
  </definedNames>
  <calcPr calcId="191029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7" l="1"/>
  <c r="K36" i="7"/>
  <c r="J36" i="7"/>
  <c r="M35" i="7"/>
  <c r="M34" i="7"/>
  <c r="M33" i="7"/>
  <c r="C37" i="7"/>
  <c r="C27" i="7"/>
  <c r="C39" i="7"/>
  <c r="C29" i="7"/>
  <c r="C38" i="7"/>
  <c r="C28" i="7"/>
  <c r="C40" i="7" l="1"/>
  <c r="J26" i="2"/>
  <c r="K26" i="2"/>
  <c r="J27" i="2"/>
  <c r="K27" i="2"/>
  <c r="J28" i="2"/>
  <c r="K28" i="2"/>
  <c r="K25" i="2"/>
  <c r="J25" i="2"/>
  <c r="E17" i="2"/>
  <c r="E15" i="2"/>
  <c r="L15" i="2" l="1"/>
  <c r="K15" i="2"/>
  <c r="K17" i="2"/>
  <c r="J17" i="2"/>
  <c r="L17" i="2"/>
  <c r="J15" i="2"/>
  <c r="G3" i="1"/>
  <c r="D8" i="2"/>
  <c r="E14" i="2"/>
  <c r="K14" i="2" l="1"/>
  <c r="L14" i="2"/>
  <c r="G53" i="8"/>
  <c r="E53" i="8"/>
  <c r="C53" i="8"/>
  <c r="I52" i="8"/>
  <c r="I51" i="8"/>
  <c r="I50" i="8"/>
  <c r="C8" i="7"/>
  <c r="C7" i="7"/>
  <c r="C6" i="7"/>
  <c r="D38" i="7" l="1"/>
  <c r="D39" i="7"/>
  <c r="D37" i="7"/>
  <c r="C30" i="7"/>
  <c r="D29" i="7" s="1"/>
  <c r="C9" i="7"/>
  <c r="G6" i="1"/>
  <c r="D5" i="2"/>
  <c r="D4" i="2"/>
  <c r="D7" i="2"/>
  <c r="D6" i="2"/>
  <c r="D27" i="7" l="1"/>
  <c r="D28" i="7"/>
  <c r="E78" i="2"/>
  <c r="E77" i="2"/>
  <c r="E76" i="2"/>
  <c r="E75" i="2"/>
  <c r="E74" i="2"/>
  <c r="E73" i="2"/>
  <c r="E72" i="2"/>
  <c r="E71" i="2"/>
  <c r="E70" i="2"/>
  <c r="E69" i="2"/>
  <c r="E68" i="2"/>
  <c r="E67" i="2"/>
  <c r="E61" i="2"/>
  <c r="E60" i="2"/>
  <c r="E59" i="2"/>
  <c r="E58" i="2"/>
  <c r="E57" i="2"/>
  <c r="E56" i="2"/>
  <c r="E55" i="2"/>
  <c r="D38" i="2"/>
  <c r="D37" i="2"/>
  <c r="D36" i="2"/>
  <c r="D35" i="2"/>
  <c r="D17" i="2"/>
  <c r="D16" i="2"/>
  <c r="D15" i="2"/>
  <c r="D14" i="2"/>
  <c r="G77" i="2"/>
  <c r="F60" i="2"/>
  <c r="G67" i="2"/>
  <c r="F58" i="2"/>
  <c r="F76" i="2"/>
  <c r="G72" i="2"/>
  <c r="F75" i="2"/>
  <c r="G75" i="2"/>
  <c r="F56" i="2"/>
  <c r="E38" i="2"/>
  <c r="F78" i="2"/>
  <c r="G56" i="2"/>
  <c r="G58" i="2"/>
  <c r="G73" i="2"/>
  <c r="G76" i="2"/>
  <c r="G61" i="2"/>
  <c r="G69" i="2"/>
  <c r="G68" i="2"/>
  <c r="F72" i="2"/>
  <c r="F73" i="2"/>
  <c r="E37" i="2"/>
  <c r="F57" i="2"/>
  <c r="G71" i="2"/>
  <c r="G78" i="2"/>
  <c r="G57" i="2"/>
  <c r="G55" i="2"/>
  <c r="F68" i="2"/>
  <c r="E36" i="2"/>
  <c r="F37" i="2"/>
  <c r="F69" i="2"/>
  <c r="F55" i="2"/>
  <c r="F71" i="2"/>
  <c r="F67" i="2"/>
  <c r="F74" i="2"/>
  <c r="F61" i="2"/>
  <c r="F70" i="2"/>
  <c r="E35" i="2"/>
  <c r="F35" i="2"/>
  <c r="G70" i="2"/>
  <c r="F36" i="2"/>
  <c r="G74" i="2"/>
  <c r="G59" i="2"/>
  <c r="F59" i="2"/>
  <c r="F38" i="2"/>
  <c r="F77" i="2"/>
  <c r="G60" i="2"/>
  <c r="H68" i="2" l="1"/>
  <c r="H70" i="2"/>
  <c r="H78" i="2"/>
  <c r="H67" i="2"/>
  <c r="H55" i="2"/>
  <c r="H72" i="2"/>
  <c r="H71" i="2"/>
  <c r="H57" i="2"/>
  <c r="H74" i="2"/>
  <c r="H60" i="2"/>
  <c r="H56" i="2"/>
  <c r="H73" i="2"/>
  <c r="H58" i="2"/>
  <c r="H75" i="2"/>
  <c r="H77" i="2"/>
  <c r="H61" i="2"/>
  <c r="H69" i="2"/>
  <c r="H17" i="2"/>
  <c r="I17" i="2"/>
  <c r="G17" i="2"/>
  <c r="H59" i="2"/>
  <c r="H76" i="2"/>
  <c r="F14" i="2"/>
  <c r="G14" i="2"/>
  <c r="F15" i="2"/>
  <c r="G15" i="2"/>
  <c r="I15" i="2"/>
  <c r="H15" i="2"/>
  <c r="J14" i="2"/>
  <c r="I14" i="2"/>
  <c r="H14" i="2"/>
  <c r="G26" i="2"/>
  <c r="D26" i="2"/>
  <c r="E26" i="2" s="1"/>
  <c r="F26" i="2" s="1"/>
  <c r="D27" i="2"/>
  <c r="G27" i="2" s="1"/>
  <c r="D28" i="2"/>
  <c r="E28" i="2" s="1"/>
  <c r="F28" i="2" s="1"/>
  <c r="D25" i="2"/>
  <c r="I25" i="2" s="1"/>
  <c r="F26" i="1"/>
  <c r="G4" i="1"/>
  <c r="G5" i="1"/>
  <c r="G26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6" i="2"/>
  <c r="G37" i="2"/>
  <c r="G38" i="2"/>
  <c r="G35" i="2"/>
  <c r="E16" i="2"/>
  <c r="J16" i="2" l="1"/>
  <c r="F16" i="2"/>
  <c r="H16" i="2"/>
  <c r="G16" i="2"/>
  <c r="I16" i="2"/>
  <c r="H38" i="2"/>
  <c r="H36" i="2"/>
  <c r="H35" i="2"/>
  <c r="H37" i="2"/>
  <c r="E25" i="2"/>
  <c r="F25" i="2" s="1"/>
  <c r="F17" i="2"/>
  <c r="H26" i="2"/>
  <c r="G28" i="2"/>
  <c r="I27" i="2"/>
  <c r="H27" i="2"/>
  <c r="E27" i="2"/>
  <c r="F27" i="2" s="1"/>
  <c r="I28" i="2"/>
  <c r="H28" i="2"/>
  <c r="I26" i="2"/>
  <c r="H25" i="2"/>
  <c r="G25" i="2"/>
  <c r="D170" i="2"/>
  <c r="D150" i="2"/>
  <c r="E172" i="2"/>
  <c r="E171" i="2"/>
  <c r="E170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37" i="2"/>
  <c r="D137" i="2" s="1"/>
  <c r="D26" i="1" l="1"/>
  <c r="E28" i="1" s="1"/>
  <c r="E26" i="1"/>
</calcChain>
</file>

<file path=xl/sharedStrings.xml><?xml version="1.0" encoding="utf-8"?>
<sst xmlns="http://schemas.openxmlformats.org/spreadsheetml/2006/main" count="626" uniqueCount="243">
  <si>
    <t>Programa</t>
  </si>
  <si>
    <t>Ação</t>
  </si>
  <si>
    <t>Orçado Atualizado</t>
  </si>
  <si>
    <t>Empenhado</t>
  </si>
  <si>
    <t>Saldo</t>
  </si>
  <si>
    <t>PROCESSO LEGISLATIVO</t>
  </si>
  <si>
    <t>CONSTRUÇÃO DA NOVA SEDE DO LEGISLATIVO</t>
  </si>
  <si>
    <t>AÇÃO</t>
  </si>
  <si>
    <t>NATUREZA</t>
  </si>
  <si>
    <t>AMPLIAÇÃO E REFORMA DO PRÉDIO DO LEGISLATIVO</t>
  </si>
  <si>
    <t>OUTROS SERV DE TERCEIROS - PJ</t>
  </si>
  <si>
    <t>OBRAS E INSTALAÇÕES</t>
  </si>
  <si>
    <t>MANUTENÇÃO DOS SERV ADMINISTRATIVOS</t>
  </si>
  <si>
    <t>OUTROS BENEFÍCIOS ASSIST DO SERVIDOR E DO MILITAR</t>
  </si>
  <si>
    <t>MATERIAL DE CONSUMO</t>
  </si>
  <si>
    <t>OUTROS SERV DE TERCEIROS - PF</t>
  </si>
  <si>
    <t>SERV DE TI E COMUNICAÇÃO - PJ</t>
  </si>
  <si>
    <t>AUXILIO ALIMENTAÇÃO</t>
  </si>
  <si>
    <t>AUXILIO TRANSPORTE</t>
  </si>
  <si>
    <t>DESPESAS DE EXERCÍCIOS ANTERIORES</t>
  </si>
  <si>
    <t>INDENIZAÇÕES E RESTITUIÇÕES</t>
  </si>
  <si>
    <t>SERVIÇOS DE TI E COMUNICAÇÃO - PJ - INTRA OFSS</t>
  </si>
  <si>
    <t>APORTE PARA COBERTURA DO DEFICIT ATUARIAL DO RPPS</t>
  </si>
  <si>
    <t>EQUIPAMENTO E MATERIAL PERMANENTE</t>
  </si>
  <si>
    <t>ATIVIDADES LEGISLATIVAS</t>
  </si>
  <si>
    <t>APOSENTADORIA E REFORMAS</t>
  </si>
  <si>
    <t>PENSÕES</t>
  </si>
  <si>
    <t>VENCIMENTOS E VANTAGENS FIXAS - PESSOAL CIVIL</t>
  </si>
  <si>
    <t>OBRIGAÇÕES PATRONAIS</t>
  </si>
  <si>
    <t>OUTRAS DESPESAS VARIÁVEIS - PESSOAL CIVIL</t>
  </si>
  <si>
    <t>INDENIZAÇÕES E RESTITUIÇÕES TRABALHISTAS</t>
  </si>
  <si>
    <t>Rótulos de Linha</t>
  </si>
  <si>
    <t>Total Geral</t>
  </si>
  <si>
    <t>Total</t>
  </si>
  <si>
    <t>ORÇADO</t>
  </si>
  <si>
    <t>EMPENHADO TOTAL</t>
  </si>
  <si>
    <t>JAN</t>
  </si>
  <si>
    <t>FEV</t>
  </si>
  <si>
    <t>MAR</t>
  </si>
  <si>
    <t>ABR</t>
  </si>
  <si>
    <t>MAI</t>
  </si>
  <si>
    <t>JUN</t>
  </si>
  <si>
    <t>AMPLIAÇÃO E REFORMA DO PRÉDIO DO LEGISLATIVO - Projetado</t>
  </si>
  <si>
    <t>ATIVIDADES LEGISLATIVAS - Projetado</t>
  </si>
  <si>
    <t>CONSTRUÇÃO DA NOVA SEDE DO LEGISLATIVO - Projetado</t>
  </si>
  <si>
    <t>MANUTENÇÃO DOS SERV ADMINISTRATIVOS - Projetado</t>
  </si>
  <si>
    <t>Orçado (%)</t>
  </si>
  <si>
    <t>Empenhado (%)</t>
  </si>
  <si>
    <t>Ações</t>
  </si>
  <si>
    <t>MANUTENÇÃO DOS SERV ADMINISTRATIVOS - Empenhado</t>
  </si>
  <si>
    <t>AMPLIAÇÃO E REFORMA DO PRÉDIO DO LEGISLATIVO - Empenhado</t>
  </si>
  <si>
    <t>ATIVIDADES LEGISLATIVAS - Empenhado</t>
  </si>
  <si>
    <t>Liquidado</t>
  </si>
  <si>
    <t>Projetado - por ação (Distribuição normal)</t>
  </si>
  <si>
    <t>Total Empenhado</t>
  </si>
  <si>
    <t>Saldo a Empenhar</t>
  </si>
  <si>
    <t>Total Empenhado (%)</t>
  </si>
  <si>
    <t>Saldo a Empenhar (%)</t>
  </si>
  <si>
    <t>EMPENHADO</t>
  </si>
  <si>
    <t>Soma de Orçado Atualizado</t>
  </si>
  <si>
    <t>EMPENHADO (%)</t>
  </si>
  <si>
    <t>MANUTENÇÃO DOS SERVIÇOS ADMINISTRATIVOS</t>
  </si>
  <si>
    <t>CONTRATO</t>
  </si>
  <si>
    <t>DESCRIÇÃO</t>
  </si>
  <si>
    <t>2/2019</t>
  </si>
  <si>
    <t>5/2020</t>
  </si>
  <si>
    <t>1/2021</t>
  </si>
  <si>
    <t>2/2021</t>
  </si>
  <si>
    <t>3/2021</t>
  </si>
  <si>
    <t>6/2021</t>
  </si>
  <si>
    <t>7/2021</t>
  </si>
  <si>
    <t>8/2021</t>
  </si>
  <si>
    <t>15/2021</t>
  </si>
  <si>
    <t>18/2021</t>
  </si>
  <si>
    <t>3/2022</t>
  </si>
  <si>
    <t>10/2022</t>
  </si>
  <si>
    <t>01/2023</t>
  </si>
  <si>
    <t>04/2023</t>
  </si>
  <si>
    <t>05/2023</t>
  </si>
  <si>
    <t>06/2023</t>
  </si>
  <si>
    <t>07/2023</t>
  </si>
  <si>
    <t>09/2023</t>
  </si>
  <si>
    <t>10/2023</t>
  </si>
  <si>
    <t>11/2023</t>
  </si>
  <si>
    <t>12/2023</t>
  </si>
  <si>
    <t>ITEM</t>
  </si>
  <si>
    <t>FIM</t>
  </si>
  <si>
    <t>ÁREA</t>
  </si>
  <si>
    <t>RESPONSÁVEL</t>
  </si>
  <si>
    <t xml:space="preserve">  ESTIMATIVA DE VALOR</t>
  </si>
  <si>
    <t>GRAU DE PRIORIDADE</t>
  </si>
  <si>
    <t>Coordenadoria de Transportes</t>
  </si>
  <si>
    <t>Stewies Giannini Ramos</t>
  </si>
  <si>
    <t>Locação de imóvel consistente de 50% equivalente a 464m² de um terreno de 928m², situado à Rua Batista Cepelos, 119, Centro, Município de Cotia - SP, CEP 06700-130</t>
  </si>
  <si>
    <t>Alto</t>
  </si>
  <si>
    <t>Prestação de Serviços de Transporte mediante locação de veículos</t>
  </si>
  <si>
    <t>Diretoria Parlamentar</t>
  </si>
  <si>
    <t>Eliana Furtuoso De Melo</t>
  </si>
  <si>
    <t>Prestação de serviços técnicos de informática na área legislativa</t>
  </si>
  <si>
    <t>Diretoria de Finanças</t>
  </si>
  <si>
    <t>Marilda Amélia Martins De Paula</t>
  </si>
  <si>
    <t>Serviços bancários (TED´s, Transferências Bancárias, pagamento de boletos, guias da previdência social, etc)</t>
  </si>
  <si>
    <t xml:space="preserve"> - </t>
  </si>
  <si>
    <t>Coordenadoria de Patrimônio, Almoxarifado e Manutenção</t>
  </si>
  <si>
    <t>Moises Vinicius Terleschi Silva</t>
  </si>
  <si>
    <t>Contratação de empresa especializada para prestação de Serviços de Telefonia Fixa Comutada - STFC</t>
  </si>
  <si>
    <t>Diretoria de Recursos Humanos</t>
  </si>
  <si>
    <t>Letícia Cristina Branco De Oliveira</t>
  </si>
  <si>
    <t>Prestação de serviços de processamento e gerenciamento de créditos provenientes da Folha de Pagamento de vencimentos dos servidores (ativos, inativos e pensionistas) e subsídios dos agentes políticos (vereadores) da CONTRATANTE, em caráter de exclusividade e sem ônus.</t>
  </si>
  <si>
    <t>Prestação de serviço de impressão e reprografia corporativa, por meio de disponibilidade de equipamentos multifuncionais</t>
  </si>
  <si>
    <t>Diretoria de Comunicação Institucional, Tecnologia e Gestão de Dados</t>
  </si>
  <si>
    <t>Diego Félix Teixeira</t>
  </si>
  <si>
    <t>09/112024</t>
  </si>
  <si>
    <t>Contratação de Prestação de Serviços de Locação de Computadores Desktops, Notebooks e Nobreaks (novos e sem uso anterior), inclusa manutenção necessária para o perfeito funcionamento, para uso dos setores administrativos e gabinetes da Câmara Municipal de Cotia.</t>
  </si>
  <si>
    <t>Contratação de empresa especializada no fornecimento de sistemas de gestão e controles automáticos integrados dedicados aos expedientes (SIGCAE), para locação, manutenção, suporte e operação.</t>
  </si>
  <si>
    <t>Diretoria de Licitações, Compras e Contratos</t>
  </si>
  <si>
    <t>Prestação de serviço de publicações em jornal</t>
  </si>
  <si>
    <t>Prestação de serviços de administração, gerenciamento, emissão e fornecimento de cartões para aquisição de refeições</t>
  </si>
  <si>
    <t>Prestação de Serviços de gerenciamento do abastecimento de combustíveis de veículos por postos credenciados.</t>
  </si>
  <si>
    <t>Procuradoria Legislativa</t>
  </si>
  <si>
    <t>Durval Rosa Borges Junior</t>
  </si>
  <si>
    <t>Prestação de serviços de recortes e envio de publicações.</t>
  </si>
  <si>
    <t>Prestação de Serviços de publicação de atos oficiais.</t>
  </si>
  <si>
    <t>Coordenadoria de Arquivo</t>
  </si>
  <si>
    <t>Gustavo Henrique De Oliveira Santos</t>
  </si>
  <si>
    <t>Prestação de Serviços de Encadernação de Documentos</t>
  </si>
  <si>
    <t>Seguro de acidente pessoal</t>
  </si>
  <si>
    <t>Prestação de serviços de transcrição das sessões e eventos da Câmara Municipal</t>
  </si>
  <si>
    <t>Locação de 1 (um) Grupo Gerador 159KVA</t>
  </si>
  <si>
    <t>Prestação de serviço de manutenção em sistema de telefonia.</t>
  </si>
  <si>
    <t>Fornecimento de Revista Eletrônica</t>
  </si>
  <si>
    <t>Coordenadoria de Copa</t>
  </si>
  <si>
    <t>Luciene Moraes Da Silva Biano</t>
  </si>
  <si>
    <t>Prestação de serviço de lavagem de toalhas de mesa e cortinas</t>
  </si>
  <si>
    <t>Aquisição parcelada de água mineral</t>
  </si>
  <si>
    <t>Aquisição parcelada de gás GLP</t>
  </si>
  <si>
    <t>11/2024</t>
  </si>
  <si>
    <t>02/2023</t>
  </si>
  <si>
    <t>03/2023</t>
  </si>
  <si>
    <t>08/2022</t>
  </si>
  <si>
    <t>PROCESSO</t>
  </si>
  <si>
    <t>SETOR RESPONSÁVEL</t>
  </si>
  <si>
    <t>JUSTIFICATIVA DA NECESSIDADE DE CONTRATAÇÃO</t>
  </si>
  <si>
    <t>ESTIMATIVA PRELIMINAR DO VALOR</t>
  </si>
  <si>
    <t>Aquisição de novos relógios de ponto</t>
  </si>
  <si>
    <t>Substituição de equipamentos problemáticos utilizados na conferência de frequência dos servidores da Casa.</t>
  </si>
  <si>
    <t>Manutenção predial corrente do bem imóvel - Serviços de pintura</t>
  </si>
  <si>
    <t>Coordenadoria de Patrimônio e Manutenção</t>
  </si>
  <si>
    <t>Pintura externa, interna e dos componentes do edifício da Câmara Municipal (itens de madeira, aço, ferro) em razão de deterioração causada pelo tempo.</t>
  </si>
  <si>
    <t>Diretoria Geral</t>
  </si>
  <si>
    <t>Baixo</t>
  </si>
  <si>
    <t>Presidência</t>
  </si>
  <si>
    <t>Médio</t>
  </si>
  <si>
    <t>Contratação de empresa especializada em realização de concurso público.</t>
  </si>
  <si>
    <t>Preenchimento de cargos efetivos do quadro de pessoal da Câmara Municipal de Cotia visando a manutenção e qualidade dos serviços prestados à população.</t>
  </si>
  <si>
    <t>Aquisição de uniformes</t>
  </si>
  <si>
    <t>Uniformes para as coordenadorias operacionais da Câmara Municipal de Cotia (Almoxarifado, Transportes, Limpeza, Copa, Vigilância e Recepção).</t>
  </si>
  <si>
    <t>Aparelhos de Ar-Condicionado</t>
  </si>
  <si>
    <t>Diretoria Feral</t>
  </si>
  <si>
    <t>Aquisição de aparelhos de ar-condicionado para substituição de equipamentos problemáticos e instalação em ambientes não equipados</t>
  </si>
  <si>
    <t>Serviços Téc. especializados de Sistema de Sonorização.</t>
  </si>
  <si>
    <t>Otimização da infraestrutura de som do plenário, utilizada durante as sessões ordinárias, extraordinárias e eventos do legislativo.</t>
  </si>
  <si>
    <t>Elaboração de Projeto Urbanísitco</t>
  </si>
  <si>
    <t>Projeto de Construção da nova Sede do Poder Legislativo</t>
  </si>
  <si>
    <t>Alto </t>
  </si>
  <si>
    <t>Fornecimento e instalação de módulos organizadores de arquivos deslizantes</t>
  </si>
  <si>
    <t>Otimização da infraestrutura da Coordenadoria de Arquivo para adequada guarda de documentos e processos.</t>
  </si>
  <si>
    <t>Software para imagem</t>
  </si>
  <si>
    <t>Software necessário para uso da Diretoria de Comunicação Institucional para tratamento e edição de imagens.</t>
  </si>
  <si>
    <t>Contratação de Produtora de video institucional</t>
  </si>
  <si>
    <t>Elaboração de material para apresentação institucional da Câmara Municipal e Escola do Parlamento.</t>
  </si>
  <si>
    <t>Aquisição de madeiras para corrimão</t>
  </si>
  <si>
    <t>Manutenção dos corrimões das escadarias do prédio administrativo.</t>
  </si>
  <si>
    <t>Renovação AVCB</t>
  </si>
  <si>
    <t>Contratação de empresa especializada na prestação de assessoria para renovação do Auto de Vistoria do Corpo de Bombeiros -AVCB</t>
  </si>
  <si>
    <t>Substituição de portões e motores elétricos</t>
  </si>
  <si>
    <t>Troca dos motores dos portões de entrada de veículos que, em razão do tempo de uso, apresentam constantes falhas e situações de inoperâncias.</t>
  </si>
  <si>
    <t>Serviço de jardinagem</t>
  </si>
  <si>
    <t>Manutenção da área de jardim da Câmara Municipal de Cotia</t>
  </si>
  <si>
    <t>Aquisição de servidor e access point</t>
  </si>
  <si>
    <t>Aquisição de equipamentos necessários para melhoria e manutenção da infraestrutura de rede e segurança de dados da Câmara Municipal de Cotia.</t>
  </si>
  <si>
    <t>Contratação de agência de viagem</t>
  </si>
  <si>
    <t>Prestação de serviços de agenciamento de viagens de vereadores e servidores designados em missões oficiais.</t>
  </si>
  <si>
    <t>Serviços técnicos de tratamento arquivístico, conversão digital e fornecimento de tecnologia.</t>
  </si>
  <si>
    <t>Implantação de serviços tecnológicos para otimização da gestão arquivística da Câmara Municipal</t>
  </si>
  <si>
    <t>Hospedagem de e-mails</t>
  </si>
  <si>
    <t>Diretoria de Comunicação</t>
  </si>
  <si>
    <t>Necessário a hospedagem em nuvem das caixas postais do domínio.leg devido aumento da demanda de processamento em razão do SIAFIC e da gestão dos links de dados. Garantia da comunicação institucional.</t>
  </si>
  <si>
    <t>Mobiliário (mesas e armários)</t>
  </si>
  <si>
    <t>Necessidade de substituição do mobiliário de 3 (três) gabinetes, em razão de desgaste ocasionado pelo uso.</t>
  </si>
  <si>
    <t>Material Gráfico (livros de protocolo, papel timbrado, pasta processo, bloco memorando e etiquetas)</t>
  </si>
  <si>
    <t>Manutenção de um estoque seguro para o Almoxarifado em atendimento às atividades administrativas da Câmara Municipal de Cotia.</t>
  </si>
  <si>
    <t xml:space="preserve">Papel Higiênico </t>
  </si>
  <si>
    <t>O item em questão constava no Plano Anual de Contratações no setor “Ata de Registro de Preços Vigentes”. Todavia, a aquisição do item foi fracassada durante o Pregão Presencial nº 12/2023, sendo necessário a apresentação de novo processo administrativo para requisição.</t>
  </si>
  <si>
    <t>Freezer</t>
  </si>
  <si>
    <t>Aquisição de 1 unidade de freezer, para o setor de Copa. O equipamento tem objetivo de substituir o atual equipamento lotado no setor, que tem apresentado diversas falhas de funcionamento.</t>
  </si>
  <si>
    <t>Refrigeradores</t>
  </si>
  <si>
    <t>29 unidades de refrigeradores para substituição das unidades dos gabinetes e setores administrativos que, em razão do extenso uso ao longo dos anos, apresentam falhas de funcionamento e alto consumo energético</t>
  </si>
  <si>
    <t>Software Relógio de Ponto</t>
  </si>
  <si>
    <t>Contratação de software para gerenciamento de relógio de ponto</t>
  </si>
  <si>
    <t>Armário de cozinha</t>
  </si>
  <si>
    <t xml:space="preserve">Aquisição de um armário de cozinha para o Setor de Copa em razão do atual patrimônio nº 2082 estar danificado. </t>
  </si>
  <si>
    <t>Liquidificador</t>
  </si>
  <si>
    <t>Aquisição de um liquidificador para o Setor de Copa em razão do atual patrimônio nº 3507 estar danificado.</t>
  </si>
  <si>
    <t>Seguro Predial</t>
  </si>
  <si>
    <t>Garantir a conservação do Patrimônio Público. Considerando a necessidade de assegurar o prédio da Câmara Municipal de Cotia e suas instalações, visto que em caso de eventual ocorrência de sinistro em que a Edilidade esteja coberta, a Administração será indenizada, reduzindo os prejuízos suportados.</t>
  </si>
  <si>
    <t>Dedetização</t>
  </si>
  <si>
    <t>Necessidade de manutenção da salubridade do ambiente no combate de pragas e vetores através de dedetização, desinsetização e desratização, garantindo a higiene e saúde dos servidores, Edis e frequentadores da Edilidade.</t>
  </si>
  <si>
    <t>Garrafas térmicas</t>
  </si>
  <si>
    <t>Troca de garrafas térmicas danificadas para atendimento das rotinas do Setor de Copa visando o pleno funcionamento das atividades inerentes ao Setor.</t>
  </si>
  <si>
    <t>Troca de pisos</t>
  </si>
  <si>
    <t>Garantir a conservação do Patrimônio Público com a devida manutenção dos pisos deteriorados e danificados pelo tempo e uso contínuo. Adequação a real necessidade da Edilidade</t>
  </si>
  <si>
    <t>Extintores</t>
  </si>
  <si>
    <t>Manutenção dos extintores de incêndio visando a plena segurança e garantia de eficiência no combate a incêndios.</t>
  </si>
  <si>
    <t>Locação de imóveis</t>
  </si>
  <si>
    <t>Coordenadoria de Transporte</t>
  </si>
  <si>
    <t>Espaço necessário para guarda de veículos oficiais.</t>
  </si>
  <si>
    <t>Curso de capacitação e treinamento</t>
  </si>
  <si>
    <t>Aperfeiçoamento, capacitação e treinamento visando o investimento na formação e qualificação de agentes públicos para melhor andamento dos trabalhos legislativos e administrativos</t>
  </si>
  <si>
    <t>Armários arquivísticos</t>
  </si>
  <si>
    <t>Armazenamento seguro de documentos.</t>
  </si>
  <si>
    <t>SEQ</t>
  </si>
  <si>
    <t>SITUAÇÃO EM 30/08/2024</t>
  </si>
  <si>
    <t>CONTRATADO</t>
  </si>
  <si>
    <t>NÃO INICIADO</t>
  </si>
  <si>
    <t>EM TRAMITAÇÃO</t>
  </si>
  <si>
    <t>AQUISIÇÕES 2024 - PAC</t>
  </si>
  <si>
    <t>TOTAL</t>
  </si>
  <si>
    <t>Aquisições e Contratações programadas para 2024</t>
  </si>
  <si>
    <t xml:space="preserve"> Status até: 30/08/2024</t>
  </si>
  <si>
    <t>ALTO</t>
  </si>
  <si>
    <t>MÉDIO</t>
  </si>
  <si>
    <t>BAIXO</t>
  </si>
  <si>
    <t>PROGRESSO - Por classificação de prioridade</t>
  </si>
  <si>
    <t>JUL</t>
  </si>
  <si>
    <t>AGO</t>
  </si>
  <si>
    <t>ITENS DO PLANO ANUAL DE CONTRATAÇÕES 2024</t>
  </si>
  <si>
    <t>Certificado Digital</t>
  </si>
  <si>
    <t>Relógio Protocolador</t>
  </si>
  <si>
    <t>Coordenadoria de Protocolo</t>
  </si>
  <si>
    <t>Caixas Plásticas</t>
  </si>
  <si>
    <t>Almoxarifado</t>
  </si>
  <si>
    <t>Aquisição de Cortinas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</si>
</sst>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_-;\-&quot;R$&quot;\ * #,##0_-;_-&quot;R$&quot;\ * &quot;-&quot;??_-;_-@_-"/>
    <numFmt numFmtId="165" formatCode="_-[$R$-416]\ * #,##0.00_-;\-[$R$-416]\ * #,##0.00_-;_-[$R$-416]\ * &quot;-&quot;??_-;_-@_-"/>
    <numFmt numFmtId="166" formatCode="_-* #,##0.0000_-;\-* #,##0.0000_-;_-* &quot;-&quot;??_-;_-@_-"/>
    <numFmt numFmtId="167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8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rgb="FF000000"/>
      <name val="Calibri"/>
      <family val="2"/>
      <scheme val="minor"/>
    </font>
    <font>
      <b/>
      <sz val="8"/>
      <color theme="0"/>
      <name val="Arial"/>
      <family val="2"/>
    </font>
    <font>
      <b/>
      <u/>
      <sz val="14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7">
    <xf numFmtId="0" fontId="0" fillId="0" borderId="0" xfId="0"/>
    <xf numFmtId="44" fontId="0" fillId="0" borderId="0" xfId="2" applyFont="1"/>
    <xf numFmtId="0" fontId="0" fillId="0" borderId="0" xfId="0" applyAlignment="1">
      <alignment horizontal="left"/>
    </xf>
    <xf numFmtId="44" fontId="0" fillId="0" borderId="0" xfId="2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/>
    <xf numFmtId="164" fontId="0" fillId="0" borderId="0" xfId="0" applyNumberFormat="1"/>
    <xf numFmtId="43" fontId="0" fillId="0" borderId="0" xfId="1" applyFont="1" applyAlignment="1">
      <alignment horizontal="center"/>
    </xf>
    <xf numFmtId="43" fontId="0" fillId="0" borderId="0" xfId="1" applyFont="1"/>
    <xf numFmtId="10" fontId="0" fillId="0" borderId="0" xfId="3" applyNumberFormat="1" applyFont="1"/>
    <xf numFmtId="43" fontId="0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/>
    <xf numFmtId="0" fontId="0" fillId="0" borderId="0" xfId="0" applyAlignment="1">
      <alignment horizontal="center" vertical="center"/>
    </xf>
    <xf numFmtId="44" fontId="4" fillId="0" borderId="0" xfId="2" applyFont="1"/>
    <xf numFmtId="44" fontId="5" fillId="0" borderId="0" xfId="2" applyFont="1"/>
    <xf numFmtId="165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/>
    </xf>
    <xf numFmtId="44" fontId="7" fillId="2" borderId="1" xfId="2" applyNumberFormat="1" applyFont="1" applyFill="1" applyBorder="1"/>
    <xf numFmtId="9" fontId="0" fillId="0" borderId="0" xfId="0" applyNumberFormat="1"/>
    <xf numFmtId="165" fontId="0" fillId="0" borderId="0" xfId="0" applyNumberFormat="1"/>
    <xf numFmtId="0" fontId="3" fillId="0" borderId="0" xfId="0" applyFont="1"/>
    <xf numFmtId="0" fontId="9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44" fontId="10" fillId="0" borderId="0" xfId="2" applyFont="1" applyAlignment="1">
      <alignment horizontal="center"/>
    </xf>
    <xf numFmtId="44" fontId="10" fillId="0" borderId="0" xfId="2" applyNumberFormat="1" applyFont="1"/>
    <xf numFmtId="44" fontId="0" fillId="0" borderId="0" xfId="0" applyNumberFormat="1"/>
    <xf numFmtId="0" fontId="0" fillId="3" borderId="0" xfId="0" applyFill="1" applyAlignment="1">
      <alignment horizontal="left"/>
    </xf>
    <xf numFmtId="0" fontId="0" fillId="8" borderId="0" xfId="0" applyFill="1"/>
    <xf numFmtId="43" fontId="0" fillId="8" borderId="0" xfId="1" applyFont="1" applyFill="1"/>
    <xf numFmtId="44" fontId="0" fillId="8" borderId="0" xfId="2" applyFont="1" applyFill="1"/>
    <xf numFmtId="164" fontId="0" fillId="8" borderId="0" xfId="2" applyNumberFormat="1" applyFont="1" applyFill="1"/>
    <xf numFmtId="0" fontId="4" fillId="8" borderId="0" xfId="0" applyFont="1" applyFill="1"/>
    <xf numFmtId="0" fontId="0" fillId="0" borderId="0" xfId="0" applyAlignment="1">
      <alignment horizontal="left" indent="1"/>
    </xf>
    <xf numFmtId="10" fontId="0" fillId="8" borderId="0" xfId="3" applyNumberFormat="1" applyFont="1" applyFill="1"/>
    <xf numFmtId="10" fontId="0" fillId="8" borderId="0" xfId="0" applyNumberFormat="1" applyFill="1"/>
    <xf numFmtId="0" fontId="4" fillId="3" borderId="0" xfId="0" applyFont="1" applyFill="1" applyAlignment="1">
      <alignment horizontal="center"/>
    </xf>
    <xf numFmtId="0" fontId="10" fillId="3" borderId="0" xfId="0" applyFont="1" applyFill="1"/>
    <xf numFmtId="0" fontId="0" fillId="9" borderId="0" xfId="0" applyFill="1"/>
    <xf numFmtId="44" fontId="0" fillId="9" borderId="0" xfId="2" applyFont="1" applyFill="1"/>
    <xf numFmtId="43" fontId="0" fillId="9" borderId="0" xfId="1" applyFont="1" applyFill="1"/>
    <xf numFmtId="0" fontId="0" fillId="3" borderId="0" xfId="0" applyFill="1"/>
    <xf numFmtId="43" fontId="0" fillId="3" borderId="0" xfId="1" applyFont="1" applyFill="1"/>
    <xf numFmtId="0" fontId="0" fillId="3" borderId="0" xfId="0" applyFill="1" applyAlignment="1">
      <alignment horizontal="center"/>
    </xf>
    <xf numFmtId="166" fontId="0" fillId="0" borderId="0" xfId="1" applyNumberFormat="1" applyFont="1" applyAlignment="1">
      <alignment horizontal="center"/>
    </xf>
    <xf numFmtId="0" fontId="11" fillId="11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justify" vertical="center" wrapText="1"/>
    </xf>
    <xf numFmtId="0" fontId="12" fillId="12" borderId="0" xfId="0" applyFont="1" applyFill="1" applyBorder="1" applyAlignment="1">
      <alignment horizontal="justify" vertical="center" wrapText="1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49" fontId="11" fillId="11" borderId="0" xfId="0" applyNumberFormat="1" applyFont="1" applyFill="1" applyBorder="1" applyAlignment="1">
      <alignment horizontal="center" vertical="center" wrapText="1"/>
    </xf>
    <xf numFmtId="0" fontId="11" fillId="11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49" fontId="12" fillId="0" borderId="0" xfId="0" applyNumberFormat="1" applyFont="1" applyBorder="1" applyAlignment="1">
      <alignment horizontal="center" vertical="center"/>
    </xf>
    <xf numFmtId="14" fontId="12" fillId="0" borderId="0" xfId="0" applyNumberFormat="1" applyFont="1" applyBorder="1" applyAlignment="1">
      <alignment horizontal="center" vertical="center"/>
    </xf>
    <xf numFmtId="8" fontId="12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12" borderId="0" xfId="0" applyFont="1" applyFill="1" applyBorder="1" applyAlignment="1">
      <alignment horizontal="center" vertical="center" wrapText="1"/>
    </xf>
    <xf numFmtId="49" fontId="12" fillId="12" borderId="0" xfId="0" applyNumberFormat="1" applyFont="1" applyFill="1" applyBorder="1" applyAlignment="1">
      <alignment horizontal="center" vertical="center"/>
    </xf>
    <xf numFmtId="14" fontId="12" fillId="12" borderId="0" xfId="0" applyNumberFormat="1" applyFont="1" applyFill="1" applyBorder="1" applyAlignment="1">
      <alignment horizontal="center" vertical="center"/>
    </xf>
    <xf numFmtId="8" fontId="12" fillId="12" borderId="0" xfId="0" applyNumberFormat="1" applyFont="1" applyFill="1" applyBorder="1" applyAlignment="1">
      <alignment horizontal="center" vertical="center"/>
    </xf>
    <xf numFmtId="0" fontId="12" fillId="12" borderId="0" xfId="0" applyFont="1" applyFill="1" applyBorder="1" applyAlignment="1">
      <alignment horizontal="center" vertical="center"/>
    </xf>
    <xf numFmtId="44" fontId="4" fillId="0" borderId="0" xfId="2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44" fontId="0" fillId="0" borderId="0" xfId="2" applyFont="1" applyBorder="1"/>
    <xf numFmtId="0" fontId="0" fillId="0" borderId="0" xfId="0" applyBorder="1" applyAlignment="1">
      <alignment horizontal="left"/>
    </xf>
    <xf numFmtId="0" fontId="14" fillId="0" borderId="0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0" fillId="0" borderId="2" xfId="0" applyBorder="1"/>
    <xf numFmtId="44" fontId="0" fillId="0" borderId="2" xfId="2" applyFont="1" applyBorder="1"/>
    <xf numFmtId="0" fontId="0" fillId="13" borderId="0" xfId="0" applyFill="1"/>
    <xf numFmtId="0" fontId="8" fillId="14" borderId="0" xfId="0" applyFont="1" applyFill="1"/>
    <xf numFmtId="0" fontId="0" fillId="0" borderId="0" xfId="0" applyBorder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6" fillId="15" borderId="0" xfId="0" applyFont="1" applyFill="1" applyBorder="1" applyAlignment="1">
      <alignment horizontal="left" vertical="center"/>
    </xf>
    <xf numFmtId="0" fontId="18" fillId="4" borderId="0" xfId="0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 wrapText="1"/>
    </xf>
    <xf numFmtId="44" fontId="18" fillId="4" borderId="0" xfId="2" applyFont="1" applyFill="1" applyBorder="1" applyAlignment="1">
      <alignment horizontal="center" vertical="center" wrapText="1"/>
    </xf>
    <xf numFmtId="167" fontId="0" fillId="0" borderId="0" xfId="3" applyNumberFormat="1" applyFont="1"/>
    <xf numFmtId="0" fontId="3" fillId="18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19" fillId="0" borderId="0" xfId="0" applyFont="1" applyBorder="1" applyAlignment="1">
      <alignment horizontal="center"/>
    </xf>
    <xf numFmtId="0" fontId="2" fillId="10" borderId="0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5" fillId="14" borderId="0" xfId="0" applyFont="1" applyFill="1" applyAlignment="1">
      <alignment horizontal="left"/>
    </xf>
    <xf numFmtId="0" fontId="8" fillId="14" borderId="0" xfId="0" applyFont="1" applyFill="1" applyAlignment="1">
      <alignment horizontal="left"/>
    </xf>
    <xf numFmtId="0" fontId="0" fillId="15" borderId="0" xfId="0" applyFill="1" applyAlignment="1">
      <alignment horizontal="center"/>
    </xf>
    <xf numFmtId="0" fontId="17" fillId="15" borderId="0" xfId="0" applyFont="1" applyFill="1" applyBorder="1" applyAlignment="1">
      <alignment horizontal="left" vertical="center"/>
    </xf>
    <xf numFmtId="0" fontId="3" fillId="18" borderId="0" xfId="0" applyFont="1" applyFill="1" applyAlignment="1">
      <alignment horizontal="center"/>
    </xf>
    <xf numFmtId="0" fontId="8" fillId="17" borderId="0" xfId="0" applyFont="1" applyFill="1" applyAlignment="1">
      <alignment horizontal="center"/>
    </xf>
    <xf numFmtId="0" fontId="2" fillId="17" borderId="0" xfId="0" applyFont="1" applyFill="1" applyAlignment="1">
      <alignment horizontal="center"/>
    </xf>
    <xf numFmtId="10" fontId="0" fillId="0" borderId="0" xfId="3" applyNumberFormat="1" applyFont="1" applyAlignment="1">
      <alignment horizontal="center"/>
    </xf>
    <xf numFmtId="0" fontId="13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 wrapText="1"/>
    </xf>
    <xf numFmtId="0" fontId="0" fillId="3" borderId="0" xfId="0" applyFill="1" applyBorder="1"/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justify" vertical="center"/>
    </xf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justify" vertical="center" wrapText="1"/>
    </xf>
    <xf numFmtId="44" fontId="13" fillId="0" borderId="0" xfId="2" applyFont="1" applyFill="1" applyBorder="1" applyAlignment="1">
      <alignment horizontal="center" vertical="center"/>
    </xf>
    <xf numFmtId="0" fontId="13" fillId="18" borderId="0" xfId="0" applyFont="1" applyFill="1" applyBorder="1" applyAlignment="1">
      <alignment horizontal="center" vertical="center"/>
    </xf>
    <xf numFmtId="0" fontId="13" fillId="18" borderId="0" xfId="0" applyFont="1" applyFill="1" applyBorder="1" applyAlignment="1">
      <alignment horizontal="justify" vertical="center"/>
    </xf>
    <xf numFmtId="0" fontId="13" fillId="18" borderId="0" xfId="0" applyFont="1" applyFill="1" applyBorder="1" applyAlignment="1">
      <alignment vertical="center" wrapText="1"/>
    </xf>
    <xf numFmtId="0" fontId="13" fillId="18" borderId="0" xfId="0" applyFont="1" applyFill="1" applyBorder="1" applyAlignment="1">
      <alignment horizontal="justify" vertical="center" wrapText="1"/>
    </xf>
    <xf numFmtId="44" fontId="13" fillId="18" borderId="0" xfId="2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 wrapText="1"/>
    </xf>
    <xf numFmtId="0" fontId="2" fillId="17" borderId="0" xfId="0" applyFont="1" applyFill="1" applyAlignment="1">
      <alignment horizontal="center" vertic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28"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[DOTAÇÕES ORÇAMENTÁRIAS - ATÉ10092024.xlsx]Tab_Dinamica!Tabela dinâmica1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Orçado x Realizado - Por ação (em milhões de R$)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Tab_Dinamica!$B$3</c:f>
              <c:strCache>
                <c:ptCount val="1"/>
                <c:pt idx="0">
                  <c:v>ORÇADO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Tab_Dinamica!$A$4:$A$8</c:f>
              <c:strCache>
                <c:ptCount val="4"/>
                <c:pt idx="0">
                  <c:v>AMPLIAÇÃO E REFORMA DO PRÉDIO DO LEGISLATIVO</c:v>
                </c:pt>
                <c:pt idx="1">
                  <c:v>ATIVIDADES LEGISLATIVAS</c:v>
                </c:pt>
                <c:pt idx="2">
                  <c:v>CONSTRUÇÃO DA NOVA SEDE DO LEGISLATIVO</c:v>
                </c:pt>
                <c:pt idx="3">
                  <c:v>MANUTENÇÃO DOS SERV ADMINISTRATIVOS</c:v>
                </c:pt>
              </c:strCache>
            </c:strRef>
          </c:cat>
          <c:val>
            <c:numRef>
              <c:f>Tab_Dinamica!$B$4:$B$8</c:f>
              <c:numCache>
                <c:formatCode>_-"R$"\ * #,##0_-;\-"R$"\ * #,##0_-;_-"R$"\ * "-"??_-;_-@_-</c:formatCode>
                <c:ptCount val="4"/>
                <c:pt idx="0">
                  <c:v>550000</c:v>
                </c:pt>
                <c:pt idx="1">
                  <c:v>42570000</c:v>
                </c:pt>
                <c:pt idx="2">
                  <c:v>8500000</c:v>
                </c:pt>
                <c:pt idx="3">
                  <c:v>14130000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4-4F35-96E0-AF848BB34FCA}"/>
            </c:ext>
          </c:extLst>
        </c:ser>
        <c:ser>
          <c:idx val="1"/>
          <c:order val="1"/>
          <c:tx>
            <c:strRef>
              <c:f>Tab_Dinamica!$C$3</c:f>
              <c:strCache>
                <c:ptCount val="1"/>
                <c:pt idx="0">
                  <c:v>EMPENHADO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Tab_Dinamica!$A$4:$A$8</c:f>
              <c:strCache>
                <c:ptCount val="4"/>
                <c:pt idx="0">
                  <c:v>AMPLIAÇÃO E REFORMA DO PRÉDIO DO LEGISLATIVO</c:v>
                </c:pt>
                <c:pt idx="1">
                  <c:v>ATIVIDADES LEGISLATIVAS</c:v>
                </c:pt>
                <c:pt idx="2">
                  <c:v>CONSTRUÇÃO DA NOVA SEDE DO LEGISLATIVO</c:v>
                </c:pt>
                <c:pt idx="3">
                  <c:v>MANUTENÇÃO DOS SERV ADMINISTRATIVOS</c:v>
                </c:pt>
              </c:strCache>
            </c:strRef>
          </c:cat>
          <c:val>
            <c:numRef>
              <c:f>Tab_Dinamica!$C$4:$C$8</c:f>
              <c:numCache>
                <c:formatCode>_-"R$"\ * #,##0_-;\-"R$"\ * #,##0_-;_-"R$"\ * "-"??_-;_-@_-</c:formatCode>
                <c:ptCount val="4"/>
                <c:pt idx="0">
                  <c:v>190475</c:v>
                </c:pt>
                <c:pt idx="1">
                  <c:v>25189707.930000003</c:v>
                </c:pt>
                <c:pt idx="2">
                  <c:v>0</c:v>
                </c:pt>
                <c:pt idx="3">
                  <c:v>9471076.9300000016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4-4F35-96E0-AF848BB3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28591"/>
        <c:axId val="89823855"/>
      </c:barChart>
      <c:catAx>
        <c:axId val="9192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823855"/>
        <c:crosses val="autoZero"/>
        <c:auto val="1"/>
        <c:lblAlgn val="ctr"/>
        <c:lblOffset val="100"/>
        <c:noMultiLvlLbl val="0"/>
      </c:catAx>
      <c:valAx>
        <c:axId val="89823855"/>
        <c:scaling>
          <c:orientation val="minMax"/>
        </c:scaling>
        <c:delete val="1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crossAx val="9192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A5-4558-A574-61D4A366631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A5-4558-A574-61D4A36663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'PAC - Novas Aquisições (saldos)'!$B$6:$B$8</c:f>
              <c:strCache>
                <c:ptCount val="3"/>
                <c:pt idx="0">
                  <c:v>CONTRATADO</c:v>
                </c:pt>
                <c:pt idx="1">
                  <c:v>NÃO INICIADO</c:v>
                </c:pt>
                <c:pt idx="2">
                  <c:v>EM TRAMITAÇÃO</c:v>
                </c:pt>
              </c:strCache>
            </c:strRef>
          </c:cat>
          <c:val>
            <c:numRef>
              <c:f>'PAC - Novas Aquisições (saldos)'!$C$6:$C$8</c:f>
              <c:numCache>
                <c:formatCode>General</c:formatCode>
                <c:ptCount val="3"/>
                <c:pt idx="0">
                  <c:v>21</c:v>
                </c:pt>
                <c:pt idx="1">
                  <c:v>13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A5-4558-A574-61D4A36663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25"/>
        <c:axId val="1719640879"/>
        <c:axId val="1718813247"/>
      </c:barChart>
      <c:catAx>
        <c:axId val="17196408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18813247"/>
        <c:crosses val="autoZero"/>
        <c:auto val="1"/>
        <c:lblAlgn val="ctr"/>
        <c:lblOffset val="100"/>
        <c:noMultiLvlLbl val="0"/>
      </c:catAx>
      <c:valAx>
        <c:axId val="17188132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1964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1423321176065816E-2"/>
          <c:y val="0.13930555555555554"/>
          <c:w val="0.89274564440420556"/>
          <c:h val="0.7038651939340915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BBA-451C-93CC-3DC1C6F0B8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BBA-451C-93CC-3DC1C6F0B8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BBA-451C-93CC-3DC1C6F0B8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'PAC - Novas Aquisições (saldos)'!$B$27:$B$29</c:f>
              <c:strCache>
                <c:ptCount val="3"/>
                <c:pt idx="0">
                  <c:v>CONTRATADO</c:v>
                </c:pt>
                <c:pt idx="1">
                  <c:v>NÃO INICIADO</c:v>
                </c:pt>
                <c:pt idx="2">
                  <c:v>EM TRAMITAÇÃO</c:v>
                </c:pt>
              </c:strCache>
            </c:strRef>
          </c:cat>
          <c:val>
            <c:numRef>
              <c:f>'PAC - Novas Aquisições (saldos)'!$D$27:$D$29</c:f>
              <c:numCache>
                <c:formatCode>0.00%</c:formatCode>
                <c:ptCount val="3"/>
                <c:pt idx="0">
                  <c:v>0.80890218171452721</c:v>
                </c:pt>
                <c:pt idx="1">
                  <c:v>4.012825338715037E-2</c:v>
                </c:pt>
                <c:pt idx="2">
                  <c:v>0.15096956489832236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BA-451C-93CC-3DC1C6F0B8D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EB2-4F20-8EFA-67B8099AD0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EB2-4F20-8EFA-67B8099AD0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EB2-4F20-8EFA-67B8099AD0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'PAC - Novas Aquisições (saldos)'!$B$37:$B$39</c:f>
              <c:strCache>
                <c:ptCount val="3"/>
                <c:pt idx="0">
                  <c:v>CONTRATADO</c:v>
                </c:pt>
                <c:pt idx="1">
                  <c:v>NÃO INICIADO</c:v>
                </c:pt>
                <c:pt idx="2">
                  <c:v>EM TRAMITAÇÃO</c:v>
                </c:pt>
              </c:strCache>
            </c:strRef>
          </c:cat>
          <c:val>
            <c:numRef>
              <c:f>'PAC - Novas Aquisições (saldos)'!$D$37:$D$39</c:f>
              <c:numCache>
                <c:formatCode>0.00%</c:formatCode>
                <c:ptCount val="3"/>
                <c:pt idx="0">
                  <c:v>0.26245124055115387</c:v>
                </c:pt>
                <c:pt idx="1">
                  <c:v>0.15487640712008924</c:v>
                </c:pt>
                <c:pt idx="2">
                  <c:v>0.5826723523287568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B2-4F20-8EFA-67B8099AD0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50" b="1"/>
              <a:t>Ampliação</a:t>
            </a:r>
            <a:r>
              <a:rPr lang="pt-BR" sz="1050" b="1" baseline="0"/>
              <a:t> e Reforma do Prédio do Legislativo</a:t>
            </a:r>
          </a:p>
          <a:p>
            <a:pPr>
              <a:defRPr sz="1050"/>
            </a:pPr>
            <a:r>
              <a:rPr lang="pt-BR" sz="1050" baseline="0"/>
              <a:t>Orçado x Realizado (em milhares de R$)</a:t>
            </a:r>
            <a:endParaRPr lang="pt-BR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Tab_Dinamica!$D$14</c:f>
              <c:strCache>
                <c:ptCount val="1"/>
                <c:pt idx="0">
                  <c:v>AMPLIAÇÃO E REFORMA DO PRÉDIO DO LEGISLATIVO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Tab_Dinamica!$D$24:$K$24</c:f>
              <c:strCache>
                <c:ptCount val="8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</c:strCache>
            </c:strRef>
          </c:cat>
          <c:val>
            <c:numRef>
              <c:f>Tab_Dinamica!$E$14:$L$14</c:f>
              <c:numCache>
                <c:formatCode>_-"R$"\ * #,##0_-;\-"R$"\ * #,##0_-;_-"R$"\ * "-"??_-;_-@_-</c:formatCode>
                <c:ptCount val="8"/>
                <c:pt idx="0">
                  <c:v>23809.375</c:v>
                </c:pt>
                <c:pt idx="1">
                  <c:v>47618.75</c:v>
                </c:pt>
                <c:pt idx="2">
                  <c:v>71428.125</c:v>
                </c:pt>
                <c:pt idx="3">
                  <c:v>95237.5</c:v>
                </c:pt>
                <c:pt idx="4">
                  <c:v>119046.875</c:v>
                </c:pt>
                <c:pt idx="5">
                  <c:v>142856.25</c:v>
                </c:pt>
                <c:pt idx="6">
                  <c:v>166665.625</c:v>
                </c:pt>
                <c:pt idx="7">
                  <c:v>190475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3-4E7D-8BBE-9E44EBA164D4}"/>
            </c:ext>
          </c:extLst>
        </c:ser>
        <c:ser>
          <c:idx val="0"/>
          <c:order val="1"/>
          <c:tx>
            <c:strRef>
              <c:f>Tab_Dinamica!$A$25</c:f>
              <c:strCache>
                <c:ptCount val="1"/>
                <c:pt idx="0">
                  <c:v>AMPLIAÇÃO E REFORMA DO PRÉDIO DO LEGISLATIVO - Projetado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Tab_Dinamica!$D$24:$K$24</c:f>
              <c:strCache>
                <c:ptCount val="8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</c:strCache>
            </c:strRef>
          </c:cat>
          <c:val>
            <c:numRef>
              <c:f>Tab_Dinamica!$D$25:$K$25</c:f>
              <c:numCache>
                <c:formatCode>_-"R$"\ * #,##0_-;\-"R$"\ * #,##0_-;_-"R$"\ * "-"??_-;_-@_-</c:formatCode>
                <c:ptCount val="8"/>
                <c:pt idx="0">
                  <c:v>45833.333333333336</c:v>
                </c:pt>
                <c:pt idx="1">
                  <c:v>91666.666666666672</c:v>
                </c:pt>
                <c:pt idx="2">
                  <c:v>137500</c:v>
                </c:pt>
                <c:pt idx="3">
                  <c:v>183333.33333333334</c:v>
                </c:pt>
                <c:pt idx="4">
                  <c:v>229166.66666666669</c:v>
                </c:pt>
                <c:pt idx="5">
                  <c:v>275000</c:v>
                </c:pt>
                <c:pt idx="6">
                  <c:v>320833.33333333337</c:v>
                </c:pt>
                <c:pt idx="7">
                  <c:v>366666.66666666669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3-4E7D-8BBE-9E44EBA16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968335"/>
        <c:axId val="324858159"/>
      </c:lineChart>
      <c:catAx>
        <c:axId val="31296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858159"/>
        <c:crosses val="autoZero"/>
        <c:auto val="1"/>
        <c:lblAlgn val="ctr"/>
        <c:lblOffset val="100"/>
        <c:noMultiLvlLbl val="0"/>
      </c:catAx>
      <c:valAx>
        <c:axId val="324858159"/>
        <c:scaling>
          <c:orientation val="minMax"/>
          <c:max val="4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968335"/>
        <c:crosses val="autoZero"/>
        <c:crossBetween val="between"/>
        <c:majorUnit val="20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50" b="1"/>
              <a:t>Atividades</a:t>
            </a:r>
            <a:r>
              <a:rPr lang="pt-BR" sz="1050" b="1" baseline="0"/>
              <a:t> Legislativas</a:t>
            </a:r>
          </a:p>
          <a:p>
            <a:pPr>
              <a:defRPr sz="1050"/>
            </a:pPr>
            <a:r>
              <a:rPr lang="pt-BR" sz="1050" baseline="0"/>
              <a:t>Orçado x Realizado (em milhões de R$)</a:t>
            </a:r>
            <a:endParaRPr lang="pt-BR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Tab_Dinamica!$D$15</c:f>
              <c:strCache>
                <c:ptCount val="1"/>
                <c:pt idx="0">
                  <c:v>ATIVIDADES LEGISLATIVAS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Tab_Dinamica!$E$13:$L$13</c:f>
              <c:strCache>
                <c:ptCount val="8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</c:strCache>
            </c:strRef>
          </c:cat>
          <c:val>
            <c:numRef>
              <c:f>Tab_Dinamica!$E$15:$L$15</c:f>
              <c:numCache>
                <c:formatCode>_-"R$"\ * #,##0_-;\-"R$"\ * #,##0_-;_-"R$"\ * "-"??_-;_-@_-</c:formatCode>
                <c:ptCount val="8"/>
                <c:pt idx="0">
                  <c:v>3148713.4912500004</c:v>
                </c:pt>
                <c:pt idx="1">
                  <c:v>6297426.9825000009</c:v>
                </c:pt>
                <c:pt idx="2">
                  <c:v>9446140.4737500008</c:v>
                </c:pt>
                <c:pt idx="3">
                  <c:v>12594853.965000002</c:v>
                </c:pt>
                <c:pt idx="4">
                  <c:v>15743567.456250003</c:v>
                </c:pt>
                <c:pt idx="5">
                  <c:v>18892280.947500002</c:v>
                </c:pt>
                <c:pt idx="6">
                  <c:v>22040994.438750003</c:v>
                </c:pt>
                <c:pt idx="7">
                  <c:v>25189707.930000003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F-4E08-B2FB-9FB163C921F1}"/>
            </c:ext>
          </c:extLst>
        </c:ser>
        <c:ser>
          <c:idx val="0"/>
          <c:order val="1"/>
          <c:tx>
            <c:strRef>
              <c:f>Tab_Dinamica!$A$26</c:f>
              <c:strCache>
                <c:ptCount val="1"/>
                <c:pt idx="0">
                  <c:v>ATIVIDADES LEGISLATIVAS - Projetado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Tab_Dinamica!$E$13:$L$13</c:f>
              <c:strCache>
                <c:ptCount val="8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</c:strCache>
            </c:strRef>
          </c:cat>
          <c:val>
            <c:numRef>
              <c:f>Tab_Dinamica!$D$26:$K$26</c:f>
              <c:numCache>
                <c:formatCode>_-"R$"\ * #,##0_-;\-"R$"\ * #,##0_-;_-"R$"\ * "-"??_-;_-@_-</c:formatCode>
                <c:ptCount val="8"/>
                <c:pt idx="0">
                  <c:v>3547500</c:v>
                </c:pt>
                <c:pt idx="1">
                  <c:v>7095000</c:v>
                </c:pt>
                <c:pt idx="2">
                  <c:v>10642500</c:v>
                </c:pt>
                <c:pt idx="3">
                  <c:v>14190000</c:v>
                </c:pt>
                <c:pt idx="4">
                  <c:v>17737500</c:v>
                </c:pt>
                <c:pt idx="5">
                  <c:v>21285000</c:v>
                </c:pt>
                <c:pt idx="6">
                  <c:v>24832500</c:v>
                </c:pt>
                <c:pt idx="7">
                  <c:v>28380000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F-4E08-B2FB-9FB163C92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968335"/>
        <c:axId val="324858159"/>
      </c:lineChart>
      <c:catAx>
        <c:axId val="31296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858159"/>
        <c:crosses val="autoZero"/>
        <c:auto val="1"/>
        <c:lblAlgn val="ctr"/>
        <c:lblOffset val="100"/>
        <c:tickMarkSkip val="1"/>
        <c:noMultiLvlLbl val="0"/>
      </c:catAx>
      <c:valAx>
        <c:axId val="324858159"/>
        <c:scaling>
          <c:orientation val="minMax"/>
          <c:max val="3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968335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144121786475511"/>
          <c:y val="0.80319683423360511"/>
          <c:w val="0.57831679819582726"/>
          <c:h val="0.16146929546952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50" b="1"/>
              <a:t>Manutenção dos Serviços Administrativos</a:t>
            </a:r>
            <a:endParaRPr lang="pt-BR" sz="1050" b="1" baseline="0"/>
          </a:p>
          <a:p>
            <a:pPr>
              <a:defRPr sz="1050"/>
            </a:pPr>
            <a:r>
              <a:rPr lang="pt-BR" sz="1050" baseline="0"/>
              <a:t>Orçado x Realizado (em milhões de R$)</a:t>
            </a:r>
            <a:endParaRPr lang="pt-BR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Tab_Dinamica!$D$17</c:f>
              <c:strCache>
                <c:ptCount val="1"/>
                <c:pt idx="0">
                  <c:v>MANUTENÇÃO DOS SERV ADMINISTRATIVOS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Tab_Dinamica!$E$13:$L$13</c:f>
              <c:strCache>
                <c:ptCount val="8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</c:strCache>
            </c:strRef>
          </c:cat>
          <c:val>
            <c:numRef>
              <c:f>Tab_Dinamica!$E$17:$L$17</c:f>
              <c:numCache>
                <c:formatCode>_-"R$"\ * #,##0_-;\-"R$"\ * #,##0_-;_-"R$"\ * "-"??_-;_-@_-</c:formatCode>
                <c:ptCount val="8"/>
                <c:pt idx="0">
                  <c:v>1183884.6162500002</c:v>
                </c:pt>
                <c:pt idx="1">
                  <c:v>2367769.2325000004</c:v>
                </c:pt>
                <c:pt idx="2">
                  <c:v>3551653.8487500008</c:v>
                </c:pt>
                <c:pt idx="3">
                  <c:v>4735538.4650000008</c:v>
                </c:pt>
                <c:pt idx="4">
                  <c:v>5919423.0812500007</c:v>
                </c:pt>
                <c:pt idx="5">
                  <c:v>7103307.6975000016</c:v>
                </c:pt>
                <c:pt idx="6">
                  <c:v>8287192.3137500016</c:v>
                </c:pt>
                <c:pt idx="7">
                  <c:v>9471076.9300000016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6-4A9B-9DCB-DB788D7686D9}"/>
            </c:ext>
          </c:extLst>
        </c:ser>
        <c:ser>
          <c:idx val="0"/>
          <c:order val="1"/>
          <c:tx>
            <c:strRef>
              <c:f>Tab_Dinamica!$A$28</c:f>
              <c:strCache>
                <c:ptCount val="1"/>
                <c:pt idx="0">
                  <c:v>MANUTENÇÃO DOS SERV ADMINISTRATIVOS - Projetado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Tab_Dinamica!$E$13:$L$13</c:f>
              <c:strCache>
                <c:ptCount val="8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</c:strCache>
            </c:strRef>
          </c:cat>
          <c:val>
            <c:numRef>
              <c:f>Tab_Dinamica!$D$28:$K$28</c:f>
              <c:numCache>
                <c:formatCode>_-"R$"\ * #,##0_-;\-"R$"\ * #,##0_-;_-"R$"\ * "-"??_-;_-@_-</c:formatCode>
                <c:ptCount val="8"/>
                <c:pt idx="0">
                  <c:v>1177500</c:v>
                </c:pt>
                <c:pt idx="1">
                  <c:v>2355000</c:v>
                </c:pt>
                <c:pt idx="2">
                  <c:v>3532500</c:v>
                </c:pt>
                <c:pt idx="3">
                  <c:v>4710000</c:v>
                </c:pt>
                <c:pt idx="4">
                  <c:v>5887500</c:v>
                </c:pt>
                <c:pt idx="5">
                  <c:v>7065000</c:v>
                </c:pt>
                <c:pt idx="6">
                  <c:v>8242500</c:v>
                </c:pt>
                <c:pt idx="7">
                  <c:v>9420000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6-4A9B-9DCB-DB788D768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968335"/>
        <c:axId val="324858159"/>
      </c:lineChart>
      <c:catAx>
        <c:axId val="31296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858159"/>
        <c:crosses val="autoZero"/>
        <c:auto val="1"/>
        <c:lblAlgn val="ctr"/>
        <c:lblOffset val="100"/>
        <c:noMultiLvlLbl val="0"/>
      </c:catAx>
      <c:valAx>
        <c:axId val="324858159"/>
        <c:scaling>
          <c:orientation val="minMax"/>
          <c:max val="1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968335"/>
        <c:crosses val="autoZero"/>
        <c:crossBetween val="between"/>
        <c:majorUnit val="5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9132683055657893"/>
          <c:w val="1"/>
          <c:h val="0.62425450912316216"/>
        </c:manualLayout>
      </c:layout>
      <c:pie3DChart>
        <c:varyColors val="1"/>
        <c:ser>
          <c:idx val="2"/>
          <c:order val="0"/>
          <c:tx>
            <c:strRef>
              <c:f>Tab_Dinamica!$D$35</c:f>
              <c:strCache>
                <c:ptCount val="1"/>
                <c:pt idx="0">
                  <c:v>AMPLIAÇÃO E REFORMA DO PRÉDIO DO LEGISLATIVO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165-47D3-85A9-2B521EFC5B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165-47D3-85A9-2B521EFC5B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>
                      <a:noFill/>
                    </a:ln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Tab_Dinamica!$G$34:$H$34</c:f>
              <c:strCache>
                <c:ptCount val="2"/>
                <c:pt idx="0">
                  <c:v>Total Empenhado (%)</c:v>
                </c:pt>
                <c:pt idx="1">
                  <c:v>Saldo a Empenhar (%)</c:v>
                </c:pt>
              </c:strCache>
            </c:strRef>
          </c:cat>
          <c:val>
            <c:numRef>
              <c:f>Tab_Dinamica!$G$35:$H$35</c:f>
              <c:numCache>
                <c:formatCode>0.00%</c:formatCode>
                <c:ptCount val="2"/>
                <c:pt idx="0">
                  <c:v>0.3463181818181818</c:v>
                </c:pt>
                <c:pt idx="1">
                  <c:v>0.65368181818181825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5-47D3-85A9-2B521EFC5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6835386328732913"/>
          <c:w val="1"/>
          <c:h val="0.64722747639241207"/>
        </c:manualLayout>
      </c:layout>
      <c:pie3DChart>
        <c:varyColors val="1"/>
        <c:ser>
          <c:idx val="1"/>
          <c:order val="0"/>
          <c:tx>
            <c:strRef>
              <c:f>Tab_Dinamica!$D$36</c:f>
              <c:strCache>
                <c:ptCount val="1"/>
                <c:pt idx="0">
                  <c:v>ATIVIDADES LEGISLATIVAS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Tab_Dinamica!$G$34:$H$34</c:f>
              <c:strCache>
                <c:ptCount val="2"/>
                <c:pt idx="0">
                  <c:v>Total Empenhado (%)</c:v>
                </c:pt>
                <c:pt idx="1">
                  <c:v>Saldo a Empenhar (%)</c:v>
                </c:pt>
              </c:strCache>
            </c:strRef>
          </c:cat>
          <c:val>
            <c:numRef>
              <c:f>Tab_Dinamica!$G$36:$H$36</c:f>
              <c:numCache>
                <c:formatCode>0.00%</c:formatCode>
                <c:ptCount val="2"/>
                <c:pt idx="0">
                  <c:v>0.59172440521494019</c:v>
                </c:pt>
                <c:pt idx="1">
                  <c:v>0.40827559478505981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E3E-4DAD-B9B5-23F8AB8812AF}"/>
            </c:ext>
          </c:extLst>
        </c:ser>
        <c:ser>
          <c:idx val="3"/>
          <c:order val="1"/>
          <c:tx>
            <c:strRef>
              <c:f>Tab_Dinamica!$D$36</c:f>
              <c:strCache>
                <c:ptCount val="1"/>
                <c:pt idx="0">
                  <c:v>ATIVIDADES LEGISLATIVAS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7E3E-4DAD-B9B5-23F8AB8812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E3E-4DAD-B9B5-23F8AB8812A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Tab_Dinamica!$G$34:$H$34</c:f>
              <c:strCache>
                <c:ptCount val="2"/>
                <c:pt idx="0">
                  <c:v>Total Empenhado (%)</c:v>
                </c:pt>
                <c:pt idx="1">
                  <c:v>Saldo a Empenhar (%)</c:v>
                </c:pt>
              </c:strCache>
            </c:strRef>
          </c:cat>
          <c:val>
            <c:numRef>
              <c:f>Tab_Dinamica!$G$36:$H$36</c:f>
              <c:numCache>
                <c:formatCode>0.00%</c:formatCode>
                <c:ptCount val="2"/>
                <c:pt idx="0">
                  <c:v>0.59172440521494019</c:v>
                </c:pt>
                <c:pt idx="1">
                  <c:v>0.40827559478505981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E3E-4DAD-B9B5-23F8AB8812AF}"/>
            </c:ext>
          </c:extLst>
        </c:ser>
        <c:ser>
          <c:idx val="0"/>
          <c:order val="2"/>
          <c:tx>
            <c:strRef>
              <c:f>Tab_Dinamica!$D$36</c:f>
              <c:strCache>
                <c:ptCount val="1"/>
                <c:pt idx="0">
                  <c:v>ATIVIDADES LEGISLATIVAS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Tab_Dinamica!$G$34:$H$34</c:f>
              <c:strCache>
                <c:ptCount val="2"/>
                <c:pt idx="0">
                  <c:v>Total Empenhado (%)</c:v>
                </c:pt>
                <c:pt idx="1">
                  <c:v>Saldo a Empenhar (%)</c:v>
                </c:pt>
              </c:strCache>
            </c:strRef>
          </c:cat>
          <c:val>
            <c:numRef>
              <c:f>Tab_Dinamica!$G$36:$H$36</c:f>
              <c:numCache>
                <c:formatCode>0.00%</c:formatCode>
                <c:ptCount val="2"/>
                <c:pt idx="0">
                  <c:v>0.59172440521494019</c:v>
                </c:pt>
                <c:pt idx="1">
                  <c:v>0.40827559478505981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E3E-4DAD-B9B5-23F8AB8812AF}"/>
            </c:ext>
          </c:extLst>
        </c:ser>
        <c:ser>
          <c:idx val="2"/>
          <c:order val="3"/>
          <c:tx>
            <c:strRef>
              <c:f>Tab_Dinamica!$D$36</c:f>
              <c:strCache>
                <c:ptCount val="1"/>
                <c:pt idx="0">
                  <c:v>ATIVIDADES LEGISLATIVAS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7E3E-4DAD-B9B5-23F8AB8812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7E3E-4DAD-B9B5-23F8AB8812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Tab_Dinamica!$G$34:$H$34</c:f>
              <c:strCache>
                <c:ptCount val="2"/>
                <c:pt idx="0">
                  <c:v>Total Empenhado (%)</c:v>
                </c:pt>
                <c:pt idx="1">
                  <c:v>Saldo a Empenhar (%)</c:v>
                </c:pt>
              </c:strCache>
            </c:strRef>
          </c:cat>
          <c:val>
            <c:numRef>
              <c:f>Tab_Dinamica!$G$36:$H$36</c:f>
              <c:numCache>
                <c:formatCode>0.00%</c:formatCode>
                <c:ptCount val="2"/>
                <c:pt idx="0">
                  <c:v>0.59172440521494019</c:v>
                </c:pt>
                <c:pt idx="1">
                  <c:v>0.40827559478505981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E3E-4DAD-B9B5-23F8AB8812A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900"/>
              <a:t>MANUTENÇÃO DOS SERV ADMINISTRATIVOS</a:t>
            </a:r>
          </a:p>
        </c:rich>
      </c:tx>
      <c:overlay val="0"/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6835386328732913"/>
          <c:w val="1"/>
          <c:h val="0.64722747639241207"/>
        </c:manualLayout>
      </c:layout>
      <c:pie3DChart>
        <c:varyColors val="1"/>
        <c:ser>
          <c:idx val="0"/>
          <c:order val="0"/>
          <c:tx>
            <c:strRef>
              <c:f>Tab_Dinamica!$D$38</c:f>
              <c:strCache>
                <c:ptCount val="1"/>
                <c:pt idx="0">
                  <c:v>MANUTENÇÃO DOS SERV ADMINISTRATIVOS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Tab_Dinamica!$G$34:$H$34</c:f>
              <c:strCache>
                <c:ptCount val="2"/>
                <c:pt idx="0">
                  <c:v>Total Empenhado (%)</c:v>
                </c:pt>
                <c:pt idx="1">
                  <c:v>Saldo a Empenhar (%)</c:v>
                </c:pt>
              </c:strCache>
            </c:strRef>
          </c:cat>
          <c:val>
            <c:numRef>
              <c:f>Tab_Dinamica!$G$38:$H$38</c:f>
              <c:numCache>
                <c:formatCode>0.00%</c:formatCode>
                <c:ptCount val="2"/>
                <c:pt idx="0">
                  <c:v>0.67028145293701358</c:v>
                </c:pt>
                <c:pt idx="1">
                  <c:v>0.32971854706298642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04-4EED-A932-61B94DD514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/>
              <a:t>DETALHAMENTO</a:t>
            </a:r>
            <a:r>
              <a:rPr lang="pt-BR" sz="1200" b="1" baseline="0"/>
              <a:t> DA AÇÃO "</a:t>
            </a:r>
            <a:r>
              <a:rPr lang="pt-BR" sz="1200" b="1"/>
              <a:t>ATIVIDADES</a:t>
            </a:r>
            <a:r>
              <a:rPr lang="pt-BR" sz="1200" b="1" baseline="0"/>
              <a:t> LEGISLATIVAS" </a:t>
            </a:r>
          </a:p>
          <a:p>
            <a:pPr>
              <a:defRPr b="1"/>
            </a:pPr>
            <a:r>
              <a:rPr lang="pt-BR" sz="1100" b="0" baseline="0"/>
              <a:t>% Empenhado por Natureza</a:t>
            </a:r>
            <a:endParaRPr lang="pt-BR" sz="11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31746507752364311"/>
          <c:w val="1"/>
          <c:h val="0.474460053169742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Tab_Dinamica!$H$54</c:f>
              <c:strCache>
                <c:ptCount val="1"/>
                <c:pt idx="0">
                  <c:v>EMPENHADO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95-4BDC-AEC6-8A39E99B1598}"/>
                </c:ext>
              </c:extLst>
            </c:dLbl>
            <c:dLbl>
              <c:idx val="1"/>
              <c:layout>
                <c:manualLayout>
                  <c:x val="0"/>
                  <c:y val="-7.8703703703703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95-4BDC-AEC6-8A39E99B1598}"/>
                </c:ext>
              </c:extLst>
            </c:dLbl>
            <c:dLbl>
              <c:idx val="2"/>
              <c:layout>
                <c:manualLayout>
                  <c:x val="0"/>
                  <c:y val="-6.0185185185185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95-4BDC-AEC6-8A39E99B1598}"/>
                </c:ext>
              </c:extLst>
            </c:dLbl>
            <c:dLbl>
              <c:idx val="3"/>
              <c:layout>
                <c:manualLayout>
                  <c:x val="4.9627482239787213E-3"/>
                  <c:y val="-0.110938917055616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95-4BDC-AEC6-8A39E99B1598}"/>
                </c:ext>
              </c:extLst>
            </c:dLbl>
            <c:dLbl>
              <c:idx val="4"/>
              <c:layout>
                <c:manualLayout>
                  <c:x val="3.3085194375516956E-3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95-4BDC-AEC6-8A39E99B1598}"/>
                </c:ext>
              </c:extLst>
            </c:dLbl>
            <c:dLbl>
              <c:idx val="5"/>
              <c:layout>
                <c:manualLayout>
                  <c:x val="0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95-4BDC-AEC6-8A39E99B1598}"/>
                </c:ext>
              </c:extLst>
            </c:dLbl>
            <c:dLbl>
              <c:idx val="6"/>
              <c:layout>
                <c:manualLayout>
                  <c:x val="6.6170388751032698E-3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95-4BDC-AEC6-8A39E99B159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Tab_Dinamica!$E$55:$E$61</c:f>
              <c:strCache>
                <c:ptCount val="7"/>
                <c:pt idx="0">
                  <c:v> APOSENTADORIA E REFORMAS </c:v>
                </c:pt>
                <c:pt idx="1">
                  <c:v> DESPESAS DE EXERCÍCIOS ANTERIORES </c:v>
                </c:pt>
                <c:pt idx="2">
                  <c:v> INDENIZAÇÕES E RESTITUIÇÕES TRABALHISTAS </c:v>
                </c:pt>
                <c:pt idx="3">
                  <c:v> OBRIGAÇÕES PATRONAIS </c:v>
                </c:pt>
                <c:pt idx="4">
                  <c:v> OUTRAS DESPESAS VARIÁVEIS - PESSOAL CIVIL </c:v>
                </c:pt>
                <c:pt idx="5">
                  <c:v> PENSÕES </c:v>
                </c:pt>
                <c:pt idx="6">
                  <c:v> VENCIMENTOS E VANTAGENS FIXAS - PESSOAL CIVIL </c:v>
                </c:pt>
              </c:strCache>
            </c:strRef>
          </c:cat>
          <c:val>
            <c:numRef>
              <c:f>Tab_Dinamica!$H$55:$H$61</c:f>
              <c:numCache>
                <c:formatCode>0.00%</c:formatCode>
                <c:ptCount val="7"/>
                <c:pt idx="0">
                  <c:v>0.56363193999999994</c:v>
                </c:pt>
                <c:pt idx="1">
                  <c:v>0</c:v>
                </c:pt>
                <c:pt idx="2">
                  <c:v>0</c:v>
                </c:pt>
                <c:pt idx="3">
                  <c:v>0.51939306249999995</c:v>
                </c:pt>
                <c:pt idx="4">
                  <c:v>0.2696289</c:v>
                </c:pt>
                <c:pt idx="5">
                  <c:v>0.48567145714285714</c:v>
                </c:pt>
                <c:pt idx="6">
                  <c:v>0.60562063638888886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5-4BDC-AEC6-8A39E99B15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52812319"/>
        <c:axId val="152431711"/>
        <c:axId val="0"/>
      </c:bar3DChart>
      <c:catAx>
        <c:axId val="25281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431711"/>
        <c:crosses val="autoZero"/>
        <c:auto val="1"/>
        <c:lblAlgn val="ctr"/>
        <c:lblOffset val="100"/>
        <c:noMultiLvlLbl val="0"/>
      </c:catAx>
      <c:valAx>
        <c:axId val="15243171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5281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DETALHAMENTO DA AÇÃO "Manuntenção</a:t>
            </a:r>
            <a:r>
              <a:rPr lang="en-US" sz="1200" b="1" baseline="0"/>
              <a:t> dos Serv. Administrativos"</a:t>
            </a:r>
          </a:p>
          <a:p>
            <a:pPr>
              <a:defRPr/>
            </a:pPr>
            <a:r>
              <a:rPr lang="en-US" sz="1100" baseline="0"/>
              <a:t>% Empenhado por Natureza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Tab_Dinamica!$H$66</c:f>
              <c:strCache>
                <c:ptCount val="1"/>
                <c:pt idx="0">
                  <c:v>EMPENHADO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2564672198090467E-3"/>
                  <c:y val="-5.48386864623291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2C8-45A4-8F1D-A827653CB851}"/>
                </c:ext>
              </c:extLst>
            </c:dLbl>
            <c:dLbl>
              <c:idx val="1"/>
              <c:layout>
                <c:manualLayout>
                  <c:x val="1.2564672198090237E-3"/>
                  <c:y val="-4.87454990776258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2C8-45A4-8F1D-A827653CB851}"/>
                </c:ext>
              </c:extLst>
            </c:dLbl>
            <c:dLbl>
              <c:idx val="2"/>
              <c:layout>
                <c:manualLayout>
                  <c:x val="1.4327854940735141E-3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C8-45A4-8F1D-A827653CB851}"/>
                </c:ext>
              </c:extLst>
            </c:dLbl>
            <c:dLbl>
              <c:idx val="3"/>
              <c:layout>
                <c:manualLayout>
                  <c:x val="8.7952705386633266E-3"/>
                  <c:y val="-8.53046233858450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2C8-45A4-8F1D-A827653CB851}"/>
                </c:ext>
              </c:extLst>
            </c:dLbl>
            <c:dLbl>
              <c:idx val="4"/>
              <c:layout>
                <c:manualLayout>
                  <c:x val="0"/>
                  <c:y val="-7.92114360011419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2C8-45A4-8F1D-A827653CB851}"/>
                </c:ext>
              </c:extLst>
            </c:dLbl>
            <c:dLbl>
              <c:idx val="5"/>
              <c:layout>
                <c:manualLayout>
                  <c:x val="1.2564672198090467E-2"/>
                  <c:y val="-7.31182486164387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2C8-45A4-8F1D-A827653CB851}"/>
                </c:ext>
              </c:extLst>
            </c:dLbl>
            <c:dLbl>
              <c:idx val="6"/>
              <c:layout>
                <c:manualLayout>
                  <c:x val="1.1462283952588113E-2"/>
                  <c:y val="-6.4814814814814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2C8-45A4-8F1D-A827653CB851}"/>
                </c:ext>
              </c:extLst>
            </c:dLbl>
            <c:dLbl>
              <c:idx val="7"/>
              <c:layout>
                <c:manualLayout>
                  <c:x val="4.2983564822204369E-3"/>
                  <c:y val="-6.018518518518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C8-45A4-8F1D-A827653CB851}"/>
                </c:ext>
              </c:extLst>
            </c:dLbl>
            <c:dLbl>
              <c:idx val="8"/>
              <c:layout>
                <c:manualLayout>
                  <c:x val="1.8626211422955685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C8-45A4-8F1D-A827653CB851}"/>
                </c:ext>
              </c:extLst>
            </c:dLbl>
            <c:dLbl>
              <c:idx val="9"/>
              <c:layout>
                <c:manualLayout>
                  <c:x val="8.5967129644410837E-3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C8-45A4-8F1D-A827653CB851}"/>
                </c:ext>
              </c:extLst>
            </c:dLbl>
            <c:dLbl>
              <c:idx val="10"/>
              <c:layout>
                <c:manualLayout>
                  <c:x val="8.5967129644410837E-3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C8-45A4-8F1D-A827653CB851}"/>
                </c:ext>
              </c:extLst>
            </c:dLbl>
            <c:dLbl>
              <c:idx val="11"/>
              <c:layout>
                <c:manualLayout>
                  <c:x val="1.0029498458514493E-2"/>
                  <c:y val="-6.0185185185185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C8-45A4-8F1D-A827653CB8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Tab_Dinamica!$E$67:$E$78</c:f>
              <c:strCache>
                <c:ptCount val="12"/>
                <c:pt idx="0">
                  <c:v> APORTE PARA COBERTURA DO DEFICIT ATUARIAL DO RPPS </c:v>
                </c:pt>
                <c:pt idx="1">
                  <c:v> AUXILIO ALIMENTAÇÃO </c:v>
                </c:pt>
                <c:pt idx="2">
                  <c:v> AUXILIO TRANSPORTE </c:v>
                </c:pt>
                <c:pt idx="3">
                  <c:v> DESPESAS DE EXERCÍCIOS ANTERIORES </c:v>
                </c:pt>
                <c:pt idx="4">
                  <c:v> EQUIPAMENTO E MATERIAL PERMANENTE </c:v>
                </c:pt>
                <c:pt idx="5">
                  <c:v> INDENIZAÇÕES E RESTITUIÇÕES </c:v>
                </c:pt>
                <c:pt idx="6">
                  <c:v> MATERIAL DE CONSUMO </c:v>
                </c:pt>
                <c:pt idx="7">
                  <c:v> OUTROS BENEFÍCIOS ASSIST DO SERVIDOR E DO MILITAR </c:v>
                </c:pt>
                <c:pt idx="8">
                  <c:v> OUTROS SERV DE TERCEIROS - PF </c:v>
                </c:pt>
                <c:pt idx="9">
                  <c:v> OUTROS SERV DE TERCEIROS - PJ </c:v>
                </c:pt>
                <c:pt idx="10">
                  <c:v> SERV DE TI E COMUNICAÇÃO - PJ </c:v>
                </c:pt>
                <c:pt idx="11">
                  <c:v> SERVIÇOS DE TI E COMUNICAÇÃO - PJ - INTRA OFSS </c:v>
                </c:pt>
              </c:strCache>
            </c:strRef>
          </c:cat>
          <c:val>
            <c:numRef>
              <c:f>Tab_Dinamica!$H$67:$H$78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0.62967781818181812</c:v>
                </c:pt>
                <c:pt idx="3">
                  <c:v>0</c:v>
                </c:pt>
                <c:pt idx="4">
                  <c:v>7.3999999999999996E-2</c:v>
                </c:pt>
                <c:pt idx="5">
                  <c:v>0</c:v>
                </c:pt>
                <c:pt idx="6">
                  <c:v>0.67310607999999994</c:v>
                </c:pt>
                <c:pt idx="7">
                  <c:v>0.76775947407407408</c:v>
                </c:pt>
                <c:pt idx="8">
                  <c:v>0.77034999999999998</c:v>
                </c:pt>
                <c:pt idx="9">
                  <c:v>0.73417713243243243</c:v>
                </c:pt>
                <c:pt idx="10">
                  <c:v>0.82777293636363636</c:v>
                </c:pt>
                <c:pt idx="11">
                  <c:v>0.79618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8-45A4-8F1D-A827653CB8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4"/>
        <c:gapDepth val="79"/>
        <c:shape val="box"/>
        <c:axId val="2019017391"/>
        <c:axId val="152438783"/>
        <c:axId val="0"/>
      </c:bar3DChart>
      <c:catAx>
        <c:axId val="201901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438783"/>
        <c:crosses val="autoZero"/>
        <c:auto val="1"/>
        <c:lblAlgn val="ctr"/>
        <c:lblOffset val="100"/>
        <c:noMultiLvlLbl val="0"/>
      </c:catAx>
      <c:valAx>
        <c:axId val="152438783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01901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66676</xdr:rowOff>
    </xdr:from>
    <xdr:to>
      <xdr:col>15</xdr:col>
      <xdr:colOff>400050</xdr:colOff>
      <xdr:row>13</xdr:row>
      <xdr:rowOff>133350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F490765-2A35-4A7E-9565-552D0964E86E}"/>
            </a:ext>
          </a:extLst>
        </xdr:cNvPr>
        <xdr:cNvSpPr/>
      </xdr:nvSpPr>
      <xdr:spPr>
        <a:xfrm>
          <a:off x="9525" y="1019176"/>
          <a:ext cx="10106025" cy="1590674"/>
        </a:xfrm>
        <a:prstGeom prst="rect">
          <a:avLst/>
        </a:prstGeom>
        <a:gradFill flip="none" rotWithShape="1">
          <a:gsLst>
            <a:gs pos="0">
              <a:schemeClr val="accent5">
                <a:lumMod val="75000"/>
                <a:shade val="30000"/>
                <a:satMod val="115000"/>
              </a:schemeClr>
            </a:gs>
            <a:gs pos="50000">
              <a:schemeClr val="accent5">
                <a:lumMod val="75000"/>
                <a:shade val="67500"/>
                <a:satMod val="115000"/>
              </a:schemeClr>
            </a:gs>
            <a:gs pos="100000">
              <a:schemeClr val="accent5">
                <a:lumMod val="75000"/>
                <a:shade val="100000"/>
                <a:satMod val="115000"/>
              </a:schemeClr>
            </a:gs>
          </a:gsLst>
          <a:lin ang="81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13</xdr:row>
      <xdr:rowOff>152400</xdr:rowOff>
    </xdr:from>
    <xdr:to>
      <xdr:col>15</xdr:col>
      <xdr:colOff>400050</xdr:colOff>
      <xdr:row>37</xdr:row>
      <xdr:rowOff>132522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6C71B059-396C-4F63-B6D9-2202325D26D9}"/>
            </a:ext>
          </a:extLst>
        </xdr:cNvPr>
        <xdr:cNvSpPr/>
      </xdr:nvSpPr>
      <xdr:spPr>
        <a:xfrm>
          <a:off x="0" y="2628900"/>
          <a:ext cx="10090702" cy="4552122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266700</xdr:colOff>
      <xdr:row>11</xdr:row>
      <xdr:rowOff>57150</xdr:rowOff>
    </xdr:from>
    <xdr:to>
      <xdr:col>4</xdr:col>
      <xdr:colOff>295275</xdr:colOff>
      <xdr:row>15</xdr:row>
      <xdr:rowOff>85725</xdr:rowOff>
    </xdr:to>
    <xdr:sp macro="" textlink="Tab_Dinamica!$B$8">
      <xdr:nvSpPr>
        <xdr:cNvPr id="14" name="Retângulo 13">
          <a:extLst>
            <a:ext uri="{FF2B5EF4-FFF2-40B4-BE49-F238E27FC236}">
              <a16:creationId xmlns:a16="http://schemas.microsoft.com/office/drawing/2014/main" id="{0FAF7FB8-DF75-444A-850B-541BD4A052B3}"/>
            </a:ext>
          </a:extLst>
        </xdr:cNvPr>
        <xdr:cNvSpPr/>
      </xdr:nvSpPr>
      <xdr:spPr>
        <a:xfrm>
          <a:off x="266700" y="2152650"/>
          <a:ext cx="2619375" cy="790575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F8C6411-C5E9-4EC7-BA12-7C18DFE8FED9}" type="TxLink">
            <a:rPr lang="en-US" sz="2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 R$ 65.750.000 </a:t>
          </a:fld>
          <a:endParaRPr lang="pt-BR" sz="88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428625</xdr:colOff>
      <xdr:row>9</xdr:row>
      <xdr:rowOff>104776</xdr:rowOff>
    </xdr:from>
    <xdr:to>
      <xdr:col>4</xdr:col>
      <xdr:colOff>152400</xdr:colOff>
      <xdr:row>11</xdr:row>
      <xdr:rowOff>47626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557A96BD-E2D7-4028-9E30-CB69E8BAB11B}"/>
            </a:ext>
          </a:extLst>
        </xdr:cNvPr>
        <xdr:cNvSpPr txBox="1"/>
      </xdr:nvSpPr>
      <xdr:spPr>
        <a:xfrm>
          <a:off x="428625" y="1819276"/>
          <a:ext cx="23145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chemeClr val="bg1"/>
              </a:solidFill>
            </a:rPr>
            <a:t>ORÇAMENTO</a:t>
          </a:r>
          <a:r>
            <a:rPr lang="pt-BR" sz="1600" b="1" baseline="0">
              <a:solidFill>
                <a:schemeClr val="bg1"/>
              </a:solidFill>
            </a:rPr>
            <a:t> TOTAL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466725</xdr:colOff>
      <xdr:row>11</xdr:row>
      <xdr:rowOff>47625</xdr:rowOff>
    </xdr:from>
    <xdr:to>
      <xdr:col>8</xdr:col>
      <xdr:colOff>76200</xdr:colOff>
      <xdr:row>15</xdr:row>
      <xdr:rowOff>76200</xdr:rowOff>
    </xdr:to>
    <xdr:sp macro="" textlink="Tab_Dinamica!$C$8">
      <xdr:nvSpPr>
        <xdr:cNvPr id="16" name="Retângulo 15">
          <a:extLst>
            <a:ext uri="{FF2B5EF4-FFF2-40B4-BE49-F238E27FC236}">
              <a16:creationId xmlns:a16="http://schemas.microsoft.com/office/drawing/2014/main" id="{44BF3478-9AAB-40D4-A5E1-E31ECF53692A}"/>
            </a:ext>
          </a:extLst>
        </xdr:cNvPr>
        <xdr:cNvSpPr/>
      </xdr:nvSpPr>
      <xdr:spPr>
        <a:xfrm>
          <a:off x="3057525" y="2143125"/>
          <a:ext cx="2200275" cy="790575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2019A12-5AF6-463D-A4C7-971C92258671}" type="TxLink">
            <a:rPr lang="en-US" sz="2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 R$ 34.851.260 </a:t>
          </a:fld>
          <a:endParaRPr lang="pt-BR" sz="23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371476</xdr:colOff>
      <xdr:row>9</xdr:row>
      <xdr:rowOff>95251</xdr:rowOff>
    </xdr:from>
    <xdr:to>
      <xdr:col>9</xdr:col>
      <xdr:colOff>485776</xdr:colOff>
      <xdr:row>11</xdr:row>
      <xdr:rowOff>38101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2BF19E81-9A58-4865-834B-7452DC86D86A}"/>
            </a:ext>
          </a:extLst>
        </xdr:cNvPr>
        <xdr:cNvSpPr txBox="1"/>
      </xdr:nvSpPr>
      <xdr:spPr>
        <a:xfrm>
          <a:off x="2962276" y="1809751"/>
          <a:ext cx="33528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chemeClr val="bg1"/>
              </a:solidFill>
            </a:rPr>
            <a:t>EMPENHADO</a:t>
          </a:r>
          <a:r>
            <a:rPr lang="pt-BR" sz="1600" b="1" baseline="0">
              <a:solidFill>
                <a:schemeClr val="bg1"/>
              </a:solidFill>
            </a:rPr>
            <a:t> TOTAL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95250</xdr:colOff>
      <xdr:row>11</xdr:row>
      <xdr:rowOff>47625</xdr:rowOff>
    </xdr:from>
    <xdr:to>
      <xdr:col>9</xdr:col>
      <xdr:colOff>495300</xdr:colOff>
      <xdr:row>15</xdr:row>
      <xdr:rowOff>76200</xdr:rowOff>
    </xdr:to>
    <xdr:sp macro="" textlink="Tab_Dinamica!D8">
      <xdr:nvSpPr>
        <xdr:cNvPr id="19" name="Retângulo 18">
          <a:extLst>
            <a:ext uri="{FF2B5EF4-FFF2-40B4-BE49-F238E27FC236}">
              <a16:creationId xmlns:a16="http://schemas.microsoft.com/office/drawing/2014/main" id="{50D5E39B-B62B-4040-B870-C7454480B231}"/>
            </a:ext>
          </a:extLst>
        </xdr:cNvPr>
        <xdr:cNvSpPr/>
      </xdr:nvSpPr>
      <xdr:spPr>
        <a:xfrm>
          <a:off x="5276850" y="2143125"/>
          <a:ext cx="1047750" cy="790575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6B804FE-B1DD-44B9-B95B-54E1B0E0C8ED}" type="TxLink">
            <a:rPr lang="en-US" sz="2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53,0%</a:t>
          </a:fld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628650</xdr:colOff>
      <xdr:row>11</xdr:row>
      <xdr:rowOff>19050</xdr:rowOff>
    </xdr:from>
    <xdr:to>
      <xdr:col>4</xdr:col>
      <xdr:colOff>19050</xdr:colOff>
      <xdr:row>11</xdr:row>
      <xdr:rowOff>19050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B0B247FB-50AE-4617-80C5-7376C831DC67}"/>
            </a:ext>
          </a:extLst>
        </xdr:cNvPr>
        <xdr:cNvCxnSpPr/>
      </xdr:nvCxnSpPr>
      <xdr:spPr>
        <a:xfrm>
          <a:off x="628650" y="2114550"/>
          <a:ext cx="1981200" cy="0"/>
        </a:xfrm>
        <a:prstGeom prst="line">
          <a:avLst/>
        </a:prstGeom>
        <a:ln>
          <a:solidFill>
            <a:schemeClr val="bg1">
              <a:alpha val="32000"/>
            </a:schemeClr>
          </a:solidFill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457200</xdr:colOff>
      <xdr:row>11</xdr:row>
      <xdr:rowOff>9525</xdr:rowOff>
    </xdr:from>
    <xdr:to>
      <xdr:col>9</xdr:col>
      <xdr:colOff>495300</xdr:colOff>
      <xdr:row>11</xdr:row>
      <xdr:rowOff>9525</xdr:rowOff>
    </xdr:to>
    <xdr:cxnSp macro="">
      <xdr:nvCxnSpPr>
        <xdr:cNvPr id="25" name="Conector reto 24">
          <a:extLst>
            <a:ext uri="{FF2B5EF4-FFF2-40B4-BE49-F238E27FC236}">
              <a16:creationId xmlns:a16="http://schemas.microsoft.com/office/drawing/2014/main" id="{04C2EE4D-1029-45F4-8E6A-3A16B2758B76}"/>
            </a:ext>
          </a:extLst>
        </xdr:cNvPr>
        <xdr:cNvCxnSpPr/>
      </xdr:nvCxnSpPr>
      <xdr:spPr>
        <a:xfrm>
          <a:off x="3048000" y="2105025"/>
          <a:ext cx="3276600" cy="0"/>
        </a:xfrm>
        <a:prstGeom prst="line">
          <a:avLst/>
        </a:prstGeom>
        <a:ln>
          <a:solidFill>
            <a:schemeClr val="bg1">
              <a:alpha val="32000"/>
            </a:schemeClr>
          </a:solidFill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11</xdr:row>
      <xdr:rowOff>57150</xdr:rowOff>
    </xdr:from>
    <xdr:to>
      <xdr:col>13</xdr:col>
      <xdr:colOff>304800</xdr:colOff>
      <xdr:row>15</xdr:row>
      <xdr:rowOff>85725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336997B3-D779-4032-8990-33C130999931}"/>
            </a:ext>
          </a:extLst>
        </xdr:cNvPr>
        <xdr:cNvSpPr/>
      </xdr:nvSpPr>
      <xdr:spPr>
        <a:xfrm>
          <a:off x="6659096" y="2152650"/>
          <a:ext cx="2240616" cy="790575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R$</a:t>
          </a:r>
          <a:r>
            <a:rPr lang="en-US" sz="2400" b="1" i="0" u="none" strike="noStrike" baseline="0">
              <a:solidFill>
                <a:schemeClr val="bg1"/>
              </a:solidFill>
              <a:latin typeface="Calibri"/>
              <a:ea typeface="Calibri"/>
              <a:cs typeface="Calibri"/>
            </a:rPr>
            <a:t> 32.288.686</a:t>
          </a:r>
          <a:endParaRPr lang="en-US" sz="24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13</xdr:col>
      <xdr:colOff>333376</xdr:colOff>
      <xdr:row>11</xdr:row>
      <xdr:rowOff>57150</xdr:rowOff>
    </xdr:from>
    <xdr:to>
      <xdr:col>15</xdr:col>
      <xdr:colOff>180975</xdr:colOff>
      <xdr:row>15</xdr:row>
      <xdr:rowOff>85725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6CD9560A-6A8A-4BA7-9DC8-50722CD65FBF}"/>
            </a:ext>
          </a:extLst>
        </xdr:cNvPr>
        <xdr:cNvSpPr/>
      </xdr:nvSpPr>
      <xdr:spPr>
        <a:xfrm>
          <a:off x="8753476" y="2152650"/>
          <a:ext cx="1142999" cy="790575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49,1%</a:t>
          </a:r>
        </a:p>
      </xdr:txBody>
    </xdr:sp>
    <xdr:clientData/>
  </xdr:twoCellAnchor>
  <xdr:twoCellAnchor>
    <xdr:from>
      <xdr:col>9</xdr:col>
      <xdr:colOff>609601</xdr:colOff>
      <xdr:row>9</xdr:row>
      <xdr:rowOff>95251</xdr:rowOff>
    </xdr:from>
    <xdr:to>
      <xdr:col>15</xdr:col>
      <xdr:colOff>76201</xdr:colOff>
      <xdr:row>11</xdr:row>
      <xdr:rowOff>38101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CE589E0D-5CC8-4CD0-AF7E-8F4DB947A28F}"/>
            </a:ext>
          </a:extLst>
        </xdr:cNvPr>
        <xdr:cNvSpPr txBox="1"/>
      </xdr:nvSpPr>
      <xdr:spPr>
        <a:xfrm>
          <a:off x="6438901" y="1809751"/>
          <a:ext cx="33528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chemeClr val="bg1"/>
              </a:solidFill>
            </a:rPr>
            <a:t>LIQUIDADO</a:t>
          </a:r>
          <a:r>
            <a:rPr lang="pt-BR" sz="1600" b="1" baseline="0">
              <a:solidFill>
                <a:schemeClr val="bg1"/>
              </a:solidFill>
            </a:rPr>
            <a:t> TOTAL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47625</xdr:colOff>
      <xdr:row>11</xdr:row>
      <xdr:rowOff>9525</xdr:rowOff>
    </xdr:from>
    <xdr:to>
      <xdr:col>15</xdr:col>
      <xdr:colOff>85725</xdr:colOff>
      <xdr:row>11</xdr:row>
      <xdr:rowOff>9525</xdr:rowOff>
    </xdr:to>
    <xdr:cxnSp macro="">
      <xdr:nvCxnSpPr>
        <xdr:cNvPr id="31" name="Conector reto 30">
          <a:extLst>
            <a:ext uri="{FF2B5EF4-FFF2-40B4-BE49-F238E27FC236}">
              <a16:creationId xmlns:a16="http://schemas.microsoft.com/office/drawing/2014/main" id="{5AE41B98-DC60-4E34-8E8D-63FA7DFCFB05}"/>
            </a:ext>
          </a:extLst>
        </xdr:cNvPr>
        <xdr:cNvCxnSpPr/>
      </xdr:nvCxnSpPr>
      <xdr:spPr>
        <a:xfrm>
          <a:off x="6524625" y="2105025"/>
          <a:ext cx="3276600" cy="0"/>
        </a:xfrm>
        <a:prstGeom prst="line">
          <a:avLst/>
        </a:prstGeom>
        <a:ln>
          <a:solidFill>
            <a:schemeClr val="bg1">
              <a:alpha val="32000"/>
            </a:schemeClr>
          </a:solidFill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228601</xdr:colOff>
      <xdr:row>1</xdr:row>
      <xdr:rowOff>1</xdr:rowOff>
    </xdr:from>
    <xdr:to>
      <xdr:col>5</xdr:col>
      <xdr:colOff>152401</xdr:colOff>
      <xdr:row>4</xdr:row>
      <xdr:rowOff>73218</xdr:rowOff>
    </xdr:to>
    <xdr:pic>
      <xdr:nvPicPr>
        <xdr:cNvPr id="35" name="Imagem 34" descr="Ficheiro:Brasão Cotia.png – Wikipédia, a enciclopédia livre">
          <a:extLst>
            <a:ext uri="{FF2B5EF4-FFF2-40B4-BE49-F238E27FC236}">
              <a16:creationId xmlns:a16="http://schemas.microsoft.com/office/drawing/2014/main" id="{54BB18B0-1992-4C0E-8825-F1248B5DC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1" y="190501"/>
          <a:ext cx="571500" cy="6447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352425</xdr:colOff>
      <xdr:row>0</xdr:row>
      <xdr:rowOff>133350</xdr:rowOff>
    </xdr:from>
    <xdr:to>
      <xdr:col>11</xdr:col>
      <xdr:colOff>457200</xdr:colOff>
      <xdr:row>4</xdr:row>
      <xdr:rowOff>133350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17F6E8F6-B30F-4AC2-8099-3A8CE75FFA56}"/>
            </a:ext>
          </a:extLst>
        </xdr:cNvPr>
        <xdr:cNvSpPr txBox="1"/>
      </xdr:nvSpPr>
      <xdr:spPr>
        <a:xfrm>
          <a:off x="2997013" y="133350"/>
          <a:ext cx="4732805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>
              <a:latin typeface="Times New Roman" panose="02020603050405020304" pitchFamily="18" charset="0"/>
              <a:cs typeface="Times New Roman" panose="02020603050405020304" pitchFamily="18" charset="0"/>
            </a:rPr>
            <a:t>CÂMARA MUNICIPAL DE COTIA</a:t>
          </a:r>
        </a:p>
        <a:p>
          <a:pPr algn="ctr"/>
          <a:r>
            <a:rPr lang="pt-BR" sz="1800">
              <a:latin typeface="Times New Roman" panose="02020603050405020304" pitchFamily="18" charset="0"/>
              <a:cs typeface="Times New Roman" panose="02020603050405020304" pitchFamily="18" charset="0"/>
            </a:rPr>
            <a:t>Estado de São Paulo</a:t>
          </a:r>
        </a:p>
      </xdr:txBody>
    </xdr:sp>
    <xdr:clientData/>
  </xdr:twoCellAnchor>
  <xdr:twoCellAnchor>
    <xdr:from>
      <xdr:col>0</xdr:col>
      <xdr:colOff>152400</xdr:colOff>
      <xdr:row>6</xdr:row>
      <xdr:rowOff>28576</xdr:rowOff>
    </xdr:from>
    <xdr:to>
      <xdr:col>15</xdr:col>
      <xdr:colOff>19050</xdr:colOff>
      <xdr:row>7</xdr:row>
      <xdr:rowOff>161926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3C3003B4-EF51-4856-87D1-049910637825}"/>
            </a:ext>
          </a:extLst>
        </xdr:cNvPr>
        <xdr:cNvSpPr txBox="1"/>
      </xdr:nvSpPr>
      <xdr:spPr>
        <a:xfrm>
          <a:off x="152400" y="1171576"/>
          <a:ext cx="958215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400" b="1">
              <a:solidFill>
                <a:schemeClr val="bg1"/>
              </a:solidFill>
            </a:rPr>
            <a:t>ORÇAMENTO</a:t>
          </a:r>
          <a:r>
            <a:rPr lang="pt-BR" sz="2400" b="1" baseline="0">
              <a:solidFill>
                <a:schemeClr val="bg1"/>
              </a:solidFill>
            </a:rPr>
            <a:t> DA CÂMARA MUNICIPAL DE COTIA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304800</xdr:colOff>
      <xdr:row>7</xdr:row>
      <xdr:rowOff>85726</xdr:rowOff>
    </xdr:from>
    <xdr:to>
      <xdr:col>15</xdr:col>
      <xdr:colOff>171450</xdr:colOff>
      <xdr:row>9</xdr:row>
      <xdr:rowOff>28576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0265BB72-B20E-423A-B545-E6F58F495BEF}"/>
            </a:ext>
          </a:extLst>
        </xdr:cNvPr>
        <xdr:cNvSpPr txBox="1"/>
      </xdr:nvSpPr>
      <xdr:spPr>
        <a:xfrm>
          <a:off x="304800" y="1419226"/>
          <a:ext cx="958215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DE 01/01/2024 A 10/09/2024</a:t>
          </a:r>
        </a:p>
      </xdr:txBody>
    </xdr:sp>
    <xdr:clientData/>
  </xdr:twoCellAnchor>
  <xdr:twoCellAnchor>
    <xdr:from>
      <xdr:col>0</xdr:col>
      <xdr:colOff>76200</xdr:colOff>
      <xdr:row>44</xdr:row>
      <xdr:rowOff>0</xdr:rowOff>
    </xdr:from>
    <xdr:to>
      <xdr:col>15</xdr:col>
      <xdr:colOff>438150</xdr:colOff>
      <xdr:row>75</xdr:row>
      <xdr:rowOff>0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5B923599-91B8-4B44-AD71-1DAE25C6C4B0}"/>
            </a:ext>
          </a:extLst>
        </xdr:cNvPr>
        <xdr:cNvSpPr/>
      </xdr:nvSpPr>
      <xdr:spPr>
        <a:xfrm>
          <a:off x="76200" y="8382000"/>
          <a:ext cx="10077450" cy="5905500"/>
        </a:xfrm>
        <a:prstGeom prst="rect">
          <a:avLst/>
        </a:prstGeom>
        <a:gradFill flip="none" rotWithShape="1">
          <a:gsLst>
            <a:gs pos="0">
              <a:schemeClr val="accent5">
                <a:lumMod val="89000"/>
              </a:schemeClr>
            </a:gs>
            <a:gs pos="23000">
              <a:schemeClr val="accent5">
                <a:lumMod val="89000"/>
              </a:schemeClr>
            </a:gs>
            <a:gs pos="69000">
              <a:schemeClr val="accent5">
                <a:lumMod val="75000"/>
              </a:schemeClr>
            </a:gs>
            <a:gs pos="97000">
              <a:schemeClr val="accent5">
                <a:lumMod val="70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4</xdr:col>
      <xdr:colOff>228601</xdr:colOff>
      <xdr:row>39</xdr:row>
      <xdr:rowOff>123826</xdr:rowOff>
    </xdr:from>
    <xdr:to>
      <xdr:col>5</xdr:col>
      <xdr:colOff>152401</xdr:colOff>
      <xdr:row>43</xdr:row>
      <xdr:rowOff>6543</xdr:rowOff>
    </xdr:to>
    <xdr:pic>
      <xdr:nvPicPr>
        <xdr:cNvPr id="48" name="Imagem 47" descr="Ficheiro:Brasão Cotia.png – Wikipédia, a enciclopédia livre">
          <a:extLst>
            <a:ext uri="{FF2B5EF4-FFF2-40B4-BE49-F238E27FC236}">
              <a16:creationId xmlns:a16="http://schemas.microsoft.com/office/drawing/2014/main" id="{AB8B842F-E3D3-47FE-B7D5-E6F743B49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1" y="7553326"/>
          <a:ext cx="571500" cy="6447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352425</xdr:colOff>
      <xdr:row>39</xdr:row>
      <xdr:rowOff>66675</xdr:rowOff>
    </xdr:from>
    <xdr:to>
      <xdr:col>11</xdr:col>
      <xdr:colOff>457200</xdr:colOff>
      <xdr:row>43</xdr:row>
      <xdr:rowOff>66675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0E0EE18E-DE53-4F12-AF96-44B3E2F0A667}"/>
            </a:ext>
          </a:extLst>
        </xdr:cNvPr>
        <xdr:cNvSpPr txBox="1"/>
      </xdr:nvSpPr>
      <xdr:spPr>
        <a:xfrm>
          <a:off x="2943225" y="7496175"/>
          <a:ext cx="4638675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>
              <a:latin typeface="Times New Roman" panose="02020603050405020304" pitchFamily="18" charset="0"/>
              <a:cs typeface="Times New Roman" panose="02020603050405020304" pitchFamily="18" charset="0"/>
            </a:rPr>
            <a:t>CÂMARA MUNICIPAL DE COTIA</a:t>
          </a:r>
        </a:p>
        <a:p>
          <a:pPr algn="ctr"/>
          <a:r>
            <a:rPr lang="pt-BR" sz="1800">
              <a:latin typeface="Times New Roman" panose="02020603050405020304" pitchFamily="18" charset="0"/>
              <a:cs typeface="Times New Roman" panose="02020603050405020304" pitchFamily="18" charset="0"/>
            </a:rPr>
            <a:t>Estado de São Paulo</a:t>
          </a:r>
        </a:p>
      </xdr:txBody>
    </xdr:sp>
    <xdr:clientData/>
  </xdr:twoCellAnchor>
  <xdr:twoCellAnchor>
    <xdr:from>
      <xdr:col>0</xdr:col>
      <xdr:colOff>102054</xdr:colOff>
      <xdr:row>15</xdr:row>
      <xdr:rowOff>172811</xdr:rowOff>
    </xdr:from>
    <xdr:to>
      <xdr:col>15</xdr:col>
      <xdr:colOff>272143</xdr:colOff>
      <xdr:row>25</xdr:row>
      <xdr:rowOff>136071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EDB46F85-E999-4F35-A19F-0A3088B6B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198344</xdr:colOff>
      <xdr:row>26</xdr:row>
      <xdr:rowOff>6164</xdr:rowOff>
    </xdr:from>
    <xdr:to>
      <xdr:col>15</xdr:col>
      <xdr:colOff>268942</xdr:colOff>
      <xdr:row>37</xdr:row>
      <xdr:rowOff>67235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F9FF25C4-6C1D-4E6F-89BE-6D3DBD0E5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89647</xdr:colOff>
      <xdr:row>26</xdr:row>
      <xdr:rowOff>0</xdr:rowOff>
    </xdr:from>
    <xdr:to>
      <xdr:col>5</xdr:col>
      <xdr:colOff>104215</xdr:colOff>
      <xdr:row>37</xdr:row>
      <xdr:rowOff>61071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E3ACAE4B-50C6-4370-AE81-AD65E4F3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156883</xdr:colOff>
      <xdr:row>26</xdr:row>
      <xdr:rowOff>11206</xdr:rowOff>
    </xdr:from>
    <xdr:to>
      <xdr:col>10</xdr:col>
      <xdr:colOff>134470</xdr:colOff>
      <xdr:row>37</xdr:row>
      <xdr:rowOff>72277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552E32FD-7C88-42CE-9C3A-2EE2FB1F0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168090</xdr:colOff>
      <xdr:row>44</xdr:row>
      <xdr:rowOff>33617</xdr:rowOff>
    </xdr:from>
    <xdr:to>
      <xdr:col>10</xdr:col>
      <xdr:colOff>336176</xdr:colOff>
      <xdr:row>52</xdr:row>
      <xdr:rowOff>168088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9D1371EE-88D0-4894-AC4E-38A8FBE2A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134471</xdr:colOff>
      <xdr:row>44</xdr:row>
      <xdr:rowOff>33618</xdr:rowOff>
    </xdr:from>
    <xdr:to>
      <xdr:col>5</xdr:col>
      <xdr:colOff>123265</xdr:colOff>
      <xdr:row>52</xdr:row>
      <xdr:rowOff>168089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61768A60-961F-4C22-BE68-3CD0BBA9E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358587</xdr:colOff>
      <xdr:row>44</xdr:row>
      <xdr:rowOff>22412</xdr:rowOff>
    </xdr:from>
    <xdr:to>
      <xdr:col>15</xdr:col>
      <xdr:colOff>403411</xdr:colOff>
      <xdr:row>52</xdr:row>
      <xdr:rowOff>179294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E991C0C4-66A7-45AC-90E6-C64491016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134470</xdr:colOff>
      <xdr:row>53</xdr:row>
      <xdr:rowOff>56029</xdr:rowOff>
    </xdr:from>
    <xdr:to>
      <xdr:col>15</xdr:col>
      <xdr:colOff>378086</xdr:colOff>
      <xdr:row>63</xdr:row>
      <xdr:rowOff>71269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135617DC-B486-4379-A09E-6CDEBA56D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134471</xdr:colOff>
      <xdr:row>63</xdr:row>
      <xdr:rowOff>145676</xdr:rowOff>
    </xdr:from>
    <xdr:to>
      <xdr:col>15</xdr:col>
      <xdr:colOff>381000</xdr:colOff>
      <xdr:row>74</xdr:row>
      <xdr:rowOff>134471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AF4FC1AF-2B38-4793-AC6C-588A36ADF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212912</xdr:colOff>
      <xdr:row>0</xdr:row>
      <xdr:rowOff>0</xdr:rowOff>
    </xdr:from>
    <xdr:to>
      <xdr:col>7</xdr:col>
      <xdr:colOff>986117</xdr:colOff>
      <xdr:row>5</xdr:row>
      <xdr:rowOff>43919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5B5AD13-91CF-4F62-AF93-009AB15343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0968" r="809" b="17420"/>
        <a:stretch/>
      </xdr:blipFill>
      <xdr:spPr>
        <a:xfrm>
          <a:off x="212912" y="0"/>
          <a:ext cx="6678705" cy="996419"/>
        </a:xfrm>
        <a:prstGeom prst="rect">
          <a:avLst/>
        </a:prstGeom>
      </xdr:spPr>
    </xdr:pic>
    <xdr:clientData/>
  </xdr:twoCellAnchor>
  <xdr:twoCellAnchor editAs="oneCell">
    <xdr:from>
      <xdr:col>1</xdr:col>
      <xdr:colOff>168088</xdr:colOff>
      <xdr:row>26</xdr:row>
      <xdr:rowOff>112058</xdr:rowOff>
    </xdr:from>
    <xdr:to>
      <xdr:col>7</xdr:col>
      <xdr:colOff>885264</xdr:colOff>
      <xdr:row>28</xdr:row>
      <xdr:rowOff>405353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CF32088-0569-4967-901B-80265E73B9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0968" r="809" b="17420"/>
        <a:stretch/>
      </xdr:blipFill>
      <xdr:spPr>
        <a:xfrm>
          <a:off x="168088" y="10320617"/>
          <a:ext cx="6689911" cy="988060"/>
        </a:xfrm>
        <a:prstGeom prst="rect">
          <a:avLst/>
        </a:prstGeom>
      </xdr:spPr>
    </xdr:pic>
    <xdr:clientData/>
  </xdr:twoCellAnchor>
  <xdr:twoCellAnchor editAs="oneCell">
    <xdr:from>
      <xdr:col>1</xdr:col>
      <xdr:colOff>235324</xdr:colOff>
      <xdr:row>45</xdr:row>
      <xdr:rowOff>156883</xdr:rowOff>
    </xdr:from>
    <xdr:to>
      <xdr:col>7</xdr:col>
      <xdr:colOff>896471</xdr:colOff>
      <xdr:row>46</xdr:row>
      <xdr:rowOff>609907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19D7510-55DC-41CD-86DF-012EFD8719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0968" r="809" b="17420"/>
        <a:stretch/>
      </xdr:blipFill>
      <xdr:spPr>
        <a:xfrm>
          <a:off x="235324" y="20316265"/>
          <a:ext cx="6633882" cy="9797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40930</xdr:colOff>
      <xdr:row>11</xdr:row>
      <xdr:rowOff>149128</xdr:rowOff>
    </xdr:from>
    <xdr:to>
      <xdr:col>11</xdr:col>
      <xdr:colOff>3964</xdr:colOff>
      <xdr:row>25</xdr:row>
      <xdr:rowOff>166921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A96253-86B9-4234-85B0-252B08C59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41729</xdr:colOff>
      <xdr:row>8</xdr:row>
      <xdr:rowOff>14654</xdr:rowOff>
    </xdr:from>
    <xdr:to>
      <xdr:col>7</xdr:col>
      <xdr:colOff>381000</xdr:colOff>
      <xdr:row>8</xdr:row>
      <xdr:rowOff>34351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43128AD-2EAE-40F3-8499-FF0BFA3CDF75}"/>
            </a:ext>
          </a:extLst>
        </xdr:cNvPr>
        <xdr:cNvCxnSpPr/>
      </xdr:nvCxnSpPr>
      <xdr:spPr>
        <a:xfrm>
          <a:off x="41729" y="395654"/>
          <a:ext cx="4861575" cy="19697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49695</xdr:colOff>
      <xdr:row>10</xdr:row>
      <xdr:rowOff>59932</xdr:rowOff>
    </xdr:from>
    <xdr:to>
      <xdr:col>10</xdr:col>
      <xdr:colOff>505238</xdr:colOff>
      <xdr:row>12</xdr:row>
      <xdr:rowOff>93062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2C99A223-96B6-4868-8E3D-7285D400141E}"/>
            </a:ext>
          </a:extLst>
        </xdr:cNvPr>
        <xdr:cNvSpPr txBox="1"/>
      </xdr:nvSpPr>
      <xdr:spPr>
        <a:xfrm>
          <a:off x="49695" y="821932"/>
          <a:ext cx="6954955" cy="4141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solidFill>
                <a:schemeClr val="tx1"/>
              </a:solidFill>
            </a:rPr>
            <a:t>Progresso</a:t>
          </a:r>
          <a:r>
            <a:rPr lang="pt-BR" sz="1100" b="1" baseline="0">
              <a:solidFill>
                <a:schemeClr val="tx1"/>
              </a:solidFill>
            </a:rPr>
            <a:t> das aquisições e contratações (por unidade)</a:t>
          </a:r>
          <a:endParaRPr lang="pt-B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19052</xdr:colOff>
      <xdr:row>26</xdr:row>
      <xdr:rowOff>93060</xdr:rowOff>
    </xdr:from>
    <xdr:to>
      <xdr:col>11</xdr:col>
      <xdr:colOff>38100</xdr:colOff>
      <xdr:row>42</xdr:row>
      <xdr:rowOff>133350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A8771190-F349-45C7-B092-FED813454DB0}"/>
            </a:ext>
          </a:extLst>
        </xdr:cNvPr>
        <xdr:cNvGrpSpPr/>
      </xdr:nvGrpSpPr>
      <xdr:grpSpPr>
        <a:xfrm>
          <a:off x="19052" y="4912710"/>
          <a:ext cx="6867523" cy="3088290"/>
          <a:chOff x="19052" y="3967370"/>
          <a:chExt cx="6958454" cy="3053025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FFCF32F3-12A6-46D0-867B-C9FFE0FBEBB6}"/>
              </a:ext>
            </a:extLst>
          </xdr:cNvPr>
          <xdr:cNvGraphicFramePr>
            <a:graphicFrameLocks/>
          </xdr:cNvGraphicFramePr>
        </xdr:nvGraphicFramePr>
        <xdr:xfrm>
          <a:off x="19052" y="4408715"/>
          <a:ext cx="3561089" cy="26098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347BB1A8-1132-4E62-A735-D6DBEEE5F5CB}"/>
              </a:ext>
            </a:extLst>
          </xdr:cNvPr>
          <xdr:cNvGraphicFramePr>
            <a:graphicFrameLocks/>
          </xdr:cNvGraphicFramePr>
        </xdr:nvGraphicFramePr>
        <xdr:xfrm>
          <a:off x="3611217" y="4410545"/>
          <a:ext cx="3366289" cy="26098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382DBB0C-08D6-420D-A0CE-3635F6FD40FF}"/>
              </a:ext>
            </a:extLst>
          </xdr:cNvPr>
          <xdr:cNvSpPr txBox="1"/>
        </xdr:nvSpPr>
        <xdr:spPr>
          <a:xfrm>
            <a:off x="33129" y="3967370"/>
            <a:ext cx="6940827" cy="41413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Progresso</a:t>
            </a:r>
            <a:r>
              <a:rPr lang="pt-BR" sz="1100" b="1" baseline="0">
                <a:solidFill>
                  <a:schemeClr val="tx1"/>
                </a:solidFill>
              </a:rPr>
              <a:t> das aquisições e contratações (por % do valor total)</a:t>
            </a:r>
            <a:endParaRPr lang="pt-BR" sz="11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16565</xdr:colOff>
      <xdr:row>42</xdr:row>
      <xdr:rowOff>142754</xdr:rowOff>
    </xdr:from>
    <xdr:to>
      <xdr:col>5</xdr:col>
      <xdr:colOff>347870</xdr:colOff>
      <xdr:row>46</xdr:row>
      <xdr:rowOff>93059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1B43B0CA-700C-4B37-90AF-81119D9996D9}"/>
            </a:ext>
          </a:extLst>
        </xdr:cNvPr>
        <xdr:cNvSpPr txBox="1"/>
      </xdr:nvSpPr>
      <xdr:spPr>
        <a:xfrm>
          <a:off x="16565" y="7000754"/>
          <a:ext cx="3581011" cy="7123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tx1"/>
              </a:solidFill>
            </a:rPr>
            <a:t>Cenário</a:t>
          </a:r>
          <a:r>
            <a:rPr lang="pt-BR" sz="900" b="1" baseline="0">
              <a:solidFill>
                <a:schemeClr val="tx1"/>
              </a:solidFill>
            </a:rPr>
            <a:t> que considera a ação "Construção do novo edifício da Câmara Municipal" como concluído visto a entrega do Projeto Básico  pela Prefeitura Municipal em 30/07/2024, conforme processo nº 1462/2024</a:t>
          </a:r>
          <a:endParaRPr lang="pt-BR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384313</xdr:colOff>
      <xdr:row>42</xdr:row>
      <xdr:rowOff>146066</xdr:rowOff>
    </xdr:from>
    <xdr:to>
      <xdr:col>10</xdr:col>
      <xdr:colOff>513522</xdr:colOff>
      <xdr:row>46</xdr:row>
      <xdr:rowOff>96371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2E5AF70A-B4FE-4EAA-AA0C-26BF516F5F20}"/>
            </a:ext>
          </a:extLst>
        </xdr:cNvPr>
        <xdr:cNvSpPr txBox="1"/>
      </xdr:nvSpPr>
      <xdr:spPr>
        <a:xfrm>
          <a:off x="3634019" y="7004066"/>
          <a:ext cx="3378915" cy="7123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tx1"/>
              </a:solidFill>
            </a:rPr>
            <a:t>Cenário</a:t>
          </a:r>
          <a:r>
            <a:rPr lang="pt-BR" sz="900" b="1" baseline="0">
              <a:solidFill>
                <a:schemeClr val="tx1"/>
              </a:solidFill>
            </a:rPr>
            <a:t> que exclui a ação "Construção do novo edifício da Câmara Municipal" do hall de tópicos para aquisições e contratações de 2024.</a:t>
          </a:r>
          <a:endParaRPr lang="pt-BR" sz="9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142882</xdr:colOff>
      <xdr:row>6</xdr:row>
      <xdr:rowOff>47626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D31178A2-179D-422A-8795-B8657D6629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0968" r="809" b="17420"/>
        <a:stretch/>
      </xdr:blipFill>
      <xdr:spPr>
        <a:xfrm>
          <a:off x="0" y="0"/>
          <a:ext cx="7086607" cy="105727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548.45560115741" createdVersion="6" refreshedVersion="6" minRefreshableVersion="3" recordCount="23" xr:uid="{58315CDD-30F6-4F6F-9D56-00D0A4D6DED5}">
  <cacheSource type="worksheet">
    <worksheetSource name="DADOS"/>
  </cacheSource>
  <cacheFields count="7">
    <cacheField name="Programa" numFmtId="0">
      <sharedItems/>
    </cacheField>
    <cacheField name="AÇÃO" numFmtId="0">
      <sharedItems count="4">
        <s v="AMPLIAÇÃO E REFORMA DO PRÉDIO DO LEGISLATIVO"/>
        <s v="CONSTRUÇÃO DA NOVA SEDE DO LEGISLATIVO"/>
        <s v="MANUTENÇÃO DOS SERV ADMINISTRATIVOS"/>
        <s v="ATIVIDADES LEGISLATIVAS"/>
      </sharedItems>
    </cacheField>
    <cacheField name="NATUREZA" numFmtId="0">
      <sharedItems count="19">
        <s v="OUTROS SERV DE TERCEIROS - PJ"/>
        <s v="OBRAS E INSTALAÇÕES"/>
        <s v="OUTROS BENEFÍCIOS ASSIST DO SERVIDOR E DO MILITAR"/>
        <s v="MATERIAL DE CONSUMO"/>
        <s v="OUTROS SERV DE TERCEIROS - PF"/>
        <s v="SERV DE TI E COMUNICAÇÃO - PJ"/>
        <s v="AUXILIO ALIMENTAÇÃO"/>
        <s v="AUXILIO TRANSPORTE"/>
        <s v="DESPESAS DE EXERCÍCIOS ANTERIORES"/>
        <s v="INDENIZAÇÕES E RESTITUIÇÕES"/>
        <s v="SERVIÇOS DE TI E COMUNICAÇÃO - PJ - INTRA OFSS"/>
        <s v="APORTE PARA COBERTURA DO DEFICIT ATUARIAL DO RPPS"/>
        <s v="EQUIPAMENTO E MATERIAL PERMANENTE"/>
        <s v="APOSENTADORIA E REFORMAS"/>
        <s v="PENSÕES"/>
        <s v="VENCIMENTOS E VANTAGENS FIXAS - PESSOAL CIVIL"/>
        <s v="OBRIGAÇÕES PATRONAIS"/>
        <s v="OUTRAS DESPESAS VARIÁVEIS - PESSOAL CIVIL"/>
        <s v="INDENIZAÇÕES E RESTITUIÇÕES TRABALHISTAS"/>
      </sharedItems>
    </cacheField>
    <cacheField name="Orçado Atualizado" numFmtId="43">
      <sharedItems containsSemiMixedTypes="0" containsString="0" containsNumber="1" containsInteger="1" minValue="10000" maxValue="36000000"/>
    </cacheField>
    <cacheField name="Empenhado" numFmtId="43">
      <sharedItems containsSemiMixedTypes="0" containsString="0" containsNumber="1" minValue="0" maxValue="21802342.91"/>
    </cacheField>
    <cacheField name="Liquidado" numFmtId="44">
      <sharedItems containsSemiMixedTypes="0" containsString="0" containsNumber="1" minValue="0" maxValue="21802342.91"/>
    </cacheField>
    <cacheField name="Saldo" numFmtId="43">
      <sharedItems containsSemiMixedTypes="0" containsString="0" containsNumber="1" minValue="10000" maxValue="14197657.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PROCESSO LEGISLATIVO"/>
    <x v="0"/>
    <x v="0"/>
    <n v="500000"/>
    <n v="190475"/>
    <n v="475"/>
    <n v="309525"/>
  </r>
  <r>
    <s v="PROCESSO LEGISLATIVO"/>
    <x v="0"/>
    <x v="1"/>
    <n v="50000"/>
    <n v="0"/>
    <n v="0"/>
    <n v="50000"/>
  </r>
  <r>
    <s v="PROCESSO LEGISLATIVO"/>
    <x v="1"/>
    <x v="1"/>
    <n v="8500000"/>
    <n v="0"/>
    <n v="0"/>
    <n v="8500000"/>
  </r>
  <r>
    <s v="PROCESSO LEGISLATIVO"/>
    <x v="2"/>
    <x v="2"/>
    <n v="2700000"/>
    <n v="2072950.58"/>
    <n v="2044359.42"/>
    <n v="627049.41999999993"/>
  </r>
  <r>
    <s v="PROCESSO LEGISLATIVO"/>
    <x v="2"/>
    <x v="3"/>
    <n v="500000"/>
    <n v="336553.04"/>
    <n v="200196.28"/>
    <n v="163446.96000000002"/>
  </r>
  <r>
    <s v="PROCESSO LEGISLATIVO"/>
    <x v="2"/>
    <x v="4"/>
    <n v="50000"/>
    <n v="38517.5"/>
    <n v="23717.5"/>
    <n v="11482.5"/>
  </r>
  <r>
    <s v="PROCESSO LEGISLATIVO"/>
    <x v="2"/>
    <x v="0"/>
    <n v="7400000"/>
    <n v="5432910.7800000003"/>
    <n v="3685315.23"/>
    <n v="1967089.2199999997"/>
  </r>
  <r>
    <s v="PROCESSO LEGISLATIVO"/>
    <x v="2"/>
    <x v="5"/>
    <n v="1100000"/>
    <n v="910550.23"/>
    <n v="640911.1"/>
    <n v="189449.77000000002"/>
  </r>
  <r>
    <s v="PROCESSO LEGISLATIVO"/>
    <x v="2"/>
    <x v="6"/>
    <n v="10000"/>
    <n v="0"/>
    <n v="0"/>
    <n v="10000"/>
  </r>
  <r>
    <s v="PROCESSO LEGISLATIVO"/>
    <x v="2"/>
    <x v="7"/>
    <n v="550000"/>
    <n v="346322.8"/>
    <n v="330292"/>
    <n v="203677.2"/>
  </r>
  <r>
    <s v="PROCESSO LEGISLATIVO"/>
    <x v="2"/>
    <x v="8"/>
    <n v="10000"/>
    <n v="0"/>
    <n v="0"/>
    <n v="10000"/>
  </r>
  <r>
    <s v="PROCESSO LEGISLATIVO"/>
    <x v="2"/>
    <x v="9"/>
    <n v="10000"/>
    <n v="0"/>
    <n v="0"/>
    <n v="10000"/>
  </r>
  <r>
    <s v="PROCESSO LEGISLATIVO"/>
    <x v="2"/>
    <x v="10"/>
    <n v="400000"/>
    <n v="318472"/>
    <n v="173712"/>
    <n v="81528"/>
  </r>
  <r>
    <s v="PROCESSO LEGISLATIVO"/>
    <x v="2"/>
    <x v="11"/>
    <n v="1200000"/>
    <n v="0"/>
    <n v="0"/>
    <n v="1200000"/>
  </r>
  <r>
    <s v="PROCESSO LEGISLATIVO"/>
    <x v="2"/>
    <x v="12"/>
    <n v="200000"/>
    <n v="14800"/>
    <n v="0"/>
    <n v="185200"/>
  </r>
  <r>
    <s v="PROCESSO LEGISLATIVO"/>
    <x v="3"/>
    <x v="13"/>
    <n v="500000"/>
    <n v="281815.96999999997"/>
    <n v="281815.96999999997"/>
    <n v="218184.03000000003"/>
  </r>
  <r>
    <s v="PROCESSO LEGISLATIVO"/>
    <x v="3"/>
    <x v="14"/>
    <n v="350000"/>
    <n v="169985.01"/>
    <n v="169985.01"/>
    <n v="180014.99"/>
  </r>
  <r>
    <s v="PROCESSO LEGISLATIVO"/>
    <x v="3"/>
    <x v="15"/>
    <n v="36000000"/>
    <n v="21802342.91"/>
    <n v="21802342.91"/>
    <n v="14197657.09"/>
  </r>
  <r>
    <s v="PROCESSO LEGISLATIVO"/>
    <x v="3"/>
    <x v="16"/>
    <n v="4400000"/>
    <n v="2352420.21"/>
    <n v="2352420.21"/>
    <n v="2047579.79"/>
  </r>
  <r>
    <s v="PROCESSO LEGISLATIVO"/>
    <x v="3"/>
    <x v="17"/>
    <n v="100000"/>
    <n v="26962.89"/>
    <n v="26962.89"/>
    <n v="73037.11"/>
  </r>
  <r>
    <s v="PROCESSO LEGISLATIVO"/>
    <x v="3"/>
    <x v="8"/>
    <n v="10000"/>
    <n v="0"/>
    <n v="0"/>
    <n v="10000"/>
  </r>
  <r>
    <s v="PROCESSO LEGISLATIVO"/>
    <x v="3"/>
    <x v="18"/>
    <n v="10000"/>
    <n v="0"/>
    <n v="0"/>
    <n v="10000"/>
  </r>
  <r>
    <s v="PROCESSO LEGISLATIVO"/>
    <x v="3"/>
    <x v="16"/>
    <n v="1200000"/>
    <n v="556180.93999999994"/>
    <n v="556180.93999999994"/>
    <n v="643819.06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B8CBB-A6DD-401B-B89C-87C833F9DD67}" name="Tabela dinâmica2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9">
  <location ref="A13:C18" firstHeaderRow="0" firstDataRow="1" firstDataCol="1"/>
  <pivotFields count="7">
    <pivotField showAll="0" insertBlankRow="1"/>
    <pivotField axis="axisRow" showAll="0" insertBlankRow="1">
      <items count="5">
        <item x="0"/>
        <item x="3"/>
        <item x="1"/>
        <item x="2"/>
        <item t="default"/>
      </items>
    </pivotField>
    <pivotField showAll="0" insertBlankRow="1"/>
    <pivotField dataField="1" numFmtId="44" showAll="0" insertBlankRow="1"/>
    <pivotField dataField="1" numFmtId="44" showAll="0" insertBlankRow="1"/>
    <pivotField numFmtId="44" showAll="0" insertBlankRow="1"/>
    <pivotField numFmtId="44" showAll="0" insertBlankRow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ORÇADO" fld="3" baseField="1" baseItem="0"/>
    <dataField name="EMPENHADO TOTAL" fld="4" baseField="1" baseItem="0"/>
  </dataFields>
  <formats count="2">
    <format dxfId="19">
      <pivotArea outline="0" collapsedLevelsAreSubtotals="1" fieldPosition="0"/>
    </format>
    <format dxfId="18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8">
    <chartFormat chart="7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17967-E450-4D72-8ECB-E84D7D41F31E}" name="Tabela dinâmica1" cacheId="4" applyNumberFormats="0" applyBorderFormats="0" applyFontFormats="0" applyPatternFormats="0" applyAlignmentFormats="0" applyWidthHeightFormats="1" dataCaption="Valores" updatedVersion="6" minRefreshableVersion="3" showDrill="0" useAutoFormatting="1" itemPrintTitles="1" createdVersion="6" indent="0" outline="1" outlineData="1" multipleFieldFilters="0" chartFormat="18">
  <location ref="A3:C8" firstHeaderRow="0" firstDataRow="1" firstDataCol="1"/>
  <pivotFields count="7">
    <pivotField showAll="0" insertBlankRow="1"/>
    <pivotField axis="axisRow" showAll="0" insertBlankRow="1">
      <items count="5">
        <item x="0"/>
        <item x="3"/>
        <item x="1"/>
        <item x="2"/>
        <item t="default"/>
      </items>
    </pivotField>
    <pivotField showAll="0" insertBlankRow="1"/>
    <pivotField dataField="1" numFmtId="44" showAll="0" insertBlankRow="1"/>
    <pivotField dataField="1" numFmtId="44" showAll="0" insertBlankRow="1"/>
    <pivotField numFmtId="44" showAll="0" insertBlankRow="1"/>
    <pivotField numFmtId="44" showAll="0" insertBlankRow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ORÇADO" fld="3" baseField="1" baseItem="0"/>
    <dataField name="EMPENHADO TOTAL" fld="4" baseField="1" baseItem="0"/>
  </dataFields>
  <formats count="2">
    <format dxfId="21">
      <pivotArea outline="0" collapsedLevelsAreSubtotals="1" fieldPosition="0"/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8">
    <chartFormat chart="7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2F9B0-4C4D-4FB1-9DD7-887B734A9EB4}" name="Tabela dinâmica4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9">
  <location ref="A49:C80" firstHeaderRow="0" firstDataRow="1" firstDataCol="1"/>
  <pivotFields count="7">
    <pivotField showAll="0" insertBlankRow="1"/>
    <pivotField axis="axisRow" showAll="0" insertBlankRow="1">
      <items count="5">
        <item x="0"/>
        <item x="3"/>
        <item x="1"/>
        <item x="2"/>
        <item t="default"/>
      </items>
    </pivotField>
    <pivotField axis="axisRow" showAll="0" insertBlankRow="1">
      <items count="20">
        <item x="11"/>
        <item x="13"/>
        <item x="6"/>
        <item x="7"/>
        <item x="8"/>
        <item x="12"/>
        <item x="9"/>
        <item x="18"/>
        <item x="3"/>
        <item x="1"/>
        <item x="16"/>
        <item x="17"/>
        <item x="2"/>
        <item x="4"/>
        <item x="0"/>
        <item x="14"/>
        <item x="5"/>
        <item x="10"/>
        <item x="15"/>
        <item t="default"/>
      </items>
    </pivotField>
    <pivotField dataField="1" numFmtId="44" showAll="0" insertBlankRow="1"/>
    <pivotField dataField="1" numFmtId="44" showAll="0" insertBlankRow="1"/>
    <pivotField numFmtId="44" showAll="0" insertBlankRow="1"/>
    <pivotField numFmtId="44" showAll="0" insertBlankRow="1"/>
  </pivotFields>
  <rowFields count="2">
    <field x="1"/>
    <field x="2"/>
  </rowFields>
  <rowItems count="31">
    <i>
      <x/>
    </i>
    <i r="1">
      <x v="9"/>
    </i>
    <i r="1">
      <x v="14"/>
    </i>
    <i t="blank">
      <x/>
    </i>
    <i>
      <x v="1"/>
    </i>
    <i r="1">
      <x v="1"/>
    </i>
    <i r="1">
      <x v="4"/>
    </i>
    <i r="1">
      <x v="7"/>
    </i>
    <i r="1">
      <x v="10"/>
    </i>
    <i r="1">
      <x v="11"/>
    </i>
    <i r="1">
      <x v="15"/>
    </i>
    <i r="1">
      <x v="18"/>
    </i>
    <i t="blank">
      <x v="1"/>
    </i>
    <i>
      <x v="2"/>
    </i>
    <i r="1">
      <x v="9"/>
    </i>
    <i t="blank">
      <x v="2"/>
    </i>
    <i>
      <x v="3"/>
    </i>
    <i r="1">
      <x/>
    </i>
    <i r="1">
      <x v="2"/>
    </i>
    <i r="1">
      <x v="3"/>
    </i>
    <i r="1">
      <x v="4"/>
    </i>
    <i r="1">
      <x v="5"/>
    </i>
    <i r="1">
      <x v="6"/>
    </i>
    <i r="1">
      <x v="8"/>
    </i>
    <i r="1">
      <x v="12"/>
    </i>
    <i r="1">
      <x v="13"/>
    </i>
    <i r="1">
      <x v="14"/>
    </i>
    <i r="1">
      <x v="16"/>
    </i>
    <i r="1">
      <x v="17"/>
    </i>
    <i t="blank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Orçado Atualizado" fld="3" baseField="0" baseItem="0"/>
    <dataField name="EMPENHADO TOTAL" fld="4" baseField="1" baseItem="0"/>
  </dataFields>
  <formats count="2">
    <format dxfId="23">
      <pivotArea outline="0" collapsedLevelsAreSubtotals="1" fieldPosition="0"/>
    </format>
    <format dxfId="22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4">
    <chartFormat chart="7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7D12F7-37DA-47C1-8710-69E1EF0625BB}" name="Tabela dinâ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9">
  <location ref="A34:C39" firstHeaderRow="0" firstDataRow="1" firstDataCol="1"/>
  <pivotFields count="7">
    <pivotField showAll="0" insertBlankRow="1"/>
    <pivotField axis="axisRow" showAll="0" insertBlankRow="1">
      <items count="5">
        <item x="0"/>
        <item x="3"/>
        <item x="1"/>
        <item x="2"/>
        <item t="default"/>
      </items>
    </pivotField>
    <pivotField showAll="0" insertBlankRow="1"/>
    <pivotField dataField="1" numFmtId="44" showAll="0" insertBlankRow="1"/>
    <pivotField dataField="1" numFmtId="44" showAll="0" insertBlankRow="1"/>
    <pivotField numFmtId="44" showAll="0" insertBlankRow="1"/>
    <pivotField numFmtId="44" showAll="0" insertBlankRow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ORÇADO" fld="3" baseField="1" baseItem="0"/>
    <dataField name="EMPENHADO TOTAL" fld="4" baseField="1" baseItem="0"/>
  </dataFields>
  <formats count="2">
    <format dxfId="25">
      <pivotArea outline="0" collapsedLevelsAreSubtotals="1" fieldPosition="0"/>
    </format>
    <format dxfId="24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8">
    <chartFormat chart="7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A4FA55-7E88-429A-8869-7543A889CD01}" name="DADOS" displayName="DADOS" ref="A2:G26" totalsRowCount="1" headerRowDxfId="27" dataDxfId="26" headerRowCellStyle="Moeda" dataCellStyle="Moeda">
  <tableColumns count="7">
    <tableColumn id="1" xr3:uid="{8751BA8B-8337-4C8F-9065-06B5C62612BD}" name="Programa" totalsRowLabel="Total"/>
    <tableColumn id="7" xr3:uid="{0799F1B5-A394-41B8-9C9F-9E3E678AD255}" name="AÇÃO"/>
    <tableColumn id="2" xr3:uid="{2C88BC54-71E0-403F-86DD-C796C7BD7CC6}" name="NATUREZA" dataDxfId="17" totalsRowDxfId="16"/>
    <tableColumn id="3" xr3:uid="{B76E573D-FFBB-4A17-9A3C-E5667DFCDAAD}" name="Orçado Atualizado" totalsRowFunction="sum" dataDxfId="15" totalsRowDxfId="14" dataCellStyle="Vírgula"/>
    <tableColumn id="4" xr3:uid="{2E1FFBE3-8230-43EE-9DCF-88158DAA9F9E}" name="Empenhado" totalsRowFunction="sum" dataDxfId="13" totalsRowDxfId="12" dataCellStyle="Vírgula"/>
    <tableColumn id="5" xr3:uid="{58DAF363-A725-4CF7-87CA-84EB1F103899}" name="Liquidado" totalsRowFunction="sum" dataDxfId="11" totalsRowDxfId="10" dataCellStyle="Moeda" totalsRowCellStyle="Moeda"/>
    <tableColumn id="6" xr3:uid="{CCAE6F8A-6A1C-4E7B-9906-667D45902CC6}" name="Saldo" totalsRowFunction="custom" dataDxfId="9" totalsRowDxfId="8" dataCellStyle="Vírgula">
      <calculatedColumnFormula>D3-E3</calculatedColumnFormula>
      <totalsRowFormula>SUM(DADOS[Saldo])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4"/>
  <sheetViews>
    <sheetView showGridLines="0" topLeftCell="A16" workbookViewId="0">
      <selection activeCell="E3" sqref="E3"/>
    </sheetView>
  </sheetViews>
  <sheetFormatPr defaultRowHeight="15" x14ac:dyDescent="0.25"/>
  <cols>
    <col min="1" max="1" width="28.5703125" customWidth="1"/>
    <col min="2" max="2" width="48.42578125" bestFit="1" customWidth="1"/>
    <col min="3" max="3" width="52.7109375" style="3" bestFit="1" customWidth="1"/>
    <col min="4" max="4" width="23.42578125" style="7" customWidth="1"/>
    <col min="5" max="5" width="17.42578125" style="8" customWidth="1"/>
    <col min="6" max="6" width="15.28515625" style="1" customWidth="1"/>
    <col min="7" max="7" width="17.42578125" style="8" customWidth="1"/>
  </cols>
  <sheetData>
    <row r="2" spans="1:7" x14ac:dyDescent="0.25">
      <c r="A2" s="4" t="s">
        <v>0</v>
      </c>
      <c r="B2" s="4" t="s">
        <v>7</v>
      </c>
      <c r="C2" s="4" t="s">
        <v>8</v>
      </c>
      <c r="D2" s="7" t="s">
        <v>2</v>
      </c>
      <c r="E2" s="7" t="s">
        <v>3</v>
      </c>
      <c r="F2" s="1" t="s">
        <v>52</v>
      </c>
      <c r="G2" s="7" t="s">
        <v>4</v>
      </c>
    </row>
    <row r="3" spans="1:7" x14ac:dyDescent="0.25">
      <c r="A3" t="s">
        <v>5</v>
      </c>
      <c r="B3" t="s">
        <v>9</v>
      </c>
      <c r="C3" s="2" t="s">
        <v>10</v>
      </c>
      <c r="D3" s="7">
        <v>500000</v>
      </c>
      <c r="E3" s="7">
        <v>190475</v>
      </c>
      <c r="F3" s="26">
        <v>475</v>
      </c>
      <c r="G3" s="7">
        <f>D3-E3</f>
        <v>309525</v>
      </c>
    </row>
    <row r="4" spans="1:7" x14ac:dyDescent="0.25">
      <c r="A4" t="s">
        <v>5</v>
      </c>
      <c r="B4" t="s">
        <v>9</v>
      </c>
      <c r="C4" s="2" t="s">
        <v>11</v>
      </c>
      <c r="D4" s="7">
        <v>50000</v>
      </c>
      <c r="E4" s="7">
        <v>0</v>
      </c>
      <c r="F4" s="26">
        <v>0</v>
      </c>
      <c r="G4" s="7">
        <f>D4-E4</f>
        <v>50000</v>
      </c>
    </row>
    <row r="5" spans="1:7" x14ac:dyDescent="0.25">
      <c r="A5" t="s">
        <v>5</v>
      </c>
      <c r="B5" t="s">
        <v>6</v>
      </c>
      <c r="C5" s="3" t="s">
        <v>11</v>
      </c>
      <c r="D5" s="7">
        <v>8500000</v>
      </c>
      <c r="E5" s="7">
        <v>0</v>
      </c>
      <c r="F5" s="26">
        <v>0</v>
      </c>
      <c r="G5" s="7">
        <f t="shared" ref="G5:G25" si="0">D5-E5</f>
        <v>8500000</v>
      </c>
    </row>
    <row r="6" spans="1:7" x14ac:dyDescent="0.25">
      <c r="A6" t="s">
        <v>5</v>
      </c>
      <c r="B6" t="s">
        <v>12</v>
      </c>
      <c r="C6" s="3" t="s">
        <v>13</v>
      </c>
      <c r="D6" s="7">
        <v>2700000</v>
      </c>
      <c r="E6" s="7">
        <v>2072950.58</v>
      </c>
      <c r="F6" s="26">
        <v>2044359.42</v>
      </c>
      <c r="G6" s="7">
        <f>D6-E6</f>
        <v>627049.41999999993</v>
      </c>
    </row>
    <row r="7" spans="1:7" x14ac:dyDescent="0.25">
      <c r="A7" t="s">
        <v>5</v>
      </c>
      <c r="B7" t="s">
        <v>12</v>
      </c>
      <c r="C7" s="3" t="s">
        <v>14</v>
      </c>
      <c r="D7" s="7">
        <v>500000</v>
      </c>
      <c r="E7" s="7">
        <v>336553.04</v>
      </c>
      <c r="F7" s="26">
        <v>200196.28</v>
      </c>
      <c r="G7" s="7">
        <f t="shared" si="0"/>
        <v>163446.96000000002</v>
      </c>
    </row>
    <row r="8" spans="1:7" x14ac:dyDescent="0.25">
      <c r="A8" t="s">
        <v>5</v>
      </c>
      <c r="B8" t="s">
        <v>12</v>
      </c>
      <c r="C8" s="3" t="s">
        <v>15</v>
      </c>
      <c r="D8" s="7">
        <v>50000</v>
      </c>
      <c r="E8" s="7">
        <v>38517.5</v>
      </c>
      <c r="F8" s="26">
        <v>23717.5</v>
      </c>
      <c r="G8" s="7">
        <f t="shared" si="0"/>
        <v>11482.5</v>
      </c>
    </row>
    <row r="9" spans="1:7" x14ac:dyDescent="0.25">
      <c r="A9" t="s">
        <v>5</v>
      </c>
      <c r="B9" t="s">
        <v>12</v>
      </c>
      <c r="C9" s="3" t="s">
        <v>10</v>
      </c>
      <c r="D9" s="7">
        <v>7400000</v>
      </c>
      <c r="E9" s="7">
        <v>5432910.7800000003</v>
      </c>
      <c r="F9" s="26">
        <v>3685315.23</v>
      </c>
      <c r="G9" s="7">
        <f t="shared" si="0"/>
        <v>1967089.2199999997</v>
      </c>
    </row>
    <row r="10" spans="1:7" x14ac:dyDescent="0.25">
      <c r="A10" t="s">
        <v>5</v>
      </c>
      <c r="B10" t="s">
        <v>12</v>
      </c>
      <c r="C10" s="3" t="s">
        <v>16</v>
      </c>
      <c r="D10" s="7">
        <v>1100000</v>
      </c>
      <c r="E10" s="7">
        <v>910550.23</v>
      </c>
      <c r="F10" s="26">
        <v>640911.1</v>
      </c>
      <c r="G10" s="7">
        <f t="shared" si="0"/>
        <v>189449.77000000002</v>
      </c>
    </row>
    <row r="11" spans="1:7" x14ac:dyDescent="0.25">
      <c r="A11" t="s">
        <v>5</v>
      </c>
      <c r="B11" t="s">
        <v>12</v>
      </c>
      <c r="C11" s="3" t="s">
        <v>17</v>
      </c>
      <c r="D11" s="7">
        <v>10000</v>
      </c>
      <c r="E11" s="7">
        <v>0</v>
      </c>
      <c r="F11" s="26">
        <v>0</v>
      </c>
      <c r="G11" s="7">
        <f t="shared" si="0"/>
        <v>10000</v>
      </c>
    </row>
    <row r="12" spans="1:7" x14ac:dyDescent="0.25">
      <c r="A12" t="s">
        <v>5</v>
      </c>
      <c r="B12" t="s">
        <v>12</v>
      </c>
      <c r="C12" s="3" t="s">
        <v>18</v>
      </c>
      <c r="D12" s="7">
        <v>550000</v>
      </c>
      <c r="E12" s="7">
        <v>346322.8</v>
      </c>
      <c r="F12" s="26">
        <v>330292</v>
      </c>
      <c r="G12" s="7">
        <f t="shared" si="0"/>
        <v>203677.2</v>
      </c>
    </row>
    <row r="13" spans="1:7" x14ac:dyDescent="0.25">
      <c r="A13" t="s">
        <v>5</v>
      </c>
      <c r="B13" t="s">
        <v>12</v>
      </c>
      <c r="C13" s="3" t="s">
        <v>19</v>
      </c>
      <c r="D13" s="7">
        <v>10000</v>
      </c>
      <c r="E13" s="7">
        <v>0</v>
      </c>
      <c r="F13" s="26">
        <v>0</v>
      </c>
      <c r="G13" s="7">
        <f t="shared" si="0"/>
        <v>10000</v>
      </c>
    </row>
    <row r="14" spans="1:7" x14ac:dyDescent="0.25">
      <c r="A14" t="s">
        <v>5</v>
      </c>
      <c r="B14" t="s">
        <v>12</v>
      </c>
      <c r="C14" s="3" t="s">
        <v>20</v>
      </c>
      <c r="D14" s="7">
        <v>10000</v>
      </c>
      <c r="E14" s="7">
        <v>0</v>
      </c>
      <c r="F14" s="26">
        <v>0</v>
      </c>
      <c r="G14" s="7">
        <f t="shared" si="0"/>
        <v>10000</v>
      </c>
    </row>
    <row r="15" spans="1:7" x14ac:dyDescent="0.25">
      <c r="A15" t="s">
        <v>5</v>
      </c>
      <c r="B15" t="s">
        <v>12</v>
      </c>
      <c r="C15" s="3" t="s">
        <v>21</v>
      </c>
      <c r="D15" s="7">
        <v>400000</v>
      </c>
      <c r="E15" s="7">
        <v>318472</v>
      </c>
      <c r="F15" s="26">
        <v>173712</v>
      </c>
      <c r="G15" s="7">
        <f t="shared" si="0"/>
        <v>81528</v>
      </c>
    </row>
    <row r="16" spans="1:7" x14ac:dyDescent="0.25">
      <c r="A16" t="s">
        <v>5</v>
      </c>
      <c r="B16" t="s">
        <v>12</v>
      </c>
      <c r="C16" s="3" t="s">
        <v>22</v>
      </c>
      <c r="D16" s="7">
        <v>1200000</v>
      </c>
      <c r="E16" s="7">
        <v>0</v>
      </c>
      <c r="F16" s="26">
        <v>0</v>
      </c>
      <c r="G16" s="7">
        <f t="shared" si="0"/>
        <v>1200000</v>
      </c>
    </row>
    <row r="17" spans="1:7" x14ac:dyDescent="0.25">
      <c r="A17" t="s">
        <v>5</v>
      </c>
      <c r="B17" t="s">
        <v>12</v>
      </c>
      <c r="C17" s="3" t="s">
        <v>23</v>
      </c>
      <c r="D17" s="7">
        <v>200000</v>
      </c>
      <c r="E17" s="7">
        <v>14800</v>
      </c>
      <c r="F17" s="26">
        <v>0</v>
      </c>
      <c r="G17" s="7">
        <f t="shared" si="0"/>
        <v>185200</v>
      </c>
    </row>
    <row r="18" spans="1:7" x14ac:dyDescent="0.25">
      <c r="A18" t="s">
        <v>5</v>
      </c>
      <c r="B18" t="s">
        <v>24</v>
      </c>
      <c r="C18" s="3" t="s">
        <v>25</v>
      </c>
      <c r="D18" s="7">
        <v>500000</v>
      </c>
      <c r="E18" s="7">
        <v>281815.96999999997</v>
      </c>
      <c r="F18" s="26">
        <v>281815.96999999997</v>
      </c>
      <c r="G18" s="7">
        <f t="shared" si="0"/>
        <v>218184.03000000003</v>
      </c>
    </row>
    <row r="19" spans="1:7" x14ac:dyDescent="0.25">
      <c r="A19" t="s">
        <v>5</v>
      </c>
      <c r="B19" t="s">
        <v>24</v>
      </c>
      <c r="C19" s="3" t="s">
        <v>26</v>
      </c>
      <c r="D19" s="7">
        <v>350000</v>
      </c>
      <c r="E19" s="7">
        <v>169985.01</v>
      </c>
      <c r="F19" s="26">
        <v>169985.01</v>
      </c>
      <c r="G19" s="7">
        <f t="shared" si="0"/>
        <v>180014.99</v>
      </c>
    </row>
    <row r="20" spans="1:7" x14ac:dyDescent="0.25">
      <c r="A20" t="s">
        <v>5</v>
      </c>
      <c r="B20" t="s">
        <v>24</v>
      </c>
      <c r="C20" s="3" t="s">
        <v>27</v>
      </c>
      <c r="D20" s="7">
        <v>36000000</v>
      </c>
      <c r="E20" s="7">
        <v>21802342.91</v>
      </c>
      <c r="F20" s="26">
        <v>21802342.91</v>
      </c>
      <c r="G20" s="7">
        <f t="shared" si="0"/>
        <v>14197657.09</v>
      </c>
    </row>
    <row r="21" spans="1:7" x14ac:dyDescent="0.25">
      <c r="A21" t="s">
        <v>5</v>
      </c>
      <c r="B21" t="s">
        <v>24</v>
      </c>
      <c r="C21" s="3" t="s">
        <v>28</v>
      </c>
      <c r="D21" s="7">
        <v>4400000</v>
      </c>
      <c r="E21" s="7">
        <v>2352420.21</v>
      </c>
      <c r="F21" s="26">
        <v>2352420.21</v>
      </c>
      <c r="G21" s="7">
        <f t="shared" si="0"/>
        <v>2047579.79</v>
      </c>
    </row>
    <row r="22" spans="1:7" x14ac:dyDescent="0.25">
      <c r="A22" t="s">
        <v>5</v>
      </c>
      <c r="B22" t="s">
        <v>24</v>
      </c>
      <c r="C22" s="3" t="s">
        <v>29</v>
      </c>
      <c r="D22" s="7">
        <v>100000</v>
      </c>
      <c r="E22" s="7">
        <v>26962.89</v>
      </c>
      <c r="F22" s="26">
        <v>26962.89</v>
      </c>
      <c r="G22" s="7">
        <f t="shared" si="0"/>
        <v>73037.11</v>
      </c>
    </row>
    <row r="23" spans="1:7" x14ac:dyDescent="0.25">
      <c r="A23" t="s">
        <v>5</v>
      </c>
      <c r="B23" t="s">
        <v>24</v>
      </c>
      <c r="C23" s="3" t="s">
        <v>19</v>
      </c>
      <c r="D23" s="7">
        <v>10000</v>
      </c>
      <c r="E23" s="7">
        <v>0</v>
      </c>
      <c r="F23" s="26">
        <v>0</v>
      </c>
      <c r="G23" s="7">
        <f t="shared" si="0"/>
        <v>10000</v>
      </c>
    </row>
    <row r="24" spans="1:7" x14ac:dyDescent="0.25">
      <c r="A24" t="s">
        <v>5</v>
      </c>
      <c r="B24" t="s">
        <v>24</v>
      </c>
      <c r="C24" s="3" t="s">
        <v>30</v>
      </c>
      <c r="D24" s="7">
        <v>10000</v>
      </c>
      <c r="E24" s="7">
        <v>0</v>
      </c>
      <c r="F24" s="26">
        <v>0</v>
      </c>
      <c r="G24" s="7">
        <f t="shared" si="0"/>
        <v>10000</v>
      </c>
    </row>
    <row r="25" spans="1:7" x14ac:dyDescent="0.25">
      <c r="A25" t="s">
        <v>5</v>
      </c>
      <c r="B25" t="s">
        <v>24</v>
      </c>
      <c r="C25" s="3" t="s">
        <v>28</v>
      </c>
      <c r="D25" s="7">
        <v>1200000</v>
      </c>
      <c r="E25" s="7">
        <v>556180.93999999994</v>
      </c>
      <c r="F25" s="26">
        <v>556180.93999999994</v>
      </c>
      <c r="G25" s="7">
        <f t="shared" si="0"/>
        <v>643819.06000000006</v>
      </c>
    </row>
    <row r="26" spans="1:7" x14ac:dyDescent="0.25">
      <c r="A26" t="s">
        <v>33</v>
      </c>
      <c r="C26" s="2"/>
      <c r="D26" s="10">
        <f>SUBTOTAL(109,DADOS[Orçado Atualizado])</f>
        <v>65750000</v>
      </c>
      <c r="E26" s="10">
        <f>SUBTOTAL(109,DADOS[Empenhado])</f>
        <v>34851259.859999999</v>
      </c>
      <c r="F26" s="27">
        <f>SUBTOTAL(109,DADOS[Liquidado])</f>
        <v>32288686.460000001</v>
      </c>
      <c r="G26" s="10">
        <f>SUM(DADOS[Saldo])</f>
        <v>30898740.139999997</v>
      </c>
    </row>
    <row r="27" spans="1:7" x14ac:dyDescent="0.25">
      <c r="E27" s="7"/>
    </row>
    <row r="28" spans="1:7" x14ac:dyDescent="0.25">
      <c r="E28" s="100">
        <f>DADOS[[#Totals],[Empenhado]]/DADOS[[#Totals],[Orçado Atualizado]]</f>
        <v>0.53005718418250947</v>
      </c>
    </row>
    <row r="29" spans="1:7" x14ac:dyDescent="0.25">
      <c r="E29" s="46"/>
    </row>
    <row r="30" spans="1:7" x14ac:dyDescent="0.25">
      <c r="E30" s="7"/>
    </row>
    <row r="31" spans="1:7" x14ac:dyDescent="0.25">
      <c r="E31" s="7"/>
    </row>
    <row r="32" spans="1:7" x14ac:dyDescent="0.25">
      <c r="E32" s="7"/>
    </row>
    <row r="33" spans="5:5" x14ac:dyDescent="0.25">
      <c r="E33" s="7"/>
    </row>
    <row r="34" spans="5:5" x14ac:dyDescent="0.25">
      <c r="E34" s="7"/>
    </row>
  </sheetData>
  <pageMargins left="0.7" right="0.7" top="0.75" bottom="0.75" header="0.3" footer="0.3"/>
  <pageSetup paperSize="9" orientation="portrait" horizontalDpi="12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8205-140A-4CB6-8488-10A7EBFB3BBE}">
  <dimension ref="A3:L198"/>
  <sheetViews>
    <sheetView showGridLines="0" workbookViewId="0">
      <selection activeCell="C8" sqref="C8"/>
    </sheetView>
  </sheetViews>
  <sheetFormatPr defaultRowHeight="15" x14ac:dyDescent="0.25"/>
  <cols>
    <col min="1" max="1" width="48.42578125" bestFit="1" customWidth="1"/>
    <col min="2" max="2" width="14.28515625" style="1" bestFit="1" customWidth="1"/>
    <col min="3" max="3" width="20.42578125" style="8" bestFit="1" customWidth="1"/>
    <col min="4" max="4" width="21.140625" customWidth="1"/>
    <col min="5" max="5" width="18.5703125" customWidth="1"/>
    <col min="6" max="6" width="20.140625" bestFit="1" customWidth="1"/>
    <col min="7" max="7" width="20.42578125" bestFit="1" customWidth="1"/>
    <col min="8" max="9" width="18.5703125" customWidth="1"/>
    <col min="10" max="11" width="15.85546875" bestFit="1" customWidth="1"/>
    <col min="12" max="12" width="14.28515625" bestFit="1" customWidth="1"/>
    <col min="13" max="13" width="19.140625" bestFit="1" customWidth="1"/>
    <col min="14" max="14" width="15.140625" bestFit="1" customWidth="1"/>
    <col min="15" max="15" width="19.140625" bestFit="1" customWidth="1"/>
    <col min="16" max="16" width="16.140625" bestFit="1" customWidth="1"/>
    <col min="17" max="17" width="20.140625" bestFit="1" customWidth="1"/>
    <col min="18" max="18" width="16.140625" bestFit="1" customWidth="1"/>
    <col min="19" max="19" width="20.140625" bestFit="1" customWidth="1"/>
    <col min="20" max="20" width="16.140625" bestFit="1" customWidth="1"/>
    <col min="21" max="21" width="20.140625" bestFit="1" customWidth="1"/>
    <col min="22" max="22" width="17.7109375" bestFit="1" customWidth="1"/>
    <col min="23" max="23" width="21.85546875" bestFit="1" customWidth="1"/>
    <col min="24" max="24" width="17.7109375" bestFit="1" customWidth="1"/>
    <col min="25" max="25" width="21.85546875" bestFit="1" customWidth="1"/>
    <col min="26" max="26" width="12.140625" bestFit="1" customWidth="1"/>
  </cols>
  <sheetData>
    <row r="3" spans="1:12" x14ac:dyDescent="0.25">
      <c r="A3" s="5" t="s">
        <v>31</v>
      </c>
      <c r="B3" t="s">
        <v>34</v>
      </c>
      <c r="C3" s="6" t="s">
        <v>35</v>
      </c>
    </row>
    <row r="4" spans="1:12" x14ac:dyDescent="0.25">
      <c r="A4" s="2" t="s">
        <v>9</v>
      </c>
      <c r="B4" s="6">
        <v>550000</v>
      </c>
      <c r="C4" s="6">
        <v>190475</v>
      </c>
      <c r="D4" s="9">
        <f>GETPIVOTDATA("EMPENHADO TOTAL",$A$3,"AÇÃO","AMPLIAÇÃO E REFORMA DO PRÉDIO DO LEGISLATIVO")/GETPIVOTDATA("ORÇADO",$A$3,"AÇÃO","AMPLIAÇÃO E REFORMA DO PRÉDIO DO LEGISLATIVO")</f>
        <v>0.3463181818181818</v>
      </c>
    </row>
    <row r="5" spans="1:12" x14ac:dyDescent="0.25">
      <c r="A5" s="2" t="s">
        <v>24</v>
      </c>
      <c r="B5" s="6">
        <v>42570000</v>
      </c>
      <c r="C5" s="6">
        <v>25189707.930000003</v>
      </c>
      <c r="D5" s="9">
        <f>GETPIVOTDATA("EMPENHADO TOTAL",$A$3,"AÇÃO","ATIVIDADES LEGISLATIVAS")/GETPIVOTDATA("ORÇADO",$A$3,"AÇÃO","ATIVIDADES LEGISLATIVAS")</f>
        <v>0.59172440521494019</v>
      </c>
    </row>
    <row r="6" spans="1:12" x14ac:dyDescent="0.25">
      <c r="A6" s="2" t="s">
        <v>6</v>
      </c>
      <c r="B6" s="6">
        <v>8500000</v>
      </c>
      <c r="C6" s="6">
        <v>0</v>
      </c>
      <c r="D6" s="9">
        <f>GETPIVOTDATA("EMPENHADO TOTAL",$A$3,"AÇÃO","CONSTRUÇÃO DA NOVA SEDE DO LEGISLATIVO")/GETPIVOTDATA("ORÇADO",$A$3,"AÇÃO","CONSTRUÇÃO DA NOVA SEDE DO LEGISLATIVO")</f>
        <v>0</v>
      </c>
    </row>
    <row r="7" spans="1:12" x14ac:dyDescent="0.25">
      <c r="A7" s="2" t="s">
        <v>12</v>
      </c>
      <c r="B7" s="6">
        <v>14130000</v>
      </c>
      <c r="C7" s="6">
        <v>9471076.9300000016</v>
      </c>
      <c r="D7" s="9">
        <f>GETPIVOTDATA("EMPENHADO TOTAL",$A$3,"AÇÃO","MANUTENÇÃO DOS SERV ADMINISTRATIVOS")/GETPIVOTDATA("ORÇADO",$A$3,"AÇÃO","MANUTENÇÃO DOS SERV ADMINISTRATIVOS")</f>
        <v>0.67028145293701358</v>
      </c>
    </row>
    <row r="8" spans="1:12" x14ac:dyDescent="0.25">
      <c r="A8" s="2" t="s">
        <v>32</v>
      </c>
      <c r="B8" s="6">
        <v>65750000</v>
      </c>
      <c r="C8" s="6">
        <v>34851259.860000007</v>
      </c>
      <c r="D8" s="85">
        <f>GETPIVOTDATA("EMPENHADO TOTAL",$A$3)/GETPIVOTDATA("ORÇADO",$A$3)</f>
        <v>0.53005718418250958</v>
      </c>
    </row>
    <row r="10" spans="1:12" s="40" customFormat="1" x14ac:dyDescent="0.25">
      <c r="B10" s="41"/>
      <c r="C10" s="42"/>
    </row>
    <row r="13" spans="1:12" x14ac:dyDescent="0.25">
      <c r="A13" s="5" t="s">
        <v>31</v>
      </c>
      <c r="B13" t="s">
        <v>34</v>
      </c>
      <c r="C13" s="6" t="s">
        <v>35</v>
      </c>
      <c r="E13" s="11" t="s">
        <v>36</v>
      </c>
      <c r="F13" s="11" t="s">
        <v>37</v>
      </c>
      <c r="G13" s="11" t="s">
        <v>38</v>
      </c>
      <c r="H13" s="11" t="s">
        <v>39</v>
      </c>
      <c r="I13" s="11" t="s">
        <v>40</v>
      </c>
      <c r="J13" s="11" t="s">
        <v>41</v>
      </c>
      <c r="K13" s="11" t="s">
        <v>234</v>
      </c>
      <c r="L13" s="11" t="s">
        <v>235</v>
      </c>
    </row>
    <row r="14" spans="1:12" x14ac:dyDescent="0.25">
      <c r="A14" s="2" t="s">
        <v>9</v>
      </c>
      <c r="B14" s="6">
        <v>550000</v>
      </c>
      <c r="C14" s="6">
        <v>190475</v>
      </c>
      <c r="D14" s="34" t="str">
        <f>A14</f>
        <v>AMPLIAÇÃO E REFORMA DO PRÉDIO DO LEGISLATIVO</v>
      </c>
      <c r="E14" s="33">
        <f>GETPIVOTDATA("EMPENHADO TOTAL",$A$13,"AÇÃO","AMPLIAÇÃO E REFORMA DO PRÉDIO DO LEGISLATIVO")/8</f>
        <v>23809.375</v>
      </c>
      <c r="F14" s="33">
        <f>E14*2</f>
        <v>47618.75</v>
      </c>
      <c r="G14" s="33">
        <f>E14*3</f>
        <v>71428.125</v>
      </c>
      <c r="H14" s="33">
        <f>E14*4</f>
        <v>95237.5</v>
      </c>
      <c r="I14" s="33">
        <f>E14*5</f>
        <v>119046.875</v>
      </c>
      <c r="J14" s="33">
        <f>E14*6</f>
        <v>142856.25</v>
      </c>
      <c r="K14" s="6">
        <f>E14*7</f>
        <v>166665.625</v>
      </c>
      <c r="L14" s="6">
        <f>E14*8</f>
        <v>190475</v>
      </c>
    </row>
    <row r="15" spans="1:12" x14ac:dyDescent="0.25">
      <c r="A15" s="2" t="s">
        <v>24</v>
      </c>
      <c r="B15" s="6">
        <v>42570000</v>
      </c>
      <c r="C15" s="6">
        <v>25189707.930000003</v>
      </c>
      <c r="D15" s="34" t="str">
        <f>A15</f>
        <v>ATIVIDADES LEGISLATIVAS</v>
      </c>
      <c r="E15" s="33">
        <f>GETPIVOTDATA("EMPENHADO TOTAL",$A$13,"AÇÃO","ATIVIDADES LEGISLATIVAS")/8</f>
        <v>3148713.4912500004</v>
      </c>
      <c r="F15" s="33">
        <f>E15*2</f>
        <v>6297426.9825000009</v>
      </c>
      <c r="G15" s="33">
        <f>E15*3</f>
        <v>9446140.4737500008</v>
      </c>
      <c r="H15" s="33">
        <f>E15*4</f>
        <v>12594853.965000002</v>
      </c>
      <c r="I15" s="33">
        <f>E15*5</f>
        <v>15743567.456250003</v>
      </c>
      <c r="J15" s="33">
        <f>$E$15*6</f>
        <v>18892280.947500002</v>
      </c>
      <c r="K15" s="33">
        <f>$E$15*7</f>
        <v>22040994.438750003</v>
      </c>
      <c r="L15" s="33">
        <f>$E$15*8</f>
        <v>25189707.930000003</v>
      </c>
    </row>
    <row r="16" spans="1:12" x14ac:dyDescent="0.25">
      <c r="A16" s="2" t="s">
        <v>6</v>
      </c>
      <c r="B16" s="6">
        <v>8500000</v>
      </c>
      <c r="C16" s="6">
        <v>0</v>
      </c>
      <c r="D16" s="34" t="str">
        <f>A16</f>
        <v>CONSTRUÇÃO DA NOVA SEDE DO LEGISLATIVO</v>
      </c>
      <c r="E16" s="33">
        <f>GETPIVOTDATA("EMPENHADO TOTAL",$A$13,"AÇÃO","CONSTRUÇÃO DA NOVA SEDE DO LEGISLATIVO")/6</f>
        <v>0</v>
      </c>
      <c r="F16" s="33">
        <f>E16*2</f>
        <v>0</v>
      </c>
      <c r="G16" s="33">
        <f>E16*3</f>
        <v>0</v>
      </c>
      <c r="H16" s="33">
        <f>E16*4</f>
        <v>0</v>
      </c>
      <c r="I16" s="33">
        <f>E16*5</f>
        <v>0</v>
      </c>
      <c r="J16" s="33">
        <f>-E16*6</f>
        <v>0</v>
      </c>
      <c r="K16">
        <v>0</v>
      </c>
      <c r="L16">
        <v>0</v>
      </c>
    </row>
    <row r="17" spans="1:12" x14ac:dyDescent="0.25">
      <c r="A17" s="2" t="s">
        <v>12</v>
      </c>
      <c r="B17" s="6">
        <v>14130000</v>
      </c>
      <c r="C17" s="6">
        <v>9471076.9300000016</v>
      </c>
      <c r="D17" s="34" t="str">
        <f>A17</f>
        <v>MANUTENÇÃO DOS SERV ADMINISTRATIVOS</v>
      </c>
      <c r="E17" s="33">
        <f>GETPIVOTDATA("EMPENHADO TOTAL",$A$13,"AÇÃO","MANUTENÇÃO DOS SERV ADMINISTRATIVOS")/8</f>
        <v>1183884.6162500002</v>
      </c>
      <c r="F17" s="33">
        <f>E17*2</f>
        <v>2367769.2325000004</v>
      </c>
      <c r="G17" s="33">
        <f>E17*3</f>
        <v>3551653.8487500008</v>
      </c>
      <c r="H17" s="33">
        <f>E17*4</f>
        <v>4735538.4650000008</v>
      </c>
      <c r="I17" s="33">
        <f>E17*5</f>
        <v>5919423.0812500007</v>
      </c>
      <c r="J17" s="33">
        <f>$E$17*6</f>
        <v>7103307.6975000016</v>
      </c>
      <c r="K17" s="33">
        <f>$E$17*7</f>
        <v>8287192.3137500016</v>
      </c>
      <c r="L17" s="33">
        <f>$E$17*8</f>
        <v>9471076.9300000016</v>
      </c>
    </row>
    <row r="18" spans="1:12" x14ac:dyDescent="0.25">
      <c r="A18" s="2" t="s">
        <v>32</v>
      </c>
      <c r="B18" s="6">
        <v>65750000</v>
      </c>
      <c r="C18" s="6">
        <v>34851259.860000007</v>
      </c>
    </row>
    <row r="21" spans="1:12" s="40" customFormat="1" x14ac:dyDescent="0.25">
      <c r="B21" s="41"/>
      <c r="C21" s="42"/>
    </row>
    <row r="24" spans="1:12" x14ac:dyDescent="0.25">
      <c r="A24" s="29" t="s">
        <v>53</v>
      </c>
      <c r="B24" s="32" t="s">
        <v>34</v>
      </c>
      <c r="D24" s="11" t="s">
        <v>36</v>
      </c>
      <c r="E24" s="11" t="s">
        <v>37</v>
      </c>
      <c r="F24" s="11" t="s">
        <v>38</v>
      </c>
      <c r="G24" s="11" t="s">
        <v>39</v>
      </c>
      <c r="H24" s="11" t="s">
        <v>40</v>
      </c>
      <c r="I24" s="11" t="s">
        <v>41</v>
      </c>
      <c r="J24" s="11" t="s">
        <v>234</v>
      </c>
      <c r="K24" s="11" t="s">
        <v>235</v>
      </c>
    </row>
    <row r="25" spans="1:12" x14ac:dyDescent="0.25">
      <c r="A25" s="30" t="s">
        <v>42</v>
      </c>
      <c r="B25" s="32">
        <v>550000</v>
      </c>
      <c r="D25" s="33">
        <f>B25/12</f>
        <v>45833.333333333336</v>
      </c>
      <c r="E25" s="33">
        <f>D25*2</f>
        <v>91666.666666666672</v>
      </c>
      <c r="F25" s="33">
        <f>E25+D25</f>
        <v>137500</v>
      </c>
      <c r="G25" s="33">
        <f>D25*4</f>
        <v>183333.33333333334</v>
      </c>
      <c r="H25" s="33">
        <f>D25*5</f>
        <v>229166.66666666669</v>
      </c>
      <c r="I25" s="33">
        <f>D25*6</f>
        <v>275000</v>
      </c>
      <c r="J25" s="6">
        <f>D25*7</f>
        <v>320833.33333333337</v>
      </c>
      <c r="K25" s="6">
        <f>D25*8</f>
        <v>366666.66666666669</v>
      </c>
    </row>
    <row r="26" spans="1:12" x14ac:dyDescent="0.25">
      <c r="A26" s="30" t="s">
        <v>43</v>
      </c>
      <c r="B26" s="32">
        <v>42570000</v>
      </c>
      <c r="D26" s="33">
        <f>B26/12</f>
        <v>3547500</v>
      </c>
      <c r="E26" s="33">
        <f>D26*2</f>
        <v>7095000</v>
      </c>
      <c r="F26" s="33">
        <f>E26+D26</f>
        <v>10642500</v>
      </c>
      <c r="G26" s="33">
        <f>D26*4</f>
        <v>14190000</v>
      </c>
      <c r="H26" s="33">
        <f t="shared" ref="H26:H28" si="0">D26*5</f>
        <v>17737500</v>
      </c>
      <c r="I26" s="33">
        <f t="shared" ref="I26:I28" si="1">D26*6</f>
        <v>21285000</v>
      </c>
      <c r="J26" s="6">
        <f t="shared" ref="J26:J28" si="2">D26*7</f>
        <v>24832500</v>
      </c>
      <c r="K26" s="6">
        <f t="shared" ref="K26:K28" si="3">D26*8</f>
        <v>28380000</v>
      </c>
    </row>
    <row r="27" spans="1:12" x14ac:dyDescent="0.25">
      <c r="A27" s="30" t="s">
        <v>44</v>
      </c>
      <c r="B27" s="32">
        <v>8500000</v>
      </c>
      <c r="D27" s="33">
        <f t="shared" ref="D27:D28" si="4">B27/12</f>
        <v>708333.33333333337</v>
      </c>
      <c r="E27" s="33">
        <f t="shared" ref="E27:E28" si="5">D27*2</f>
        <v>1416666.6666666667</v>
      </c>
      <c r="F27" s="33">
        <f t="shared" ref="F27:F28" si="6">E27+D27</f>
        <v>2125000</v>
      </c>
      <c r="G27" s="33">
        <f t="shared" ref="G27:G28" si="7">D27*4</f>
        <v>2833333.3333333335</v>
      </c>
      <c r="H27" s="33">
        <f t="shared" si="0"/>
        <v>3541666.666666667</v>
      </c>
      <c r="I27" s="33">
        <f t="shared" si="1"/>
        <v>4250000</v>
      </c>
      <c r="J27" s="6">
        <f t="shared" si="2"/>
        <v>4958333.333333334</v>
      </c>
      <c r="K27" s="6">
        <f t="shared" si="3"/>
        <v>5666666.666666667</v>
      </c>
    </row>
    <row r="28" spans="1:12" x14ac:dyDescent="0.25">
      <c r="A28" s="30" t="s">
        <v>45</v>
      </c>
      <c r="B28" s="32">
        <v>14130000</v>
      </c>
      <c r="D28" s="33">
        <f t="shared" si="4"/>
        <v>1177500</v>
      </c>
      <c r="E28" s="33">
        <f t="shared" si="5"/>
        <v>2355000</v>
      </c>
      <c r="F28" s="33">
        <f t="shared" si="6"/>
        <v>3532500</v>
      </c>
      <c r="G28" s="33">
        <f t="shared" si="7"/>
        <v>4710000</v>
      </c>
      <c r="H28" s="33">
        <f t="shared" si="0"/>
        <v>5887500</v>
      </c>
      <c r="I28" s="33">
        <f t="shared" si="1"/>
        <v>7065000</v>
      </c>
      <c r="J28" s="6">
        <f t="shared" si="2"/>
        <v>8242500</v>
      </c>
      <c r="K28" s="6">
        <f t="shared" si="3"/>
        <v>9420000</v>
      </c>
    </row>
    <row r="32" spans="1:12" s="40" customFormat="1" x14ac:dyDescent="0.25">
      <c r="B32" s="41"/>
      <c r="C32" s="42"/>
    </row>
    <row r="34" spans="1:8" x14ac:dyDescent="0.25">
      <c r="A34" s="5" t="s">
        <v>31</v>
      </c>
      <c r="B34" t="s">
        <v>34</v>
      </c>
      <c r="C34" s="6" t="s">
        <v>35</v>
      </c>
      <c r="E34" s="38" t="s">
        <v>54</v>
      </c>
      <c r="F34" s="38" t="s">
        <v>55</v>
      </c>
      <c r="G34" s="38" t="s">
        <v>56</v>
      </c>
      <c r="H34" s="38" t="s">
        <v>57</v>
      </c>
    </row>
    <row r="35" spans="1:8" x14ac:dyDescent="0.25">
      <c r="A35" s="2" t="s">
        <v>9</v>
      </c>
      <c r="B35" s="6">
        <v>550000</v>
      </c>
      <c r="C35" s="6">
        <v>190475</v>
      </c>
      <c r="D35" s="39" t="str">
        <f>A35</f>
        <v>AMPLIAÇÃO E REFORMA DO PRÉDIO DO LEGISLATIVO</v>
      </c>
      <c r="E35" s="33">
        <f>GETPIVOTDATA("EMPENHADO TOTAL",$A$34,"AÇÃO","AMPLIAÇÃO E REFORMA DO PRÉDIO DO LEGISLATIVO")</f>
        <v>190475</v>
      </c>
      <c r="F35" s="33">
        <f>GETPIVOTDATA("ORÇADO",$A$34,"AÇÃO","AMPLIAÇÃO E REFORMA DO PRÉDIO DO LEGISLATIVO")-GETPIVOTDATA("EMPENHADO TOTAL",$A$34,"AÇÃO","AMPLIAÇÃO E REFORMA DO PRÉDIO DO LEGISLATIVO")</f>
        <v>359525</v>
      </c>
      <c r="G35" s="36">
        <f>(E35/GETPIVOTDATA("ORÇADO",$A$34,"AÇÃO","AMPLIAÇÃO E REFORMA DO PRÉDIO DO LEGISLATIVO"))</f>
        <v>0.3463181818181818</v>
      </c>
      <c r="H35" s="37">
        <f>100%-G35</f>
        <v>0.65368181818181825</v>
      </c>
    </row>
    <row r="36" spans="1:8" x14ac:dyDescent="0.25">
      <c r="A36" s="2" t="s">
        <v>24</v>
      </c>
      <c r="B36" s="6">
        <v>42570000</v>
      </c>
      <c r="C36" s="6">
        <v>25189707.930000003</v>
      </c>
      <c r="D36" s="39" t="str">
        <f>A36</f>
        <v>ATIVIDADES LEGISLATIVAS</v>
      </c>
      <c r="E36" s="33">
        <f>GETPIVOTDATA("EMPENHADO TOTAL",$A$34,"AÇÃO","ATIVIDADES LEGISLATIVAS")</f>
        <v>25189707.930000003</v>
      </c>
      <c r="F36" s="33">
        <f>GETPIVOTDATA("ORÇADO",$A$34,"AÇÃO","ATIVIDADES LEGISLATIVAS")-GETPIVOTDATA("EMPENHADO TOTAL",$A$34,"AÇÃO","ATIVIDADES LEGISLATIVAS")</f>
        <v>17380292.069999997</v>
      </c>
      <c r="G36" s="36">
        <f>E36/GETPIVOTDATA("ORÇADO",$A$34,"AÇÃO","ATIVIDADES LEGISLATIVAS")</f>
        <v>0.59172440521494019</v>
      </c>
      <c r="H36" s="37">
        <f t="shared" ref="H36:H38" si="8">100%-G36</f>
        <v>0.40827559478505981</v>
      </c>
    </row>
    <row r="37" spans="1:8" x14ac:dyDescent="0.25">
      <c r="A37" s="2" t="s">
        <v>6</v>
      </c>
      <c r="B37" s="6">
        <v>8500000</v>
      </c>
      <c r="C37" s="6">
        <v>0</v>
      </c>
      <c r="D37" s="39" t="str">
        <f>A37</f>
        <v>CONSTRUÇÃO DA NOVA SEDE DO LEGISLATIVO</v>
      </c>
      <c r="E37" s="33">
        <f>GETPIVOTDATA("EMPENHADO TOTAL",$A$34,"AÇÃO","CONSTRUÇÃO DA NOVA SEDE DO LEGISLATIVO")</f>
        <v>0</v>
      </c>
      <c r="F37" s="33">
        <f>GETPIVOTDATA("ORÇADO",$A$34,"AÇÃO","CONSTRUÇÃO DA NOVA SEDE DO LEGISLATIVO")-GETPIVOTDATA("EMPENHADO TOTAL",$A$34,"AÇÃO","CONSTRUÇÃO DA NOVA SEDE DO LEGISLATIVO")</f>
        <v>8500000</v>
      </c>
      <c r="G37" s="36">
        <f>E37/GETPIVOTDATA("ORÇADO",$A$34,"AÇÃO","CONSTRUÇÃO DA NOVA SEDE DO LEGISLATIVO")</f>
        <v>0</v>
      </c>
      <c r="H37" s="37">
        <f t="shared" si="8"/>
        <v>1</v>
      </c>
    </row>
    <row r="38" spans="1:8" x14ac:dyDescent="0.25">
      <c r="A38" s="2" t="s">
        <v>12</v>
      </c>
      <c r="B38" s="6">
        <v>14130000</v>
      </c>
      <c r="C38" s="6">
        <v>9471076.9300000016</v>
      </c>
      <c r="D38" s="39" t="str">
        <f>A38</f>
        <v>MANUTENÇÃO DOS SERV ADMINISTRATIVOS</v>
      </c>
      <c r="E38" s="33">
        <f>GETPIVOTDATA("EMPENHADO TOTAL",$A$34,"AÇÃO","MANUTENÇÃO DOS SERV ADMINISTRATIVOS")</f>
        <v>9471076.9300000016</v>
      </c>
      <c r="F38" s="33">
        <f>GETPIVOTDATA("ORÇADO",$A$34,"AÇÃO","MANUTENÇÃO DOS SERV ADMINISTRATIVOS")-GETPIVOTDATA("EMPENHADO TOTAL",$A$34,"AÇÃO","MANUTENÇÃO DOS SERV ADMINISTRATIVOS")</f>
        <v>4658923.0699999984</v>
      </c>
      <c r="G38" s="36">
        <f>E38/GETPIVOTDATA("ORÇADO",$A$34,"AÇÃO","MANUTENÇÃO DOS SERV ADMINISTRATIVOS")</f>
        <v>0.67028145293701358</v>
      </c>
      <c r="H38" s="37">
        <f t="shared" si="8"/>
        <v>0.32971854706298642</v>
      </c>
    </row>
    <row r="39" spans="1:8" x14ac:dyDescent="0.25">
      <c r="A39" s="2" t="s">
        <v>32</v>
      </c>
      <c r="B39" s="6">
        <v>65750000</v>
      </c>
      <c r="C39" s="6">
        <v>34851259.860000007</v>
      </c>
    </row>
    <row r="40" spans="1:8" x14ac:dyDescent="0.25">
      <c r="B40"/>
      <c r="C40"/>
    </row>
    <row r="41" spans="1:8" x14ac:dyDescent="0.25">
      <c r="B41"/>
      <c r="C41"/>
    </row>
    <row r="44" spans="1:8" s="40" customFormat="1" x14ac:dyDescent="0.25">
      <c r="B44" s="41"/>
      <c r="C44" s="42"/>
    </row>
    <row r="49" spans="1:9" x14ac:dyDescent="0.25">
      <c r="A49" s="5" t="s">
        <v>31</v>
      </c>
      <c r="B49" t="s">
        <v>59</v>
      </c>
      <c r="C49" s="6" t="s">
        <v>35</v>
      </c>
      <c r="D49" s="5"/>
      <c r="E49" s="5"/>
      <c r="F49" s="5"/>
      <c r="G49" s="5"/>
      <c r="H49" s="5"/>
      <c r="I49" s="5"/>
    </row>
    <row r="50" spans="1:9" x14ac:dyDescent="0.25">
      <c r="A50" s="2" t="s">
        <v>9</v>
      </c>
      <c r="B50" s="6">
        <v>550000</v>
      </c>
      <c r="C50" s="6">
        <v>190475</v>
      </c>
    </row>
    <row r="51" spans="1:9" x14ac:dyDescent="0.25">
      <c r="A51" s="35" t="s">
        <v>11</v>
      </c>
      <c r="B51" s="6">
        <v>50000</v>
      </c>
      <c r="C51" s="6">
        <v>0</v>
      </c>
    </row>
    <row r="52" spans="1:9" x14ac:dyDescent="0.25">
      <c r="A52" s="35" t="s">
        <v>10</v>
      </c>
      <c r="B52" s="6">
        <v>500000</v>
      </c>
      <c r="C52" s="6">
        <v>190475</v>
      </c>
    </row>
    <row r="53" spans="1:9" x14ac:dyDescent="0.25">
      <c r="A53" s="2"/>
      <c r="B53" s="6"/>
      <c r="C53" s="6"/>
    </row>
    <row r="54" spans="1:9" x14ac:dyDescent="0.25">
      <c r="A54" s="2" t="s">
        <v>24</v>
      </c>
      <c r="B54" s="6">
        <v>42570000</v>
      </c>
      <c r="C54" s="6">
        <v>25189707.93</v>
      </c>
      <c r="E54" s="43" t="s">
        <v>24</v>
      </c>
      <c r="F54" s="43" t="s">
        <v>34</v>
      </c>
      <c r="G54" s="43" t="s">
        <v>58</v>
      </c>
      <c r="H54" s="43" t="s">
        <v>60</v>
      </c>
    </row>
    <row r="55" spans="1:9" x14ac:dyDescent="0.25">
      <c r="A55" s="35" t="s">
        <v>25</v>
      </c>
      <c r="B55" s="6">
        <v>500000</v>
      </c>
      <c r="C55" s="6">
        <v>281815.96999999997</v>
      </c>
      <c r="E55" s="31" t="str">
        <f t="shared" ref="E55:E61" si="9">A55</f>
        <v>APOSENTADORIA E REFORMAS</v>
      </c>
      <c r="F55" s="33">
        <f>GETPIVOTDATA("Soma de Orçado Atualizado",$A$49,"AÇÃO","ATIVIDADES LEGISLATIVAS","NATUREZA","APOSENTADORIA E REFORMAS")</f>
        <v>500000</v>
      </c>
      <c r="G55" s="33">
        <f>GETPIVOTDATA("EMPENHADO TOTAL",$A$49,"AÇÃO","ATIVIDADES LEGISLATIVAS","NATUREZA","APOSENTADORIA E REFORMAS")</f>
        <v>281815.96999999997</v>
      </c>
      <c r="H55" s="36">
        <f>G55/F55</f>
        <v>0.56363193999999994</v>
      </c>
    </row>
    <row r="56" spans="1:9" x14ac:dyDescent="0.25">
      <c r="A56" s="35" t="s">
        <v>19</v>
      </c>
      <c r="B56" s="6">
        <v>10000</v>
      </c>
      <c r="C56" s="6">
        <v>0</v>
      </c>
      <c r="E56" s="31" t="str">
        <f t="shared" si="9"/>
        <v>DESPESAS DE EXERCÍCIOS ANTERIORES</v>
      </c>
      <c r="F56" s="33">
        <f>GETPIVOTDATA("Soma de Orçado Atualizado",$A$49,"AÇÃO","ATIVIDADES LEGISLATIVAS","NATUREZA","DESPESAS DE EXERCÍCIOS ANTERIORES")</f>
        <v>10000</v>
      </c>
      <c r="G56" s="33">
        <f>GETPIVOTDATA("EMPENHADO TOTAL",$A$49,"AÇÃO","ATIVIDADES LEGISLATIVAS","NATUREZA","DESPESAS DE EXERCÍCIOS ANTERIORES")</f>
        <v>0</v>
      </c>
      <c r="H56" s="36">
        <f t="shared" ref="H56:H61" si="10">G56/F56</f>
        <v>0</v>
      </c>
    </row>
    <row r="57" spans="1:9" x14ac:dyDescent="0.25">
      <c r="A57" s="35" t="s">
        <v>30</v>
      </c>
      <c r="B57" s="6">
        <v>10000</v>
      </c>
      <c r="C57" s="6">
        <v>0</v>
      </c>
      <c r="E57" s="31" t="str">
        <f t="shared" si="9"/>
        <v>INDENIZAÇÕES E RESTITUIÇÕES TRABALHISTAS</v>
      </c>
      <c r="F57" s="33">
        <f>GETPIVOTDATA("Soma de Orçado Atualizado",$A$49,"AÇÃO","ATIVIDADES LEGISLATIVAS","NATUREZA","INDENIZAÇÕES E RESTITUIÇÕES TRABALHISTAS")</f>
        <v>10000</v>
      </c>
      <c r="G57" s="33">
        <f>GETPIVOTDATA("EMPENHADO TOTAL",$A$49,"AÇÃO","ATIVIDADES LEGISLATIVAS","NATUREZA","INDENIZAÇÕES E RESTITUIÇÕES TRABALHISTAS")</f>
        <v>0</v>
      </c>
      <c r="H57" s="36">
        <f t="shared" si="10"/>
        <v>0</v>
      </c>
    </row>
    <row r="58" spans="1:9" x14ac:dyDescent="0.25">
      <c r="A58" s="35" t="s">
        <v>28</v>
      </c>
      <c r="B58" s="6">
        <v>5600000</v>
      </c>
      <c r="C58" s="6">
        <v>2908601.15</v>
      </c>
      <c r="E58" s="31" t="str">
        <f t="shared" si="9"/>
        <v>OBRIGAÇÕES PATRONAIS</v>
      </c>
      <c r="F58" s="33">
        <f>GETPIVOTDATA("Soma de Orçado Atualizado",$A$49,"AÇÃO","ATIVIDADES LEGISLATIVAS","NATUREZA","OBRIGAÇÕES PATRONAIS")</f>
        <v>5600000</v>
      </c>
      <c r="G58" s="33">
        <f>GETPIVOTDATA("EMPENHADO TOTAL",$A$49,"AÇÃO","ATIVIDADES LEGISLATIVAS","NATUREZA","OBRIGAÇÕES PATRONAIS")</f>
        <v>2908601.15</v>
      </c>
      <c r="H58" s="36">
        <f t="shared" si="10"/>
        <v>0.51939306249999995</v>
      </c>
    </row>
    <row r="59" spans="1:9" x14ac:dyDescent="0.25">
      <c r="A59" s="35" t="s">
        <v>29</v>
      </c>
      <c r="B59" s="6">
        <v>100000</v>
      </c>
      <c r="C59" s="6">
        <v>26962.89</v>
      </c>
      <c r="E59" s="31" t="str">
        <f t="shared" si="9"/>
        <v>OUTRAS DESPESAS VARIÁVEIS - PESSOAL CIVIL</v>
      </c>
      <c r="F59" s="33">
        <f>GETPIVOTDATA("Soma de Orçado Atualizado",$A$49,"AÇÃO","ATIVIDADES LEGISLATIVAS","NATUREZA","OUTRAS DESPESAS VARIÁVEIS - PESSOAL CIVIL")</f>
        <v>100000</v>
      </c>
      <c r="G59" s="33">
        <f>GETPIVOTDATA("EMPENHADO TOTAL",$A$49,"AÇÃO","ATIVIDADES LEGISLATIVAS","NATUREZA","OUTRAS DESPESAS VARIÁVEIS - PESSOAL CIVIL")</f>
        <v>26962.89</v>
      </c>
      <c r="H59" s="36">
        <f t="shared" si="10"/>
        <v>0.2696289</v>
      </c>
    </row>
    <row r="60" spans="1:9" x14ac:dyDescent="0.25">
      <c r="A60" s="35" t="s">
        <v>26</v>
      </c>
      <c r="B60" s="6">
        <v>350000</v>
      </c>
      <c r="C60" s="6">
        <v>169985.01</v>
      </c>
      <c r="E60" s="31" t="str">
        <f t="shared" si="9"/>
        <v>PENSÕES</v>
      </c>
      <c r="F60" s="33">
        <f>GETPIVOTDATA("Soma de Orçado Atualizado",$A$49,"AÇÃO","ATIVIDADES LEGISLATIVAS","NATUREZA","PENSÕES")</f>
        <v>350000</v>
      </c>
      <c r="G60" s="33">
        <f>GETPIVOTDATA("EMPENHADO TOTAL",$A$49,"AÇÃO","ATIVIDADES LEGISLATIVAS","NATUREZA","PENSÕES")</f>
        <v>169985.01</v>
      </c>
      <c r="H60" s="36">
        <f t="shared" si="10"/>
        <v>0.48567145714285714</v>
      </c>
    </row>
    <row r="61" spans="1:9" x14ac:dyDescent="0.25">
      <c r="A61" s="35" t="s">
        <v>27</v>
      </c>
      <c r="B61" s="6">
        <v>36000000</v>
      </c>
      <c r="C61" s="6">
        <v>21802342.91</v>
      </c>
      <c r="E61" s="31" t="str">
        <f t="shared" si="9"/>
        <v>VENCIMENTOS E VANTAGENS FIXAS - PESSOAL CIVIL</v>
      </c>
      <c r="F61" s="33">
        <f>GETPIVOTDATA("Soma de Orçado Atualizado",$A$49,"AÇÃO","ATIVIDADES LEGISLATIVAS","NATUREZA","VENCIMENTOS E VANTAGENS FIXAS - PESSOAL CIVIL")</f>
        <v>36000000</v>
      </c>
      <c r="G61" s="33">
        <f>GETPIVOTDATA("EMPENHADO TOTAL",$A$49,"AÇÃO","ATIVIDADES LEGISLATIVAS","NATUREZA","VENCIMENTOS E VANTAGENS FIXAS - PESSOAL CIVIL")</f>
        <v>21802342.91</v>
      </c>
      <c r="H61" s="36">
        <f t="shared" si="10"/>
        <v>0.60562063638888886</v>
      </c>
    </row>
    <row r="62" spans="1:9" x14ac:dyDescent="0.25">
      <c r="A62" s="2"/>
      <c r="B62" s="6"/>
      <c r="C62" s="6"/>
      <c r="E62" s="8"/>
    </row>
    <row r="63" spans="1:9" x14ac:dyDescent="0.25">
      <c r="A63" s="2" t="s">
        <v>6</v>
      </c>
      <c r="B63" s="6">
        <v>8500000</v>
      </c>
      <c r="C63" s="6">
        <v>0</v>
      </c>
      <c r="E63" s="8"/>
    </row>
    <row r="64" spans="1:9" x14ac:dyDescent="0.25">
      <c r="A64" s="35" t="s">
        <v>11</v>
      </c>
      <c r="B64" s="6">
        <v>8500000</v>
      </c>
      <c r="C64" s="6">
        <v>0</v>
      </c>
      <c r="E64" s="8"/>
    </row>
    <row r="65" spans="1:8" x14ac:dyDescent="0.25">
      <c r="A65" s="2"/>
      <c r="B65" s="6"/>
      <c r="C65" s="6"/>
      <c r="E65" s="8"/>
    </row>
    <row r="66" spans="1:8" x14ac:dyDescent="0.25">
      <c r="A66" s="2" t="s">
        <v>12</v>
      </c>
      <c r="B66" s="6">
        <v>14130000</v>
      </c>
      <c r="C66" s="6">
        <v>9471076.9299999997</v>
      </c>
      <c r="E66" s="44" t="s">
        <v>61</v>
      </c>
      <c r="F66" s="45" t="s">
        <v>34</v>
      </c>
      <c r="G66" s="45" t="s">
        <v>58</v>
      </c>
      <c r="H66" s="45" t="s">
        <v>60</v>
      </c>
    </row>
    <row r="67" spans="1:8" x14ac:dyDescent="0.25">
      <c r="A67" s="35" t="s">
        <v>22</v>
      </c>
      <c r="B67" s="6">
        <v>1200000</v>
      </c>
      <c r="C67" s="6">
        <v>0</v>
      </c>
      <c r="E67" s="31" t="str">
        <f t="shared" ref="E67:E78" si="11">A67</f>
        <v>APORTE PARA COBERTURA DO DEFICIT ATUARIAL DO RPPS</v>
      </c>
      <c r="F67" s="33">
        <f>GETPIVOTDATA("Soma de Orçado Atualizado",$A$49,"AÇÃO","MANUTENÇÃO DOS SERV ADMINISTRATIVOS","NATUREZA","APORTE PARA COBERTURA DO DEFICIT ATUARIAL DO RPPS")</f>
        <v>1200000</v>
      </c>
      <c r="G67" s="33">
        <f>GETPIVOTDATA("EMPENHADO TOTAL",$A$49,"AÇÃO","MANUTENÇÃO DOS SERV ADMINISTRATIVOS","NATUREZA","APORTE PARA COBERTURA DO DEFICIT ATUARIAL DO RPPS")</f>
        <v>0</v>
      </c>
      <c r="H67" s="36">
        <f>G67/F67</f>
        <v>0</v>
      </c>
    </row>
    <row r="68" spans="1:8" x14ac:dyDescent="0.25">
      <c r="A68" s="35" t="s">
        <v>17</v>
      </c>
      <c r="B68" s="6">
        <v>10000</v>
      </c>
      <c r="C68" s="6">
        <v>0</v>
      </c>
      <c r="E68" s="31" t="str">
        <f t="shared" si="11"/>
        <v>AUXILIO ALIMENTAÇÃO</v>
      </c>
      <c r="F68" s="33">
        <f>GETPIVOTDATA("Soma de Orçado Atualizado",$A$49,"AÇÃO","MANUTENÇÃO DOS SERV ADMINISTRATIVOS","NATUREZA","AUXILIO ALIMENTAÇÃO")</f>
        <v>10000</v>
      </c>
      <c r="G68" s="33">
        <f>GETPIVOTDATA("EMPENHADO TOTAL",$A$49,"AÇÃO","MANUTENÇÃO DOS SERV ADMINISTRATIVOS","NATUREZA","AUXILIO ALIMENTAÇÃO")</f>
        <v>0</v>
      </c>
      <c r="H68" s="36">
        <f t="shared" ref="H68:H78" si="12">G68/F68</f>
        <v>0</v>
      </c>
    </row>
    <row r="69" spans="1:8" x14ac:dyDescent="0.25">
      <c r="A69" s="35" t="s">
        <v>18</v>
      </c>
      <c r="B69" s="6">
        <v>550000</v>
      </c>
      <c r="C69" s="6">
        <v>346322.8</v>
      </c>
      <c r="E69" s="31" t="str">
        <f t="shared" si="11"/>
        <v>AUXILIO TRANSPORTE</v>
      </c>
      <c r="F69" s="33">
        <f>GETPIVOTDATA("Soma de Orçado Atualizado",$A$49,"AÇÃO","MANUTENÇÃO DOS SERV ADMINISTRATIVOS","NATUREZA","AUXILIO TRANSPORTE")</f>
        <v>550000</v>
      </c>
      <c r="G69" s="33">
        <f>GETPIVOTDATA("EMPENHADO TOTAL",$A$49,"AÇÃO","MANUTENÇÃO DOS SERV ADMINISTRATIVOS","NATUREZA","AUXILIO TRANSPORTE")</f>
        <v>346322.8</v>
      </c>
      <c r="H69" s="36">
        <f t="shared" si="12"/>
        <v>0.62967781818181812</v>
      </c>
    </row>
    <row r="70" spans="1:8" x14ac:dyDescent="0.25">
      <c r="A70" s="35" t="s">
        <v>19</v>
      </c>
      <c r="B70" s="6">
        <v>10000</v>
      </c>
      <c r="C70" s="6">
        <v>0</v>
      </c>
      <c r="E70" s="31" t="str">
        <f t="shared" si="11"/>
        <v>DESPESAS DE EXERCÍCIOS ANTERIORES</v>
      </c>
      <c r="F70" s="33">
        <f>GETPIVOTDATA("Soma de Orçado Atualizado",$A$49,"AÇÃO","MANUTENÇÃO DOS SERV ADMINISTRATIVOS","NATUREZA","DESPESAS DE EXERCÍCIOS ANTERIORES")</f>
        <v>10000</v>
      </c>
      <c r="G70" s="33">
        <f>GETPIVOTDATA("EMPENHADO TOTAL",$A$49,"AÇÃO","MANUTENÇÃO DOS SERV ADMINISTRATIVOS","NATUREZA","DESPESAS DE EXERCÍCIOS ANTERIORES")</f>
        <v>0</v>
      </c>
      <c r="H70" s="36">
        <f t="shared" si="12"/>
        <v>0</v>
      </c>
    </row>
    <row r="71" spans="1:8" x14ac:dyDescent="0.25">
      <c r="A71" s="35" t="s">
        <v>23</v>
      </c>
      <c r="B71" s="6">
        <v>200000</v>
      </c>
      <c r="C71" s="6">
        <v>14800</v>
      </c>
      <c r="E71" s="31" t="str">
        <f t="shared" si="11"/>
        <v>EQUIPAMENTO E MATERIAL PERMANENTE</v>
      </c>
      <c r="F71" s="33">
        <f>GETPIVOTDATA("Soma de Orçado Atualizado",$A$49,"AÇÃO","MANUTENÇÃO DOS SERV ADMINISTRATIVOS","NATUREZA","EQUIPAMENTO E MATERIAL PERMANENTE")</f>
        <v>200000</v>
      </c>
      <c r="G71" s="33">
        <f>GETPIVOTDATA("EMPENHADO TOTAL",$A$49,"AÇÃO","MANUTENÇÃO DOS SERV ADMINISTRATIVOS","NATUREZA","EQUIPAMENTO E MATERIAL PERMANENTE")</f>
        <v>14800</v>
      </c>
      <c r="H71" s="36">
        <f t="shared" si="12"/>
        <v>7.3999999999999996E-2</v>
      </c>
    </row>
    <row r="72" spans="1:8" x14ac:dyDescent="0.25">
      <c r="A72" s="35" t="s">
        <v>20</v>
      </c>
      <c r="B72" s="6">
        <v>10000</v>
      </c>
      <c r="C72" s="6">
        <v>0</v>
      </c>
      <c r="E72" s="31" t="str">
        <f t="shared" si="11"/>
        <v>INDENIZAÇÕES E RESTITUIÇÕES</v>
      </c>
      <c r="F72" s="33">
        <f>GETPIVOTDATA("Soma de Orçado Atualizado",$A$49,"AÇÃO","MANUTENÇÃO DOS SERV ADMINISTRATIVOS","NATUREZA","INDENIZAÇÕES E RESTITUIÇÕES")</f>
        <v>10000</v>
      </c>
      <c r="G72" s="33">
        <f>GETPIVOTDATA("EMPENHADO TOTAL",$A$49,"AÇÃO","MANUTENÇÃO DOS SERV ADMINISTRATIVOS","NATUREZA","INDENIZAÇÕES E RESTITUIÇÕES")</f>
        <v>0</v>
      </c>
      <c r="H72" s="36">
        <f t="shared" si="12"/>
        <v>0</v>
      </c>
    </row>
    <row r="73" spans="1:8" x14ac:dyDescent="0.25">
      <c r="A73" s="35" t="s">
        <v>14</v>
      </c>
      <c r="B73" s="6">
        <v>500000</v>
      </c>
      <c r="C73" s="6">
        <v>336553.04</v>
      </c>
      <c r="E73" s="31" t="str">
        <f t="shared" si="11"/>
        <v>MATERIAL DE CONSUMO</v>
      </c>
      <c r="F73" s="33">
        <f>GETPIVOTDATA("Soma de Orçado Atualizado",$A$49,"AÇÃO","MANUTENÇÃO DOS SERV ADMINISTRATIVOS","NATUREZA","MATERIAL DE CONSUMO")</f>
        <v>500000</v>
      </c>
      <c r="G73" s="33">
        <f>GETPIVOTDATA("EMPENHADO TOTAL",$A$49,"AÇÃO","MANUTENÇÃO DOS SERV ADMINISTRATIVOS","NATUREZA","MATERIAL DE CONSUMO")</f>
        <v>336553.04</v>
      </c>
      <c r="H73" s="36">
        <f t="shared" si="12"/>
        <v>0.67310607999999994</v>
      </c>
    </row>
    <row r="74" spans="1:8" x14ac:dyDescent="0.25">
      <c r="A74" s="35" t="s">
        <v>13</v>
      </c>
      <c r="B74" s="6">
        <v>2700000</v>
      </c>
      <c r="C74" s="6">
        <v>2072950.58</v>
      </c>
      <c r="E74" s="31" t="str">
        <f t="shared" si="11"/>
        <v>OUTROS BENEFÍCIOS ASSIST DO SERVIDOR E DO MILITAR</v>
      </c>
      <c r="F74" s="33">
        <f>GETPIVOTDATA("Soma de Orçado Atualizado",$A$49,"AÇÃO","MANUTENÇÃO DOS SERV ADMINISTRATIVOS","NATUREZA","OUTROS BENEFÍCIOS ASSIST DO SERVIDOR E DO MILITAR")</f>
        <v>2700000</v>
      </c>
      <c r="G74" s="33">
        <f>GETPIVOTDATA("EMPENHADO TOTAL",$A$49,"AÇÃO","MANUTENÇÃO DOS SERV ADMINISTRATIVOS","NATUREZA","OUTROS BENEFÍCIOS ASSIST DO SERVIDOR E DO MILITAR")</f>
        <v>2072950.58</v>
      </c>
      <c r="H74" s="36">
        <f t="shared" si="12"/>
        <v>0.76775947407407408</v>
      </c>
    </row>
    <row r="75" spans="1:8" x14ac:dyDescent="0.25">
      <c r="A75" s="35" t="s">
        <v>15</v>
      </c>
      <c r="B75" s="6">
        <v>50000</v>
      </c>
      <c r="C75" s="6">
        <v>38517.5</v>
      </c>
      <c r="E75" s="31" t="str">
        <f t="shared" si="11"/>
        <v>OUTROS SERV DE TERCEIROS - PF</v>
      </c>
      <c r="F75" s="33">
        <f>GETPIVOTDATA("Soma de Orçado Atualizado",$A$49,"AÇÃO","MANUTENÇÃO DOS SERV ADMINISTRATIVOS","NATUREZA","OUTROS SERV DE TERCEIROS - PF")</f>
        <v>50000</v>
      </c>
      <c r="G75" s="33">
        <f>GETPIVOTDATA("EMPENHADO TOTAL",$A$49,"AÇÃO","MANUTENÇÃO DOS SERV ADMINISTRATIVOS","NATUREZA","OUTROS SERV DE TERCEIROS - PF")</f>
        <v>38517.5</v>
      </c>
      <c r="H75" s="36">
        <f t="shared" si="12"/>
        <v>0.77034999999999998</v>
      </c>
    </row>
    <row r="76" spans="1:8" x14ac:dyDescent="0.25">
      <c r="A76" s="35" t="s">
        <v>10</v>
      </c>
      <c r="B76" s="6">
        <v>7400000</v>
      </c>
      <c r="C76" s="6">
        <v>5432910.7800000003</v>
      </c>
      <c r="E76" s="31" t="str">
        <f t="shared" si="11"/>
        <v>OUTROS SERV DE TERCEIROS - PJ</v>
      </c>
      <c r="F76" s="33">
        <f>GETPIVOTDATA("Soma de Orçado Atualizado",$A$49,"AÇÃO","MANUTENÇÃO DOS SERV ADMINISTRATIVOS","NATUREZA","OUTROS SERV DE TERCEIROS - PJ")</f>
        <v>7400000</v>
      </c>
      <c r="G76" s="33">
        <f>GETPIVOTDATA("EMPENHADO TOTAL",$A$49,"AÇÃO","MANUTENÇÃO DOS SERV ADMINISTRATIVOS","NATUREZA","OUTROS SERV DE TERCEIROS - PJ")</f>
        <v>5432910.7800000003</v>
      </c>
      <c r="H76" s="36">
        <f t="shared" si="12"/>
        <v>0.73417713243243243</v>
      </c>
    </row>
    <row r="77" spans="1:8" x14ac:dyDescent="0.25">
      <c r="A77" s="35" t="s">
        <v>16</v>
      </c>
      <c r="B77" s="6">
        <v>1100000</v>
      </c>
      <c r="C77" s="6">
        <v>910550.23</v>
      </c>
      <c r="E77" s="31" t="str">
        <f t="shared" si="11"/>
        <v>SERV DE TI E COMUNICAÇÃO - PJ</v>
      </c>
      <c r="F77" s="33">
        <f>GETPIVOTDATA("Soma de Orçado Atualizado",$A$49,"AÇÃO","MANUTENÇÃO DOS SERV ADMINISTRATIVOS","NATUREZA","SERV DE TI E COMUNICAÇÃO - PJ")</f>
        <v>1100000</v>
      </c>
      <c r="G77" s="33">
        <f>GETPIVOTDATA("EMPENHADO TOTAL",$A$49,"AÇÃO","MANUTENÇÃO DOS SERV ADMINISTRATIVOS","NATUREZA","SERV DE TI E COMUNICAÇÃO - PJ")</f>
        <v>910550.23</v>
      </c>
      <c r="H77" s="36">
        <f t="shared" si="12"/>
        <v>0.82777293636363636</v>
      </c>
    </row>
    <row r="78" spans="1:8" x14ac:dyDescent="0.25">
      <c r="A78" s="35" t="s">
        <v>21</v>
      </c>
      <c r="B78" s="6">
        <v>400000</v>
      </c>
      <c r="C78" s="6">
        <v>318472</v>
      </c>
      <c r="E78" s="31" t="str">
        <f t="shared" si="11"/>
        <v>SERVIÇOS DE TI E COMUNICAÇÃO - PJ - INTRA OFSS</v>
      </c>
      <c r="F78" s="33">
        <f>GETPIVOTDATA("Soma de Orçado Atualizado",$A$49,"AÇÃO","MANUTENÇÃO DOS SERV ADMINISTRATIVOS","NATUREZA","SERVIÇOS DE TI E COMUNICAÇÃO - PJ - INTRA OFSS")</f>
        <v>400000</v>
      </c>
      <c r="G78" s="33">
        <f>GETPIVOTDATA("EMPENHADO TOTAL",$A$49,"AÇÃO","MANUTENÇÃO DOS SERV ADMINISTRATIVOS","NATUREZA","SERVIÇOS DE TI E COMUNICAÇÃO - PJ - INTRA OFSS")</f>
        <v>318472</v>
      </c>
      <c r="H78" s="36">
        <f t="shared" si="12"/>
        <v>0.79618</v>
      </c>
    </row>
    <row r="79" spans="1:8" x14ac:dyDescent="0.25">
      <c r="A79" s="2"/>
      <c r="B79" s="6"/>
      <c r="C79" s="6"/>
    </row>
    <row r="80" spans="1:8" x14ac:dyDescent="0.25">
      <c r="A80" s="2" t="s">
        <v>32</v>
      </c>
      <c r="B80" s="6">
        <v>65750000</v>
      </c>
      <c r="C80" s="6">
        <v>34851259.859999999</v>
      </c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23" spans="1:9" x14ac:dyDescent="0.25">
      <c r="A123" s="18" t="s">
        <v>1</v>
      </c>
      <c r="B123" s="18" t="s">
        <v>34</v>
      </c>
      <c r="C123" s="18" t="s">
        <v>35</v>
      </c>
      <c r="D123" s="11" t="s">
        <v>36</v>
      </c>
      <c r="E123" s="11" t="s">
        <v>37</v>
      </c>
      <c r="F123" s="11" t="s">
        <v>38</v>
      </c>
      <c r="G123" s="11" t="s">
        <v>39</v>
      </c>
      <c r="H123" s="11" t="s">
        <v>40</v>
      </c>
      <c r="I123" s="11" t="s">
        <v>41</v>
      </c>
    </row>
    <row r="124" spans="1:9" x14ac:dyDescent="0.25">
      <c r="A124" t="s">
        <v>50</v>
      </c>
      <c r="B124" s="14">
        <v>550000</v>
      </c>
      <c r="C124" s="14">
        <v>145950</v>
      </c>
      <c r="D124" s="16">
        <v>24325</v>
      </c>
      <c r="E124" s="16">
        <v>48650</v>
      </c>
      <c r="F124" s="16">
        <v>72975</v>
      </c>
      <c r="G124" s="16">
        <v>97300</v>
      </c>
      <c r="H124" s="16">
        <v>121625</v>
      </c>
      <c r="I124" s="16">
        <v>145950</v>
      </c>
    </row>
    <row r="125" spans="1:9" x14ac:dyDescent="0.25">
      <c r="A125" t="s">
        <v>51</v>
      </c>
      <c r="B125" s="14">
        <v>42570000</v>
      </c>
      <c r="C125" s="14">
        <v>16265772.4</v>
      </c>
      <c r="D125" s="16">
        <v>2710962.0666666669</v>
      </c>
      <c r="E125" s="16">
        <v>5421924.1333333338</v>
      </c>
      <c r="F125" s="16">
        <v>8132886.2000000011</v>
      </c>
      <c r="G125" s="16">
        <v>10843848.266666668</v>
      </c>
      <c r="H125" s="16">
        <v>13554810.333333334</v>
      </c>
      <c r="I125" s="16">
        <v>16265772.400000002</v>
      </c>
    </row>
    <row r="126" spans="1:9" x14ac:dyDescent="0.25">
      <c r="A126" t="s">
        <v>6</v>
      </c>
      <c r="B126" s="14">
        <v>8500000</v>
      </c>
      <c r="C126" s="14">
        <v>0</v>
      </c>
      <c r="D126" s="17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</row>
    <row r="127" spans="1:9" x14ac:dyDescent="0.25">
      <c r="A127" t="s">
        <v>49</v>
      </c>
      <c r="B127" s="14">
        <v>14130000</v>
      </c>
      <c r="C127" s="14">
        <v>7982528.5100000007</v>
      </c>
      <c r="D127" s="16">
        <v>1330421.4183333335</v>
      </c>
      <c r="E127" s="16">
        <v>2660842.8366666669</v>
      </c>
      <c r="F127" s="16">
        <v>3991264.2550000004</v>
      </c>
      <c r="G127" s="16">
        <v>5321685.6733333338</v>
      </c>
      <c r="H127" s="16">
        <v>6652107.0916666668</v>
      </c>
      <c r="I127" s="16">
        <v>7982528.5100000007</v>
      </c>
    </row>
    <row r="128" spans="1:9" x14ac:dyDescent="0.25">
      <c r="A128" t="s">
        <v>32</v>
      </c>
      <c r="B128" s="14">
        <v>65750000</v>
      </c>
      <c r="C128" s="14">
        <v>24394250.91</v>
      </c>
      <c r="D128" s="13"/>
      <c r="E128" s="13"/>
      <c r="F128" s="13"/>
      <c r="G128" s="13"/>
      <c r="H128" s="13"/>
      <c r="I128" s="13"/>
    </row>
    <row r="129" spans="1:10" x14ac:dyDescent="0.25">
      <c r="A129" s="2" t="s">
        <v>42</v>
      </c>
      <c r="B129" s="14">
        <v>550000</v>
      </c>
      <c r="C129" s="12"/>
      <c r="D129" s="15">
        <v>45833.333333333336</v>
      </c>
      <c r="E129" s="15">
        <v>91666.666666666672</v>
      </c>
      <c r="F129" s="15">
        <v>137500</v>
      </c>
      <c r="G129" s="15">
        <v>183333.33333333334</v>
      </c>
      <c r="H129" s="15">
        <v>229166.66666666669</v>
      </c>
      <c r="I129" s="15">
        <v>275000</v>
      </c>
      <c r="J129" s="28"/>
    </row>
    <row r="130" spans="1:10" x14ac:dyDescent="0.25">
      <c r="A130" s="2" t="s">
        <v>43</v>
      </c>
      <c r="B130" s="14">
        <v>42570000</v>
      </c>
      <c r="C130" s="12"/>
      <c r="D130" s="15">
        <v>3547500</v>
      </c>
      <c r="E130" s="15">
        <v>7095000</v>
      </c>
      <c r="F130" s="15">
        <v>10642500</v>
      </c>
      <c r="G130" s="15">
        <v>14190000</v>
      </c>
      <c r="H130" s="15">
        <v>17737500</v>
      </c>
      <c r="I130" s="15">
        <v>21285000</v>
      </c>
    </row>
    <row r="131" spans="1:10" x14ac:dyDescent="0.25">
      <c r="A131" s="2" t="s">
        <v>44</v>
      </c>
      <c r="B131" s="14">
        <v>8500000</v>
      </c>
      <c r="C131" s="12"/>
      <c r="D131" s="15">
        <v>708333.33333333337</v>
      </c>
      <c r="E131" s="15">
        <v>1416666.6666666667</v>
      </c>
      <c r="F131" s="15">
        <v>2125000</v>
      </c>
      <c r="G131" s="15">
        <v>2833333.3333333335</v>
      </c>
      <c r="H131" s="15">
        <v>3541666.666666667</v>
      </c>
      <c r="I131" s="15">
        <v>4250000</v>
      </c>
    </row>
    <row r="132" spans="1:10" x14ac:dyDescent="0.25">
      <c r="A132" s="2" t="s">
        <v>45</v>
      </c>
      <c r="B132" s="14">
        <v>14130000</v>
      </c>
      <c r="C132" s="12"/>
      <c r="D132" s="15">
        <v>1177500</v>
      </c>
      <c r="E132" s="15">
        <v>2355000</v>
      </c>
      <c r="F132" s="15">
        <v>3532500</v>
      </c>
      <c r="G132" s="15">
        <v>4710000</v>
      </c>
      <c r="H132" s="15">
        <v>5887500</v>
      </c>
      <c r="I132" s="15">
        <v>7065000</v>
      </c>
    </row>
    <row r="133" spans="1:10" x14ac:dyDescent="0.25">
      <c r="B133" s="19">
        <v>65750000</v>
      </c>
      <c r="C133" s="12"/>
    </row>
    <row r="134" spans="1:10" x14ac:dyDescent="0.25">
      <c r="C134"/>
    </row>
    <row r="135" spans="1:10" x14ac:dyDescent="0.25">
      <c r="C135"/>
    </row>
    <row r="136" spans="1:10" x14ac:dyDescent="0.25">
      <c r="A136" s="23" t="s">
        <v>7</v>
      </c>
      <c r="B136" s="23" t="s">
        <v>34</v>
      </c>
      <c r="C136" s="23" t="s">
        <v>35</v>
      </c>
      <c r="D136" s="23" t="s">
        <v>46</v>
      </c>
      <c r="E136" s="23" t="s">
        <v>47</v>
      </c>
      <c r="F136" s="5"/>
      <c r="G136" s="5"/>
      <c r="H136" s="5"/>
      <c r="I136" s="5"/>
    </row>
    <row r="137" spans="1:10" x14ac:dyDescent="0.25">
      <c r="A137" s="22" t="s">
        <v>24</v>
      </c>
      <c r="B137" s="21">
        <v>42570000</v>
      </c>
      <c r="C137" s="21">
        <v>16265772.4</v>
      </c>
      <c r="D137" s="20">
        <f>(E137-1)*-1</f>
        <v>0.61790527601597367</v>
      </c>
      <c r="E137" s="9">
        <f>C137/B137</f>
        <v>0.38209472398402633</v>
      </c>
    </row>
    <row r="138" spans="1:10" x14ac:dyDescent="0.25">
      <c r="A138" s="22" t="s">
        <v>25</v>
      </c>
      <c r="B138" s="21">
        <v>500000</v>
      </c>
      <c r="C138" s="21">
        <v>175561.82</v>
      </c>
      <c r="D138" s="20">
        <v>1</v>
      </c>
      <c r="E138" s="9">
        <v>0.35112364000000001</v>
      </c>
    </row>
    <row r="139" spans="1:10" x14ac:dyDescent="0.25">
      <c r="A139" s="22" t="s">
        <v>19</v>
      </c>
      <c r="B139" s="21">
        <v>10000</v>
      </c>
      <c r="C139" s="21">
        <v>0</v>
      </c>
      <c r="D139" s="20">
        <v>1</v>
      </c>
      <c r="E139" s="9">
        <v>0</v>
      </c>
    </row>
    <row r="140" spans="1:10" x14ac:dyDescent="0.25">
      <c r="A140" s="22" t="s">
        <v>30</v>
      </c>
      <c r="B140" s="21">
        <v>10000</v>
      </c>
      <c r="C140" s="21">
        <v>0</v>
      </c>
      <c r="D140" s="20">
        <v>1</v>
      </c>
      <c r="E140" s="9">
        <v>0</v>
      </c>
    </row>
    <row r="141" spans="1:10" x14ac:dyDescent="0.25">
      <c r="A141" s="22" t="s">
        <v>28</v>
      </c>
      <c r="B141" s="21">
        <v>5600000</v>
      </c>
      <c r="C141" s="21">
        <v>2066922.0299999998</v>
      </c>
      <c r="D141" s="20">
        <v>1</v>
      </c>
      <c r="E141" s="9">
        <v>0.36909321964285713</v>
      </c>
    </row>
    <row r="142" spans="1:10" x14ac:dyDescent="0.25">
      <c r="A142" s="22" t="s">
        <v>29</v>
      </c>
      <c r="B142" s="21">
        <v>100000</v>
      </c>
      <c r="C142" s="21">
        <v>18167.39</v>
      </c>
      <c r="D142" s="20">
        <v>1</v>
      </c>
      <c r="E142" s="9">
        <v>0.1816739</v>
      </c>
    </row>
    <row r="143" spans="1:10" x14ac:dyDescent="0.25">
      <c r="A143" s="22" t="s">
        <v>26</v>
      </c>
      <c r="B143" s="21">
        <v>350000</v>
      </c>
      <c r="C143" s="21">
        <v>105940.86</v>
      </c>
      <c r="D143" s="20">
        <v>1</v>
      </c>
      <c r="E143" s="9">
        <v>0.30268817142857141</v>
      </c>
    </row>
    <row r="144" spans="1:10" x14ac:dyDescent="0.25">
      <c r="A144" s="22" t="s">
        <v>27</v>
      </c>
      <c r="B144" s="21">
        <v>36000000</v>
      </c>
      <c r="C144" s="21">
        <v>13899180.300000001</v>
      </c>
      <c r="D144" s="20">
        <v>1</v>
      </c>
      <c r="E144" s="9">
        <v>0.38608834166666667</v>
      </c>
    </row>
    <row r="145" spans="1:5" x14ac:dyDescent="0.25">
      <c r="B145" s="21"/>
      <c r="C145" s="21"/>
    </row>
    <row r="146" spans="1:5" x14ac:dyDescent="0.25">
      <c r="A146" t="s">
        <v>32</v>
      </c>
      <c r="B146" s="21">
        <v>42570000</v>
      </c>
      <c r="C146" s="21">
        <v>16265772.4</v>
      </c>
    </row>
    <row r="147" spans="1:5" x14ac:dyDescent="0.25">
      <c r="B147"/>
      <c r="C147"/>
    </row>
    <row r="148" spans="1:5" x14ac:dyDescent="0.25">
      <c r="B148"/>
      <c r="C148"/>
    </row>
    <row r="149" spans="1:5" x14ac:dyDescent="0.25">
      <c r="A149" s="24" t="s">
        <v>48</v>
      </c>
      <c r="B149" s="24" t="s">
        <v>34</v>
      </c>
      <c r="C149" s="24" t="s">
        <v>35</v>
      </c>
      <c r="D149" s="24" t="s">
        <v>46</v>
      </c>
      <c r="E149" s="24" t="s">
        <v>47</v>
      </c>
    </row>
    <row r="150" spans="1:5" x14ac:dyDescent="0.25">
      <c r="A150" t="s">
        <v>12</v>
      </c>
      <c r="B150" s="21">
        <v>14130000</v>
      </c>
      <c r="C150" s="21">
        <v>7982528.5099999998</v>
      </c>
      <c r="D150" s="20">
        <f>(E150-1)*-1</f>
        <v>0.43506521514508145</v>
      </c>
      <c r="E150" s="9">
        <f>C150/B150</f>
        <v>0.56493478485491855</v>
      </c>
    </row>
    <row r="151" spans="1:5" x14ac:dyDescent="0.25">
      <c r="A151" t="s">
        <v>22</v>
      </c>
      <c r="B151" s="21">
        <v>1200000</v>
      </c>
      <c r="C151" s="21">
        <v>0</v>
      </c>
      <c r="D151" s="20">
        <v>1</v>
      </c>
      <c r="E151" s="9">
        <f t="shared" ref="E151:E163" si="13">C151/B151</f>
        <v>0</v>
      </c>
    </row>
    <row r="152" spans="1:5" x14ac:dyDescent="0.25">
      <c r="A152" t="s">
        <v>17</v>
      </c>
      <c r="B152" s="21">
        <v>10000</v>
      </c>
      <c r="C152" s="21">
        <v>0</v>
      </c>
      <c r="D152" s="20">
        <v>1</v>
      </c>
      <c r="E152" s="9">
        <f t="shared" si="13"/>
        <v>0</v>
      </c>
    </row>
    <row r="153" spans="1:5" x14ac:dyDescent="0.25">
      <c r="A153" t="s">
        <v>18</v>
      </c>
      <c r="B153" s="21">
        <v>550000</v>
      </c>
      <c r="C153" s="21">
        <v>235402.8</v>
      </c>
      <c r="D153" s="20">
        <v>1</v>
      </c>
      <c r="E153" s="9">
        <f t="shared" si="13"/>
        <v>0.42800509090909089</v>
      </c>
    </row>
    <row r="154" spans="1:5" x14ac:dyDescent="0.25">
      <c r="A154" t="s">
        <v>19</v>
      </c>
      <c r="B154" s="21">
        <v>10000</v>
      </c>
      <c r="C154" s="21">
        <v>0</v>
      </c>
      <c r="D154" s="20">
        <v>1</v>
      </c>
      <c r="E154" s="9">
        <f t="shared" si="13"/>
        <v>0</v>
      </c>
    </row>
    <row r="155" spans="1:5" x14ac:dyDescent="0.25">
      <c r="A155" t="s">
        <v>23</v>
      </c>
      <c r="B155" s="21">
        <v>200000</v>
      </c>
      <c r="C155" s="21">
        <v>0</v>
      </c>
      <c r="D155" s="20">
        <v>1</v>
      </c>
      <c r="E155" s="9">
        <f t="shared" si="13"/>
        <v>0</v>
      </c>
    </row>
    <row r="156" spans="1:5" x14ac:dyDescent="0.25">
      <c r="A156" t="s">
        <v>20</v>
      </c>
      <c r="B156" s="21">
        <v>10000</v>
      </c>
      <c r="C156" s="21">
        <v>0</v>
      </c>
      <c r="D156" s="20">
        <v>1</v>
      </c>
      <c r="E156" s="9">
        <f t="shared" si="13"/>
        <v>0</v>
      </c>
    </row>
    <row r="157" spans="1:5" x14ac:dyDescent="0.25">
      <c r="A157" t="s">
        <v>14</v>
      </c>
      <c r="B157" s="21">
        <v>500000</v>
      </c>
      <c r="C157" s="21">
        <v>268745.46999999997</v>
      </c>
      <c r="D157" s="20">
        <v>1</v>
      </c>
      <c r="E157" s="9">
        <f t="shared" si="13"/>
        <v>0.53749093999999997</v>
      </c>
    </row>
    <row r="158" spans="1:5" x14ac:dyDescent="0.25">
      <c r="A158" t="s">
        <v>13</v>
      </c>
      <c r="B158" s="21">
        <v>2700000</v>
      </c>
      <c r="C158" s="21">
        <v>1277265.3400000001</v>
      </c>
      <c r="D158" s="20">
        <v>1</v>
      </c>
      <c r="E158" s="9">
        <f t="shared" si="13"/>
        <v>0.47306123703703706</v>
      </c>
    </row>
    <row r="159" spans="1:5" x14ac:dyDescent="0.25">
      <c r="A159" t="s">
        <v>15</v>
      </c>
      <c r="B159" s="21">
        <v>50000</v>
      </c>
      <c r="C159" s="21">
        <v>40035</v>
      </c>
      <c r="D159" s="20">
        <v>1</v>
      </c>
      <c r="E159" s="9">
        <f t="shared" si="13"/>
        <v>0.80069999999999997</v>
      </c>
    </row>
    <row r="160" spans="1:5" x14ac:dyDescent="0.25">
      <c r="A160" t="s">
        <v>10</v>
      </c>
      <c r="B160" s="21">
        <v>7400000</v>
      </c>
      <c r="C160" s="21">
        <v>5134721.67</v>
      </c>
      <c r="D160" s="20">
        <v>1</v>
      </c>
      <c r="E160" s="9">
        <f t="shared" si="13"/>
        <v>0.69388130675675674</v>
      </c>
    </row>
    <row r="161" spans="1:5" x14ac:dyDescent="0.25">
      <c r="A161" t="s">
        <v>16</v>
      </c>
      <c r="B161" s="21">
        <v>1100000</v>
      </c>
      <c r="C161" s="21">
        <v>910550.23</v>
      </c>
      <c r="D161" s="20">
        <v>1</v>
      </c>
      <c r="E161" s="9">
        <f t="shared" si="13"/>
        <v>0.82777293636363636</v>
      </c>
    </row>
    <row r="162" spans="1:5" x14ac:dyDescent="0.25">
      <c r="A162" t="s">
        <v>21</v>
      </c>
      <c r="B162" s="21">
        <v>400000</v>
      </c>
      <c r="C162" s="21">
        <v>115808</v>
      </c>
      <c r="D162" s="20">
        <v>1</v>
      </c>
      <c r="E162" s="9">
        <f t="shared" si="13"/>
        <v>0.28952</v>
      </c>
    </row>
    <row r="163" spans="1:5" x14ac:dyDescent="0.25">
      <c r="A163" t="s">
        <v>32</v>
      </c>
      <c r="B163" s="21">
        <v>14130000</v>
      </c>
      <c r="C163" s="21">
        <v>7982528.5099999998</v>
      </c>
      <c r="D163" s="20">
        <v>1</v>
      </c>
      <c r="E163" s="9">
        <f t="shared" si="13"/>
        <v>0.56493478485491855</v>
      </c>
    </row>
    <row r="164" spans="1:5" x14ac:dyDescent="0.25">
      <c r="B164"/>
      <c r="C164"/>
    </row>
    <row r="165" spans="1:5" x14ac:dyDescent="0.25">
      <c r="B165"/>
      <c r="C165"/>
    </row>
    <row r="166" spans="1:5" x14ac:dyDescent="0.25">
      <c r="B166"/>
      <c r="C166"/>
    </row>
    <row r="167" spans="1:5" x14ac:dyDescent="0.25">
      <c r="B167"/>
      <c r="C167"/>
    </row>
    <row r="168" spans="1:5" x14ac:dyDescent="0.25">
      <c r="B168"/>
      <c r="C168"/>
    </row>
    <row r="169" spans="1:5" x14ac:dyDescent="0.25">
      <c r="A169" s="25" t="s">
        <v>1</v>
      </c>
      <c r="B169" s="25" t="s">
        <v>34</v>
      </c>
      <c r="C169" s="25" t="s">
        <v>35</v>
      </c>
      <c r="D169" s="25" t="s">
        <v>46</v>
      </c>
      <c r="E169" s="25" t="s">
        <v>47</v>
      </c>
    </row>
    <row r="170" spans="1:5" x14ac:dyDescent="0.25">
      <c r="A170" t="s">
        <v>9</v>
      </c>
      <c r="B170" s="21">
        <v>550000</v>
      </c>
      <c r="C170" s="21">
        <v>145950</v>
      </c>
      <c r="D170" s="20">
        <f>(E170-1)*-1</f>
        <v>0.73463636363636364</v>
      </c>
      <c r="E170" s="9">
        <f>C170/B170</f>
        <v>0.26536363636363636</v>
      </c>
    </row>
    <row r="171" spans="1:5" x14ac:dyDescent="0.25">
      <c r="A171" t="s">
        <v>11</v>
      </c>
      <c r="B171" s="21">
        <v>50000</v>
      </c>
      <c r="C171" s="21">
        <v>0</v>
      </c>
      <c r="D171" s="20">
        <v>1</v>
      </c>
      <c r="E171" s="9">
        <f t="shared" ref="E171:E172" si="14">C171/B171</f>
        <v>0</v>
      </c>
    </row>
    <row r="172" spans="1:5" x14ac:dyDescent="0.25">
      <c r="A172" t="s">
        <v>10</v>
      </c>
      <c r="B172" s="21">
        <v>500000</v>
      </c>
      <c r="C172" s="21">
        <v>145950</v>
      </c>
      <c r="D172" s="20">
        <v>1</v>
      </c>
      <c r="E172" s="9">
        <f t="shared" si="14"/>
        <v>0.29189999999999999</v>
      </c>
    </row>
    <row r="173" spans="1:5" x14ac:dyDescent="0.25">
      <c r="B173"/>
      <c r="C173"/>
    </row>
    <row r="174" spans="1:5" x14ac:dyDescent="0.25">
      <c r="B174"/>
      <c r="C174"/>
    </row>
    <row r="175" spans="1:5" x14ac:dyDescent="0.25">
      <c r="B175"/>
      <c r="C175"/>
    </row>
    <row r="176" spans="1:5" x14ac:dyDescent="0.25">
      <c r="B176"/>
      <c r="C176"/>
    </row>
    <row r="177" spans="2:3" x14ac:dyDescent="0.25">
      <c r="B177"/>
      <c r="C177"/>
    </row>
    <row r="178" spans="2:3" x14ac:dyDescent="0.25">
      <c r="B178"/>
      <c r="C178"/>
    </row>
    <row r="179" spans="2:3" x14ac:dyDescent="0.25">
      <c r="B179"/>
      <c r="C179"/>
    </row>
    <row r="180" spans="2:3" x14ac:dyDescent="0.25">
      <c r="B180"/>
      <c r="C180"/>
    </row>
    <row r="181" spans="2:3" x14ac:dyDescent="0.25">
      <c r="B181"/>
      <c r="C181"/>
    </row>
    <row r="182" spans="2:3" x14ac:dyDescent="0.25">
      <c r="B182"/>
      <c r="C182"/>
    </row>
    <row r="183" spans="2:3" x14ac:dyDescent="0.25">
      <c r="B183"/>
      <c r="C183"/>
    </row>
    <row r="184" spans="2:3" x14ac:dyDescent="0.25">
      <c r="B184"/>
      <c r="C184"/>
    </row>
    <row r="185" spans="2:3" x14ac:dyDescent="0.25">
      <c r="B185"/>
      <c r="C185"/>
    </row>
    <row r="186" spans="2:3" x14ac:dyDescent="0.25">
      <c r="B186"/>
      <c r="C186"/>
    </row>
    <row r="187" spans="2:3" x14ac:dyDescent="0.25">
      <c r="B187"/>
      <c r="C187"/>
    </row>
    <row r="188" spans="2:3" x14ac:dyDescent="0.25">
      <c r="B188"/>
      <c r="C188"/>
    </row>
    <row r="189" spans="2:3" x14ac:dyDescent="0.25">
      <c r="B189"/>
      <c r="C189"/>
    </row>
    <row r="190" spans="2:3" x14ac:dyDescent="0.25">
      <c r="B190"/>
      <c r="C190"/>
    </row>
    <row r="191" spans="2:3" x14ac:dyDescent="0.25">
      <c r="B191"/>
      <c r="C191"/>
    </row>
    <row r="192" spans="2:3" x14ac:dyDescent="0.25">
      <c r="B192"/>
      <c r="C192"/>
    </row>
    <row r="193" spans="2:3" x14ac:dyDescent="0.25">
      <c r="B193"/>
      <c r="C193"/>
    </row>
    <row r="194" spans="2:3" x14ac:dyDescent="0.25">
      <c r="B194"/>
      <c r="C194"/>
    </row>
    <row r="195" spans="2:3" x14ac:dyDescent="0.25">
      <c r="B195"/>
      <c r="C195"/>
    </row>
    <row r="196" spans="2:3" x14ac:dyDescent="0.25">
      <c r="B196"/>
      <c r="C196"/>
    </row>
    <row r="197" spans="2:3" x14ac:dyDescent="0.25">
      <c r="B197"/>
      <c r="C197"/>
    </row>
    <row r="198" spans="2:3" x14ac:dyDescent="0.25">
      <c r="B198"/>
      <c r="C198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FCABB-9561-4432-B43E-36349DB28CB4}">
  <dimension ref="S10:U49"/>
  <sheetViews>
    <sheetView showGridLines="0" showWhiteSpace="0" view="pageLayout" zoomScale="85" zoomScaleNormal="115" zoomScalePageLayoutView="85" workbookViewId="0">
      <selection activeCell="T30" sqref="T30"/>
    </sheetView>
  </sheetViews>
  <sheetFormatPr defaultRowHeight="15" x14ac:dyDescent="0.25"/>
  <cols>
    <col min="14" max="14" width="8.42578125" customWidth="1"/>
    <col min="16" max="16" width="6.85546875" customWidth="1"/>
    <col min="19" max="19" width="16.85546875" bestFit="1" customWidth="1"/>
    <col min="20" max="20" width="10.7109375" bestFit="1" customWidth="1"/>
  </cols>
  <sheetData>
    <row r="10" spans="19:21" x14ac:dyDescent="0.25">
      <c r="S10" s="1"/>
    </row>
    <row r="11" spans="19:21" x14ac:dyDescent="0.25">
      <c r="S11" s="1"/>
    </row>
    <row r="12" spans="19:21" x14ac:dyDescent="0.25">
      <c r="S12" s="1"/>
      <c r="T12" s="9"/>
      <c r="U12" s="9"/>
    </row>
    <row r="13" spans="19:21" x14ac:dyDescent="0.25">
      <c r="S13" s="1"/>
      <c r="T13" s="9"/>
      <c r="U13" s="9"/>
    </row>
    <row r="14" spans="19:21" x14ac:dyDescent="0.25">
      <c r="S14" s="1"/>
      <c r="T14" s="9"/>
      <c r="U14" s="9"/>
    </row>
    <row r="15" spans="19:21" x14ac:dyDescent="0.25">
      <c r="S15" s="1"/>
      <c r="T15" s="9"/>
      <c r="U15" s="9"/>
    </row>
    <row r="16" spans="19:21" x14ac:dyDescent="0.25">
      <c r="S16" s="21"/>
      <c r="T16" s="9"/>
      <c r="U16" s="9"/>
    </row>
    <row r="17" spans="19:21" x14ac:dyDescent="0.25">
      <c r="S17" s="21"/>
      <c r="T17" s="9"/>
      <c r="U17" s="9"/>
    </row>
    <row r="18" spans="19:21" x14ac:dyDescent="0.25">
      <c r="T18" s="9"/>
      <c r="U18" s="9"/>
    </row>
    <row r="19" spans="19:21" x14ac:dyDescent="0.25">
      <c r="T19" s="9"/>
      <c r="U19" s="9"/>
    </row>
    <row r="26" spans="19:21" x14ac:dyDescent="0.25">
      <c r="T26" s="9"/>
    </row>
    <row r="49" spans="20:20" x14ac:dyDescent="0.25">
      <c r="T49" s="9"/>
    </row>
  </sheetData>
  <pageMargins left="0.2" right="0.125" top="0.17708333333333334" bottom="0.32291666666666669" header="0.31496062000000002" footer="0.31496062000000002"/>
  <pageSetup paperSize="9" orientation="landscape" horizontalDpi="12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F2F3B-0425-4B8A-A7D5-762F51078D6F}">
  <dimension ref="B2:I27"/>
  <sheetViews>
    <sheetView showGridLines="0" workbookViewId="0">
      <selection activeCell="E14" sqref="E14"/>
    </sheetView>
  </sheetViews>
  <sheetFormatPr defaultRowHeight="12" x14ac:dyDescent="0.2"/>
  <cols>
    <col min="1" max="1" width="9.140625" style="12"/>
    <col min="2" max="2" width="7" style="50" bestFit="1" customWidth="1"/>
    <col min="3" max="3" width="14.42578125" style="12" bestFit="1" customWidth="1"/>
    <col min="4" max="4" width="12.7109375" style="51" bestFit="1" customWidth="1"/>
    <col min="5" max="5" width="37.42578125" style="64" customWidth="1"/>
    <col min="6" max="6" width="37.42578125" style="65" customWidth="1"/>
    <col min="7" max="7" width="79.85546875" style="12" customWidth="1"/>
    <col min="8" max="8" width="20.7109375" style="12" bestFit="1" customWidth="1"/>
    <col min="9" max="9" width="18.85546875" style="12" bestFit="1" customWidth="1"/>
    <col min="10" max="16384" width="9.140625" style="12"/>
  </cols>
  <sheetData>
    <row r="2" spans="2:9" x14ac:dyDescent="0.2">
      <c r="B2" s="47" t="s">
        <v>85</v>
      </c>
      <c r="C2" s="52" t="s">
        <v>62</v>
      </c>
      <c r="D2" s="47" t="s">
        <v>86</v>
      </c>
      <c r="E2" s="47" t="s">
        <v>87</v>
      </c>
      <c r="F2" s="53" t="s">
        <v>88</v>
      </c>
      <c r="G2" s="47" t="s">
        <v>63</v>
      </c>
      <c r="H2" s="53" t="s">
        <v>89</v>
      </c>
      <c r="I2" s="53" t="s">
        <v>90</v>
      </c>
    </row>
    <row r="3" spans="2:9" ht="24" x14ac:dyDescent="0.2">
      <c r="B3" s="54">
        <v>1</v>
      </c>
      <c r="C3" s="55" t="s">
        <v>136</v>
      </c>
      <c r="D3" s="56">
        <v>45487</v>
      </c>
      <c r="E3" s="54" t="s">
        <v>91</v>
      </c>
      <c r="F3" s="58" t="s">
        <v>92</v>
      </c>
      <c r="G3" s="48" t="s">
        <v>93</v>
      </c>
      <c r="H3" s="57">
        <v>40690.57</v>
      </c>
      <c r="I3" s="58" t="s">
        <v>94</v>
      </c>
    </row>
    <row r="4" spans="2:9" x14ac:dyDescent="0.2">
      <c r="B4" s="59">
        <v>2</v>
      </c>
      <c r="C4" s="60" t="s">
        <v>64</v>
      </c>
      <c r="D4" s="61">
        <v>45507</v>
      </c>
      <c r="E4" s="59" t="s">
        <v>91</v>
      </c>
      <c r="F4" s="63" t="s">
        <v>92</v>
      </c>
      <c r="G4" s="49" t="s">
        <v>95</v>
      </c>
      <c r="H4" s="62">
        <v>346542.57</v>
      </c>
      <c r="I4" s="63" t="s">
        <v>94</v>
      </c>
    </row>
    <row r="5" spans="2:9" x14ac:dyDescent="0.2">
      <c r="B5" s="54">
        <v>3</v>
      </c>
      <c r="C5" s="55" t="s">
        <v>65</v>
      </c>
      <c r="D5" s="56">
        <v>45183</v>
      </c>
      <c r="E5" s="54" t="s">
        <v>96</v>
      </c>
      <c r="F5" s="58" t="s">
        <v>97</v>
      </c>
      <c r="G5" s="48" t="s">
        <v>98</v>
      </c>
      <c r="H5" s="57">
        <v>107928.46</v>
      </c>
      <c r="I5" s="58" t="s">
        <v>94</v>
      </c>
    </row>
    <row r="6" spans="2:9" ht="24" x14ac:dyDescent="0.2">
      <c r="B6" s="59">
        <v>4</v>
      </c>
      <c r="C6" s="60" t="s">
        <v>66</v>
      </c>
      <c r="D6" s="61">
        <v>46040</v>
      </c>
      <c r="E6" s="59" t="s">
        <v>99</v>
      </c>
      <c r="F6" s="63" t="s">
        <v>100</v>
      </c>
      <c r="G6" s="49" t="s">
        <v>101</v>
      </c>
      <c r="H6" s="63" t="s">
        <v>102</v>
      </c>
      <c r="I6" s="63" t="s">
        <v>94</v>
      </c>
    </row>
    <row r="7" spans="2:9" ht="24" x14ac:dyDescent="0.2">
      <c r="B7" s="54">
        <v>5</v>
      </c>
      <c r="C7" s="55" t="s">
        <v>67</v>
      </c>
      <c r="D7" s="56">
        <v>45548</v>
      </c>
      <c r="E7" s="54" t="s">
        <v>103</v>
      </c>
      <c r="F7" s="58" t="s">
        <v>104</v>
      </c>
      <c r="G7" s="48" t="s">
        <v>105</v>
      </c>
      <c r="H7" s="57">
        <v>8915.1200000000008</v>
      </c>
      <c r="I7" s="58" t="s">
        <v>94</v>
      </c>
    </row>
    <row r="8" spans="2:9" ht="36" x14ac:dyDescent="0.2">
      <c r="B8" s="59">
        <v>6</v>
      </c>
      <c r="C8" s="60" t="s">
        <v>68</v>
      </c>
      <c r="D8" s="61">
        <v>46156</v>
      </c>
      <c r="E8" s="59" t="s">
        <v>106</v>
      </c>
      <c r="F8" s="63" t="s">
        <v>107</v>
      </c>
      <c r="G8" s="49" t="s">
        <v>108</v>
      </c>
      <c r="H8" s="63" t="s">
        <v>102</v>
      </c>
      <c r="I8" s="63" t="s">
        <v>94</v>
      </c>
    </row>
    <row r="9" spans="2:9" ht="24" x14ac:dyDescent="0.2">
      <c r="B9" s="54">
        <v>7</v>
      </c>
      <c r="C9" s="55" t="s">
        <v>69</v>
      </c>
      <c r="D9" s="56">
        <v>45586</v>
      </c>
      <c r="E9" s="54" t="s">
        <v>103</v>
      </c>
      <c r="F9" s="58" t="s">
        <v>104</v>
      </c>
      <c r="G9" s="48" t="s">
        <v>109</v>
      </c>
      <c r="H9" s="57">
        <v>46862.31</v>
      </c>
      <c r="I9" s="58" t="s">
        <v>94</v>
      </c>
    </row>
    <row r="10" spans="2:9" ht="24" x14ac:dyDescent="0.2">
      <c r="B10" s="59">
        <v>8</v>
      </c>
      <c r="C10" s="60" t="s">
        <v>70</v>
      </c>
      <c r="D10" s="61">
        <v>45586</v>
      </c>
      <c r="E10" s="59" t="s">
        <v>110</v>
      </c>
      <c r="F10" s="63" t="s">
        <v>111</v>
      </c>
      <c r="G10" s="49" t="s">
        <v>109</v>
      </c>
      <c r="H10" s="62">
        <v>10657.4</v>
      </c>
      <c r="I10" s="63" t="s">
        <v>94</v>
      </c>
    </row>
    <row r="11" spans="2:9" ht="24" x14ac:dyDescent="0.2">
      <c r="B11" s="54">
        <v>9</v>
      </c>
      <c r="C11" s="55" t="s">
        <v>71</v>
      </c>
      <c r="D11" s="56">
        <v>45586</v>
      </c>
      <c r="E11" s="54" t="s">
        <v>103</v>
      </c>
      <c r="F11" s="58" t="s">
        <v>104</v>
      </c>
      <c r="G11" s="48" t="s">
        <v>109</v>
      </c>
      <c r="H11" s="57">
        <v>20800.189999999999</v>
      </c>
      <c r="I11" s="58" t="s">
        <v>94</v>
      </c>
    </row>
    <row r="12" spans="2:9" ht="36" x14ac:dyDescent="0.2">
      <c r="B12" s="59">
        <v>10</v>
      </c>
      <c r="C12" s="60" t="s">
        <v>72</v>
      </c>
      <c r="D12" s="63" t="s">
        <v>112</v>
      </c>
      <c r="E12" s="59" t="s">
        <v>110</v>
      </c>
      <c r="F12" s="63" t="s">
        <v>111</v>
      </c>
      <c r="G12" s="49" t="s">
        <v>113</v>
      </c>
      <c r="H12" s="62">
        <v>562097.34</v>
      </c>
      <c r="I12" s="63" t="s">
        <v>94</v>
      </c>
    </row>
    <row r="13" spans="2:9" ht="36" x14ac:dyDescent="0.2">
      <c r="B13" s="54">
        <v>11</v>
      </c>
      <c r="C13" s="55" t="s">
        <v>73</v>
      </c>
      <c r="D13" s="56">
        <v>45627</v>
      </c>
      <c r="E13" s="54" t="s">
        <v>96</v>
      </c>
      <c r="F13" s="58" t="s">
        <v>97</v>
      </c>
      <c r="G13" s="48" t="s">
        <v>114</v>
      </c>
      <c r="H13" s="57">
        <v>409195.07</v>
      </c>
      <c r="I13" s="58" t="s">
        <v>94</v>
      </c>
    </row>
    <row r="14" spans="2:9" x14ac:dyDescent="0.2">
      <c r="B14" s="59">
        <v>12</v>
      </c>
      <c r="C14" s="60" t="s">
        <v>74</v>
      </c>
      <c r="D14" s="61">
        <v>45565</v>
      </c>
      <c r="E14" s="59" t="s">
        <v>115</v>
      </c>
      <c r="F14" s="63" t="s">
        <v>111</v>
      </c>
      <c r="G14" s="49" t="s">
        <v>116</v>
      </c>
      <c r="H14" s="62">
        <v>2719.26</v>
      </c>
      <c r="I14" s="63" t="s">
        <v>94</v>
      </c>
    </row>
    <row r="15" spans="2:9" ht="24" x14ac:dyDescent="0.2">
      <c r="B15" s="54">
        <v>13</v>
      </c>
      <c r="C15" s="55" t="s">
        <v>75</v>
      </c>
      <c r="D15" s="56">
        <v>45628</v>
      </c>
      <c r="E15" s="54" t="s">
        <v>106</v>
      </c>
      <c r="F15" s="58" t="s">
        <v>107</v>
      </c>
      <c r="G15" s="48" t="s">
        <v>117</v>
      </c>
      <c r="H15" s="57">
        <v>2204978.88</v>
      </c>
      <c r="I15" s="58" t="s">
        <v>94</v>
      </c>
    </row>
    <row r="16" spans="2:9" ht="24" x14ac:dyDescent="0.2">
      <c r="B16" s="59">
        <v>14</v>
      </c>
      <c r="C16" s="60" t="s">
        <v>76</v>
      </c>
      <c r="D16" s="61">
        <v>45315</v>
      </c>
      <c r="E16" s="59" t="s">
        <v>91</v>
      </c>
      <c r="F16" s="63" t="s">
        <v>92</v>
      </c>
      <c r="G16" s="49" t="s">
        <v>118</v>
      </c>
      <c r="H16" s="62">
        <v>206023.8</v>
      </c>
      <c r="I16" s="63" t="s">
        <v>94</v>
      </c>
    </row>
    <row r="17" spans="2:9" x14ac:dyDescent="0.2">
      <c r="B17" s="54">
        <v>15</v>
      </c>
      <c r="C17" s="55" t="s">
        <v>137</v>
      </c>
      <c r="D17" s="56">
        <v>45330</v>
      </c>
      <c r="E17" s="54" t="s">
        <v>119</v>
      </c>
      <c r="F17" s="58" t="s">
        <v>120</v>
      </c>
      <c r="G17" s="48" t="s">
        <v>121</v>
      </c>
      <c r="H17" s="57">
        <v>598.64</v>
      </c>
      <c r="I17" s="58" t="s">
        <v>94</v>
      </c>
    </row>
    <row r="18" spans="2:9" x14ac:dyDescent="0.2">
      <c r="B18" s="59">
        <v>16</v>
      </c>
      <c r="C18" s="60" t="s">
        <v>138</v>
      </c>
      <c r="D18" s="61">
        <v>45406</v>
      </c>
      <c r="E18" s="59" t="s">
        <v>115</v>
      </c>
      <c r="F18" s="63" t="s">
        <v>111</v>
      </c>
      <c r="G18" s="49" t="s">
        <v>122</v>
      </c>
      <c r="H18" s="62">
        <v>26560.19</v>
      </c>
      <c r="I18" s="63" t="s">
        <v>94</v>
      </c>
    </row>
    <row r="19" spans="2:9" x14ac:dyDescent="0.2">
      <c r="B19" s="54">
        <v>17</v>
      </c>
      <c r="C19" s="55" t="s">
        <v>77</v>
      </c>
      <c r="D19" s="56">
        <v>45512</v>
      </c>
      <c r="E19" s="54" t="s">
        <v>123</v>
      </c>
      <c r="F19" s="58" t="s">
        <v>124</v>
      </c>
      <c r="G19" s="48" t="s">
        <v>125</v>
      </c>
      <c r="H19" s="57">
        <v>3588</v>
      </c>
      <c r="I19" s="58" t="s">
        <v>94</v>
      </c>
    </row>
    <row r="20" spans="2:9" x14ac:dyDescent="0.2">
      <c r="B20" s="59">
        <v>18</v>
      </c>
      <c r="C20" s="60" t="s">
        <v>78</v>
      </c>
      <c r="D20" s="61">
        <v>45567</v>
      </c>
      <c r="E20" s="59" t="s">
        <v>106</v>
      </c>
      <c r="F20" s="63" t="s">
        <v>107</v>
      </c>
      <c r="G20" s="49" t="s">
        <v>126</v>
      </c>
      <c r="H20" s="62">
        <v>32534.92</v>
      </c>
      <c r="I20" s="63" t="s">
        <v>94</v>
      </c>
    </row>
    <row r="21" spans="2:9" x14ac:dyDescent="0.2">
      <c r="B21" s="54">
        <v>19</v>
      </c>
      <c r="C21" s="55" t="s">
        <v>79</v>
      </c>
      <c r="D21" s="56">
        <v>45568</v>
      </c>
      <c r="E21" s="54" t="s">
        <v>96</v>
      </c>
      <c r="F21" s="58" t="s">
        <v>97</v>
      </c>
      <c r="G21" s="48" t="s">
        <v>127</v>
      </c>
      <c r="H21" s="57">
        <v>21451.59</v>
      </c>
      <c r="I21" s="58" t="s">
        <v>94</v>
      </c>
    </row>
    <row r="22" spans="2:9" ht="24" x14ac:dyDescent="0.2">
      <c r="B22" s="59">
        <v>20</v>
      </c>
      <c r="C22" s="60" t="s">
        <v>80</v>
      </c>
      <c r="D22" s="61">
        <v>45596</v>
      </c>
      <c r="E22" s="59" t="s">
        <v>103</v>
      </c>
      <c r="F22" s="63" t="s">
        <v>104</v>
      </c>
      <c r="G22" s="49" t="s">
        <v>128</v>
      </c>
      <c r="H22" s="62">
        <v>43482.96</v>
      </c>
      <c r="I22" s="63" t="s">
        <v>94</v>
      </c>
    </row>
    <row r="23" spans="2:9" ht="24" x14ac:dyDescent="0.2">
      <c r="B23" s="54">
        <v>21</v>
      </c>
      <c r="C23" s="55" t="s">
        <v>139</v>
      </c>
      <c r="D23" s="56">
        <v>45602</v>
      </c>
      <c r="E23" s="54" t="s">
        <v>103</v>
      </c>
      <c r="F23" s="58" t="s">
        <v>104</v>
      </c>
      <c r="G23" s="48" t="s">
        <v>129</v>
      </c>
      <c r="H23" s="57">
        <v>7211.54</v>
      </c>
      <c r="I23" s="58" t="s">
        <v>94</v>
      </c>
    </row>
    <row r="24" spans="2:9" x14ac:dyDescent="0.2">
      <c r="B24" s="59">
        <v>22</v>
      </c>
      <c r="C24" s="60" t="s">
        <v>81</v>
      </c>
      <c r="D24" s="61">
        <v>45626</v>
      </c>
      <c r="E24" s="59" t="s">
        <v>119</v>
      </c>
      <c r="F24" s="63" t="s">
        <v>120</v>
      </c>
      <c r="G24" s="49" t="s">
        <v>130</v>
      </c>
      <c r="H24" s="62">
        <v>9310.39</v>
      </c>
      <c r="I24" s="63" t="s">
        <v>94</v>
      </c>
    </row>
    <row r="25" spans="2:9" x14ac:dyDescent="0.2">
      <c r="B25" s="54">
        <v>23</v>
      </c>
      <c r="C25" s="55" t="s">
        <v>82</v>
      </c>
      <c r="D25" s="56">
        <v>45626</v>
      </c>
      <c r="E25" s="54" t="s">
        <v>131</v>
      </c>
      <c r="F25" s="58" t="s">
        <v>132</v>
      </c>
      <c r="G25" s="48" t="s">
        <v>133</v>
      </c>
      <c r="H25" s="57">
        <v>11777.45</v>
      </c>
      <c r="I25" s="58" t="s">
        <v>94</v>
      </c>
    </row>
    <row r="26" spans="2:9" ht="24" x14ac:dyDescent="0.2">
      <c r="B26" s="59">
        <v>24</v>
      </c>
      <c r="C26" s="60" t="s">
        <v>83</v>
      </c>
      <c r="D26" s="61">
        <v>45626</v>
      </c>
      <c r="E26" s="59" t="s">
        <v>103</v>
      </c>
      <c r="F26" s="63" t="s">
        <v>104</v>
      </c>
      <c r="G26" s="49" t="s">
        <v>134</v>
      </c>
      <c r="H26" s="62">
        <v>5819</v>
      </c>
      <c r="I26" s="63" t="s">
        <v>94</v>
      </c>
    </row>
    <row r="27" spans="2:9" x14ac:dyDescent="0.2">
      <c r="B27" s="54">
        <v>25</v>
      </c>
      <c r="C27" s="55" t="s">
        <v>84</v>
      </c>
      <c r="D27" s="56">
        <v>45626</v>
      </c>
      <c r="E27" s="54" t="s">
        <v>131</v>
      </c>
      <c r="F27" s="58" t="s">
        <v>132</v>
      </c>
      <c r="G27" s="48" t="s">
        <v>135</v>
      </c>
      <c r="H27" s="57">
        <v>4815.72</v>
      </c>
      <c r="I27" s="58" t="s">
        <v>94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7111-DF29-4DBF-A5B8-DE63238427D9}">
  <dimension ref="A7:H61"/>
  <sheetViews>
    <sheetView tabSelected="1" view="pageLayout" topLeftCell="B31" zoomScale="85" zoomScaleNormal="100" zoomScalePageLayoutView="85" workbookViewId="0">
      <selection activeCell="D56" sqref="D56"/>
    </sheetView>
  </sheetViews>
  <sheetFormatPr defaultRowHeight="15" x14ac:dyDescent="0.25"/>
  <cols>
    <col min="1" max="1" width="14.42578125" style="103" hidden="1" customWidth="1"/>
    <col min="2" max="2" width="4.28515625" style="69" bestFit="1" customWidth="1"/>
    <col min="3" max="3" width="28.140625" style="67" customWidth="1"/>
    <col min="4" max="4" width="20.85546875" style="68" customWidth="1"/>
    <col min="5" max="5" width="52" style="66" hidden="1" customWidth="1"/>
    <col min="6" max="6" width="16.85546875" style="70" customWidth="1"/>
    <col min="7" max="7" width="13.28515625" style="66" customWidth="1"/>
    <col min="8" max="8" width="14.42578125" style="66" customWidth="1"/>
    <col min="9" max="16384" width="9.140625" style="66"/>
  </cols>
  <sheetData>
    <row r="7" spans="1:8" x14ac:dyDescent="0.25">
      <c r="B7" s="88" t="s">
        <v>236</v>
      </c>
      <c r="C7" s="88"/>
      <c r="D7" s="88"/>
      <c r="E7" s="88"/>
      <c r="F7" s="88"/>
      <c r="G7" s="88"/>
      <c r="H7" s="88"/>
    </row>
    <row r="8" spans="1:8" x14ac:dyDescent="0.25">
      <c r="B8" s="88"/>
      <c r="C8" s="88"/>
      <c r="D8" s="88"/>
      <c r="E8" s="88"/>
      <c r="F8" s="88"/>
      <c r="G8" s="88"/>
      <c r="H8" s="88"/>
    </row>
    <row r="10" spans="1:8" ht="33.75" x14ac:dyDescent="0.25">
      <c r="A10" s="115" t="s">
        <v>222</v>
      </c>
      <c r="B10" s="82" t="s">
        <v>221</v>
      </c>
      <c r="C10" s="82" t="s">
        <v>140</v>
      </c>
      <c r="D10" s="83" t="s">
        <v>141</v>
      </c>
      <c r="E10" s="83" t="s">
        <v>142</v>
      </c>
      <c r="F10" s="84" t="s">
        <v>143</v>
      </c>
      <c r="G10" s="83" t="s">
        <v>90</v>
      </c>
      <c r="H10" s="83" t="s">
        <v>222</v>
      </c>
    </row>
    <row r="11" spans="1:8" ht="41.25" customHeight="1" x14ac:dyDescent="0.25">
      <c r="A11" s="101" t="s">
        <v>223</v>
      </c>
      <c r="B11" s="104">
        <v>1</v>
      </c>
      <c r="C11" s="105" t="s">
        <v>144</v>
      </c>
      <c r="D11" s="106" t="s">
        <v>106</v>
      </c>
      <c r="E11" s="107" t="s">
        <v>145</v>
      </c>
      <c r="F11" s="108">
        <v>9140</v>
      </c>
      <c r="G11" s="104" t="s">
        <v>94</v>
      </c>
      <c r="H11" s="104" t="s">
        <v>223</v>
      </c>
    </row>
    <row r="12" spans="1:8" ht="41.25" customHeight="1" x14ac:dyDescent="0.25">
      <c r="A12" s="102" t="s">
        <v>223</v>
      </c>
      <c r="B12" s="109">
        <v>2</v>
      </c>
      <c r="C12" s="110" t="s">
        <v>146</v>
      </c>
      <c r="D12" s="111" t="s">
        <v>147</v>
      </c>
      <c r="E12" s="112" t="s">
        <v>148</v>
      </c>
      <c r="F12" s="113">
        <v>361662</v>
      </c>
      <c r="G12" s="114" t="s">
        <v>94</v>
      </c>
      <c r="H12" s="114" t="s">
        <v>223</v>
      </c>
    </row>
    <row r="13" spans="1:8" ht="41.25" customHeight="1" x14ac:dyDescent="0.25">
      <c r="A13" s="101" t="s">
        <v>223</v>
      </c>
      <c r="B13" s="104">
        <v>3</v>
      </c>
      <c r="C13" s="105" t="s">
        <v>153</v>
      </c>
      <c r="D13" s="106" t="s">
        <v>151</v>
      </c>
      <c r="E13" s="107" t="s">
        <v>154</v>
      </c>
      <c r="F13" s="108">
        <v>0</v>
      </c>
      <c r="G13" s="104" t="s">
        <v>94</v>
      </c>
      <c r="H13" s="104" t="s">
        <v>223</v>
      </c>
    </row>
    <row r="14" spans="1:8" ht="41.25" customHeight="1" x14ac:dyDescent="0.25">
      <c r="A14" s="102" t="s">
        <v>224</v>
      </c>
      <c r="B14" s="109">
        <v>4</v>
      </c>
      <c r="C14" s="110" t="s">
        <v>155</v>
      </c>
      <c r="D14" s="111" t="s">
        <v>149</v>
      </c>
      <c r="E14" s="112" t="s">
        <v>156</v>
      </c>
      <c r="F14" s="113">
        <v>54841.58</v>
      </c>
      <c r="G14" s="114" t="s">
        <v>94</v>
      </c>
      <c r="H14" s="114" t="s">
        <v>224</v>
      </c>
    </row>
    <row r="15" spans="1:8" ht="41.25" customHeight="1" x14ac:dyDescent="0.25">
      <c r="A15" s="101" t="s">
        <v>225</v>
      </c>
      <c r="B15" s="104">
        <v>5</v>
      </c>
      <c r="C15" s="105" t="s">
        <v>157</v>
      </c>
      <c r="D15" s="106" t="s">
        <v>158</v>
      </c>
      <c r="E15" s="107" t="s">
        <v>159</v>
      </c>
      <c r="F15" s="108">
        <v>27000</v>
      </c>
      <c r="G15" s="104" t="s">
        <v>94</v>
      </c>
      <c r="H15" s="104" t="s">
        <v>225</v>
      </c>
    </row>
    <row r="16" spans="1:8" ht="41.25" customHeight="1" x14ac:dyDescent="0.25">
      <c r="A16" s="102" t="s">
        <v>224</v>
      </c>
      <c r="B16" s="109">
        <v>6</v>
      </c>
      <c r="C16" s="110" t="s">
        <v>160</v>
      </c>
      <c r="D16" s="111" t="s">
        <v>151</v>
      </c>
      <c r="E16" s="112" t="s">
        <v>161</v>
      </c>
      <c r="F16" s="113">
        <v>0</v>
      </c>
      <c r="G16" s="114" t="s">
        <v>150</v>
      </c>
      <c r="H16" s="114" t="s">
        <v>224</v>
      </c>
    </row>
    <row r="17" spans="1:8" ht="41.25" customHeight="1" x14ac:dyDescent="0.25">
      <c r="A17" s="101" t="s">
        <v>223</v>
      </c>
      <c r="B17" s="104">
        <v>7</v>
      </c>
      <c r="C17" s="105" t="s">
        <v>162</v>
      </c>
      <c r="D17" s="106" t="s">
        <v>151</v>
      </c>
      <c r="E17" s="107" t="s">
        <v>163</v>
      </c>
      <c r="F17" s="108">
        <v>8500000</v>
      </c>
      <c r="G17" s="104" t="s">
        <v>164</v>
      </c>
      <c r="H17" s="104" t="s">
        <v>223</v>
      </c>
    </row>
    <row r="18" spans="1:8" ht="41.25" customHeight="1" x14ac:dyDescent="0.25">
      <c r="A18" s="102" t="s">
        <v>224</v>
      </c>
      <c r="B18" s="109">
        <v>8</v>
      </c>
      <c r="C18" s="110" t="s">
        <v>165</v>
      </c>
      <c r="D18" s="111" t="s">
        <v>123</v>
      </c>
      <c r="E18" s="112" t="s">
        <v>166</v>
      </c>
      <c r="F18" s="113">
        <v>0</v>
      </c>
      <c r="G18" s="114" t="s">
        <v>150</v>
      </c>
      <c r="H18" s="114" t="s">
        <v>224</v>
      </c>
    </row>
    <row r="19" spans="1:8" ht="41.25" customHeight="1" x14ac:dyDescent="0.25">
      <c r="A19" s="101" t="s">
        <v>224</v>
      </c>
      <c r="B19" s="104">
        <v>9</v>
      </c>
      <c r="C19" s="105" t="s">
        <v>167</v>
      </c>
      <c r="D19" s="106" t="s">
        <v>110</v>
      </c>
      <c r="E19" s="107" t="s">
        <v>168</v>
      </c>
      <c r="F19" s="108">
        <v>1200</v>
      </c>
      <c r="G19" s="104" t="s">
        <v>150</v>
      </c>
      <c r="H19" s="104" t="s">
        <v>224</v>
      </c>
    </row>
    <row r="20" spans="1:8" ht="41.25" customHeight="1" x14ac:dyDescent="0.25">
      <c r="A20" s="102" t="s">
        <v>224</v>
      </c>
      <c r="B20" s="109">
        <v>10</v>
      </c>
      <c r="C20" s="110" t="s">
        <v>169</v>
      </c>
      <c r="D20" s="111" t="s">
        <v>110</v>
      </c>
      <c r="E20" s="112" t="s">
        <v>170</v>
      </c>
      <c r="F20" s="113">
        <v>0</v>
      </c>
      <c r="G20" s="114" t="s">
        <v>150</v>
      </c>
      <c r="H20" s="114" t="s">
        <v>224</v>
      </c>
    </row>
    <row r="21" spans="1:8" ht="41.25" customHeight="1" x14ac:dyDescent="0.25">
      <c r="A21" s="101" t="s">
        <v>224</v>
      </c>
      <c r="B21" s="104">
        <v>11</v>
      </c>
      <c r="C21" s="105" t="s">
        <v>171</v>
      </c>
      <c r="D21" s="106" t="s">
        <v>147</v>
      </c>
      <c r="E21" s="107" t="s">
        <v>172</v>
      </c>
      <c r="F21" s="108">
        <v>18000</v>
      </c>
      <c r="G21" s="104" t="s">
        <v>150</v>
      </c>
      <c r="H21" s="104" t="s">
        <v>224</v>
      </c>
    </row>
    <row r="22" spans="1:8" ht="41.25" customHeight="1" x14ac:dyDescent="0.25">
      <c r="A22" s="102" t="s">
        <v>224</v>
      </c>
      <c r="B22" s="109">
        <v>12</v>
      </c>
      <c r="C22" s="110" t="s">
        <v>173</v>
      </c>
      <c r="D22" s="111" t="s">
        <v>147</v>
      </c>
      <c r="E22" s="112" t="s">
        <v>174</v>
      </c>
      <c r="F22" s="113">
        <v>4000</v>
      </c>
      <c r="G22" s="114" t="s">
        <v>152</v>
      </c>
      <c r="H22" s="114" t="s">
        <v>224</v>
      </c>
    </row>
    <row r="23" spans="1:8" ht="41.25" customHeight="1" x14ac:dyDescent="0.25">
      <c r="A23" s="101" t="s">
        <v>223</v>
      </c>
      <c r="B23" s="104">
        <v>13</v>
      </c>
      <c r="C23" s="105" t="s">
        <v>175</v>
      </c>
      <c r="D23" s="106" t="s">
        <v>147</v>
      </c>
      <c r="E23" s="107" t="s">
        <v>176</v>
      </c>
      <c r="F23" s="108">
        <v>18800</v>
      </c>
      <c r="G23" s="104" t="s">
        <v>152</v>
      </c>
      <c r="H23" s="104" t="s">
        <v>223</v>
      </c>
    </row>
    <row r="24" spans="1:8" ht="41.25" customHeight="1" x14ac:dyDescent="0.25">
      <c r="A24" s="102" t="s">
        <v>224</v>
      </c>
      <c r="B24" s="109">
        <v>14</v>
      </c>
      <c r="C24" s="110" t="s">
        <v>177</v>
      </c>
      <c r="D24" s="111" t="s">
        <v>149</v>
      </c>
      <c r="E24" s="112" t="s">
        <v>178</v>
      </c>
      <c r="F24" s="113">
        <v>8500</v>
      </c>
      <c r="G24" s="114" t="s">
        <v>152</v>
      </c>
      <c r="H24" s="114" t="s">
        <v>224</v>
      </c>
    </row>
    <row r="25" spans="1:8" ht="27.75" customHeight="1" x14ac:dyDescent="0.25">
      <c r="A25" s="101" t="s">
        <v>224</v>
      </c>
      <c r="B25" s="104">
        <v>15</v>
      </c>
      <c r="C25" s="105" t="s">
        <v>179</v>
      </c>
      <c r="D25" s="106" t="s">
        <v>110</v>
      </c>
      <c r="E25" s="107" t="s">
        <v>180</v>
      </c>
      <c r="F25" s="108">
        <v>36780.25</v>
      </c>
      <c r="G25" s="104" t="s">
        <v>152</v>
      </c>
      <c r="H25" s="104" t="s">
        <v>224</v>
      </c>
    </row>
    <row r="26" spans="1:8" ht="27.75" customHeight="1" x14ac:dyDescent="0.25">
      <c r="A26" s="101"/>
      <c r="B26" s="104"/>
      <c r="C26" s="105"/>
      <c r="D26" s="106"/>
      <c r="E26" s="107"/>
      <c r="F26" s="108"/>
      <c r="G26" s="104"/>
      <c r="H26" s="104"/>
    </row>
    <row r="27" spans="1:8" ht="27.75" customHeight="1" x14ac:dyDescent="0.25">
      <c r="A27" s="101"/>
      <c r="B27" s="104"/>
      <c r="C27" s="105"/>
      <c r="D27" s="106"/>
      <c r="E27" s="107"/>
      <c r="F27" s="108"/>
      <c r="G27" s="104"/>
      <c r="H27" s="104"/>
    </row>
    <row r="28" spans="1:8" ht="27.75" customHeight="1" x14ac:dyDescent="0.25">
      <c r="A28" s="101"/>
      <c r="B28" s="104"/>
      <c r="C28" s="105"/>
      <c r="D28" s="106"/>
      <c r="E28" s="107"/>
      <c r="F28" s="108"/>
      <c r="G28" s="104"/>
      <c r="H28" s="104"/>
    </row>
    <row r="29" spans="1:8" ht="45" customHeight="1" x14ac:dyDescent="0.25">
      <c r="A29" s="101"/>
      <c r="B29" s="104"/>
      <c r="C29" s="105"/>
      <c r="D29" s="106"/>
      <c r="E29" s="107"/>
      <c r="F29" s="108"/>
      <c r="G29" s="104"/>
      <c r="H29" s="104"/>
    </row>
    <row r="30" spans="1:8" ht="41.25" customHeight="1" x14ac:dyDescent="0.25">
      <c r="A30" s="102" t="s">
        <v>223</v>
      </c>
      <c r="B30" s="109">
        <v>16</v>
      </c>
      <c r="C30" s="110" t="s">
        <v>181</v>
      </c>
      <c r="D30" s="111" t="s">
        <v>151</v>
      </c>
      <c r="E30" s="112" t="s">
        <v>182</v>
      </c>
      <c r="F30" s="113">
        <v>154158.57</v>
      </c>
      <c r="G30" s="114" t="s">
        <v>94</v>
      </c>
      <c r="H30" s="114" t="s">
        <v>223</v>
      </c>
    </row>
    <row r="31" spans="1:8" ht="61.5" customHeight="1" x14ac:dyDescent="0.25">
      <c r="A31" s="101" t="s">
        <v>225</v>
      </c>
      <c r="B31" s="104">
        <v>17</v>
      </c>
      <c r="C31" s="105" t="s">
        <v>183</v>
      </c>
      <c r="D31" s="106" t="s">
        <v>149</v>
      </c>
      <c r="E31" s="107" t="s">
        <v>184</v>
      </c>
      <c r="F31" s="108">
        <v>1700000</v>
      </c>
      <c r="G31" s="104" t="s">
        <v>152</v>
      </c>
      <c r="H31" s="104" t="s">
        <v>225</v>
      </c>
    </row>
    <row r="32" spans="1:8" ht="41.25" customHeight="1" x14ac:dyDescent="0.25">
      <c r="A32" s="102" t="s">
        <v>223</v>
      </c>
      <c r="B32" s="109">
        <v>18</v>
      </c>
      <c r="C32" s="110" t="s">
        <v>185</v>
      </c>
      <c r="D32" s="111" t="s">
        <v>186</v>
      </c>
      <c r="E32" s="112" t="s">
        <v>187</v>
      </c>
      <c r="F32" s="113">
        <v>1000</v>
      </c>
      <c r="G32" s="114" t="s">
        <v>94</v>
      </c>
      <c r="H32" s="114" t="s">
        <v>223</v>
      </c>
    </row>
    <row r="33" spans="1:8" ht="41.25" customHeight="1" x14ac:dyDescent="0.25">
      <c r="A33" s="101" t="s">
        <v>224</v>
      </c>
      <c r="B33" s="104">
        <v>19</v>
      </c>
      <c r="C33" s="105" t="s">
        <v>188</v>
      </c>
      <c r="D33" s="106" t="s">
        <v>147</v>
      </c>
      <c r="E33" s="107" t="s">
        <v>189</v>
      </c>
      <c r="F33" s="108">
        <v>10000</v>
      </c>
      <c r="G33" s="104" t="s">
        <v>152</v>
      </c>
      <c r="H33" s="104" t="s">
        <v>224</v>
      </c>
    </row>
    <row r="34" spans="1:8" ht="41.25" customHeight="1" x14ac:dyDescent="0.25">
      <c r="A34" s="102" t="s">
        <v>223</v>
      </c>
      <c r="B34" s="109">
        <v>20</v>
      </c>
      <c r="C34" s="110" t="s">
        <v>190</v>
      </c>
      <c r="D34" s="111" t="s">
        <v>147</v>
      </c>
      <c r="E34" s="112" t="s">
        <v>191</v>
      </c>
      <c r="F34" s="113">
        <v>15000</v>
      </c>
      <c r="G34" s="114" t="s">
        <v>94</v>
      </c>
      <c r="H34" s="114" t="s">
        <v>223</v>
      </c>
    </row>
    <row r="35" spans="1:8" ht="41.25" customHeight="1" x14ac:dyDescent="0.25">
      <c r="A35" s="101" t="s">
        <v>223</v>
      </c>
      <c r="B35" s="104">
        <v>21</v>
      </c>
      <c r="C35" s="105" t="s">
        <v>192</v>
      </c>
      <c r="D35" s="106" t="s">
        <v>147</v>
      </c>
      <c r="E35" s="107" t="s">
        <v>193</v>
      </c>
      <c r="F35" s="108">
        <v>35914</v>
      </c>
      <c r="G35" s="104" t="s">
        <v>94</v>
      </c>
      <c r="H35" s="104" t="s">
        <v>223</v>
      </c>
    </row>
    <row r="36" spans="1:8" ht="41.25" customHeight="1" x14ac:dyDescent="0.25">
      <c r="A36" s="102" t="s">
        <v>223</v>
      </c>
      <c r="B36" s="109">
        <v>22</v>
      </c>
      <c r="C36" s="110" t="s">
        <v>194</v>
      </c>
      <c r="D36" s="111" t="s">
        <v>149</v>
      </c>
      <c r="E36" s="112" t="s">
        <v>195</v>
      </c>
      <c r="F36" s="113">
        <v>2100</v>
      </c>
      <c r="G36" s="114" t="s">
        <v>152</v>
      </c>
      <c r="H36" s="114" t="s">
        <v>223</v>
      </c>
    </row>
    <row r="37" spans="1:8" ht="41.25" customHeight="1" x14ac:dyDescent="0.25">
      <c r="A37" s="101" t="s">
        <v>223</v>
      </c>
      <c r="B37" s="104">
        <v>23</v>
      </c>
      <c r="C37" s="105" t="s">
        <v>196</v>
      </c>
      <c r="D37" s="106" t="s">
        <v>149</v>
      </c>
      <c r="E37" s="107" t="s">
        <v>197</v>
      </c>
      <c r="F37" s="108">
        <v>49300</v>
      </c>
      <c r="G37" s="104" t="s">
        <v>152</v>
      </c>
      <c r="H37" s="104" t="s">
        <v>223</v>
      </c>
    </row>
    <row r="38" spans="1:8" ht="41.25" customHeight="1" x14ac:dyDescent="0.25">
      <c r="A38" s="102" t="s">
        <v>223</v>
      </c>
      <c r="B38" s="109">
        <v>24</v>
      </c>
      <c r="C38" s="110" t="s">
        <v>198</v>
      </c>
      <c r="D38" s="111" t="s">
        <v>106</v>
      </c>
      <c r="E38" s="112" t="s">
        <v>199</v>
      </c>
      <c r="F38" s="113">
        <v>3960</v>
      </c>
      <c r="G38" s="114" t="s">
        <v>94</v>
      </c>
      <c r="H38" s="114" t="s">
        <v>223</v>
      </c>
    </row>
    <row r="39" spans="1:8" ht="41.25" customHeight="1" x14ac:dyDescent="0.25">
      <c r="A39" s="101" t="s">
        <v>223</v>
      </c>
      <c r="B39" s="104">
        <v>25</v>
      </c>
      <c r="C39" s="105" t="s">
        <v>200</v>
      </c>
      <c r="D39" s="106" t="s">
        <v>131</v>
      </c>
      <c r="E39" s="107" t="s">
        <v>201</v>
      </c>
      <c r="F39" s="108">
        <v>1500</v>
      </c>
      <c r="G39" s="104" t="s">
        <v>152</v>
      </c>
      <c r="H39" s="104" t="s">
        <v>223</v>
      </c>
    </row>
    <row r="40" spans="1:8" ht="41.25" customHeight="1" x14ac:dyDescent="0.25">
      <c r="A40" s="102" t="s">
        <v>224</v>
      </c>
      <c r="B40" s="109">
        <v>26</v>
      </c>
      <c r="C40" s="110" t="s">
        <v>202</v>
      </c>
      <c r="D40" s="111" t="s">
        <v>131</v>
      </c>
      <c r="E40" s="112" t="s">
        <v>203</v>
      </c>
      <c r="F40" s="113">
        <v>200</v>
      </c>
      <c r="G40" s="114" t="s">
        <v>152</v>
      </c>
      <c r="H40" s="114" t="s">
        <v>224</v>
      </c>
    </row>
    <row r="41" spans="1:8" ht="41.25" customHeight="1" x14ac:dyDescent="0.25">
      <c r="A41" s="101" t="s">
        <v>223</v>
      </c>
      <c r="B41" s="104">
        <v>27</v>
      </c>
      <c r="C41" s="105" t="s">
        <v>204</v>
      </c>
      <c r="D41" s="106" t="s">
        <v>149</v>
      </c>
      <c r="E41" s="107" t="s">
        <v>205</v>
      </c>
      <c r="F41" s="108">
        <v>3600</v>
      </c>
      <c r="G41" s="104" t="s">
        <v>94</v>
      </c>
      <c r="H41" s="104" t="s">
        <v>223</v>
      </c>
    </row>
    <row r="42" spans="1:8" ht="41.25" customHeight="1" x14ac:dyDescent="0.25">
      <c r="A42" s="102" t="s">
        <v>223</v>
      </c>
      <c r="B42" s="109">
        <v>28</v>
      </c>
      <c r="C42" s="110" t="s">
        <v>206</v>
      </c>
      <c r="D42" s="111" t="s">
        <v>149</v>
      </c>
      <c r="E42" s="112" t="s">
        <v>207</v>
      </c>
      <c r="F42" s="113">
        <v>2000</v>
      </c>
      <c r="G42" s="114" t="s">
        <v>94</v>
      </c>
      <c r="H42" s="114" t="s">
        <v>223</v>
      </c>
    </row>
    <row r="43" spans="1:8" ht="41.25" customHeight="1" x14ac:dyDescent="0.25">
      <c r="A43" s="101" t="s">
        <v>224</v>
      </c>
      <c r="B43" s="104">
        <v>29</v>
      </c>
      <c r="C43" s="105" t="s">
        <v>208</v>
      </c>
      <c r="D43" s="106" t="s">
        <v>131</v>
      </c>
      <c r="E43" s="107" t="s">
        <v>209</v>
      </c>
      <c r="F43" s="108">
        <v>3000</v>
      </c>
      <c r="G43" s="104" t="s">
        <v>152</v>
      </c>
      <c r="H43" s="104" t="s">
        <v>224</v>
      </c>
    </row>
    <row r="44" spans="1:8" ht="41.25" customHeight="1" x14ac:dyDescent="0.25">
      <c r="A44" s="102" t="s">
        <v>224</v>
      </c>
      <c r="B44" s="109">
        <v>30</v>
      </c>
      <c r="C44" s="110" t="s">
        <v>210</v>
      </c>
      <c r="D44" s="111" t="s">
        <v>151</v>
      </c>
      <c r="E44" s="112" t="s">
        <v>211</v>
      </c>
      <c r="F44" s="113">
        <v>315000</v>
      </c>
      <c r="G44" s="114" t="s">
        <v>152</v>
      </c>
      <c r="H44" s="114" t="s">
        <v>224</v>
      </c>
    </row>
    <row r="45" spans="1:8" ht="41.25" customHeight="1" x14ac:dyDescent="0.25">
      <c r="A45" s="101" t="s">
        <v>223</v>
      </c>
      <c r="B45" s="104">
        <v>31</v>
      </c>
      <c r="C45" s="105" t="s">
        <v>212</v>
      </c>
      <c r="D45" s="106" t="s">
        <v>147</v>
      </c>
      <c r="E45" s="107" t="s">
        <v>213</v>
      </c>
      <c r="F45" s="108">
        <v>2100</v>
      </c>
      <c r="G45" s="104" t="s">
        <v>94</v>
      </c>
      <c r="H45" s="104" t="s">
        <v>223</v>
      </c>
    </row>
    <row r="46" spans="1:8" ht="41.25" customHeight="1" x14ac:dyDescent="0.25">
      <c r="A46" s="101"/>
      <c r="B46" s="104"/>
      <c r="C46" s="105"/>
      <c r="D46" s="106"/>
      <c r="E46" s="107"/>
      <c r="F46" s="108"/>
      <c r="G46" s="104"/>
      <c r="H46" s="104"/>
    </row>
    <row r="47" spans="1:8" ht="59.25" customHeight="1" x14ac:dyDescent="0.25">
      <c r="A47" s="101"/>
      <c r="B47" s="104"/>
      <c r="C47" s="105"/>
      <c r="D47" s="106"/>
      <c r="E47" s="107"/>
      <c r="F47" s="108"/>
      <c r="G47" s="104"/>
      <c r="H47" s="104"/>
    </row>
    <row r="48" spans="1:8" ht="41.25" customHeight="1" x14ac:dyDescent="0.25">
      <c r="A48" s="102" t="s">
        <v>223</v>
      </c>
      <c r="B48" s="109">
        <v>32</v>
      </c>
      <c r="C48" s="110" t="s">
        <v>214</v>
      </c>
      <c r="D48" s="111" t="s">
        <v>215</v>
      </c>
      <c r="E48" s="112" t="s">
        <v>216</v>
      </c>
      <c r="F48" s="113">
        <v>42000</v>
      </c>
      <c r="G48" s="114" t="s">
        <v>94</v>
      </c>
      <c r="H48" s="114" t="s">
        <v>223</v>
      </c>
    </row>
    <row r="49" spans="1:8" ht="43.5" customHeight="1" x14ac:dyDescent="0.25">
      <c r="A49" s="101" t="s">
        <v>223</v>
      </c>
      <c r="B49" s="104">
        <v>33</v>
      </c>
      <c r="C49" s="105" t="s">
        <v>217</v>
      </c>
      <c r="D49" s="106" t="s">
        <v>151</v>
      </c>
      <c r="E49" s="107" t="s">
        <v>218</v>
      </c>
      <c r="F49" s="108">
        <v>30000</v>
      </c>
      <c r="G49" s="104" t="s">
        <v>152</v>
      </c>
      <c r="H49" s="104" t="s">
        <v>223</v>
      </c>
    </row>
    <row r="50" spans="1:8" ht="41.25" customHeight="1" x14ac:dyDescent="0.25">
      <c r="A50" s="102" t="s">
        <v>223</v>
      </c>
      <c r="B50" s="109">
        <v>34</v>
      </c>
      <c r="C50" s="110" t="s">
        <v>219</v>
      </c>
      <c r="D50" s="111" t="s">
        <v>106</v>
      </c>
      <c r="E50" s="112" t="s">
        <v>220</v>
      </c>
      <c r="F50" s="113">
        <v>10000</v>
      </c>
      <c r="G50" s="114" t="s">
        <v>94</v>
      </c>
      <c r="H50" s="114" t="s">
        <v>223</v>
      </c>
    </row>
    <row r="51" spans="1:8" ht="41.25" customHeight="1" x14ac:dyDescent="0.25">
      <c r="A51" s="101" t="s">
        <v>223</v>
      </c>
      <c r="B51" s="104">
        <v>35</v>
      </c>
      <c r="C51" s="105" t="s">
        <v>237</v>
      </c>
      <c r="D51" s="106" t="s">
        <v>106</v>
      </c>
      <c r="E51" s="107"/>
      <c r="F51" s="108">
        <v>124.99</v>
      </c>
      <c r="G51" s="104" t="s">
        <v>94</v>
      </c>
      <c r="H51" s="104" t="s">
        <v>223</v>
      </c>
    </row>
    <row r="52" spans="1:8" ht="79.5" customHeight="1" x14ac:dyDescent="0.25">
      <c r="A52" s="102" t="s">
        <v>224</v>
      </c>
      <c r="B52" s="109">
        <v>36</v>
      </c>
      <c r="C52" s="110" t="s">
        <v>238</v>
      </c>
      <c r="D52" s="111" t="s">
        <v>239</v>
      </c>
      <c r="E52" s="112"/>
      <c r="F52" s="113">
        <v>8850</v>
      </c>
      <c r="G52" s="114" t="s">
        <v>94</v>
      </c>
      <c r="H52" s="114" t="s">
        <v>225</v>
      </c>
    </row>
    <row r="53" spans="1:8" ht="42.75" customHeight="1" x14ac:dyDescent="0.25">
      <c r="A53" s="101" t="s">
        <v>225</v>
      </c>
      <c r="B53" s="104">
        <v>37</v>
      </c>
      <c r="C53" s="105" t="s">
        <v>240</v>
      </c>
      <c r="D53" s="106" t="s">
        <v>241</v>
      </c>
      <c r="E53" s="107"/>
      <c r="F53" s="108">
        <v>5000</v>
      </c>
      <c r="G53" s="104" t="s">
        <v>152</v>
      </c>
      <c r="H53" s="104" t="s">
        <v>225</v>
      </c>
    </row>
    <row r="54" spans="1:8" ht="42.75" customHeight="1" x14ac:dyDescent="0.25">
      <c r="A54" s="102" t="s">
        <v>223</v>
      </c>
      <c r="B54" s="109">
        <v>38</v>
      </c>
      <c r="C54" s="110" t="s">
        <v>242</v>
      </c>
      <c r="D54" s="111" t="s">
        <v>149</v>
      </c>
      <c r="E54" s="112"/>
      <c r="F54" s="113">
        <v>37779.65</v>
      </c>
      <c r="G54" s="114" t="s">
        <v>152</v>
      </c>
      <c r="H54" s="114" t="s">
        <v>223</v>
      </c>
    </row>
    <row r="55" spans="1:8" ht="42.75" customHeight="1" x14ac:dyDescent="0.25">
      <c r="A55" s="101"/>
      <c r="B55" s="104"/>
      <c r="C55" s="105"/>
      <c r="D55" s="106"/>
      <c r="E55" s="107"/>
      <c r="F55" s="108"/>
      <c r="G55" s="104"/>
      <c r="H55" s="104"/>
    </row>
    <row r="56" spans="1:8" ht="42.75" customHeight="1" x14ac:dyDescent="0.25">
      <c r="B56" s="66"/>
      <c r="C56" s="66"/>
      <c r="D56" s="66"/>
      <c r="F56" s="66"/>
    </row>
    <row r="57" spans="1:8" ht="42.75" customHeight="1" x14ac:dyDescent="0.25">
      <c r="B57" s="66"/>
      <c r="C57" s="66"/>
      <c r="D57" s="66"/>
      <c r="F57" s="66"/>
    </row>
    <row r="58" spans="1:8" ht="42.75" customHeight="1" x14ac:dyDescent="0.25">
      <c r="B58" s="66"/>
      <c r="C58" s="66"/>
      <c r="D58" s="66"/>
      <c r="F58" s="66"/>
    </row>
    <row r="59" spans="1:8" ht="42.75" customHeight="1" x14ac:dyDescent="0.25">
      <c r="B59" s="66"/>
      <c r="C59" s="66"/>
      <c r="D59" s="66"/>
      <c r="F59" s="66"/>
    </row>
    <row r="60" spans="1:8" ht="42.75" customHeight="1" x14ac:dyDescent="0.25">
      <c r="B60" s="66"/>
      <c r="C60" s="66"/>
      <c r="D60" s="66"/>
      <c r="F60" s="66"/>
    </row>
    <row r="61" spans="1:8" x14ac:dyDescent="0.25">
      <c r="A61" s="101"/>
      <c r="B61" s="104"/>
      <c r="C61" s="105"/>
      <c r="D61" s="106"/>
      <c r="E61" s="107"/>
      <c r="F61" s="108"/>
      <c r="G61" s="104"/>
      <c r="H61" s="104"/>
    </row>
  </sheetData>
  <autoFilter ref="A10:H56" xr:uid="{5DBEF420-32A5-46D7-9B99-F91168911353}">
    <sortState ref="A11:H56">
      <sortCondition ref="B10:B56"/>
    </sortState>
  </autoFilter>
  <mergeCells count="1">
    <mergeCell ref="B7:H8"/>
  </mergeCells>
  <pageMargins left="0.31862745098039214" right="0.14705882352941177" top="0.34313725490196079" bottom="0.47794117647058826" header="0.31496062000000002" footer="0.31496062000000002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8DFA-9618-43ED-802B-8643010D3A69}">
  <dimension ref="B4:M40"/>
  <sheetViews>
    <sheetView showGridLines="0" topLeftCell="A19" workbookViewId="0">
      <selection activeCell="I50" sqref="I50"/>
    </sheetView>
  </sheetViews>
  <sheetFormatPr defaultRowHeight="15" x14ac:dyDescent="0.25"/>
  <cols>
    <col min="2" max="2" width="14.42578125" bestFit="1" customWidth="1"/>
    <col min="3" max="3" width="17.7109375" customWidth="1"/>
    <col min="6" max="6" width="30.85546875" style="71" customWidth="1"/>
    <col min="9" max="9" width="19" customWidth="1"/>
    <col min="10" max="12" width="29.42578125" customWidth="1"/>
  </cols>
  <sheetData>
    <row r="4" spans="2:6" x14ac:dyDescent="0.25">
      <c r="B4" s="71"/>
    </row>
    <row r="5" spans="2:6" x14ac:dyDescent="0.25">
      <c r="B5" s="89" t="s">
        <v>226</v>
      </c>
      <c r="C5" s="89"/>
    </row>
    <row r="6" spans="2:6" x14ac:dyDescent="0.25">
      <c r="B6" s="72" t="s">
        <v>223</v>
      </c>
      <c r="C6">
        <f>COUNTIF('PAC - Novas Aquisições'!H:H,'PAC - Novas Aquisições (saldos)'!B6)</f>
        <v>21</v>
      </c>
    </row>
    <row r="7" spans="2:6" x14ac:dyDescent="0.25">
      <c r="B7" s="72" t="s">
        <v>224</v>
      </c>
      <c r="C7">
        <f>COUNTIF('PAC - Novas Aquisições'!H:H,'PAC - Novas Aquisições (saldos)'!B7)</f>
        <v>13</v>
      </c>
    </row>
    <row r="8" spans="2:6" x14ac:dyDescent="0.25">
      <c r="B8" s="73" t="s">
        <v>225</v>
      </c>
      <c r="C8" s="74">
        <f>COUNTIF('PAC - Novas Aquisições'!H:H,'PAC - Novas Aquisições (saldos)'!B8)</f>
        <v>4</v>
      </c>
    </row>
    <row r="9" spans="2:6" x14ac:dyDescent="0.25">
      <c r="B9" s="72" t="s">
        <v>227</v>
      </c>
      <c r="C9" s="22">
        <f>SUM(C6:C8)</f>
        <v>38</v>
      </c>
    </row>
    <row r="10" spans="2:6" x14ac:dyDescent="0.25">
      <c r="F10" s="2"/>
    </row>
    <row r="11" spans="2:6" x14ac:dyDescent="0.25">
      <c r="F11" s="2"/>
    </row>
    <row r="12" spans="2:6" x14ac:dyDescent="0.25">
      <c r="F12" s="2"/>
    </row>
    <row r="13" spans="2:6" x14ac:dyDescent="0.25">
      <c r="F13" s="2"/>
    </row>
    <row r="14" spans="2:6" x14ac:dyDescent="0.25">
      <c r="F14" s="2"/>
    </row>
    <row r="15" spans="2:6" x14ac:dyDescent="0.25">
      <c r="F15" s="2"/>
    </row>
    <row r="16" spans="2:6" x14ac:dyDescent="0.25">
      <c r="F16" s="2"/>
    </row>
    <row r="17" spans="2:13" x14ac:dyDescent="0.25">
      <c r="F17" s="2"/>
    </row>
    <row r="18" spans="2:13" x14ac:dyDescent="0.25">
      <c r="F18" s="2"/>
    </row>
    <row r="19" spans="2:13" x14ac:dyDescent="0.25">
      <c r="F19" s="2"/>
    </row>
    <row r="20" spans="2:13" x14ac:dyDescent="0.25">
      <c r="F20" s="2"/>
    </row>
    <row r="21" spans="2:13" x14ac:dyDescent="0.25">
      <c r="F21" s="2"/>
    </row>
    <row r="22" spans="2:13" x14ac:dyDescent="0.25">
      <c r="F22" s="2"/>
    </row>
    <row r="23" spans="2:13" x14ac:dyDescent="0.25">
      <c r="F23" s="2"/>
    </row>
    <row r="24" spans="2:13" x14ac:dyDescent="0.25">
      <c r="F24" s="2"/>
    </row>
    <row r="25" spans="2:13" x14ac:dyDescent="0.25">
      <c r="F25" s="2"/>
    </row>
    <row r="26" spans="2:13" ht="15" customHeight="1" x14ac:dyDescent="0.25">
      <c r="B26" s="89" t="s">
        <v>226</v>
      </c>
      <c r="C26" s="89"/>
      <c r="D26" s="89"/>
      <c r="F26" s="2"/>
    </row>
    <row r="27" spans="2:13" x14ac:dyDescent="0.25">
      <c r="B27" s="72" t="s">
        <v>223</v>
      </c>
      <c r="C27" s="1">
        <f ca="1">SUMIF('PAC - Novas Aquisições'!A:F,'PAC - Novas Aquisições (saldos)'!B27,'PAC - Novas Aquisições'!F:F)</f>
        <v>9280139.2100000009</v>
      </c>
      <c r="D27" s="9">
        <f ca="1">C27/$C$30</f>
        <v>0.80890218171452721</v>
      </c>
      <c r="F27" s="2"/>
    </row>
    <row r="28" spans="2:13" x14ac:dyDescent="0.25">
      <c r="B28" s="72" t="s">
        <v>224</v>
      </c>
      <c r="C28" s="1">
        <f ca="1">SUMIF('PAC - Novas Aquisições'!A:F,'PAC - Novas Aquisições (saldos)'!B28,'PAC - Novas Aquisições'!F:F)</f>
        <v>460371.83</v>
      </c>
      <c r="D28" s="9">
        <f t="shared" ref="D28:D29" ca="1" si="0">C28/$C$30</f>
        <v>4.012825338715037E-2</v>
      </c>
      <c r="F28" s="2"/>
    </row>
    <row r="29" spans="2:13" x14ac:dyDescent="0.25">
      <c r="B29" s="73" t="s">
        <v>225</v>
      </c>
      <c r="C29" s="75">
        <f ca="1">SUMIF('PAC - Novas Aquisições'!A:F,'PAC - Novas Aquisições (saldos)'!B29,'PAC - Novas Aquisições'!F:F)</f>
        <v>1732000</v>
      </c>
      <c r="D29" s="9">
        <f t="shared" ca="1" si="0"/>
        <v>0.15096956489832236</v>
      </c>
      <c r="F29" s="2"/>
    </row>
    <row r="30" spans="2:13" x14ac:dyDescent="0.25">
      <c r="C30" s="28">
        <f ca="1">SUM(C27:C29)</f>
        <v>11472511.040000001</v>
      </c>
      <c r="F30" s="2"/>
    </row>
    <row r="31" spans="2:13" x14ac:dyDescent="0.25">
      <c r="F31" s="2"/>
      <c r="I31" s="90" t="s">
        <v>233</v>
      </c>
      <c r="J31" s="90"/>
      <c r="K31" s="90"/>
      <c r="L31" s="90"/>
      <c r="M31" s="90"/>
    </row>
    <row r="32" spans="2:13" x14ac:dyDescent="0.25">
      <c r="F32" s="2"/>
      <c r="I32" s="80"/>
      <c r="J32" s="79" t="s">
        <v>230</v>
      </c>
      <c r="K32" s="79" t="s">
        <v>231</v>
      </c>
      <c r="L32" s="79" t="s">
        <v>232</v>
      </c>
      <c r="M32" s="87" t="s">
        <v>227</v>
      </c>
    </row>
    <row r="33" spans="2:13" ht="19.5" customHeight="1" x14ac:dyDescent="0.25">
      <c r="F33" s="2"/>
      <c r="I33" s="81" t="s">
        <v>223</v>
      </c>
      <c r="J33" s="13">
        <v>15</v>
      </c>
      <c r="K33" s="13">
        <v>6</v>
      </c>
      <c r="L33" s="13">
        <v>0</v>
      </c>
      <c r="M33" s="116">
        <f>SUM(J33:L33)</f>
        <v>21</v>
      </c>
    </row>
    <row r="34" spans="2:13" ht="19.5" customHeight="1" x14ac:dyDescent="0.25">
      <c r="F34" s="2"/>
      <c r="I34" s="81" t="s">
        <v>225</v>
      </c>
      <c r="J34" s="78">
        <v>2</v>
      </c>
      <c r="K34" s="78">
        <v>2</v>
      </c>
      <c r="L34" s="78"/>
      <c r="M34" s="116">
        <f t="shared" ref="M34:M35" si="1">SUM(J34:L34)</f>
        <v>4</v>
      </c>
    </row>
    <row r="35" spans="2:13" ht="19.5" customHeight="1" x14ac:dyDescent="0.25">
      <c r="F35" s="2"/>
      <c r="I35" s="81" t="s">
        <v>224</v>
      </c>
      <c r="J35" s="78">
        <v>1</v>
      </c>
      <c r="K35" s="78">
        <v>7</v>
      </c>
      <c r="L35" s="78">
        <v>5</v>
      </c>
      <c r="M35" s="116">
        <f t="shared" si="1"/>
        <v>13</v>
      </c>
    </row>
    <row r="36" spans="2:13" x14ac:dyDescent="0.25">
      <c r="B36" s="89" t="s">
        <v>226</v>
      </c>
      <c r="C36" s="89"/>
      <c r="D36" s="89"/>
      <c r="F36" s="2"/>
      <c r="I36" s="81" t="s">
        <v>227</v>
      </c>
      <c r="J36" s="116">
        <f>SUM(J33:J35)</f>
        <v>18</v>
      </c>
      <c r="K36" s="116">
        <f t="shared" ref="K36:L36" si="2">SUM(K33:K35)</f>
        <v>15</v>
      </c>
      <c r="L36" s="116">
        <f t="shared" si="2"/>
        <v>5</v>
      </c>
      <c r="M36" s="86">
        <v>38</v>
      </c>
    </row>
    <row r="37" spans="2:13" x14ac:dyDescent="0.25">
      <c r="B37" s="72" t="s">
        <v>223</v>
      </c>
      <c r="C37" s="1">
        <f ca="1">SUMIF('PAC - Novas Aquisições'!A:F,'PAC - Novas Aquisições (saldos)'!B37,'PAC - Novas Aquisições'!F:F)-8500000</f>
        <v>780139.21000000089</v>
      </c>
      <c r="D37" s="9">
        <f ca="1">C37/$C$40</f>
        <v>0.26245124055115387</v>
      </c>
      <c r="F37" s="2"/>
    </row>
    <row r="38" spans="2:13" x14ac:dyDescent="0.25">
      <c r="B38" s="72" t="s">
        <v>224</v>
      </c>
      <c r="C38" s="1">
        <f ca="1">SUMIF('PAC - Novas Aquisições'!A:F,'PAC - Novas Aquisições (saldos)'!B38,'PAC - Novas Aquisições'!F:F)</f>
        <v>460371.83</v>
      </c>
      <c r="D38" s="9">
        <f t="shared" ref="D38:D39" ca="1" si="3">C38/$C$40</f>
        <v>0.15487640712008924</v>
      </c>
      <c r="F38" s="2"/>
    </row>
    <row r="39" spans="2:13" x14ac:dyDescent="0.25">
      <c r="B39" s="73" t="s">
        <v>225</v>
      </c>
      <c r="C39" s="75">
        <f ca="1">SUMIF('PAC - Novas Aquisições'!A:F,'PAC - Novas Aquisições (saldos)'!B39,'PAC - Novas Aquisições'!F:F)</f>
        <v>1732000</v>
      </c>
      <c r="D39" s="9">
        <f t="shared" ca="1" si="3"/>
        <v>0.5826723523287568</v>
      </c>
      <c r="F39" s="2"/>
    </row>
    <row r="40" spans="2:13" x14ac:dyDescent="0.25">
      <c r="C40" s="28">
        <f ca="1">SUM(C37:C39)</f>
        <v>2972511.040000001</v>
      </c>
    </row>
  </sheetData>
  <mergeCells count="4">
    <mergeCell ref="B5:C5"/>
    <mergeCell ref="B26:D26"/>
    <mergeCell ref="B36:D36"/>
    <mergeCell ref="I31:M3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6B78-75C4-4AA0-971B-0E014BEB4ECB}">
  <dimension ref="A6:K55"/>
  <sheetViews>
    <sheetView view="pageLayout" zoomScaleNormal="100" workbookViewId="0">
      <selection activeCell="N10" sqref="N10"/>
    </sheetView>
  </sheetViews>
  <sheetFormatPr defaultRowHeight="15" x14ac:dyDescent="0.25"/>
  <cols>
    <col min="1" max="1" width="9.140625" customWidth="1"/>
    <col min="7" max="7" width="6.7109375" customWidth="1"/>
    <col min="11" max="11" width="7.7109375" customWidth="1"/>
    <col min="12" max="12" width="9.140625" customWidth="1"/>
  </cols>
  <sheetData>
    <row r="6" spans="1:11" ht="4.5" customHeight="1" x14ac:dyDescent="0.25"/>
    <row r="7" spans="1:11" x14ac:dyDescent="0.25">
      <c r="A7" s="93" t="s">
        <v>228</v>
      </c>
      <c r="B7" s="93"/>
      <c r="C7" s="93"/>
      <c r="D7" s="93"/>
      <c r="E7" s="93"/>
      <c r="F7" s="93"/>
      <c r="G7" s="93"/>
      <c r="H7" s="93"/>
      <c r="I7" s="93"/>
      <c r="J7" s="93"/>
      <c r="K7" s="93"/>
    </row>
    <row r="8" spans="1:11" x14ac:dyDescent="0.25">
      <c r="A8" s="93"/>
      <c r="B8" s="93"/>
      <c r="C8" s="93"/>
      <c r="D8" s="93"/>
      <c r="E8" s="93"/>
      <c r="F8" s="93"/>
      <c r="G8" s="93"/>
      <c r="H8" s="93"/>
      <c r="I8" s="93"/>
      <c r="J8" s="93"/>
      <c r="K8" s="93"/>
    </row>
    <row r="9" spans="1:11" x14ac:dyDescent="0.25">
      <c r="A9" s="94" t="s">
        <v>229</v>
      </c>
      <c r="B9" s="94"/>
      <c r="C9" s="94"/>
      <c r="D9" s="94"/>
      <c r="E9" s="94"/>
      <c r="F9" s="94"/>
      <c r="G9" s="94"/>
      <c r="H9" s="94"/>
      <c r="I9" s="77"/>
      <c r="J9" s="77"/>
      <c r="K9" s="77"/>
    </row>
    <row r="10" spans="1:11" x14ac:dyDescent="0.25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</row>
    <row r="11" spans="1:11" x14ac:dyDescent="0.25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</row>
    <row r="12" spans="1:11" x14ac:dyDescent="0.25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</row>
    <row r="13" spans="1:11" x14ac:dyDescent="0.25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pans="1:11" x14ac:dyDescent="0.25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</row>
    <row r="15" spans="1:11" x14ac:dyDescent="0.25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</row>
    <row r="16" spans="1:11" x14ac:dyDescent="0.25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</row>
    <row r="17" spans="1:11" x14ac:dyDescent="0.25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</row>
    <row r="18" spans="1:11" x14ac:dyDescent="0.25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</row>
    <row r="19" spans="1:11" x14ac:dyDescent="0.25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</row>
    <row r="20" spans="1:11" x14ac:dyDescent="0.25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</row>
    <row r="21" spans="1:11" x14ac:dyDescent="0.25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</row>
    <row r="22" spans="1:11" x14ac:dyDescent="0.25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</row>
    <row r="23" spans="1:11" x14ac:dyDescent="0.25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</row>
    <row r="24" spans="1:11" x14ac:dyDescent="0.25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</row>
    <row r="25" spans="1:11" x14ac:dyDescent="0.25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</row>
    <row r="26" spans="1:11" x14ac:dyDescent="0.25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</row>
    <row r="27" spans="1:11" x14ac:dyDescent="0.25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</row>
    <row r="28" spans="1:11" x14ac:dyDescent="0.25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</row>
    <row r="29" spans="1:11" x14ac:dyDescent="0.25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</row>
    <row r="30" spans="1:11" x14ac:dyDescent="0.25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</row>
    <row r="31" spans="1:11" x14ac:dyDescent="0.25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</row>
    <row r="32" spans="1:11" x14ac:dyDescent="0.25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</row>
    <row r="33" spans="1:11" x14ac:dyDescent="0.25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</row>
    <row r="34" spans="1:11" x14ac:dyDescent="0.25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</row>
    <row r="35" spans="1:11" x14ac:dyDescent="0.25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</row>
    <row r="36" spans="1:11" x14ac:dyDescent="0.25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</row>
    <row r="37" spans="1:11" x14ac:dyDescent="0.25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</row>
    <row r="38" spans="1:11" x14ac:dyDescent="0.25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</row>
    <row r="39" spans="1:11" x14ac:dyDescent="0.25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</row>
    <row r="40" spans="1:11" x14ac:dyDescent="0.25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</row>
    <row r="41" spans="1:11" x14ac:dyDescent="0.25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</row>
    <row r="42" spans="1:11" x14ac:dyDescent="0.25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</row>
    <row r="43" spans="1:11" x14ac:dyDescent="0.25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</row>
    <row r="44" spans="1:11" x14ac:dyDescent="0.25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</row>
    <row r="45" spans="1:11" x14ac:dyDescent="0.25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</row>
    <row r="46" spans="1:11" x14ac:dyDescent="0.25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</row>
    <row r="47" spans="1:11" x14ac:dyDescent="0.25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</row>
    <row r="48" spans="1:11" x14ac:dyDescent="0.25">
      <c r="A48" s="90" t="s">
        <v>233</v>
      </c>
      <c r="B48" s="90"/>
      <c r="C48" s="90"/>
      <c r="D48" s="90"/>
      <c r="E48" s="90"/>
      <c r="F48" s="90"/>
      <c r="G48" s="90"/>
      <c r="H48" s="90"/>
      <c r="I48" s="90"/>
      <c r="J48" s="90"/>
      <c r="K48" s="90"/>
    </row>
    <row r="49" spans="1:11" x14ac:dyDescent="0.25">
      <c r="A49" s="95"/>
      <c r="B49" s="95"/>
      <c r="C49" s="91" t="s">
        <v>230</v>
      </c>
      <c r="D49" s="91"/>
      <c r="E49" s="91" t="s">
        <v>231</v>
      </c>
      <c r="F49" s="91"/>
      <c r="G49" s="91" t="s">
        <v>232</v>
      </c>
      <c r="H49" s="91"/>
      <c r="I49" s="97" t="s">
        <v>227</v>
      </c>
      <c r="J49" s="97"/>
      <c r="K49" s="97"/>
    </row>
    <row r="50" spans="1:11" x14ac:dyDescent="0.25">
      <c r="A50" s="96" t="s">
        <v>223</v>
      </c>
      <c r="B50" s="96"/>
      <c r="C50" s="92">
        <v>14</v>
      </c>
      <c r="D50" s="92"/>
      <c r="E50" s="92">
        <v>5</v>
      </c>
      <c r="F50" s="92"/>
      <c r="G50" s="92">
        <v>0</v>
      </c>
      <c r="H50" s="92"/>
      <c r="I50" s="98">
        <f>SUM(C50:H50)</f>
        <v>19</v>
      </c>
      <c r="J50" s="98"/>
      <c r="K50" s="98"/>
    </row>
    <row r="51" spans="1:11" x14ac:dyDescent="0.25">
      <c r="A51" s="96" t="s">
        <v>225</v>
      </c>
      <c r="B51" s="96"/>
      <c r="C51" s="92">
        <v>1</v>
      </c>
      <c r="D51" s="92"/>
      <c r="E51" s="92">
        <v>1</v>
      </c>
      <c r="F51" s="92"/>
      <c r="G51" s="92">
        <v>0</v>
      </c>
      <c r="H51" s="92"/>
      <c r="I51" s="98">
        <f t="shared" ref="I51:I52" si="0">SUM(C51:H51)</f>
        <v>2</v>
      </c>
      <c r="J51" s="98"/>
      <c r="K51" s="98"/>
    </row>
    <row r="52" spans="1:11" x14ac:dyDescent="0.25">
      <c r="A52" s="96" t="s">
        <v>224</v>
      </c>
      <c r="B52" s="96"/>
      <c r="C52" s="92">
        <v>1</v>
      </c>
      <c r="D52" s="92"/>
      <c r="E52" s="92">
        <v>9</v>
      </c>
      <c r="F52" s="92"/>
      <c r="G52" s="92">
        <v>7</v>
      </c>
      <c r="H52" s="92"/>
      <c r="I52" s="98">
        <f t="shared" si="0"/>
        <v>17</v>
      </c>
      <c r="J52" s="98"/>
      <c r="K52" s="98"/>
    </row>
    <row r="53" spans="1:11" x14ac:dyDescent="0.25">
      <c r="A53" s="98" t="s">
        <v>227</v>
      </c>
      <c r="B53" s="98"/>
      <c r="C53" s="99">
        <f>SUM(C50:D52)</f>
        <v>16</v>
      </c>
      <c r="D53" s="99"/>
      <c r="E53" s="99">
        <f t="shared" ref="E53" si="1">SUM(E50:F52)</f>
        <v>15</v>
      </c>
      <c r="F53" s="99"/>
      <c r="G53" s="99">
        <f t="shared" ref="G53" si="2">SUM(G50:H52)</f>
        <v>7</v>
      </c>
      <c r="H53" s="99"/>
      <c r="I53" s="97">
        <v>38</v>
      </c>
      <c r="J53" s="97"/>
      <c r="K53" s="97"/>
    </row>
    <row r="54" spans="1:11" x14ac:dyDescent="0.25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</row>
    <row r="55" spans="1:11" x14ac:dyDescent="0.25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</row>
  </sheetData>
  <mergeCells count="28">
    <mergeCell ref="A53:B53"/>
    <mergeCell ref="I51:K51"/>
    <mergeCell ref="I52:K52"/>
    <mergeCell ref="I53:K53"/>
    <mergeCell ref="C53:D53"/>
    <mergeCell ref="E53:F53"/>
    <mergeCell ref="G53:H53"/>
    <mergeCell ref="E51:F51"/>
    <mergeCell ref="E52:F52"/>
    <mergeCell ref="G51:H51"/>
    <mergeCell ref="G52:H52"/>
    <mergeCell ref="A51:B51"/>
    <mergeCell ref="A52:B52"/>
    <mergeCell ref="C49:D49"/>
    <mergeCell ref="C50:D50"/>
    <mergeCell ref="C51:D51"/>
    <mergeCell ref="C52:D52"/>
    <mergeCell ref="A7:K8"/>
    <mergeCell ref="A9:H9"/>
    <mergeCell ref="A48:K48"/>
    <mergeCell ref="A49:B49"/>
    <mergeCell ref="A50:B50"/>
    <mergeCell ref="E49:F49"/>
    <mergeCell ref="E50:F50"/>
    <mergeCell ref="I49:K49"/>
    <mergeCell ref="I50:K50"/>
    <mergeCell ref="G49:H49"/>
    <mergeCell ref="G50:H50"/>
  </mergeCells>
  <pageMargins left="0.2" right="9.057971014492754E-3" top="0.11217948717948718" bottom="0.35" header="0.31496062000000002" footer="0.31496062000000002"/>
  <pageSetup paperSize="9" orientation="portrait" horizontalDpi="12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2</vt:i4>
      </vt:variant>
    </vt:vector>
  </HeadingPairs>
  <TitlesOfParts>
    <vt:vector size="9" baseType="lpstr">
      <vt:lpstr>DADOS</vt:lpstr>
      <vt:lpstr>Tab_Dinamica</vt:lpstr>
      <vt:lpstr>dashboard</vt:lpstr>
      <vt:lpstr>PAC - Contratos vigentes</vt:lpstr>
      <vt:lpstr>PAC - Novas Aquisições</vt:lpstr>
      <vt:lpstr>PAC - Novas Aquisições (saldos)</vt:lpstr>
      <vt:lpstr>DASHBOARD PAC</vt:lpstr>
      <vt:lpstr>DOT</vt:lpstr>
      <vt:lpstr>dotações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2024-09-13T15:10:09Z</dcterms:modified>
</cp:coreProperties>
</file>