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iihf\Downloads\"/>
    </mc:Choice>
  </mc:AlternateContent>
  <xr:revisionPtr revIDLastSave="0" documentId="13_ncr:1_{4AC899FE-F3C7-4493-9985-6E26968BF660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1 - Dados iniciais de cargas" sheetId="1" r:id="rId1"/>
    <sheet name="2 - Dados condutores áreas" sheetId="2" r:id="rId2"/>
    <sheet name="3 - Dados condutores QGF-áreas " sheetId="3" r:id="rId3"/>
    <sheet name="4 - Dados de curto-circuito" sheetId="4" r:id="rId4"/>
    <sheet name="5 - Correção do fator de potênc" sheetId="5" r:id="rId5"/>
    <sheet name="7 - Calculo de curto-circuito" sheetId="6" r:id="rId6"/>
    <sheet name="9 - Luminotécnico área 1" sheetId="7" r:id="rId7"/>
    <sheet name="10 - Tabela final" sheetId="8" r:id="rId8"/>
  </sheets>
  <definedNames>
    <definedName name="Ib">'7 - Calculo de curto-circuito'!$B$6</definedName>
    <definedName name="Ibbt">'7 - Calculo de curto-circuito'!$B$8</definedName>
    <definedName name="Pb">'7 - Calculo de curto-circuito'!$B$4</definedName>
    <definedName name="Vb">'7 - Calculo de curto-circuito'!$B$3</definedName>
    <definedName name="Vbbt">'7 - Calculo de curto-circuito'!$B$7</definedName>
    <definedName name="ZOs">'7 - Calculo de curto-circuito'!$B$15</definedName>
    <definedName name="Zps">'7 - Calculo de curto-circuito'!$B$11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7" l="1"/>
  <c r="C36" i="7"/>
  <c r="B36" i="7"/>
  <c r="C32" i="7"/>
  <c r="B32" i="7"/>
  <c r="B38" i="7" s="1"/>
  <c r="C13" i="7"/>
  <c r="B13" i="7"/>
  <c r="C11" i="7"/>
  <c r="B11" i="7"/>
  <c r="C6" i="7"/>
  <c r="B6" i="7"/>
  <c r="B228" i="6"/>
  <c r="B227" i="6" s="1"/>
  <c r="B222" i="6"/>
  <c r="B205" i="6"/>
  <c r="B204" i="6"/>
  <c r="B202" i="6"/>
  <c r="B206" i="6" s="1"/>
  <c r="B201" i="6"/>
  <c r="B196" i="6"/>
  <c r="B197" i="6" s="1"/>
  <c r="B194" i="6"/>
  <c r="B198" i="6" s="1"/>
  <c r="B193" i="6"/>
  <c r="B182" i="6"/>
  <c r="B181" i="6" s="1"/>
  <c r="B176" i="6"/>
  <c r="B158" i="6"/>
  <c r="B159" i="6" s="1"/>
  <c r="B156" i="6"/>
  <c r="B160" i="6" s="1"/>
  <c r="B155" i="6"/>
  <c r="B151" i="6"/>
  <c r="B150" i="6"/>
  <c r="B148" i="6"/>
  <c r="B152" i="6" s="1"/>
  <c r="B147" i="6"/>
  <c r="E138" i="6"/>
  <c r="E137" i="6"/>
  <c r="E136" i="6"/>
  <c r="B136" i="6"/>
  <c r="B135" i="6" s="1"/>
  <c r="E135" i="6"/>
  <c r="E133" i="6"/>
  <c r="E132" i="6"/>
  <c r="B130" i="6"/>
  <c r="E127" i="6"/>
  <c r="E126" i="6"/>
  <c r="E125" i="6"/>
  <c r="E124" i="6"/>
  <c r="E122" i="6"/>
  <c r="E121" i="6"/>
  <c r="E120" i="6"/>
  <c r="E118" i="6"/>
  <c r="E114" i="6"/>
  <c r="E113" i="6"/>
  <c r="B113" i="6"/>
  <c r="E112" i="6"/>
  <c r="B112" i="6"/>
  <c r="E110" i="6"/>
  <c r="B110" i="6"/>
  <c r="B114" i="6" s="1"/>
  <c r="E109" i="6"/>
  <c r="B109" i="6"/>
  <c r="E106" i="6"/>
  <c r="E105" i="6"/>
  <c r="E104" i="6"/>
  <c r="B104" i="6"/>
  <c r="B105" i="6" s="1"/>
  <c r="E102" i="6"/>
  <c r="E101" i="6"/>
  <c r="B101" i="6"/>
  <c r="B102" i="6" s="1"/>
  <c r="B106" i="6" s="1"/>
  <c r="E93" i="6"/>
  <c r="E92" i="6"/>
  <c r="E91" i="6"/>
  <c r="E90" i="6"/>
  <c r="E87" i="6"/>
  <c r="E86" i="6"/>
  <c r="E85" i="6"/>
  <c r="E83" i="6"/>
  <c r="E79" i="6"/>
  <c r="E78" i="6"/>
  <c r="B78" i="6"/>
  <c r="E77" i="6"/>
  <c r="B77" i="6"/>
  <c r="E75" i="6"/>
  <c r="B75" i="6"/>
  <c r="B79" i="6" s="1"/>
  <c r="E74" i="6"/>
  <c r="B74" i="6"/>
  <c r="E71" i="6"/>
  <c r="E70" i="6"/>
  <c r="E69" i="6"/>
  <c r="B69" i="6"/>
  <c r="B70" i="6" s="1"/>
  <c r="E67" i="6"/>
  <c r="E66" i="6"/>
  <c r="B66" i="6"/>
  <c r="B67" i="6" s="1"/>
  <c r="B71" i="6" s="1"/>
  <c r="E58" i="6"/>
  <c r="E57" i="6"/>
  <c r="E56" i="6"/>
  <c r="E55" i="6"/>
  <c r="E54" i="6"/>
  <c r="E53" i="6"/>
  <c r="E52" i="6"/>
  <c r="E50" i="6"/>
  <c r="E49" i="6"/>
  <c r="E45" i="6"/>
  <c r="E44" i="6"/>
  <c r="E43" i="6"/>
  <c r="B43" i="6"/>
  <c r="E41" i="6"/>
  <c r="E40" i="6"/>
  <c r="E39" i="6"/>
  <c r="B39" i="6"/>
  <c r="B40" i="6" s="1"/>
  <c r="B41" i="6" s="1"/>
  <c r="E33" i="6"/>
  <c r="E29" i="6"/>
  <c r="E28" i="6"/>
  <c r="E27" i="6"/>
  <c r="B27" i="6"/>
  <c r="E26" i="6"/>
  <c r="E23" i="6"/>
  <c r="B23" i="6"/>
  <c r="E22" i="6"/>
  <c r="E21" i="6"/>
  <c r="B21" i="6"/>
  <c r="B22" i="6" s="1"/>
  <c r="B33" i="6" s="1"/>
  <c r="E20" i="6"/>
  <c r="E11" i="6"/>
  <c r="E8" i="6"/>
  <c r="B8" i="6"/>
  <c r="E6" i="6"/>
  <c r="B6" i="6"/>
  <c r="B20" i="6" s="1"/>
  <c r="E5" i="6"/>
  <c r="B5" i="6"/>
  <c r="D30" i="5"/>
  <c r="E30" i="5" s="1"/>
  <c r="D29" i="5"/>
  <c r="E29" i="5" s="1"/>
  <c r="D28" i="5"/>
  <c r="E28" i="5" s="1"/>
  <c r="F23" i="5"/>
  <c r="E23" i="5"/>
  <c r="D23" i="5"/>
  <c r="J23" i="5" s="1"/>
  <c r="D22" i="5"/>
  <c r="E22" i="5" s="1"/>
  <c r="D21" i="5"/>
  <c r="E21" i="5" s="1"/>
  <c r="D20" i="5"/>
  <c r="E20" i="5" s="1"/>
  <c r="E16" i="5"/>
  <c r="I12" i="5"/>
  <c r="I11" i="5"/>
  <c r="I10" i="5"/>
  <c r="F30" i="5" s="1"/>
  <c r="I9" i="5"/>
  <c r="F29" i="5" s="1"/>
  <c r="I8" i="5"/>
  <c r="F28" i="5" s="1"/>
  <c r="D32" i="5" s="1"/>
  <c r="I7" i="5"/>
  <c r="I6" i="5"/>
  <c r="I5" i="5"/>
  <c r="I4" i="5"/>
  <c r="F20" i="5" s="1"/>
  <c r="E33" i="3"/>
  <c r="E22" i="3"/>
  <c r="E21" i="3"/>
  <c r="E20" i="3"/>
  <c r="D8" i="3"/>
  <c r="C8" i="3"/>
  <c r="B4" i="3"/>
  <c r="C11" i="3" s="1"/>
  <c r="B3" i="3"/>
  <c r="C10" i="3" s="1"/>
  <c r="B2" i="3"/>
  <c r="C9" i="3" s="1"/>
  <c r="F33" i="2"/>
  <c r="C33" i="2"/>
  <c r="C51" i="2" s="1"/>
  <c r="F51" i="2" s="1"/>
  <c r="G51" i="2" s="1"/>
  <c r="F32" i="2"/>
  <c r="C32" i="2"/>
  <c r="C50" i="2" s="1"/>
  <c r="F50" i="2" s="1"/>
  <c r="G50" i="2" s="1"/>
  <c r="F31" i="2"/>
  <c r="C31" i="2"/>
  <c r="C49" i="2" s="1"/>
  <c r="F49" i="2" s="1"/>
  <c r="G49" i="2" s="1"/>
  <c r="F30" i="2"/>
  <c r="C30" i="2"/>
  <c r="C48" i="2" s="1"/>
  <c r="F48" i="2" s="1"/>
  <c r="G48" i="2" s="1"/>
  <c r="F29" i="2"/>
  <c r="C29" i="2"/>
  <c r="C22" i="3" s="1"/>
  <c r="C28" i="3" s="1"/>
  <c r="F27" i="2"/>
  <c r="D27" i="2"/>
  <c r="C46" i="2" s="1"/>
  <c r="F46" i="2" s="1"/>
  <c r="G46" i="2" s="1"/>
  <c r="F26" i="2"/>
  <c r="D26" i="2"/>
  <c r="I29" i="5" s="1"/>
  <c r="F25" i="2"/>
  <c r="D25" i="2"/>
  <c r="C21" i="3" s="1"/>
  <c r="C27" i="3" s="1"/>
  <c r="F24" i="2"/>
  <c r="D24" i="2"/>
  <c r="I23" i="5" s="1"/>
  <c r="F23" i="2"/>
  <c r="D23" i="2"/>
  <c r="C42" i="2" s="1"/>
  <c r="F42" i="2" s="1"/>
  <c r="G42" i="2" s="1"/>
  <c r="F22" i="2"/>
  <c r="D22" i="2"/>
  <c r="I21" i="5" s="1"/>
  <c r="F21" i="2"/>
  <c r="D21" i="2"/>
  <c r="C20" i="3" s="1"/>
  <c r="C26" i="3" s="1"/>
  <c r="H12" i="1"/>
  <c r="G12" i="1"/>
  <c r="H11" i="1"/>
  <c r="G11" i="1"/>
  <c r="C4" i="3" s="1"/>
  <c r="D11" i="3" s="1"/>
  <c r="H10" i="1"/>
  <c r="G10" i="1"/>
  <c r="H9" i="1"/>
  <c r="G9" i="1"/>
  <c r="H8" i="1"/>
  <c r="G8" i="1"/>
  <c r="C3" i="3" s="1"/>
  <c r="D10" i="3" s="1"/>
  <c r="H7" i="1"/>
  <c r="G7" i="1"/>
  <c r="H6" i="1"/>
  <c r="G6" i="1"/>
  <c r="H5" i="1"/>
  <c r="G5" i="1"/>
  <c r="H4" i="1"/>
  <c r="G4" i="1"/>
  <c r="C2" i="3" s="1"/>
  <c r="H2" i="1"/>
  <c r="G2" i="1"/>
  <c r="F10" i="3" l="1"/>
  <c r="E27" i="3" s="1"/>
  <c r="G27" i="3" s="1"/>
  <c r="H27" i="3" s="1"/>
  <c r="E10" i="3"/>
  <c r="D3" i="3" s="1"/>
  <c r="C5" i="3"/>
  <c r="D9" i="3"/>
  <c r="G28" i="3"/>
  <c r="H28" i="3" s="1"/>
  <c r="F11" i="3"/>
  <c r="E28" i="3" s="1"/>
  <c r="E11" i="3"/>
  <c r="D4" i="3" s="1"/>
  <c r="F21" i="5"/>
  <c r="F22" i="5"/>
  <c r="D25" i="5" s="1"/>
  <c r="B45" i="6"/>
  <c r="B210" i="6" s="1"/>
  <c r="B212" i="6" s="1"/>
  <c r="B44" i="6"/>
  <c r="C33" i="3"/>
  <c r="E9" i="3"/>
  <c r="D2" i="3" s="1"/>
  <c r="D5" i="3" s="1"/>
  <c r="B118" i="6"/>
  <c r="B124" i="6" s="1"/>
  <c r="B125" i="6" s="1"/>
  <c r="C41" i="2"/>
  <c r="F41" i="2" s="1"/>
  <c r="G41" i="2" s="1"/>
  <c r="C45" i="2"/>
  <c r="F45" i="2" s="1"/>
  <c r="G45" i="2" s="1"/>
  <c r="I20" i="5"/>
  <c r="K20" i="5" s="1"/>
  <c r="I28" i="5"/>
  <c r="C40" i="2"/>
  <c r="F40" i="2" s="1"/>
  <c r="G40" i="2" s="1"/>
  <c r="C44" i="2"/>
  <c r="F44" i="2" s="1"/>
  <c r="G44" i="2" s="1"/>
  <c r="J20" i="5"/>
  <c r="J21" i="5"/>
  <c r="I22" i="5"/>
  <c r="J28" i="5"/>
  <c r="L28" i="5" s="1"/>
  <c r="J29" i="5"/>
  <c r="I30" i="5"/>
  <c r="C43" i="2"/>
  <c r="F43" i="2" s="1"/>
  <c r="G43" i="2" s="1"/>
  <c r="C47" i="2"/>
  <c r="F47" i="2" s="1"/>
  <c r="G47" i="2" s="1"/>
  <c r="B5" i="3"/>
  <c r="J22" i="5"/>
  <c r="J30" i="5"/>
  <c r="B28" i="6"/>
  <c r="B29" i="6" s="1"/>
  <c r="B213" i="6" l="1"/>
  <c r="B214" i="6"/>
  <c r="B127" i="6"/>
  <c r="B126" i="6"/>
  <c r="B83" i="6"/>
  <c r="F9" i="3"/>
  <c r="E26" i="3" s="1"/>
  <c r="G26" i="3" s="1"/>
  <c r="H26" i="3" s="1"/>
  <c r="K28" i="5"/>
  <c r="M28" i="5" s="1"/>
  <c r="B120" i="6"/>
  <c r="L20" i="5"/>
  <c r="M20" i="5"/>
  <c r="B216" i="6"/>
  <c r="B217" i="6" s="1"/>
  <c r="B55" i="6"/>
  <c r="B56" i="6" s="1"/>
  <c r="B50" i="6"/>
  <c r="B52" i="6" s="1"/>
  <c r="B58" i="6" l="1"/>
  <c r="B57" i="6"/>
  <c r="B122" i="6"/>
  <c r="B121" i="6"/>
  <c r="B218" i="6"/>
  <c r="B219" i="6"/>
  <c r="B54" i="6"/>
  <c r="B53" i="6"/>
  <c r="B90" i="6"/>
  <c r="B91" i="6" s="1"/>
  <c r="B164" i="6"/>
  <c r="B85" i="6"/>
  <c r="B224" i="6"/>
  <c r="B225" i="6" s="1"/>
  <c r="B229" i="6"/>
  <c r="B230" i="6" s="1"/>
  <c r="B87" i="6" l="1"/>
  <c r="B86" i="6"/>
  <c r="B132" i="6"/>
  <c r="B133" i="6" s="1"/>
  <c r="B137" i="6"/>
  <c r="B138" i="6" s="1"/>
  <c r="B166" i="6"/>
  <c r="B170" i="6"/>
  <c r="B171" i="6" s="1"/>
  <c r="B93" i="6"/>
  <c r="B92" i="6"/>
  <c r="B173" i="6" l="1"/>
  <c r="B172" i="6"/>
  <c r="B168" i="6"/>
  <c r="B167" i="6"/>
  <c r="B178" i="6" l="1"/>
  <c r="B179" i="6" s="1"/>
  <c r="B183" i="6"/>
  <c r="B184" i="6" s="1"/>
</calcChain>
</file>

<file path=xl/sharedStrings.xml><?xml version="1.0" encoding="utf-8"?>
<sst xmlns="http://schemas.openxmlformats.org/spreadsheetml/2006/main" count="849" uniqueCount="342">
  <si>
    <t>Dados da tabela de motores WEG</t>
  </si>
  <si>
    <t>Setor</t>
  </si>
  <si>
    <t>Carga</t>
  </si>
  <si>
    <t>Potência mecânica (cv)</t>
  </si>
  <si>
    <t>Fator de potência</t>
  </si>
  <si>
    <t>Rendimento (100% da capacidade)</t>
  </si>
  <si>
    <t>Potência ativa (kW)</t>
  </si>
  <si>
    <t>Potência reativa (kVAr)</t>
  </si>
  <si>
    <t>Potência aparente (kVA)</t>
  </si>
  <si>
    <t>POLOS</t>
  </si>
  <si>
    <t>Motor 1</t>
  </si>
  <si>
    <t>II</t>
  </si>
  <si>
    <t>Motor 2</t>
  </si>
  <si>
    <t>Motor 3</t>
  </si>
  <si>
    <t>Motor 4</t>
  </si>
  <si>
    <t>IV</t>
  </si>
  <si>
    <t>Motor 5</t>
  </si>
  <si>
    <t>Motor 6</t>
  </si>
  <si>
    <t>VI</t>
  </si>
  <si>
    <t>Motor 7</t>
  </si>
  <si>
    <t>VIII</t>
  </si>
  <si>
    <t>Tomadas 1</t>
  </si>
  <si>
    <t>-</t>
  </si>
  <si>
    <t>Tomadas 2</t>
  </si>
  <si>
    <t>Aquecimento 1</t>
  </si>
  <si>
    <t>Aquecimento 2</t>
  </si>
  <si>
    <t>Aquecimento 3</t>
  </si>
  <si>
    <t>Cabo mm² - queda de tensão</t>
  </si>
  <si>
    <t>Cabo mm² - seção mínima
 (NBR5410 -Tabela 47)</t>
  </si>
  <si>
    <t>Cabo mm² - Ampacidade</t>
  </si>
  <si>
    <t>Cabo mm² - escolhido</t>
  </si>
  <si>
    <t>Disjuntor BT (A)</t>
  </si>
  <si>
    <t>25 mm²</t>
  </si>
  <si>
    <t>1,5 mm² iluminação 
2,5 mm² tomadas</t>
  </si>
  <si>
    <t>35 mm²</t>
  </si>
  <si>
    <t>90 A (modelo MPW90)</t>
  </si>
  <si>
    <t>95 mm²</t>
  </si>
  <si>
    <t>120 mm²</t>
  </si>
  <si>
    <t>224 A (modelo  FNH1-224U)</t>
  </si>
  <si>
    <t>4 mm²</t>
  </si>
  <si>
    <t>6 mm²</t>
  </si>
  <si>
    <t>32 A (modelo MPW40)</t>
  </si>
  <si>
    <t>150 mm²</t>
  </si>
  <si>
    <t>32 A (modelo  MPW40-3-U032)</t>
  </si>
  <si>
    <t>10 mm²</t>
  </si>
  <si>
    <t>50 A (modelo  MPW80i-3-U050)</t>
  </si>
  <si>
    <t>50 mm²</t>
  </si>
  <si>
    <t>70 mm²</t>
  </si>
  <si>
    <t>125 A (modelo MDW-B125-3 curva B)</t>
  </si>
  <si>
    <t>50 A (modelo  MDW-B50-3)</t>
  </si>
  <si>
    <t>Fator de Agrupamento</t>
  </si>
  <si>
    <t>Tabela 42 NBR5410</t>
  </si>
  <si>
    <t>Fator de Temperatura (20 ºC)</t>
  </si>
  <si>
    <t>Tabela 40 NBR5410</t>
  </si>
  <si>
    <t>Isolação do cabo</t>
  </si>
  <si>
    <t>PVC 70 ºC</t>
  </si>
  <si>
    <t>Tabela 36 NBR5410</t>
  </si>
  <si>
    <t>Metódo Ampacidade ( I = I tabela * FA * FT )</t>
  </si>
  <si>
    <t>Corrente tabela
 WEG em 440v (A)</t>
  </si>
  <si>
    <t xml:space="preserve">Fator In em 440 V para In em 380 V 
usar a expressão: In(380 V)
 = In(440 V) x 1,158 (A)
</t>
  </si>
  <si>
    <t>Metódo B2 - 
3 condutores carregados</t>
  </si>
  <si>
    <t>Correção da corrente 
(I cabo) (A)</t>
  </si>
  <si>
    <t>I cabo 99 A - 35 mm²</t>
  </si>
  <si>
    <t>I cabo 206 A - 120 mm²</t>
  </si>
  <si>
    <t>I cabo 34 A - 6 mm²</t>
  </si>
  <si>
    <t>I cabo 236 A - 150 mm²</t>
  </si>
  <si>
    <t>I cabo 46 - 10 mm²</t>
  </si>
  <si>
    <t>I = P /(raiz(3)*v*FP) (A)</t>
  </si>
  <si>
    <t>Metódo B2 - 3 condutores carregados</t>
  </si>
  <si>
    <t>Iluminação 1</t>
  </si>
  <si>
    <t>I cabo 149 A - 70 mm²</t>
  </si>
  <si>
    <t>Iluminação 2</t>
  </si>
  <si>
    <t>I cabo 46 A - 10 mm²</t>
  </si>
  <si>
    <t>Comprimento do condutor (m)</t>
  </si>
  <si>
    <t>Metódo Queda de Tensão (raiz(3)*I*L*CosFP)/(56*S) (Tabela fabricante Cobrecom)</t>
  </si>
  <si>
    <t>I (A)</t>
  </si>
  <si>
    <t>FP</t>
  </si>
  <si>
    <t>Seção do condutor (mm²)</t>
  </si>
  <si>
    <t>Queda de Tensão  (V)</t>
  </si>
  <si>
    <t>Queda de Tensão &lt; 4% 
((deltatensão/tensão)*100) (%)</t>
  </si>
  <si>
    <t>Disjuntor BT (Caixa moldada)</t>
  </si>
  <si>
    <t>630 mm²</t>
  </si>
  <si>
    <t xml:space="preserve">500 mm² </t>
  </si>
  <si>
    <t xml:space="preserve">630 mm² </t>
  </si>
  <si>
    <t>520 A
  (modelo DWB650 
com ajuste de 0,8)</t>
  </si>
  <si>
    <t>128 A 
(modelo   DWB160 
com ajuste de 0,8)</t>
  </si>
  <si>
    <t>400 mm²</t>
  </si>
  <si>
    <t>240 mm²</t>
  </si>
  <si>
    <t>455 A
(modelo DWB650 
com ajuste de 0,7)</t>
  </si>
  <si>
    <t>Total</t>
  </si>
  <si>
    <t>Novo Fator de Potência</t>
  </si>
  <si>
    <t>Nova Potência Aparente (KVA)</t>
  </si>
  <si>
    <t>FP total por setor</t>
  </si>
  <si>
    <t>Setor 1</t>
  </si>
  <si>
    <t>Setor 2</t>
  </si>
  <si>
    <t>Setor 3</t>
  </si>
  <si>
    <t>Somátoria corrente</t>
  </si>
  <si>
    <t>Correção da corrente (I cabo) (A)</t>
  </si>
  <si>
    <t>I cabo 559 A - 630 mm²</t>
  </si>
  <si>
    <t>I cabo 118 A - 50 mm²</t>
  </si>
  <si>
    <t>I cabo 425 A - 400 mm²</t>
  </si>
  <si>
    <t xml:space="preserve">Metódo Queda de Tensão (raiz(3)*I*L*CosFP)/(56*S) (Tabela fabricante Cobrecom)                                        </t>
  </si>
  <si>
    <t>FP total</t>
  </si>
  <si>
    <t>cabo mm²</t>
  </si>
  <si>
    <t>Queda de Tensão &lt; 4% 
((quedadetensão/tensãorede)*100) (%)</t>
  </si>
  <si>
    <t>Trafo-QGF</t>
  </si>
  <si>
    <t>I cabo 1074 A - 3 x 300 mm²</t>
  </si>
  <si>
    <t>Corrente de curto-circuito</t>
  </si>
  <si>
    <t>trifásico (Ics) - kA</t>
  </si>
  <si>
    <t>monofásico franco (Icft) - kA</t>
  </si>
  <si>
    <t>Fator de assimetria</t>
  </si>
  <si>
    <t xml:space="preserve">Corrente de curto assimétrica (Ica) - kA </t>
  </si>
  <si>
    <t>Ponto de entrega</t>
  </si>
  <si>
    <t>Ics = 8,20 &lt; -78,69° KA</t>
  </si>
  <si>
    <t>Icft = 6,80 &lt; -87,54° kA</t>
  </si>
  <si>
    <t>Secundário do transformador</t>
  </si>
  <si>
    <t>Ics= 23,33 &lt; -78,75° KA</t>
  </si>
  <si>
    <t>Icft= 22,96 &lt; -78,63 KA</t>
  </si>
  <si>
    <t>QGF</t>
  </si>
  <si>
    <t>Ics=22,38 &lt;-77,66°KA</t>
  </si>
  <si>
    <t>Icft= 16,93 &lt; -71,35°KA</t>
  </si>
  <si>
    <t>Barramento área 1</t>
  </si>
  <si>
    <t>Ics= 17,54 &lt; -76,94°KA</t>
  </si>
  <si>
    <t>Icft =5,66 &lt;-58,99°KA</t>
  </si>
  <si>
    <t>24,56 kA</t>
  </si>
  <si>
    <t>Barramento área 2</t>
  </si>
  <si>
    <t>Ics= 9,86 &lt; -37,42°KA</t>
  </si>
  <si>
    <t>Icft =3,60 &lt; -48,00°KA</t>
  </si>
  <si>
    <t>10,05 kA</t>
  </si>
  <si>
    <t>Barramento área 3</t>
  </si>
  <si>
    <t>Ics= 16,44 &lt; -72,91°KA</t>
  </si>
  <si>
    <t>Icft= 4,86 &lt;-57,86°KA</t>
  </si>
  <si>
    <t>21,71 kA</t>
  </si>
  <si>
    <t>Correção Fator de Potência</t>
  </si>
  <si>
    <t>Novo carregamento
 dos condutores</t>
  </si>
  <si>
    <t xml:space="preserve">Motor </t>
  </si>
  <si>
    <t>FP desejado</t>
  </si>
  <si>
    <t>S' (=P/FP desejado)</t>
  </si>
  <si>
    <t>Q' (= raiz(S'^2-P^2)</t>
  </si>
  <si>
    <t>Qc (=Q-Q')(KVAr)</t>
  </si>
  <si>
    <t>Motor Setor 1</t>
  </si>
  <si>
    <t>I antes (A)</t>
  </si>
  <si>
    <t>I depois (A)</t>
  </si>
  <si>
    <t>I total setor antes (A)</t>
  </si>
  <si>
    <t>I total setor depois (A)</t>
  </si>
  <si>
    <t>Redução</t>
  </si>
  <si>
    <t>QcTotal (KVAr)</t>
  </si>
  <si>
    <t>Capacitor escolhido 
Setor 1</t>
  </si>
  <si>
    <t>Banco de Capacitores
 Trifásico Fixo 50 KVAr</t>
  </si>
  <si>
    <t>Motor Setor 2</t>
  </si>
  <si>
    <t>Qc Total (KVAr)</t>
  </si>
  <si>
    <t>Capacitor escolhido 
Setor 2</t>
  </si>
  <si>
    <t>Banco de Capacitores
 Trifásico Fixo 20 KVAr</t>
  </si>
  <si>
    <t>Etapas</t>
  </si>
  <si>
    <t>Valor</t>
  </si>
  <si>
    <t>Unidade</t>
  </si>
  <si>
    <t>OBS</t>
  </si>
  <si>
    <t xml:space="preserve">1) Escolha dos valores  base </t>
  </si>
  <si>
    <t>Fórmula utilizada</t>
  </si>
  <si>
    <t>Tensão base - MT -Vb</t>
  </si>
  <si>
    <t>V</t>
  </si>
  <si>
    <t>13,8 KV</t>
  </si>
  <si>
    <t>Potência base -Pb</t>
  </si>
  <si>
    <t>VA</t>
  </si>
  <si>
    <t>100MVA</t>
  </si>
  <si>
    <t>Impedância base - Zb</t>
  </si>
  <si>
    <t>Ohms</t>
  </si>
  <si>
    <t>Corrente base - Ib - MT</t>
  </si>
  <si>
    <t>A</t>
  </si>
  <si>
    <t>Tensão base - BT -Vbbt</t>
  </si>
  <si>
    <t>Corrente base - Ib - BT</t>
  </si>
  <si>
    <t>2) Impedâncias do sistema de suprimento</t>
  </si>
  <si>
    <t>Seq positiva</t>
  </si>
  <si>
    <t>0,1+0,5j</t>
  </si>
  <si>
    <t>pu na base de 100MVA</t>
  </si>
  <si>
    <t>Rps</t>
  </si>
  <si>
    <t>Xps</t>
  </si>
  <si>
    <t>Seq zero -Z0s</t>
  </si>
  <si>
    <t>0,2+0,8j</t>
  </si>
  <si>
    <t>Rp0</t>
  </si>
  <si>
    <t>Xp0</t>
  </si>
  <si>
    <t>3) Corrente de curto-circuito no ponto de fornecimento de energia (Média tensão)</t>
  </si>
  <si>
    <t>Ics</t>
  </si>
  <si>
    <t>A - forma cartesiana</t>
  </si>
  <si>
    <t>Módulo de Ics</t>
  </si>
  <si>
    <t>Fase de Ics</t>
  </si>
  <si>
    <t>graus</t>
  </si>
  <si>
    <t>4) Corrente de curto-circuito fase-terra</t>
  </si>
  <si>
    <t>Zeq deste ponto - lado de alta do transformador</t>
  </si>
  <si>
    <t>Ponto chave da análise!</t>
  </si>
  <si>
    <t>Icft</t>
  </si>
  <si>
    <t>A - Forma cartesiana</t>
  </si>
  <si>
    <t>Módulo de Icft</t>
  </si>
  <si>
    <t>Fase de Icft</t>
  </si>
  <si>
    <t>Potência de curto-circuito no ponto de entrega</t>
  </si>
  <si>
    <t>Pcc</t>
  </si>
  <si>
    <t>196,11 MVA</t>
  </si>
  <si>
    <t>5)  Impedância do transformador</t>
  </si>
  <si>
    <t>Pot nominal trafo</t>
  </si>
  <si>
    <t>1000kva</t>
  </si>
  <si>
    <t>Perdas do Cobre</t>
  </si>
  <si>
    <t>W</t>
  </si>
  <si>
    <t>11,7Kw</t>
  </si>
  <si>
    <t>Resistência percentual Rpt</t>
  </si>
  <si>
    <t>%</t>
  </si>
  <si>
    <t>0,0117pu</t>
  </si>
  <si>
    <t>Resistência pu Rut</t>
  </si>
  <si>
    <t>pu</t>
  </si>
  <si>
    <t>na base de 1000Kva</t>
  </si>
  <si>
    <t>na base de 100MVA</t>
  </si>
  <si>
    <t>Impedância percentual Zpt</t>
  </si>
  <si>
    <t>6% -  dado de placa na base de 1000Kva</t>
  </si>
  <si>
    <t>Impedância p.u. Zut</t>
  </si>
  <si>
    <t>Na base de 100MVA</t>
  </si>
  <si>
    <t>reatância pu Xut</t>
  </si>
  <si>
    <t>na base de Pb</t>
  </si>
  <si>
    <t>Impedância pu do trafo Zut</t>
  </si>
  <si>
    <t>1,17+j5,884 pu</t>
  </si>
  <si>
    <t>4) Corrente de curto-cicuito secundário do transformador (lado BT)</t>
  </si>
  <si>
    <r>
      <rPr>
        <b/>
        <sz val="11"/>
        <color theme="1"/>
        <rFont val="Calibri"/>
      </rPr>
      <t xml:space="preserve">Impedância equivalente até o ponto - </t>
    </r>
    <r>
      <rPr>
        <b/>
        <sz val="11"/>
        <color rgb="FFFF0000"/>
        <rFont val="Calibri"/>
      </rPr>
      <t>Apenas sequência positiva!</t>
    </r>
  </si>
  <si>
    <t>1,27 + j6,3848 pu</t>
  </si>
  <si>
    <t>Corrente de curto-circuito trifásica</t>
  </si>
  <si>
    <t xml:space="preserve">Impedância equivalente até o ponto </t>
  </si>
  <si>
    <t>Modulo Icft</t>
  </si>
  <si>
    <t>5) Impedância do circuito que liga o transformador ao QGF</t>
  </si>
  <si>
    <t>Lc</t>
  </si>
  <si>
    <t>m</t>
  </si>
  <si>
    <t>Comprimento do circuito</t>
  </si>
  <si>
    <t>Nc</t>
  </si>
  <si>
    <t>Condutores por fase</t>
  </si>
  <si>
    <t>Sc</t>
  </si>
  <si>
    <t>mm²</t>
  </si>
  <si>
    <t>Sequência positiva</t>
  </si>
  <si>
    <t>R_cabo</t>
  </si>
  <si>
    <t>mohms/m</t>
  </si>
  <si>
    <t>Tabelado</t>
  </si>
  <si>
    <t>R_caboPos_ohm</t>
  </si>
  <si>
    <t>ohms</t>
  </si>
  <si>
    <t>R_caboPos_pu</t>
  </si>
  <si>
    <t>Zbase = Vbase²/Pbase</t>
  </si>
  <si>
    <t>X_cabo</t>
  </si>
  <si>
    <t>mOhms/m</t>
  </si>
  <si>
    <t>X_caboPos_ohm</t>
  </si>
  <si>
    <t>X_caboPos_pu</t>
  </si>
  <si>
    <t>Z_caboPos_pu</t>
  </si>
  <si>
    <t>Sequência zero</t>
  </si>
  <si>
    <t>R_caboZero_ohm</t>
  </si>
  <si>
    <t>R_caboZero_pu</t>
  </si>
  <si>
    <t>X_caboZero_ohm</t>
  </si>
  <si>
    <t>X_caboZero_pu</t>
  </si>
  <si>
    <t>Z_caboZero_pu</t>
  </si>
  <si>
    <t>7) Corrente de curto-circuito do barramento do QGF</t>
  </si>
  <si>
    <r>
      <rPr>
        <sz val="11"/>
        <color rgb="FF000000"/>
        <rFont val="Calibri"/>
      </rPr>
      <t xml:space="preserve">Impedância equivalente até o ponto - </t>
    </r>
    <r>
      <rPr>
        <sz val="11"/>
        <color rgb="FF000000"/>
        <rFont val="Calibri"/>
      </rPr>
      <t>Apenas sequência positiva!</t>
    </r>
  </si>
  <si>
    <t>1,450+j6,631pu</t>
  </si>
  <si>
    <t>Corrente de curto-circuito fase-terra</t>
  </si>
  <si>
    <t>Zeq até este ponto</t>
  </si>
  <si>
    <t>A  - forma cartesiana</t>
  </si>
  <si>
    <t>8) Impedância do cabo  entre QGF e o Setor 3</t>
  </si>
  <si>
    <t>1,26 + j2,19 pu</t>
  </si>
  <si>
    <t>Cabos de 120mm² - até CCM 3</t>
  </si>
  <si>
    <t>Lc = 130m</t>
  </si>
  <si>
    <t>Nc = 1 cond po fase</t>
  </si>
  <si>
    <t>R = 0,1868 mOhm/m</t>
  </si>
  <si>
    <t>X = 0,1076 mOhm/m</t>
  </si>
  <si>
    <t>38,65 + j49,35 pu</t>
  </si>
  <si>
    <t>9) Corrente de curto-circuito no Setor 3</t>
  </si>
  <si>
    <r>
      <rPr>
        <sz val="11"/>
        <color rgb="FF000000"/>
        <rFont val="Calibri"/>
      </rPr>
      <t xml:space="preserve">Impedância equivalente até o ponto - </t>
    </r>
    <r>
      <rPr>
        <sz val="11"/>
        <color rgb="FF000000"/>
        <rFont val="Calibri"/>
      </rPr>
      <t>Apenas sequência positiva!</t>
    </r>
  </si>
  <si>
    <t>2,71 + j8,82 pu</t>
  </si>
  <si>
    <t>Seq. Zero</t>
  </si>
  <si>
    <t>R = 1,9868 mOhm/m</t>
  </si>
  <si>
    <t>X = 2,5104 mOhm/m</t>
  </si>
  <si>
    <t>Zeq até o Setor 3</t>
  </si>
  <si>
    <t>49,79 + j79,25 pu</t>
  </si>
  <si>
    <t>10) Corrente assimetria de curto-circuito no Setor 3</t>
  </si>
  <si>
    <t>relação X/R no CCM</t>
  </si>
  <si>
    <t>Corrente de curto-circuito assimétrica - Ica</t>
  </si>
  <si>
    <t>Impulso de corrente de curto-circuito</t>
  </si>
  <si>
    <t>30,70 kA</t>
  </si>
  <si>
    <t xml:space="preserve">Cálculo do fator de assimetria </t>
  </si>
  <si>
    <t>Valor real</t>
  </si>
  <si>
    <t>tau</t>
  </si>
  <si>
    <t>Corrente de cuto-circuito assimétrico - Ica</t>
  </si>
  <si>
    <t>21,83 kA</t>
  </si>
  <si>
    <t>Impulso da corrente de curto-circuito</t>
  </si>
  <si>
    <t>30,88 kA</t>
  </si>
  <si>
    <t>8) Impedância do cabo  entre QGF e o Setor 1</t>
  </si>
  <si>
    <t xml:space="preserve">0,87 + j1,81 pu </t>
  </si>
  <si>
    <t>31,81 + j39,82 pu</t>
  </si>
  <si>
    <t>9) Corrente de curto-circuito no Setor 1</t>
  </si>
  <si>
    <r>
      <rPr>
        <sz val="11"/>
        <color rgb="FF000000"/>
        <rFont val="Calibri"/>
      </rPr>
      <t xml:space="preserve">Impedância equivalente até o ponto - </t>
    </r>
    <r>
      <rPr>
        <sz val="11"/>
        <color rgb="FF000000"/>
        <rFont val="Calibri"/>
      </rPr>
      <t>Apenas sequência positiva!</t>
    </r>
  </si>
  <si>
    <t>1,95 + j8,43pu</t>
  </si>
  <si>
    <t>Zeq até o Setor 1</t>
  </si>
  <si>
    <t>41,43 + j68,93pu</t>
  </si>
  <si>
    <t>10) Corrente assimetria de curto-circuito no Setor 1</t>
  </si>
  <si>
    <t>34,73 kA</t>
  </si>
  <si>
    <t>24,61 kA</t>
  </si>
  <si>
    <t>34,81 kA</t>
  </si>
  <si>
    <t>8) Impedância do cabo  entre QGF e o Setor 2</t>
  </si>
  <si>
    <t>10,78 + j2,73pu</t>
  </si>
  <si>
    <t>54,41 + j62,99 pu</t>
  </si>
  <si>
    <t>9) Corrente de curto-circuito no Setor 2</t>
  </si>
  <si>
    <r>
      <rPr>
        <sz val="11"/>
        <color rgb="FF000000"/>
        <rFont val="Calibri"/>
      </rPr>
      <t xml:space="preserve">Impedância equivalente até o ponto - </t>
    </r>
    <r>
      <rPr>
        <sz val="11"/>
        <color rgb="FF000000"/>
        <rFont val="Calibri"/>
      </rPr>
      <t>Apenas sequência positiva!</t>
    </r>
  </si>
  <si>
    <t>12,23 + j9,36 pu</t>
  </si>
  <si>
    <t>Zeq até o Setor 2</t>
  </si>
  <si>
    <t>84,59 + j93,96 pu</t>
  </si>
  <si>
    <t>10) Corrente assimetria de curto-circuito no Setor 2</t>
  </si>
  <si>
    <t>14,22 kA</t>
  </si>
  <si>
    <t>10,02 kA</t>
  </si>
  <si>
    <t>14,17 kA</t>
  </si>
  <si>
    <t>Dados do Projeto Luminotécnico</t>
  </si>
  <si>
    <t>Comprimento (m)</t>
  </si>
  <si>
    <t>Lagura (m)</t>
  </si>
  <si>
    <t>Área (m²)</t>
  </si>
  <si>
    <t>Nível de iluminância mantida
 (Em) para algumas atividades –
 NBR ISO/CIE 89951:2013 (Tabela 13.5)</t>
  </si>
  <si>
    <t>Local (Lux)</t>
  </si>
  <si>
    <t>Altura plano de trabalho (m)</t>
  </si>
  <si>
    <t>Altura pé direito (m)</t>
  </si>
  <si>
    <t>Altura luminária instalada</t>
  </si>
  <si>
    <t>Altura da montagem luminária (hm)</t>
  </si>
  <si>
    <t>Índice do local (k)</t>
  </si>
  <si>
    <t>Índice de reflexão (Tabela 13.8)</t>
  </si>
  <si>
    <t>teto - branco</t>
  </si>
  <si>
    <t>parede - clara</t>
  </si>
  <si>
    <t>piso - escuro</t>
  </si>
  <si>
    <t xml:space="preserve">Coeficiente de utilização </t>
  </si>
  <si>
    <t>modelo da lampada Catalogo Philips</t>
  </si>
  <si>
    <t>TLDRS32W-CO-25</t>
  </si>
  <si>
    <t>u tabelado (índice reflexão 751 por
 índice do local 3)</t>
  </si>
  <si>
    <t>Fator de depreciação (d) tabela 13.10</t>
  </si>
  <si>
    <t>Calculo quantidade de Lúmens</t>
  </si>
  <si>
    <t>S área em m²</t>
  </si>
  <si>
    <t>Em - nível de iluminância mantida</t>
  </si>
  <si>
    <t>Fator de utilização u</t>
  </si>
  <si>
    <t>Fator de depreciação (d)</t>
  </si>
  <si>
    <t>Fluxo total em lúmens</t>
  </si>
  <si>
    <t>Total de lâmpadas de 32 w</t>
  </si>
  <si>
    <t>Fluxo luminoso Phillips
modelo TLDRS32W-CO-25 (lúmens)</t>
  </si>
  <si>
    <t>Fluxo total por luminária</t>
  </si>
  <si>
    <t>Quantidade de luminárias</t>
  </si>
  <si>
    <t>30 luminárias</t>
  </si>
  <si>
    <t>CCM-carga</t>
  </si>
  <si>
    <t>QGF-CCM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</si>
</sst>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5">
    <font>
      <sz val="11"/>
      <color theme="1"/>
      <name val="Calibri"/>
      <scheme val="minor"/>
    </font>
    <font>
      <sz val="12"/>
      <color theme="1"/>
      <name val="Arial"/>
    </font>
    <font>
      <sz val="12"/>
      <color theme="1"/>
      <name val="Calibri"/>
      <scheme val="minor"/>
    </font>
    <font>
      <b/>
      <sz val="12"/>
      <color rgb="FF000000"/>
      <name val="Arial"/>
    </font>
    <font>
      <sz val="11"/>
      <name val="Calibri"/>
    </font>
    <font>
      <b/>
      <sz val="12"/>
      <color rgb="FF000000"/>
      <name val="Calibri"/>
      <scheme val="minor"/>
    </font>
    <font>
      <sz val="12"/>
      <color rgb="FF000000"/>
      <name val="Arial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b/>
      <sz val="12"/>
      <color rgb="FFFFFFFF"/>
      <name val="Arial"/>
    </font>
    <font>
      <sz val="11"/>
      <color theme="1"/>
      <name val="Arial"/>
    </font>
    <font>
      <b/>
      <sz val="12"/>
      <color theme="1"/>
      <name val="Arial"/>
    </font>
    <font>
      <b/>
      <sz val="12"/>
      <color rgb="FFFFFF00"/>
      <name val="Arial"/>
    </font>
    <font>
      <sz val="11"/>
      <color theme="1"/>
      <name val="Calibri"/>
      <scheme val="minor"/>
    </font>
    <font>
      <sz val="11"/>
      <color rgb="FFFF0000"/>
      <name val="Calibri"/>
      <scheme val="minor"/>
    </font>
    <font>
      <sz val="13"/>
      <color rgb="FF000000"/>
      <name val="Arial"/>
    </font>
    <font>
      <b/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rgb="FFFFFFFF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99000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7F6000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660000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1C4587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CFE2F3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2" fontId="6" fillId="2" borderId="4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0" xfId="0" applyFont="1" applyFill="1"/>
    <xf numFmtId="0" fontId="1" fillId="0" borderId="0" xfId="0" applyFont="1"/>
    <xf numFmtId="0" fontId="18" fillId="2" borderId="0" xfId="0" applyFont="1" applyFill="1"/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10" xfId="0" applyFont="1" applyFill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3" fillId="2" borderId="17" xfId="0" applyFont="1" applyFill="1" applyBorder="1" applyAlignment="1">
      <alignment horizontal="center"/>
    </xf>
    <xf numFmtId="0" fontId="4" fillId="0" borderId="20" xfId="0" applyFont="1" applyBorder="1"/>
    <xf numFmtId="0" fontId="4" fillId="0" borderId="21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4" fillId="4" borderId="1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4" borderId="14" xfId="0" applyFont="1" applyFill="1" applyBorder="1"/>
    <xf numFmtId="0" fontId="3" fillId="3" borderId="9" xfId="0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2" fontId="6" fillId="3" borderId="11" xfId="0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/>
    <xf numFmtId="0" fontId="6" fillId="3" borderId="4" xfId="0" applyFont="1" applyFill="1" applyBorder="1" applyAlignment="1"/>
    <xf numFmtId="0" fontId="9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0" fillId="4" borderId="0" xfId="0" applyFont="1" applyFill="1"/>
    <xf numFmtId="0" fontId="3" fillId="3" borderId="17" xfId="0" applyFont="1" applyFill="1" applyBorder="1" applyAlignment="1">
      <alignment horizontal="center"/>
    </xf>
    <xf numFmtId="0" fontId="4" fillId="4" borderId="20" xfId="0" applyFont="1" applyFill="1" applyBorder="1"/>
    <xf numFmtId="0" fontId="4" fillId="4" borderId="21" xfId="0" applyFont="1" applyFill="1" applyBorder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2" fontId="6" fillId="3" borderId="15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2" fontId="6" fillId="3" borderId="12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23" xfId="0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2" fontId="6" fillId="3" borderId="12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2" fontId="1" fillId="10" borderId="4" xfId="0" applyNumberFormat="1" applyFont="1" applyFill="1" applyBorder="1" applyAlignment="1">
      <alignment horizontal="center"/>
    </xf>
    <xf numFmtId="0" fontId="13" fillId="3" borderId="0" xfId="0" applyFont="1" applyFill="1"/>
    <xf numFmtId="0" fontId="1" fillId="4" borderId="0" xfId="0" applyFont="1" applyFill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14" fillId="4" borderId="0" xfId="0" applyFont="1" applyFill="1"/>
    <xf numFmtId="0" fontId="1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8" fillId="3" borderId="0" xfId="0" applyFont="1" applyFill="1"/>
    <xf numFmtId="0" fontId="3" fillId="5" borderId="17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4" fillId="4" borderId="29" xfId="0" applyFont="1" applyFill="1" applyBorder="1"/>
    <xf numFmtId="0" fontId="4" fillId="4" borderId="30" xfId="0" applyFont="1" applyFill="1" applyBorder="1"/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4" borderId="0" xfId="0" applyFont="1" applyFill="1"/>
    <xf numFmtId="0" fontId="6" fillId="3" borderId="38" xfId="0" applyFont="1" applyFill="1" applyBorder="1" applyAlignment="1">
      <alignment horizontal="center" vertical="center"/>
    </xf>
    <xf numFmtId="0" fontId="16" fillId="3" borderId="0" xfId="0" applyFont="1" applyFill="1"/>
    <xf numFmtId="2" fontId="3" fillId="3" borderId="11" xfId="0" applyNumberFormat="1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1" fillId="12" borderId="4" xfId="0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6" fillId="3" borderId="39" xfId="0" applyNumberFormat="1" applyFont="1" applyFill="1" applyBorder="1" applyAlignment="1">
      <alignment horizontal="center" vertical="center"/>
    </xf>
    <xf numFmtId="2" fontId="6" fillId="3" borderId="38" xfId="0" applyNumberFormat="1" applyFont="1" applyFill="1" applyBorder="1" applyAlignment="1">
      <alignment horizontal="center" vertical="center"/>
    </xf>
    <xf numFmtId="0" fontId="4" fillId="4" borderId="39" xfId="0" applyFont="1" applyFill="1" applyBorder="1"/>
    <xf numFmtId="0" fontId="4" fillId="4" borderId="12" xfId="0" applyFont="1" applyFill="1" applyBorder="1"/>
    <xf numFmtId="0" fontId="9" fillId="13" borderId="4" xfId="0" applyFont="1" applyFill="1" applyBorder="1" applyAlignment="1">
      <alignment horizontal="center" vertical="center"/>
    </xf>
    <xf numFmtId="2" fontId="1" fillId="14" borderId="4" xfId="0" applyNumberFormat="1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 vertical="center"/>
    </xf>
    <xf numFmtId="2" fontId="1" fillId="16" borderId="4" xfId="0" applyNumberFormat="1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8" fillId="3" borderId="0" xfId="0" applyFont="1" applyFill="1"/>
    <xf numFmtId="0" fontId="19" fillId="3" borderId="4" xfId="0" applyFont="1" applyFill="1" applyBorder="1" applyAlignment="1">
      <alignment horizontal="center"/>
    </xf>
    <xf numFmtId="0" fontId="19" fillId="3" borderId="4" xfId="0" applyFont="1" applyFill="1" applyBorder="1"/>
    <xf numFmtId="0" fontId="19" fillId="3" borderId="38" xfId="0" applyFont="1" applyFill="1" applyBorder="1" applyAlignment="1">
      <alignment horizontal="center" vertical="center"/>
    </xf>
    <xf numFmtId="0" fontId="20" fillId="3" borderId="0" xfId="0" applyFont="1" applyFill="1"/>
    <xf numFmtId="0" fontId="21" fillId="3" borderId="4" xfId="0" applyFont="1" applyFill="1" applyBorder="1" applyAlignment="1">
      <alignment horizontal="left"/>
    </xf>
    <xf numFmtId="0" fontId="18" fillId="3" borderId="4" xfId="0" applyFont="1" applyFill="1" applyBorder="1"/>
    <xf numFmtId="0" fontId="18" fillId="3" borderId="4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4" xfId="0" applyFont="1" applyFill="1" applyBorder="1"/>
    <xf numFmtId="0" fontId="21" fillId="3" borderId="4" xfId="0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7" fillId="3" borderId="4" xfId="0" applyFont="1" applyFill="1" applyBorder="1"/>
    <xf numFmtId="0" fontId="24" fillId="3" borderId="4" xfId="0" applyFont="1" applyFill="1" applyBorder="1" applyAlignment="1">
      <alignment horizontal="center"/>
    </xf>
    <xf numFmtId="0" fontId="24" fillId="3" borderId="4" xfId="0" applyFont="1" applyFill="1" applyBorder="1"/>
    <xf numFmtId="0" fontId="21" fillId="3" borderId="0" xfId="0" applyFont="1" applyFill="1"/>
    <xf numFmtId="0" fontId="17" fillId="3" borderId="4" xfId="0" applyFont="1" applyFill="1" applyBorder="1" applyAlignment="1"/>
    <xf numFmtId="0" fontId="18" fillId="19" borderId="0" xfId="0" applyFont="1" applyFill="1"/>
    <xf numFmtId="0" fontId="0" fillId="4" borderId="0" xfId="0" applyFont="1" applyFill="1" applyAlignment="1"/>
    <xf numFmtId="0" fontId="17" fillId="3" borderId="0" xfId="0" applyFont="1" applyFill="1"/>
    <xf numFmtId="0" fontId="21" fillId="3" borderId="4" xfId="0" applyFont="1" applyFill="1" applyBorder="1" applyAlignment="1"/>
    <xf numFmtId="0" fontId="21" fillId="3" borderId="4" xfId="0" applyFont="1" applyFill="1" applyBorder="1"/>
    <xf numFmtId="1" fontId="18" fillId="3" borderId="4" xfId="0" applyNumberFormat="1" applyFont="1" applyFill="1" applyBorder="1" applyAlignment="1">
      <alignment horizontal="center"/>
    </xf>
    <xf numFmtId="0" fontId="18" fillId="3" borderId="4" xfId="0" applyFont="1" applyFill="1" applyBorder="1" applyAlignment="1">
      <alignment horizontal="left"/>
    </xf>
    <xf numFmtId="164" fontId="18" fillId="3" borderId="4" xfId="0" applyNumberFormat="1" applyFont="1" applyFill="1" applyBorder="1" applyAlignment="1">
      <alignment horizontal="center"/>
    </xf>
    <xf numFmtId="0" fontId="24" fillId="3" borderId="0" xfId="0" applyFont="1" applyFill="1"/>
    <xf numFmtId="0" fontId="11" fillId="4" borderId="0" xfId="0" applyFont="1" applyFill="1" applyAlignment="1">
      <alignment horizontal="center"/>
    </xf>
    <xf numFmtId="0" fontId="3" fillId="3" borderId="3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35</xdr:row>
      <xdr:rowOff>38100</xdr:rowOff>
    </xdr:from>
    <xdr:ext cx="4733925" cy="294322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workbookViewId="0">
      <selection activeCell="D22" sqref="D22"/>
    </sheetView>
  </sheetViews>
  <sheetFormatPr defaultColWidth="14.42578125" defaultRowHeight="15" customHeight="1"/>
  <cols>
    <col min="1" max="1" width="6.7109375" customWidth="1"/>
    <col min="2" max="2" width="19.7109375" customWidth="1"/>
    <col min="3" max="3" width="26.28515625" customWidth="1"/>
    <col min="4" max="4" width="21.28515625" customWidth="1"/>
    <col min="5" max="5" width="41.7109375" customWidth="1"/>
    <col min="6" max="6" width="23" customWidth="1"/>
    <col min="7" max="7" width="28.85546875" customWidth="1"/>
    <col min="8" max="8" width="28.42578125" customWidth="1"/>
  </cols>
  <sheetData>
    <row r="1" spans="1:9" ht="15.75">
      <c r="A1" s="1"/>
      <c r="B1" s="1"/>
      <c r="C1" s="1"/>
      <c r="D1" s="1"/>
      <c r="E1" s="2"/>
      <c r="F1" s="1"/>
      <c r="G1" s="1"/>
      <c r="H1" s="1"/>
      <c r="I1" s="3"/>
    </row>
    <row r="2" spans="1:9" ht="15.75">
      <c r="A2" s="44" t="s">
        <v>0</v>
      </c>
      <c r="B2" s="45"/>
      <c r="C2" s="45"/>
      <c r="D2" s="45"/>
      <c r="E2" s="45"/>
      <c r="F2" s="46"/>
      <c r="G2" s="4" t="e">
        <f t="shared" ref="G2:H2" ca="1" si="0">_xludf.FORMULATEXT(G4)</f>
        <v>#NAME?</v>
      </c>
      <c r="H2" s="5" t="e">
        <f t="shared" ca="1" si="0"/>
        <v>#NAME?</v>
      </c>
      <c r="I2" s="6"/>
    </row>
    <row r="3" spans="1:9" ht="15.75">
      <c r="A3" s="7" t="s">
        <v>1</v>
      </c>
      <c r="B3" s="8" t="s">
        <v>2</v>
      </c>
      <c r="C3" s="8" t="s">
        <v>3</v>
      </c>
      <c r="D3" s="8" t="s">
        <v>4</v>
      </c>
      <c r="E3" s="9" t="s">
        <v>5</v>
      </c>
      <c r="F3" s="8" t="s">
        <v>6</v>
      </c>
      <c r="G3" s="10" t="s">
        <v>7</v>
      </c>
      <c r="H3" s="11" t="s">
        <v>8</v>
      </c>
      <c r="I3" s="12" t="s">
        <v>9</v>
      </c>
    </row>
    <row r="4" spans="1:9" ht="15.75">
      <c r="A4" s="47">
        <v>1</v>
      </c>
      <c r="B4" s="13" t="s">
        <v>10</v>
      </c>
      <c r="C4" s="14">
        <v>60</v>
      </c>
      <c r="D4" s="14">
        <v>0.89</v>
      </c>
      <c r="E4" s="14">
        <v>0.95</v>
      </c>
      <c r="F4" s="14">
        <v>45</v>
      </c>
      <c r="G4" s="15">
        <f t="shared" ref="G4:G12" si="1">F4*(TAN(ACOS(D4)))</f>
        <v>23.054183828449876</v>
      </c>
      <c r="H4" s="15">
        <f t="shared" ref="H4:H12" si="2">F4/D4</f>
        <v>50.561797752808985</v>
      </c>
      <c r="I4" s="16" t="s">
        <v>11</v>
      </c>
    </row>
    <row r="5" spans="1:9" ht="15.75">
      <c r="A5" s="48"/>
      <c r="B5" s="5" t="s">
        <v>12</v>
      </c>
      <c r="C5" s="17">
        <v>150</v>
      </c>
      <c r="D5" s="17">
        <v>0.88</v>
      </c>
      <c r="E5" s="17">
        <v>0.96</v>
      </c>
      <c r="F5" s="17">
        <v>110</v>
      </c>
      <c r="G5" s="15">
        <f t="shared" si="1"/>
        <v>59.371710435189556</v>
      </c>
      <c r="H5" s="15">
        <f t="shared" si="2"/>
        <v>125</v>
      </c>
      <c r="I5" s="18" t="s">
        <v>11</v>
      </c>
    </row>
    <row r="6" spans="1:9" ht="15.75">
      <c r="A6" s="48"/>
      <c r="B6" s="5" t="s">
        <v>13</v>
      </c>
      <c r="C6" s="17">
        <v>20</v>
      </c>
      <c r="D6" s="17">
        <v>0.87</v>
      </c>
      <c r="E6" s="17">
        <v>0.92</v>
      </c>
      <c r="F6" s="17">
        <v>15</v>
      </c>
      <c r="G6" s="15">
        <f t="shared" si="1"/>
        <v>8.50089174870417</v>
      </c>
      <c r="H6" s="15">
        <f t="shared" si="2"/>
        <v>17.241379310344829</v>
      </c>
      <c r="I6" s="18" t="s">
        <v>11</v>
      </c>
    </row>
    <row r="7" spans="1:9" ht="15.75">
      <c r="A7" s="49"/>
      <c r="B7" s="19" t="s">
        <v>14</v>
      </c>
      <c r="C7" s="20">
        <v>150</v>
      </c>
      <c r="D7" s="20">
        <v>0.84</v>
      </c>
      <c r="E7" s="20">
        <v>0.96</v>
      </c>
      <c r="F7" s="20">
        <v>110</v>
      </c>
      <c r="G7" s="21">
        <f t="shared" si="1"/>
        <v>71.05298077559803</v>
      </c>
      <c r="H7" s="22">
        <f t="shared" si="2"/>
        <v>130.95238095238096</v>
      </c>
      <c r="I7" s="23" t="s">
        <v>15</v>
      </c>
    </row>
    <row r="8" spans="1:9" ht="15.75">
      <c r="A8" s="47">
        <v>2</v>
      </c>
      <c r="B8" s="13" t="s">
        <v>16</v>
      </c>
      <c r="C8" s="14">
        <v>20</v>
      </c>
      <c r="D8" s="14">
        <v>0.8</v>
      </c>
      <c r="E8" s="14">
        <v>0.93</v>
      </c>
      <c r="F8" s="14">
        <v>15</v>
      </c>
      <c r="G8" s="24">
        <f t="shared" si="1"/>
        <v>11.249999999999996</v>
      </c>
      <c r="H8" s="25">
        <f t="shared" si="2"/>
        <v>18.75</v>
      </c>
      <c r="I8" s="26" t="s">
        <v>15</v>
      </c>
    </row>
    <row r="9" spans="1:9" ht="15.75">
      <c r="A9" s="48"/>
      <c r="B9" s="5" t="s">
        <v>17</v>
      </c>
      <c r="C9" s="17">
        <v>20</v>
      </c>
      <c r="D9" s="17">
        <v>0.78</v>
      </c>
      <c r="E9" s="17">
        <v>0.92</v>
      </c>
      <c r="F9" s="17">
        <v>15</v>
      </c>
      <c r="G9" s="15">
        <f t="shared" si="1"/>
        <v>12.034221420893854</v>
      </c>
      <c r="H9" s="15">
        <f t="shared" si="2"/>
        <v>19.23076923076923</v>
      </c>
      <c r="I9" s="18" t="s">
        <v>18</v>
      </c>
    </row>
    <row r="10" spans="1:9" ht="15.75">
      <c r="A10" s="49"/>
      <c r="B10" s="19" t="s">
        <v>19</v>
      </c>
      <c r="C10" s="20">
        <v>30</v>
      </c>
      <c r="D10" s="20">
        <v>0.81</v>
      </c>
      <c r="E10" s="20">
        <v>0.92</v>
      </c>
      <c r="F10" s="20">
        <v>22</v>
      </c>
      <c r="G10" s="21">
        <f t="shared" si="1"/>
        <v>15.927725039541054</v>
      </c>
      <c r="H10" s="22">
        <f t="shared" si="2"/>
        <v>27.160493827160494</v>
      </c>
      <c r="I10" s="23" t="s">
        <v>20</v>
      </c>
    </row>
    <row r="11" spans="1:9" ht="15.75">
      <c r="A11" s="47">
        <v>3</v>
      </c>
      <c r="B11" s="27" t="s">
        <v>21</v>
      </c>
      <c r="C11" s="28" t="s">
        <v>22</v>
      </c>
      <c r="D11" s="14">
        <v>0.92</v>
      </c>
      <c r="E11" s="28" t="s">
        <v>22</v>
      </c>
      <c r="F11" s="14">
        <v>80</v>
      </c>
      <c r="G11" s="24">
        <f t="shared" si="1"/>
        <v>34.079857290896371</v>
      </c>
      <c r="H11" s="25">
        <f t="shared" si="2"/>
        <v>86.956521739130437</v>
      </c>
      <c r="I11" s="26" t="s">
        <v>22</v>
      </c>
    </row>
    <row r="12" spans="1:9" ht="15.75">
      <c r="A12" s="48"/>
      <c r="B12" s="27" t="s">
        <v>23</v>
      </c>
      <c r="C12" s="29" t="s">
        <v>22</v>
      </c>
      <c r="D12" s="17">
        <v>0.92</v>
      </c>
      <c r="E12" s="29" t="s">
        <v>22</v>
      </c>
      <c r="F12" s="17">
        <v>80</v>
      </c>
      <c r="G12" s="15">
        <f t="shared" si="1"/>
        <v>34.079857290896371</v>
      </c>
      <c r="H12" s="15">
        <f t="shared" si="2"/>
        <v>86.956521739130437</v>
      </c>
      <c r="I12" s="18" t="s">
        <v>22</v>
      </c>
    </row>
    <row r="13" spans="1:9" ht="15.75">
      <c r="A13" s="48"/>
      <c r="B13" s="5" t="s">
        <v>24</v>
      </c>
      <c r="C13" s="29" t="s">
        <v>22</v>
      </c>
      <c r="D13" s="17">
        <v>1</v>
      </c>
      <c r="E13" s="29" t="s">
        <v>22</v>
      </c>
      <c r="F13" s="17">
        <v>30</v>
      </c>
      <c r="G13" s="17" t="s">
        <v>22</v>
      </c>
      <c r="H13" s="30" t="s">
        <v>22</v>
      </c>
      <c r="I13" s="18" t="s">
        <v>22</v>
      </c>
    </row>
    <row r="14" spans="1:9" ht="15.75">
      <c r="A14" s="48"/>
      <c r="B14" s="5" t="s">
        <v>25</v>
      </c>
      <c r="C14" s="29" t="s">
        <v>22</v>
      </c>
      <c r="D14" s="17">
        <v>1</v>
      </c>
      <c r="E14" s="29" t="s">
        <v>22</v>
      </c>
      <c r="F14" s="17">
        <v>30</v>
      </c>
      <c r="G14" s="17" t="s">
        <v>22</v>
      </c>
      <c r="H14" s="30" t="s">
        <v>22</v>
      </c>
      <c r="I14" s="18" t="s">
        <v>22</v>
      </c>
    </row>
    <row r="15" spans="1:9" ht="15.75">
      <c r="A15" s="49"/>
      <c r="B15" s="19" t="s">
        <v>26</v>
      </c>
      <c r="C15" s="31" t="s">
        <v>22</v>
      </c>
      <c r="D15" s="20">
        <v>1</v>
      </c>
      <c r="E15" s="31" t="s">
        <v>22</v>
      </c>
      <c r="F15" s="20">
        <v>30</v>
      </c>
      <c r="G15" s="20" t="s">
        <v>22</v>
      </c>
      <c r="H15" s="32" t="s">
        <v>22</v>
      </c>
      <c r="I15" s="23" t="s">
        <v>22</v>
      </c>
    </row>
    <row r="16" spans="1:9" ht="15.75">
      <c r="G16" s="33"/>
      <c r="H16" s="3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:F2"/>
    <mergeCell ref="A4:A7"/>
    <mergeCell ref="A8:A10"/>
    <mergeCell ref="A11:A15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3"/>
  <sheetViews>
    <sheetView workbookViewId="0">
      <selection sqref="A1:J96"/>
    </sheetView>
  </sheetViews>
  <sheetFormatPr defaultColWidth="14.42578125" defaultRowHeight="15" customHeight="1"/>
  <cols>
    <col min="1" max="1" width="6.85546875" customWidth="1"/>
    <col min="2" max="2" width="35.7109375" customWidth="1"/>
    <col min="3" max="3" width="31.85546875" customWidth="1"/>
    <col min="4" max="5" width="41.5703125" customWidth="1"/>
    <col min="6" max="6" width="35.85546875" customWidth="1"/>
    <col min="7" max="7" width="33.140625" customWidth="1"/>
    <col min="8" max="8" width="34.140625" customWidth="1"/>
    <col min="9" max="9" width="43.5703125" customWidth="1"/>
    <col min="10" max="11" width="41.5703125" customWidth="1"/>
  </cols>
  <sheetData>
    <row r="1" spans="1:10" ht="15.75">
      <c r="A1" s="53" t="s">
        <v>1</v>
      </c>
      <c r="B1" s="54" t="s">
        <v>2</v>
      </c>
      <c r="C1" s="54" t="s">
        <v>3</v>
      </c>
      <c r="D1" s="54" t="s">
        <v>8</v>
      </c>
      <c r="E1" s="54" t="s">
        <v>27</v>
      </c>
      <c r="F1" s="54" t="s">
        <v>28</v>
      </c>
      <c r="G1" s="54" t="s">
        <v>29</v>
      </c>
      <c r="H1" s="54" t="s">
        <v>30</v>
      </c>
      <c r="I1" s="54" t="s">
        <v>31</v>
      </c>
      <c r="J1" s="55"/>
    </row>
    <row r="2" spans="1:10" ht="15.75">
      <c r="A2" s="56">
        <v>1</v>
      </c>
      <c r="B2" s="57" t="s">
        <v>10</v>
      </c>
      <c r="C2" s="58">
        <v>60</v>
      </c>
      <c r="D2" s="59">
        <v>50.561797752808985</v>
      </c>
      <c r="E2" s="58" t="s">
        <v>32</v>
      </c>
      <c r="F2" s="60" t="s">
        <v>33</v>
      </c>
      <c r="G2" s="58" t="s">
        <v>34</v>
      </c>
      <c r="H2" s="60" t="s">
        <v>34</v>
      </c>
      <c r="I2" s="58" t="s">
        <v>35</v>
      </c>
      <c r="J2" s="55"/>
    </row>
    <row r="3" spans="1:10" ht="15.75">
      <c r="A3" s="61"/>
      <c r="B3" s="62" t="s">
        <v>12</v>
      </c>
      <c r="C3" s="63">
        <v>150</v>
      </c>
      <c r="D3" s="64">
        <v>125</v>
      </c>
      <c r="E3" s="63" t="s">
        <v>36</v>
      </c>
      <c r="F3" s="60" t="s">
        <v>33</v>
      </c>
      <c r="G3" s="63" t="s">
        <v>37</v>
      </c>
      <c r="H3" s="65" t="s">
        <v>37</v>
      </c>
      <c r="I3" s="66" t="s">
        <v>38</v>
      </c>
      <c r="J3" s="55"/>
    </row>
    <row r="4" spans="1:10" ht="15.75">
      <c r="A4" s="61"/>
      <c r="B4" s="62" t="s">
        <v>13</v>
      </c>
      <c r="C4" s="63">
        <v>20</v>
      </c>
      <c r="D4" s="64">
        <v>17.241379310344829</v>
      </c>
      <c r="E4" s="63" t="s">
        <v>39</v>
      </c>
      <c r="F4" s="60" t="s">
        <v>33</v>
      </c>
      <c r="G4" s="63" t="s">
        <v>40</v>
      </c>
      <c r="H4" s="65" t="s">
        <v>40</v>
      </c>
      <c r="I4" s="63" t="s">
        <v>41</v>
      </c>
      <c r="J4" s="55"/>
    </row>
    <row r="5" spans="1:10" ht="15.75">
      <c r="A5" s="67"/>
      <c r="B5" s="68" t="s">
        <v>14</v>
      </c>
      <c r="C5" s="66">
        <v>150</v>
      </c>
      <c r="D5" s="69">
        <v>130.95238095238096</v>
      </c>
      <c r="E5" s="66" t="s">
        <v>36</v>
      </c>
      <c r="F5" s="60" t="s">
        <v>33</v>
      </c>
      <c r="G5" s="66" t="s">
        <v>42</v>
      </c>
      <c r="H5" s="70" t="s">
        <v>42</v>
      </c>
      <c r="I5" s="66" t="s">
        <v>38</v>
      </c>
      <c r="J5" s="55"/>
    </row>
    <row r="6" spans="1:10" ht="15.75">
      <c r="A6" s="56">
        <v>2</v>
      </c>
      <c r="B6" s="57" t="s">
        <v>16</v>
      </c>
      <c r="C6" s="58">
        <v>20</v>
      </c>
      <c r="D6" s="71">
        <v>18.75</v>
      </c>
      <c r="E6" s="63" t="s">
        <v>39</v>
      </c>
      <c r="F6" s="60" t="s">
        <v>33</v>
      </c>
      <c r="G6" s="58" t="s">
        <v>40</v>
      </c>
      <c r="H6" s="65" t="s">
        <v>40</v>
      </c>
      <c r="I6" s="58" t="s">
        <v>43</v>
      </c>
      <c r="J6" s="55"/>
    </row>
    <row r="7" spans="1:10" ht="15.75">
      <c r="A7" s="61"/>
      <c r="B7" s="62" t="s">
        <v>17</v>
      </c>
      <c r="C7" s="63">
        <v>20</v>
      </c>
      <c r="D7" s="64">
        <v>19.23076923076923</v>
      </c>
      <c r="E7" s="63" t="s">
        <v>39</v>
      </c>
      <c r="F7" s="60" t="s">
        <v>33</v>
      </c>
      <c r="G7" s="63" t="s">
        <v>40</v>
      </c>
      <c r="H7" s="65" t="s">
        <v>40</v>
      </c>
      <c r="I7" s="63" t="s">
        <v>43</v>
      </c>
      <c r="J7" s="55"/>
    </row>
    <row r="8" spans="1:10" ht="15.75">
      <c r="A8" s="67"/>
      <c r="B8" s="68" t="s">
        <v>19</v>
      </c>
      <c r="C8" s="66">
        <v>30</v>
      </c>
      <c r="D8" s="69">
        <v>27.160493827160494</v>
      </c>
      <c r="E8" s="66" t="s">
        <v>44</v>
      </c>
      <c r="F8" s="60" t="s">
        <v>33</v>
      </c>
      <c r="G8" s="66" t="s">
        <v>44</v>
      </c>
      <c r="H8" s="70" t="s">
        <v>44</v>
      </c>
      <c r="I8" s="66" t="s">
        <v>45</v>
      </c>
      <c r="J8" s="55"/>
    </row>
    <row r="9" spans="1:10" ht="15.75">
      <c r="A9" s="56">
        <v>3</v>
      </c>
      <c r="B9" s="57" t="s">
        <v>21</v>
      </c>
      <c r="C9" s="58" t="s">
        <v>22</v>
      </c>
      <c r="D9" s="71">
        <v>86.956521739130437</v>
      </c>
      <c r="E9" s="58" t="s">
        <v>46</v>
      </c>
      <c r="F9" s="60" t="s">
        <v>33</v>
      </c>
      <c r="G9" s="58" t="s">
        <v>47</v>
      </c>
      <c r="H9" s="60" t="s">
        <v>47</v>
      </c>
      <c r="I9" s="72" t="s">
        <v>48</v>
      </c>
      <c r="J9" s="55"/>
    </row>
    <row r="10" spans="1:10" ht="15.75">
      <c r="A10" s="61"/>
      <c r="B10" s="62" t="s">
        <v>23</v>
      </c>
      <c r="C10" s="63" t="s">
        <v>22</v>
      </c>
      <c r="D10" s="64">
        <v>86.956521739130437</v>
      </c>
      <c r="E10" s="63" t="s">
        <v>46</v>
      </c>
      <c r="F10" s="60" t="s">
        <v>33</v>
      </c>
      <c r="G10" s="63" t="s">
        <v>47</v>
      </c>
      <c r="H10" s="65" t="s">
        <v>47</v>
      </c>
      <c r="I10" s="73" t="s">
        <v>48</v>
      </c>
      <c r="J10" s="55"/>
    </row>
    <row r="11" spans="1:10" ht="15.75">
      <c r="A11" s="61"/>
      <c r="B11" s="62" t="s">
        <v>24</v>
      </c>
      <c r="C11" s="63" t="s">
        <v>22</v>
      </c>
      <c r="D11" s="63">
        <v>30</v>
      </c>
      <c r="E11" s="63" t="s">
        <v>44</v>
      </c>
      <c r="F11" s="60" t="s">
        <v>33</v>
      </c>
      <c r="G11" s="63" t="s">
        <v>44</v>
      </c>
      <c r="H11" s="63" t="s">
        <v>44</v>
      </c>
      <c r="I11" s="63" t="s">
        <v>49</v>
      </c>
      <c r="J11" s="55"/>
    </row>
    <row r="12" spans="1:10" ht="15.75">
      <c r="A12" s="61"/>
      <c r="B12" s="62" t="s">
        <v>25</v>
      </c>
      <c r="C12" s="63" t="s">
        <v>22</v>
      </c>
      <c r="D12" s="63">
        <v>30</v>
      </c>
      <c r="E12" s="63" t="s">
        <v>44</v>
      </c>
      <c r="F12" s="60" t="s">
        <v>33</v>
      </c>
      <c r="G12" s="63" t="s">
        <v>44</v>
      </c>
      <c r="H12" s="63" t="s">
        <v>44</v>
      </c>
      <c r="I12" s="63" t="s">
        <v>49</v>
      </c>
      <c r="J12" s="55"/>
    </row>
    <row r="13" spans="1:10" ht="15.75">
      <c r="A13" s="67"/>
      <c r="B13" s="68" t="s">
        <v>26</v>
      </c>
      <c r="C13" s="66" t="s">
        <v>22</v>
      </c>
      <c r="D13" s="66">
        <v>30</v>
      </c>
      <c r="E13" s="66" t="s">
        <v>44</v>
      </c>
      <c r="F13" s="60" t="s">
        <v>33</v>
      </c>
      <c r="G13" s="66" t="s">
        <v>44</v>
      </c>
      <c r="H13" s="66" t="s">
        <v>44</v>
      </c>
      <c r="I13" s="66" t="s">
        <v>49</v>
      </c>
      <c r="J13" s="55"/>
    </row>
    <row r="14" spans="1:10" ht="1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</row>
    <row r="15" spans="1:10" ht="15.75">
      <c r="A15" s="55"/>
      <c r="B15" s="74" t="s">
        <v>50</v>
      </c>
      <c r="C15" s="75">
        <v>1</v>
      </c>
      <c r="D15" s="75" t="s">
        <v>51</v>
      </c>
      <c r="E15" s="55"/>
      <c r="F15" s="76"/>
      <c r="G15" s="55"/>
      <c r="H15" s="55"/>
      <c r="I15" s="55"/>
      <c r="J15" s="55"/>
    </row>
    <row r="16" spans="1:10" ht="15.75">
      <c r="A16" s="55"/>
      <c r="B16" s="74" t="s">
        <v>52</v>
      </c>
      <c r="C16" s="75">
        <v>1.1200000000000001</v>
      </c>
      <c r="D16" s="75" t="s">
        <v>53</v>
      </c>
      <c r="E16" s="55"/>
      <c r="F16" s="76"/>
      <c r="G16" s="55"/>
      <c r="H16" s="55"/>
      <c r="I16" s="55"/>
      <c r="J16" s="55"/>
    </row>
    <row r="17" spans="1:10" ht="15.75">
      <c r="A17" s="55"/>
      <c r="B17" s="74" t="s">
        <v>54</v>
      </c>
      <c r="C17" s="75" t="s">
        <v>55</v>
      </c>
      <c r="D17" s="75" t="s">
        <v>56</v>
      </c>
      <c r="E17" s="55"/>
      <c r="F17" s="76"/>
      <c r="G17" s="55"/>
      <c r="H17" s="55"/>
      <c r="I17" s="55"/>
      <c r="J17" s="55"/>
    </row>
    <row r="18" spans="1:10">
      <c r="A18" s="55"/>
      <c r="B18" s="76"/>
      <c r="C18" s="76"/>
      <c r="D18" s="76"/>
      <c r="E18" s="76"/>
      <c r="F18" s="76"/>
      <c r="G18" s="55"/>
      <c r="H18" s="55"/>
      <c r="I18" s="55"/>
      <c r="J18" s="55"/>
    </row>
    <row r="19" spans="1:10" ht="15.75">
      <c r="A19" s="55"/>
      <c r="B19" s="77" t="s">
        <v>57</v>
      </c>
      <c r="C19" s="78"/>
      <c r="D19" s="78"/>
      <c r="E19" s="78"/>
      <c r="F19" s="79"/>
      <c r="G19" s="55"/>
      <c r="H19" s="55"/>
      <c r="I19" s="55"/>
      <c r="J19" s="55"/>
    </row>
    <row r="20" spans="1:10" ht="43.5" customHeight="1">
      <c r="A20" s="55"/>
      <c r="B20" s="80" t="s">
        <v>2</v>
      </c>
      <c r="C20" s="81" t="s">
        <v>58</v>
      </c>
      <c r="D20" s="81" t="s">
        <v>59</v>
      </c>
      <c r="E20" s="82" t="s">
        <v>60</v>
      </c>
      <c r="F20" s="82" t="s">
        <v>61</v>
      </c>
      <c r="G20" s="55"/>
      <c r="H20" s="55"/>
      <c r="I20" s="55"/>
      <c r="J20" s="55"/>
    </row>
    <row r="21" spans="1:10" ht="15.75">
      <c r="A21" s="55"/>
      <c r="B21" s="57" t="s">
        <v>10</v>
      </c>
      <c r="C21" s="83">
        <v>69.8</v>
      </c>
      <c r="D21" s="83">
        <f t="shared" ref="D21:D27" si="0">C21*1.158</f>
        <v>80.828399999999988</v>
      </c>
      <c r="E21" s="84" t="s">
        <v>62</v>
      </c>
      <c r="F21" s="85">
        <f>99*C16*C15</f>
        <v>110.88000000000001</v>
      </c>
      <c r="G21" s="55"/>
      <c r="H21" s="55"/>
      <c r="I21" s="55"/>
      <c r="J21" s="55"/>
    </row>
    <row r="22" spans="1:10" ht="15.75" customHeight="1">
      <c r="A22" s="55"/>
      <c r="B22" s="62" t="s">
        <v>12</v>
      </c>
      <c r="C22" s="83">
        <v>171</v>
      </c>
      <c r="D22" s="83">
        <f t="shared" si="0"/>
        <v>198.01799999999997</v>
      </c>
      <c r="E22" s="86" t="s">
        <v>63</v>
      </c>
      <c r="F22" s="87">
        <f>206*C15*C16</f>
        <v>230.72000000000003</v>
      </c>
      <c r="G22" s="55"/>
      <c r="H22" s="55"/>
      <c r="I22" s="55"/>
      <c r="J22" s="55"/>
    </row>
    <row r="23" spans="1:10" ht="15.75" customHeight="1">
      <c r="A23" s="55"/>
      <c r="B23" s="62" t="s">
        <v>13</v>
      </c>
      <c r="C23" s="83">
        <v>24.5</v>
      </c>
      <c r="D23" s="83">
        <f t="shared" si="0"/>
        <v>28.370999999999999</v>
      </c>
      <c r="E23" s="86" t="s">
        <v>64</v>
      </c>
      <c r="F23" s="87">
        <f>34*C15*C16</f>
        <v>38.080000000000005</v>
      </c>
      <c r="G23" s="55"/>
      <c r="H23" s="55"/>
      <c r="I23" s="55"/>
      <c r="J23" s="55"/>
    </row>
    <row r="24" spans="1:10" ht="15.75" customHeight="1">
      <c r="A24" s="55"/>
      <c r="B24" s="68" t="s">
        <v>14</v>
      </c>
      <c r="C24" s="88">
        <v>178</v>
      </c>
      <c r="D24" s="88">
        <f t="shared" si="0"/>
        <v>206.124</v>
      </c>
      <c r="E24" s="89" t="s">
        <v>65</v>
      </c>
      <c r="F24" s="90">
        <f>236*C15*C16</f>
        <v>264.32000000000005</v>
      </c>
      <c r="G24" s="55"/>
      <c r="H24" s="55"/>
      <c r="I24" s="55"/>
      <c r="J24" s="55"/>
    </row>
    <row r="25" spans="1:10" ht="15.75" customHeight="1">
      <c r="A25" s="55"/>
      <c r="B25" s="57" t="s">
        <v>16</v>
      </c>
      <c r="C25" s="83">
        <v>26.3</v>
      </c>
      <c r="D25" s="83">
        <f t="shared" si="0"/>
        <v>30.455399999999997</v>
      </c>
      <c r="E25" s="84" t="s">
        <v>64</v>
      </c>
      <c r="F25" s="85">
        <f>34*C15*C16</f>
        <v>38.080000000000005</v>
      </c>
      <c r="G25" s="55"/>
      <c r="H25" s="55"/>
      <c r="I25" s="55"/>
      <c r="J25" s="55"/>
    </row>
    <row r="26" spans="1:10" ht="15.75" customHeight="1">
      <c r="A26" s="55"/>
      <c r="B26" s="62" t="s">
        <v>17</v>
      </c>
      <c r="C26" s="83">
        <v>27.2</v>
      </c>
      <c r="D26" s="83">
        <f t="shared" si="0"/>
        <v>31.497599999999998</v>
      </c>
      <c r="E26" s="86" t="s">
        <v>64</v>
      </c>
      <c r="F26" s="87">
        <f>34*C15*C16</f>
        <v>38.080000000000005</v>
      </c>
      <c r="G26" s="55"/>
      <c r="H26" s="55"/>
      <c r="I26" s="55"/>
      <c r="J26" s="55"/>
    </row>
    <row r="27" spans="1:10" ht="15.75" customHeight="1">
      <c r="A27" s="55"/>
      <c r="B27" s="68" t="s">
        <v>19</v>
      </c>
      <c r="C27" s="88">
        <v>38.6</v>
      </c>
      <c r="D27" s="83">
        <f t="shared" si="0"/>
        <v>44.698799999999999</v>
      </c>
      <c r="E27" s="89" t="s">
        <v>66</v>
      </c>
      <c r="F27" s="90">
        <f>46*C15*C16</f>
        <v>51.52</v>
      </c>
      <c r="G27" s="55"/>
      <c r="H27" s="55"/>
      <c r="I27" s="55"/>
      <c r="J27" s="55"/>
    </row>
    <row r="28" spans="1:10" ht="15.75" customHeight="1">
      <c r="A28" s="55"/>
      <c r="B28" s="91"/>
      <c r="C28" s="91" t="s">
        <v>67</v>
      </c>
      <c r="D28" s="92"/>
      <c r="E28" s="93" t="s">
        <v>68</v>
      </c>
      <c r="F28" s="82"/>
      <c r="G28" s="55"/>
      <c r="H28" s="55"/>
      <c r="I28" s="55"/>
      <c r="J28" s="55"/>
    </row>
    <row r="29" spans="1:10" ht="15.75" customHeight="1">
      <c r="A29" s="55"/>
      <c r="B29" s="94" t="s">
        <v>69</v>
      </c>
      <c r="C29" s="95">
        <f>('1 - Dados iniciais de cargas'!F11/(SQRT(3)*380*'1 - Dados iniciais de cargas'!D11))*1000</f>
        <v>132.11676640494869</v>
      </c>
      <c r="D29" s="96" t="s">
        <v>22</v>
      </c>
      <c r="E29" s="96" t="s">
        <v>70</v>
      </c>
      <c r="F29" s="85">
        <f>149*C15*C16</f>
        <v>166.88000000000002</v>
      </c>
      <c r="G29" s="55"/>
      <c r="H29" s="55"/>
      <c r="I29" s="55"/>
      <c r="J29" s="55"/>
    </row>
    <row r="30" spans="1:10" ht="15.75" customHeight="1">
      <c r="A30" s="55"/>
      <c r="B30" s="97" t="s">
        <v>71</v>
      </c>
      <c r="C30" s="95">
        <f>('1 - Dados iniciais de cargas'!F12/(SQRT(3)*380*'1 - Dados iniciais de cargas'!D12))*1000</f>
        <v>132.11676640494869</v>
      </c>
      <c r="D30" s="98" t="s">
        <v>22</v>
      </c>
      <c r="E30" s="98" t="s">
        <v>70</v>
      </c>
      <c r="F30" s="87">
        <f>149*C15*C16</f>
        <v>166.88000000000002</v>
      </c>
      <c r="G30" s="55"/>
      <c r="H30" s="55"/>
      <c r="I30" s="55"/>
      <c r="J30" s="55"/>
    </row>
    <row r="31" spans="1:10" ht="15.75" customHeight="1">
      <c r="A31" s="55"/>
      <c r="B31" s="97" t="s">
        <v>24</v>
      </c>
      <c r="C31" s="95">
        <f>('1 - Dados iniciais de cargas'!F13/(SQRT(3)*380*'1 - Dados iniciais de cargas'!D13))*1000</f>
        <v>45.580284409707303</v>
      </c>
      <c r="D31" s="98" t="s">
        <v>22</v>
      </c>
      <c r="E31" s="98" t="s">
        <v>72</v>
      </c>
      <c r="F31" s="87">
        <f>46*C15*C16</f>
        <v>51.52</v>
      </c>
      <c r="G31" s="55"/>
      <c r="H31" s="55"/>
      <c r="I31" s="55"/>
      <c r="J31" s="55"/>
    </row>
    <row r="32" spans="1:10" ht="15.75" customHeight="1">
      <c r="A32" s="55"/>
      <c r="B32" s="97" t="s">
        <v>25</v>
      </c>
      <c r="C32" s="95">
        <f>('1 - Dados iniciais de cargas'!F14/(SQRT(3)*380*'1 - Dados iniciais de cargas'!D14))*1000</f>
        <v>45.580284409707303</v>
      </c>
      <c r="D32" s="98" t="s">
        <v>22</v>
      </c>
      <c r="E32" s="98" t="s">
        <v>72</v>
      </c>
      <c r="F32" s="87">
        <f>46*C15*C16</f>
        <v>51.52</v>
      </c>
      <c r="G32" s="55"/>
      <c r="H32" s="55"/>
      <c r="I32" s="55"/>
      <c r="J32" s="55"/>
    </row>
    <row r="33" spans="1:10" ht="15.75" customHeight="1">
      <c r="A33" s="55"/>
      <c r="B33" s="99" t="s">
        <v>26</v>
      </c>
      <c r="C33" s="100">
        <f>('1 - Dados iniciais de cargas'!F15/(SQRT(3)*380*'1 - Dados iniciais de cargas'!D15))*1000</f>
        <v>45.580284409707303</v>
      </c>
      <c r="D33" s="101" t="s">
        <v>22</v>
      </c>
      <c r="E33" s="101" t="s">
        <v>72</v>
      </c>
      <c r="F33" s="90">
        <f>46*C15*C16</f>
        <v>51.52</v>
      </c>
      <c r="G33" s="55"/>
      <c r="H33" s="55"/>
      <c r="I33" s="55"/>
      <c r="J33" s="55"/>
    </row>
    <row r="34" spans="1:10" ht="15.7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</row>
    <row r="35" spans="1:10" ht="15.7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</row>
    <row r="36" spans="1:10" ht="15.75" customHeight="1">
      <c r="A36" s="55"/>
      <c r="B36" s="102" t="s">
        <v>73</v>
      </c>
      <c r="C36" s="102">
        <v>5</v>
      </c>
      <c r="D36" s="55"/>
      <c r="E36" s="55"/>
      <c r="F36" s="55"/>
      <c r="G36" s="55"/>
      <c r="H36" s="55"/>
      <c r="I36" s="55"/>
      <c r="J36" s="55"/>
    </row>
    <row r="37" spans="1:10" ht="15.7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15.75" customHeight="1">
      <c r="A38" s="55"/>
      <c r="B38" s="77" t="s">
        <v>74</v>
      </c>
      <c r="C38" s="78"/>
      <c r="D38" s="78"/>
      <c r="E38" s="78"/>
      <c r="F38" s="78"/>
      <c r="G38" s="79"/>
      <c r="H38" s="103"/>
      <c r="I38" s="103"/>
      <c r="J38" s="55"/>
    </row>
    <row r="39" spans="1:10" ht="32.25" customHeight="1">
      <c r="A39" s="55"/>
      <c r="B39" s="80" t="s">
        <v>2</v>
      </c>
      <c r="C39" s="104" t="s">
        <v>75</v>
      </c>
      <c r="D39" s="68" t="s">
        <v>76</v>
      </c>
      <c r="E39" s="68" t="s">
        <v>77</v>
      </c>
      <c r="F39" s="68" t="s">
        <v>78</v>
      </c>
      <c r="G39" s="82" t="s">
        <v>79</v>
      </c>
      <c r="H39" s="55"/>
      <c r="I39" s="55"/>
      <c r="J39" s="55"/>
    </row>
    <row r="40" spans="1:10" ht="15.75" customHeight="1">
      <c r="A40" s="55"/>
      <c r="B40" s="105" t="s">
        <v>10</v>
      </c>
      <c r="C40" s="85">
        <f t="shared" ref="C40:C46" si="1">D21</f>
        <v>80.828399999999988</v>
      </c>
      <c r="D40" s="58">
        <v>0.89</v>
      </c>
      <c r="E40" s="58">
        <v>25</v>
      </c>
      <c r="F40" s="85">
        <f>(SQRT(3)*C40*C36*D40)/(56*E40)</f>
        <v>0.44499648925037566</v>
      </c>
      <c r="G40" s="85">
        <f t="shared" ref="G40:G51" si="2">(F40/380)*100</f>
        <v>0.11710433927641464</v>
      </c>
      <c r="H40" s="55"/>
      <c r="I40" s="55"/>
      <c r="J40" s="55"/>
    </row>
    <row r="41" spans="1:10" ht="15.75" customHeight="1">
      <c r="A41" s="55"/>
      <c r="B41" s="62" t="s">
        <v>12</v>
      </c>
      <c r="C41" s="85">
        <f t="shared" si="1"/>
        <v>198.01799999999997</v>
      </c>
      <c r="D41" s="63">
        <v>0.88</v>
      </c>
      <c r="E41" s="63">
        <v>95</v>
      </c>
      <c r="F41" s="85">
        <f>(SQRT(3)*C41*C36*D41)/(56*E41)</f>
        <v>0.28366538383044454</v>
      </c>
      <c r="G41" s="85">
        <f t="shared" si="2"/>
        <v>7.4648785218538044E-2</v>
      </c>
      <c r="H41" s="55"/>
      <c r="I41" s="55"/>
      <c r="J41" s="55"/>
    </row>
    <row r="42" spans="1:10" ht="15.75" customHeight="1">
      <c r="A42" s="55"/>
      <c r="B42" s="62" t="s">
        <v>13</v>
      </c>
      <c r="C42" s="85">
        <f t="shared" si="1"/>
        <v>28.370999999999999</v>
      </c>
      <c r="D42" s="63">
        <v>0.87</v>
      </c>
      <c r="E42" s="63">
        <v>4</v>
      </c>
      <c r="F42" s="85">
        <f>(SQRT(3)*C42*C36*D42)/(56*E42)</f>
        <v>0.95428151141823336</v>
      </c>
      <c r="G42" s="85">
        <f t="shared" si="2"/>
        <v>0.25112671353111404</v>
      </c>
      <c r="H42" s="55"/>
      <c r="I42" s="55"/>
      <c r="J42" s="55"/>
    </row>
    <row r="43" spans="1:10" ht="15.75" customHeight="1">
      <c r="A43" s="55"/>
      <c r="B43" s="68" t="s">
        <v>14</v>
      </c>
      <c r="C43" s="106">
        <f t="shared" si="1"/>
        <v>206.124</v>
      </c>
      <c r="D43" s="66">
        <v>0.84</v>
      </c>
      <c r="E43" s="66">
        <v>95</v>
      </c>
      <c r="F43" s="106">
        <f>(SQRT(3)*C43*C36*D43)/(56*E43)</f>
        <v>0.28185571630999517</v>
      </c>
      <c r="G43" s="106">
        <f t="shared" si="2"/>
        <v>7.4172556923682936E-2</v>
      </c>
      <c r="H43" s="55"/>
      <c r="I43" s="55"/>
      <c r="J43" s="55"/>
    </row>
    <row r="44" spans="1:10" ht="15.75" customHeight="1">
      <c r="A44" s="55"/>
      <c r="B44" s="57" t="s">
        <v>16</v>
      </c>
      <c r="C44" s="85">
        <f t="shared" si="1"/>
        <v>30.455399999999997</v>
      </c>
      <c r="D44" s="58">
        <v>0.8</v>
      </c>
      <c r="E44" s="58">
        <v>4</v>
      </c>
      <c r="F44" s="85">
        <f>(SQRT(3)*C44*C36*D44)/(56*E44)</f>
        <v>0.9419696458005925</v>
      </c>
      <c r="G44" s="85">
        <f t="shared" si="2"/>
        <v>0.24788674889489279</v>
      </c>
      <c r="H44" s="55"/>
      <c r="I44" s="55"/>
      <c r="J44" s="55"/>
    </row>
    <row r="45" spans="1:10" ht="15.75" customHeight="1">
      <c r="A45" s="55"/>
      <c r="B45" s="62" t="s">
        <v>17</v>
      </c>
      <c r="C45" s="85">
        <f t="shared" si="1"/>
        <v>31.497599999999998</v>
      </c>
      <c r="D45" s="63">
        <v>0.78</v>
      </c>
      <c r="E45" s="63">
        <v>4</v>
      </c>
      <c r="F45" s="85">
        <f>(SQRT(3)*C45*C36*D45)/(56*E45)</f>
        <v>0.94984923979588243</v>
      </c>
      <c r="G45" s="85">
        <f t="shared" si="2"/>
        <v>0.24996032626207432</v>
      </c>
      <c r="H45" s="55"/>
      <c r="I45" s="55"/>
      <c r="J45" s="55"/>
    </row>
    <row r="46" spans="1:10" ht="15.75" customHeight="1">
      <c r="A46" s="55"/>
      <c r="B46" s="68" t="s">
        <v>19</v>
      </c>
      <c r="C46" s="106">
        <f t="shared" si="1"/>
        <v>44.698799999999999</v>
      </c>
      <c r="D46" s="66">
        <v>0.81</v>
      </c>
      <c r="E46" s="66">
        <v>10</v>
      </c>
      <c r="F46" s="106">
        <f>(SQRT(3)*C46*C36*D46)/(56*E46)</f>
        <v>0.55991678603804806</v>
      </c>
      <c r="G46" s="106">
        <f t="shared" si="2"/>
        <v>0.14734652264159159</v>
      </c>
      <c r="H46" s="55"/>
      <c r="I46" s="55"/>
      <c r="J46" s="55"/>
    </row>
    <row r="47" spans="1:10" ht="15.75" customHeight="1">
      <c r="A47" s="55"/>
      <c r="B47" s="105" t="s">
        <v>21</v>
      </c>
      <c r="C47" s="85">
        <f t="shared" ref="C47:C51" si="3">C29</f>
        <v>132.11676640494869</v>
      </c>
      <c r="D47" s="58">
        <v>0.92</v>
      </c>
      <c r="E47" s="58">
        <v>50</v>
      </c>
      <c r="F47" s="85">
        <f>(SQRT(3)*C47*C36*1)/(56*E47)</f>
        <v>0.40863027133050017</v>
      </c>
      <c r="G47" s="85">
        <f t="shared" si="2"/>
        <v>0.10753428192907899</v>
      </c>
      <c r="H47" s="55"/>
      <c r="I47" s="55"/>
      <c r="J47" s="55"/>
    </row>
    <row r="48" spans="1:10" ht="15.75" customHeight="1">
      <c r="A48" s="55"/>
      <c r="B48" s="62" t="s">
        <v>23</v>
      </c>
      <c r="C48" s="85">
        <f t="shared" si="3"/>
        <v>132.11676640494869</v>
      </c>
      <c r="D48" s="63">
        <v>0.92</v>
      </c>
      <c r="E48" s="63">
        <v>50</v>
      </c>
      <c r="F48" s="85">
        <f>(SQRT(3)*C48*C36*1)/(56*E48)</f>
        <v>0.40863027133050017</v>
      </c>
      <c r="G48" s="85">
        <f t="shared" si="2"/>
        <v>0.10753428192907899</v>
      </c>
      <c r="H48" s="55"/>
      <c r="I48" s="55"/>
      <c r="J48" s="55"/>
    </row>
    <row r="49" spans="1:10" ht="15.75" customHeight="1">
      <c r="A49" s="55"/>
      <c r="B49" s="62" t="s">
        <v>24</v>
      </c>
      <c r="C49" s="85">
        <f t="shared" si="3"/>
        <v>45.580284409707303</v>
      </c>
      <c r="D49" s="63">
        <v>1</v>
      </c>
      <c r="E49" s="63">
        <v>10</v>
      </c>
      <c r="F49" s="85">
        <f>(SQRT(3)*C49*C36*1)/(56*E49)</f>
        <v>0.7048872180451129</v>
      </c>
      <c r="G49" s="85">
        <f t="shared" si="2"/>
        <v>0.18549663632766128</v>
      </c>
      <c r="H49" s="55"/>
      <c r="I49" s="55"/>
      <c r="J49" s="55"/>
    </row>
    <row r="50" spans="1:10" ht="15.75" customHeight="1">
      <c r="A50" s="55"/>
      <c r="B50" s="62" t="s">
        <v>25</v>
      </c>
      <c r="C50" s="85">
        <f t="shared" si="3"/>
        <v>45.580284409707303</v>
      </c>
      <c r="D50" s="63">
        <v>1</v>
      </c>
      <c r="E50" s="63">
        <v>10</v>
      </c>
      <c r="F50" s="85">
        <f>(SQRT(3)*C50*C36*1)/(56*E50)</f>
        <v>0.7048872180451129</v>
      </c>
      <c r="G50" s="85">
        <f t="shared" si="2"/>
        <v>0.18549663632766128</v>
      </c>
      <c r="H50" s="55"/>
      <c r="I50" s="55"/>
      <c r="J50" s="55"/>
    </row>
    <row r="51" spans="1:10" ht="15.75" customHeight="1">
      <c r="A51" s="55"/>
      <c r="B51" s="68" t="s">
        <v>26</v>
      </c>
      <c r="C51" s="106">
        <f t="shared" si="3"/>
        <v>45.580284409707303</v>
      </c>
      <c r="D51" s="66">
        <v>1</v>
      </c>
      <c r="E51" s="66">
        <v>10</v>
      </c>
      <c r="F51" s="106">
        <f>(SQRT(3)*C51*C36*1)/(56*E51)</f>
        <v>0.7048872180451129</v>
      </c>
      <c r="G51" s="106">
        <f t="shared" si="2"/>
        <v>0.18549663632766128</v>
      </c>
      <c r="H51" s="55"/>
      <c r="I51" s="55"/>
      <c r="J51" s="55"/>
    </row>
    <row r="52" spans="1:10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</row>
    <row r="82" spans="1:10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</row>
    <row r="84" spans="1:10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</row>
    <row r="85" spans="1:10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</row>
    <row r="86" spans="1:10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</row>
    <row r="87" spans="1:10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</row>
    <row r="88" spans="1:10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</row>
    <row r="89" spans="1:10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</row>
    <row r="90" spans="1:10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</row>
    <row r="91" spans="1:10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</row>
    <row r="92" spans="1:10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</row>
    <row r="93" spans="1:10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</row>
    <row r="94" spans="1:10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</row>
    <row r="95" spans="1:10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</row>
    <row r="96" spans="1:10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2:A5"/>
    <mergeCell ref="A6:A8"/>
    <mergeCell ref="A9:A13"/>
    <mergeCell ref="B19:F19"/>
    <mergeCell ref="B38:G38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4"/>
  <sheetViews>
    <sheetView workbookViewId="0">
      <selection sqref="A1:N248"/>
    </sheetView>
  </sheetViews>
  <sheetFormatPr defaultColWidth="14.42578125" defaultRowHeight="15" customHeight="1"/>
  <cols>
    <col min="1" max="1" width="6.85546875" customWidth="1"/>
    <col min="2" max="2" width="42.85546875" customWidth="1"/>
    <col min="3" max="3" width="35" customWidth="1"/>
    <col min="4" max="5" width="43.5703125" customWidth="1"/>
    <col min="6" max="6" width="36.85546875" customWidth="1"/>
    <col min="7" max="7" width="32" customWidth="1"/>
    <col min="8" max="8" width="57.28515625" customWidth="1"/>
    <col min="9" max="9" width="33.140625" customWidth="1"/>
    <col min="10" max="10" width="33.7109375" customWidth="1"/>
  </cols>
  <sheetData>
    <row r="1" spans="1:14" ht="15.75">
      <c r="A1" s="54" t="s">
        <v>1</v>
      </c>
      <c r="B1" s="54" t="s">
        <v>6</v>
      </c>
      <c r="C1" s="54" t="s">
        <v>7</v>
      </c>
      <c r="D1" s="54" t="s">
        <v>8</v>
      </c>
      <c r="E1" s="54" t="s">
        <v>29</v>
      </c>
      <c r="F1" s="54" t="s">
        <v>27</v>
      </c>
      <c r="G1" s="54" t="s">
        <v>28</v>
      </c>
      <c r="H1" s="54" t="s">
        <v>30</v>
      </c>
      <c r="I1" s="54" t="s">
        <v>80</v>
      </c>
      <c r="J1" s="55"/>
      <c r="K1" s="55"/>
      <c r="L1" s="55"/>
      <c r="M1" s="55"/>
      <c r="N1" s="55"/>
    </row>
    <row r="2" spans="1:14" ht="15.75">
      <c r="A2" s="57">
        <v>1</v>
      </c>
      <c r="B2" s="58">
        <f>SUM('1 - Dados iniciais de cargas'!F4:F7)</f>
        <v>280</v>
      </c>
      <c r="C2" s="71">
        <f>SUM('1 - Dados iniciais de cargas'!G4:G7)</f>
        <v>161.97976678794163</v>
      </c>
      <c r="D2" s="71">
        <f t="shared" ref="D2:D4" si="0">E9</f>
        <v>323.47711642197498</v>
      </c>
      <c r="E2" s="58" t="s">
        <v>81</v>
      </c>
      <c r="F2" s="107" t="s">
        <v>82</v>
      </c>
      <c r="G2" s="60" t="s">
        <v>33</v>
      </c>
      <c r="H2" s="108" t="s">
        <v>83</v>
      </c>
      <c r="I2" s="60" t="s">
        <v>84</v>
      </c>
      <c r="J2" s="55"/>
      <c r="K2" s="55"/>
      <c r="L2" s="55"/>
      <c r="M2" s="55"/>
      <c r="N2" s="55"/>
    </row>
    <row r="3" spans="1:14" ht="45" customHeight="1">
      <c r="A3" s="62">
        <v>2</v>
      </c>
      <c r="B3" s="63">
        <f>SUM('1 - Dados iniciais de cargas'!F8:F10)</f>
        <v>52</v>
      </c>
      <c r="C3" s="64">
        <f>SUM('1 - Dados iniciais de cargas'!G8:G10)</f>
        <v>39.211946460434902</v>
      </c>
      <c r="D3" s="95">
        <f t="shared" si="0"/>
        <v>65.12738859509119</v>
      </c>
      <c r="E3" s="63" t="s">
        <v>46</v>
      </c>
      <c r="F3" s="63" t="s">
        <v>34</v>
      </c>
      <c r="G3" s="60" t="s">
        <v>33</v>
      </c>
      <c r="H3" s="63" t="s">
        <v>46</v>
      </c>
      <c r="I3" s="65" t="s">
        <v>85</v>
      </c>
      <c r="J3" s="55"/>
      <c r="K3" s="55"/>
      <c r="L3" s="55"/>
      <c r="M3" s="55"/>
      <c r="N3" s="55"/>
    </row>
    <row r="4" spans="1:14" ht="15.75">
      <c r="A4" s="62">
        <v>3</v>
      </c>
      <c r="B4" s="63">
        <f>SUM('1 - Dados iniciais de cargas'!F11:F15)</f>
        <v>250</v>
      </c>
      <c r="C4" s="64">
        <f>SUM('1 - Dados iniciais de cargas'!G11:G15)</f>
        <v>68.159714581792741</v>
      </c>
      <c r="D4" s="95">
        <f t="shared" si="0"/>
        <v>259.12496346718785</v>
      </c>
      <c r="E4" s="63" t="s">
        <v>86</v>
      </c>
      <c r="F4" s="63" t="s">
        <v>87</v>
      </c>
      <c r="G4" s="60" t="s">
        <v>33</v>
      </c>
      <c r="H4" s="65" t="s">
        <v>86</v>
      </c>
      <c r="I4" s="65" t="s">
        <v>88</v>
      </c>
      <c r="J4" s="55"/>
      <c r="K4" s="55"/>
      <c r="L4" s="55"/>
      <c r="M4" s="55"/>
      <c r="N4" s="55"/>
    </row>
    <row r="5" spans="1:14" ht="15.75">
      <c r="A5" s="109" t="s">
        <v>89</v>
      </c>
      <c r="B5" s="110">
        <f t="shared" ref="B5:D5" si="1">SUM(B2:B4)</f>
        <v>582</v>
      </c>
      <c r="C5" s="111">
        <f t="shared" si="1"/>
        <v>269.35142783016926</v>
      </c>
      <c r="D5" s="111">
        <f t="shared" si="1"/>
        <v>647.72946848425408</v>
      </c>
      <c r="E5" s="112"/>
      <c r="F5" s="112"/>
      <c r="G5" s="112"/>
      <c r="H5" s="112"/>
      <c r="I5" s="112"/>
      <c r="J5" s="55"/>
      <c r="K5" s="55"/>
      <c r="L5" s="55"/>
      <c r="M5" s="55"/>
      <c r="N5" s="55"/>
    </row>
    <row r="6" spans="1:14" ht="15.75">
      <c r="A6" s="55"/>
      <c r="B6" s="113"/>
      <c r="C6" s="113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ht="15.75">
      <c r="A7" s="55"/>
      <c r="B7" s="114" t="s">
        <v>90</v>
      </c>
      <c r="C7" s="79"/>
      <c r="D7" s="115"/>
      <c r="E7" s="112"/>
      <c r="F7" s="112"/>
      <c r="G7" s="55"/>
      <c r="H7" s="55"/>
      <c r="I7" s="55"/>
      <c r="J7" s="55"/>
      <c r="K7" s="55"/>
      <c r="L7" s="55"/>
      <c r="M7" s="55"/>
      <c r="N7" s="55"/>
    </row>
    <row r="8" spans="1:14" ht="15.75">
      <c r="A8" s="55"/>
      <c r="B8" s="116" t="s">
        <v>1</v>
      </c>
      <c r="C8" s="117" t="str">
        <f t="shared" ref="C8:D8" si="2">B1</f>
        <v>Potência ativa (kW)</v>
      </c>
      <c r="D8" s="118" t="str">
        <f t="shared" si="2"/>
        <v>Potência reativa (kVAr)</v>
      </c>
      <c r="E8" s="118" t="s">
        <v>91</v>
      </c>
      <c r="F8" s="118" t="s">
        <v>92</v>
      </c>
      <c r="G8" s="55"/>
      <c r="H8" s="55"/>
      <c r="I8" s="55"/>
      <c r="J8" s="55"/>
      <c r="K8" s="55"/>
      <c r="L8" s="55"/>
      <c r="M8" s="55"/>
      <c r="N8" s="55"/>
    </row>
    <row r="9" spans="1:14" ht="15.75">
      <c r="A9" s="55"/>
      <c r="B9" s="62" t="s">
        <v>93</v>
      </c>
      <c r="C9" s="119">
        <f t="shared" ref="C9:D9" si="3">B2</f>
        <v>280</v>
      </c>
      <c r="D9" s="119">
        <f t="shared" si="3"/>
        <v>161.97976678794163</v>
      </c>
      <c r="E9" s="119">
        <f t="shared" ref="E9:E11" si="4">SQRT(C9^2+D9^2)</f>
        <v>323.47711642197498</v>
      </c>
      <c r="F9" s="120">
        <f t="shared" ref="F9:F11" si="5">C9/E9</f>
        <v>0.86559446027316744</v>
      </c>
      <c r="G9" s="121"/>
      <c r="H9" s="55"/>
      <c r="I9" s="55"/>
      <c r="J9" s="55"/>
      <c r="K9" s="55"/>
      <c r="L9" s="55"/>
      <c r="M9" s="55"/>
      <c r="N9" s="55"/>
    </row>
    <row r="10" spans="1:14" ht="15.75">
      <c r="A10" s="55"/>
      <c r="B10" s="62" t="s">
        <v>94</v>
      </c>
      <c r="C10" s="122">
        <f t="shared" ref="C10:D10" si="6">B3</f>
        <v>52</v>
      </c>
      <c r="D10" s="119">
        <f t="shared" si="6"/>
        <v>39.211946460434902</v>
      </c>
      <c r="E10" s="119">
        <f t="shared" si="4"/>
        <v>65.12738859509119</v>
      </c>
      <c r="F10" s="120">
        <f t="shared" si="5"/>
        <v>0.79843520708765781</v>
      </c>
      <c r="G10" s="121"/>
      <c r="H10" s="55"/>
      <c r="I10" s="55"/>
      <c r="J10" s="55"/>
      <c r="K10" s="55"/>
      <c r="L10" s="55"/>
      <c r="M10" s="55"/>
      <c r="N10" s="55"/>
    </row>
    <row r="11" spans="1:14" ht="15.75">
      <c r="A11" s="55"/>
      <c r="B11" s="62" t="s">
        <v>95</v>
      </c>
      <c r="C11" s="122">
        <f t="shared" ref="C11:D11" si="7">B4</f>
        <v>250</v>
      </c>
      <c r="D11" s="119">
        <f t="shared" si="7"/>
        <v>68.159714581792741</v>
      </c>
      <c r="E11" s="119">
        <f t="shared" si="4"/>
        <v>259.12496346718785</v>
      </c>
      <c r="F11" s="120">
        <f t="shared" si="5"/>
        <v>0.96478547128345926</v>
      </c>
      <c r="G11" s="121"/>
      <c r="H11" s="55"/>
      <c r="I11" s="55"/>
      <c r="J11" s="55"/>
      <c r="K11" s="55"/>
      <c r="L11" s="55"/>
      <c r="M11" s="55"/>
      <c r="N11" s="55"/>
    </row>
    <row r="12" spans="1:14" ht="15" customHeight="1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 ht="15.75">
      <c r="A13" s="55"/>
      <c r="B13" s="123" t="s">
        <v>50</v>
      </c>
      <c r="C13" s="86">
        <v>1</v>
      </c>
      <c r="D13" s="86" t="s">
        <v>51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 ht="15.75">
      <c r="A14" s="55"/>
      <c r="B14" s="123" t="s">
        <v>52</v>
      </c>
      <c r="C14" s="86">
        <v>1.1200000000000001</v>
      </c>
      <c r="D14" s="86" t="s">
        <v>53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 ht="15.75">
      <c r="A15" s="55"/>
      <c r="B15" s="123" t="s">
        <v>54</v>
      </c>
      <c r="C15" s="86" t="s">
        <v>55</v>
      </c>
      <c r="D15" s="86" t="s">
        <v>56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 ht="15.75">
      <c r="A16" s="55"/>
      <c r="B16" s="55"/>
      <c r="C16" s="55"/>
      <c r="D16" s="113"/>
      <c r="E16" s="113"/>
      <c r="F16" s="55"/>
      <c r="G16" s="55"/>
      <c r="H16" s="55"/>
      <c r="I16" s="55"/>
      <c r="J16" s="55"/>
      <c r="K16" s="55"/>
      <c r="L16" s="55"/>
      <c r="M16" s="55"/>
      <c r="N16" s="55"/>
    </row>
    <row r="17" spans="1:14" ht="15.75">
      <c r="A17" s="55"/>
      <c r="B17" s="113"/>
      <c r="C17" s="113"/>
      <c r="D17" s="113"/>
      <c r="E17" s="113"/>
      <c r="F17" s="55"/>
      <c r="G17" s="55"/>
      <c r="H17" s="55"/>
      <c r="I17" s="55"/>
      <c r="J17" s="55"/>
      <c r="K17" s="55"/>
      <c r="L17" s="55"/>
      <c r="M17" s="55"/>
      <c r="N17" s="55"/>
    </row>
    <row r="18" spans="1:14" ht="15.75">
      <c r="A18" s="55"/>
      <c r="B18" s="77" t="s">
        <v>57</v>
      </c>
      <c r="C18" s="78"/>
      <c r="D18" s="78"/>
      <c r="E18" s="79"/>
      <c r="F18" s="55"/>
      <c r="G18" s="55"/>
      <c r="H18" s="55"/>
      <c r="I18" s="55"/>
      <c r="J18" s="55"/>
      <c r="K18" s="55"/>
      <c r="L18" s="55"/>
      <c r="M18" s="55"/>
      <c r="N18" s="55"/>
    </row>
    <row r="19" spans="1:14" ht="15.75">
      <c r="A19" s="55"/>
      <c r="B19" s="80" t="s">
        <v>1</v>
      </c>
      <c r="C19" s="81" t="s">
        <v>96</v>
      </c>
      <c r="D19" s="124" t="s">
        <v>68</v>
      </c>
      <c r="E19" s="124" t="s">
        <v>97</v>
      </c>
      <c r="F19" s="55"/>
      <c r="G19" s="55"/>
      <c r="H19" s="55"/>
      <c r="I19" s="55"/>
      <c r="J19" s="55"/>
      <c r="K19" s="55"/>
      <c r="L19" s="55"/>
      <c r="M19" s="55"/>
      <c r="N19" s="55"/>
    </row>
    <row r="20" spans="1:14" ht="15.75">
      <c r="A20" s="55"/>
      <c r="B20" s="57">
        <v>1</v>
      </c>
      <c r="C20" s="83">
        <f>SUM('2 - Dados condutores áreas'!D21:D24)</f>
        <v>513.34139999999991</v>
      </c>
      <c r="D20" s="84" t="s">
        <v>98</v>
      </c>
      <c r="E20" s="85">
        <f>559*C13*C14</f>
        <v>626.08000000000004</v>
      </c>
      <c r="F20" s="55"/>
      <c r="G20" s="55"/>
      <c r="H20" s="55"/>
      <c r="I20" s="55"/>
      <c r="J20" s="55"/>
      <c r="K20" s="55"/>
      <c r="L20" s="55"/>
      <c r="M20" s="55"/>
      <c r="N20" s="55"/>
    </row>
    <row r="21" spans="1:14" ht="15.75">
      <c r="A21" s="55"/>
      <c r="B21" s="62">
        <v>2</v>
      </c>
      <c r="C21" s="83">
        <f>SUM('2 - Dados condutores áreas'!D25:D27)</f>
        <v>106.65179999999999</v>
      </c>
      <c r="D21" s="86" t="s">
        <v>99</v>
      </c>
      <c r="E21" s="85">
        <f>118*C13*C14</f>
        <v>132.16000000000003</v>
      </c>
      <c r="F21" s="55"/>
      <c r="G21" s="55"/>
      <c r="H21" s="55"/>
      <c r="I21" s="55"/>
      <c r="J21" s="55"/>
      <c r="K21" s="55"/>
      <c r="L21" s="55"/>
      <c r="M21" s="55"/>
      <c r="N21" s="55"/>
    </row>
    <row r="22" spans="1:14" ht="15.75">
      <c r="A22" s="55"/>
      <c r="B22" s="62">
        <v>3</v>
      </c>
      <c r="C22" s="83">
        <f>SUM('2 - Dados condutores áreas'!C29:C33)</f>
        <v>400.97438603901929</v>
      </c>
      <c r="D22" s="86" t="s">
        <v>100</v>
      </c>
      <c r="E22" s="85">
        <f>425*C13*C14</f>
        <v>476.00000000000006</v>
      </c>
      <c r="F22" s="55"/>
      <c r="G22" s="55"/>
      <c r="H22" s="55"/>
      <c r="I22" s="55"/>
      <c r="J22" s="55"/>
      <c r="K22" s="55"/>
      <c r="L22" s="55"/>
      <c r="M22" s="55"/>
      <c r="N22" s="55"/>
    </row>
    <row r="23" spans="1:14" ht="1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</row>
    <row r="24" spans="1:14" ht="15.75">
      <c r="A24" s="55"/>
      <c r="B24" s="77" t="s">
        <v>101</v>
      </c>
      <c r="C24" s="78"/>
      <c r="D24" s="78"/>
      <c r="E24" s="78"/>
      <c r="F24" s="78"/>
      <c r="G24" s="78"/>
      <c r="H24" s="79"/>
      <c r="I24" s="55"/>
      <c r="J24" s="55"/>
      <c r="K24" s="55"/>
      <c r="L24" s="55"/>
      <c r="M24" s="55"/>
      <c r="N24" s="55"/>
    </row>
    <row r="25" spans="1:14" ht="15.75">
      <c r="A25" s="55"/>
      <c r="B25" s="80" t="s">
        <v>1</v>
      </c>
      <c r="C25" s="104" t="s">
        <v>75</v>
      </c>
      <c r="D25" s="68" t="s">
        <v>73</v>
      </c>
      <c r="E25" s="68" t="s">
        <v>102</v>
      </c>
      <c r="F25" s="68" t="s">
        <v>103</v>
      </c>
      <c r="G25" s="68" t="s">
        <v>78</v>
      </c>
      <c r="H25" s="124" t="s">
        <v>104</v>
      </c>
      <c r="I25" s="55"/>
      <c r="J25" s="55"/>
      <c r="K25" s="55"/>
      <c r="L25" s="55"/>
      <c r="M25" s="55"/>
      <c r="N25" s="55"/>
    </row>
    <row r="26" spans="1:14" ht="15.75">
      <c r="A26" s="55"/>
      <c r="B26" s="105">
        <v>1</v>
      </c>
      <c r="C26" s="85">
        <f t="shared" ref="C26:C28" si="8">C20</f>
        <v>513.34139999999991</v>
      </c>
      <c r="D26" s="84">
        <v>25</v>
      </c>
      <c r="E26" s="85">
        <f t="shared" ref="E26:E28" si="9">F9</f>
        <v>0.86559446027316744</v>
      </c>
      <c r="F26" s="84">
        <v>500</v>
      </c>
      <c r="G26" s="85">
        <f t="shared" ref="G26:G28" si="10">(SQRT(3)*C26*D26*E26)/(56*F26)</f>
        <v>0.68716869083612842</v>
      </c>
      <c r="H26" s="85">
        <f t="shared" ref="H26:H28" si="11">(G26/380)*100</f>
        <v>0.18083386600950749</v>
      </c>
      <c r="I26" s="55"/>
      <c r="J26" s="55"/>
      <c r="K26" s="55"/>
      <c r="L26" s="55"/>
      <c r="M26" s="55"/>
      <c r="N26" s="55"/>
    </row>
    <row r="27" spans="1:14" ht="15.75">
      <c r="A27" s="55"/>
      <c r="B27" s="62">
        <v>2</v>
      </c>
      <c r="C27" s="87">
        <f t="shared" si="8"/>
        <v>106.65179999999999</v>
      </c>
      <c r="D27" s="86">
        <v>35</v>
      </c>
      <c r="E27" s="85">
        <f t="shared" si="9"/>
        <v>0.79843520708765781</v>
      </c>
      <c r="F27" s="86">
        <v>35</v>
      </c>
      <c r="G27" s="85">
        <f t="shared" si="10"/>
        <v>2.6337859034490192</v>
      </c>
      <c r="H27" s="85">
        <f t="shared" si="11"/>
        <v>0.69310155353921554</v>
      </c>
      <c r="I27" s="55"/>
      <c r="J27" s="55"/>
      <c r="K27" s="55"/>
      <c r="L27" s="55"/>
      <c r="M27" s="55"/>
      <c r="N27" s="55"/>
    </row>
    <row r="28" spans="1:14" ht="15.75">
      <c r="A28" s="55"/>
      <c r="B28" s="62">
        <v>3</v>
      </c>
      <c r="C28" s="87">
        <f t="shared" si="8"/>
        <v>400.97438603901929</v>
      </c>
      <c r="D28" s="86">
        <v>30</v>
      </c>
      <c r="E28" s="85">
        <f t="shared" si="9"/>
        <v>0.96478547128345926</v>
      </c>
      <c r="F28" s="86">
        <v>240</v>
      </c>
      <c r="G28" s="85">
        <f t="shared" si="10"/>
        <v>1.4956500824132166</v>
      </c>
      <c r="H28" s="85">
        <f t="shared" si="11"/>
        <v>0.39359212695084644</v>
      </c>
      <c r="I28" s="55"/>
      <c r="J28" s="55"/>
      <c r="K28" s="55"/>
      <c r="L28" s="55"/>
      <c r="M28" s="55"/>
      <c r="N28" s="55"/>
    </row>
    <row r="29" spans="1:14">
      <c r="A29" s="55"/>
      <c r="B29" s="55"/>
      <c r="C29" s="55"/>
      <c r="D29" s="125"/>
      <c r="E29" s="125"/>
      <c r="F29" s="125"/>
      <c r="G29" s="125"/>
      <c r="H29" s="125"/>
      <c r="I29" s="55"/>
      <c r="J29" s="55"/>
      <c r="K29" s="55"/>
      <c r="L29" s="55"/>
      <c r="M29" s="55"/>
      <c r="N29" s="55"/>
    </row>
    <row r="30" spans="1:14">
      <c r="A30" s="55"/>
      <c r="B30" s="55"/>
      <c r="C30" s="55"/>
      <c r="D30" s="125"/>
      <c r="E30" s="125"/>
      <c r="F30" s="125"/>
      <c r="G30" s="125"/>
      <c r="H30" s="125"/>
      <c r="I30" s="55"/>
      <c r="J30" s="55"/>
      <c r="K30" s="55"/>
      <c r="L30" s="55"/>
      <c r="M30" s="55"/>
      <c r="N30" s="55"/>
    </row>
    <row r="31" spans="1:14" ht="15.75">
      <c r="A31" s="55"/>
      <c r="B31" s="126" t="s">
        <v>57</v>
      </c>
      <c r="C31" s="78"/>
      <c r="D31" s="78"/>
      <c r="E31" s="79"/>
      <c r="F31" s="55"/>
      <c r="G31" s="121"/>
      <c r="H31" s="121"/>
      <c r="I31" s="55"/>
      <c r="J31" s="55"/>
      <c r="K31" s="55"/>
      <c r="L31" s="55"/>
      <c r="M31" s="55"/>
      <c r="N31" s="55"/>
    </row>
    <row r="32" spans="1:14" ht="15.75">
      <c r="A32" s="55"/>
      <c r="B32" s="127" t="s">
        <v>1</v>
      </c>
      <c r="C32" s="128" t="s">
        <v>96</v>
      </c>
      <c r="D32" s="129" t="s">
        <v>68</v>
      </c>
      <c r="E32" s="129" t="s">
        <v>97</v>
      </c>
      <c r="F32" s="55"/>
      <c r="G32" s="121"/>
      <c r="H32" s="55"/>
      <c r="I32" s="55"/>
      <c r="J32" s="55"/>
      <c r="K32" s="55"/>
      <c r="L32" s="55"/>
      <c r="M32" s="55"/>
      <c r="N32" s="55"/>
    </row>
    <row r="33" spans="1:14" ht="15.75">
      <c r="A33" s="55"/>
      <c r="B33" s="130" t="s">
        <v>105</v>
      </c>
      <c r="C33" s="131">
        <f>SUM(C26:C28)</f>
        <v>1020.9675860390191</v>
      </c>
      <c r="D33" s="132" t="s">
        <v>106</v>
      </c>
      <c r="E33" s="133">
        <f>1074*C13*C14</f>
        <v>1202.8800000000001</v>
      </c>
      <c r="F33" s="55"/>
      <c r="G33" s="121"/>
      <c r="H33" s="55"/>
      <c r="I33" s="55"/>
      <c r="J33" s="55"/>
      <c r="K33" s="55"/>
      <c r="L33" s="55"/>
      <c r="M33" s="55"/>
      <c r="N33" s="55"/>
    </row>
    <row r="34" spans="1:14" ht="1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75">
      <c r="A38" s="55"/>
      <c r="B38" s="113"/>
      <c r="C38" s="113"/>
      <c r="D38" s="113"/>
      <c r="E38" s="113"/>
      <c r="F38" s="113"/>
      <c r="G38" s="113"/>
      <c r="H38" s="113"/>
      <c r="I38" s="55"/>
      <c r="J38" s="55"/>
      <c r="K38" s="55"/>
      <c r="L38" s="55"/>
      <c r="M38" s="55"/>
      <c r="N38" s="55"/>
    </row>
    <row r="39" spans="1:14" ht="15.75">
      <c r="A39" s="55"/>
      <c r="B39" s="113"/>
      <c r="C39" s="113"/>
      <c r="D39" s="113"/>
      <c r="E39" s="113"/>
      <c r="F39" s="113"/>
      <c r="G39" s="113"/>
      <c r="H39" s="113"/>
      <c r="I39" s="55"/>
      <c r="J39" s="55"/>
      <c r="K39" s="55"/>
      <c r="L39" s="55"/>
      <c r="M39" s="55"/>
      <c r="N39" s="55"/>
    </row>
    <row r="40" spans="1:14" ht="1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4" ht="1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4" ht="15.7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7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7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4" ht="15.7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7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7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.7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.7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.7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.7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.7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.7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.7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</row>
    <row r="58" spans="1:14" ht="15.7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</row>
    <row r="59" spans="1:14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</row>
    <row r="60" spans="1:14" ht="15.7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</row>
    <row r="61" spans="1:14" ht="15.7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</row>
    <row r="62" spans="1:14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</row>
    <row r="63" spans="1:14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</row>
    <row r="64" spans="1:1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 ht="15.7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.7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.7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 ht="15.7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.7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5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 ht="15.7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5.7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5.7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 ht="15.7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5.7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  <row r="78" spans="1:14" ht="15.7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 ht="15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</row>
    <row r="80" spans="1:14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  <row r="81" spans="1:14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</row>
    <row r="82" spans="1:14" ht="15.7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</row>
    <row r="83" spans="1:14" ht="15.7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</row>
    <row r="84" spans="1:14" ht="15.7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1:14" ht="15.7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  <row r="86" spans="1:14" ht="15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</row>
    <row r="87" spans="1:14" ht="15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</row>
    <row r="88" spans="1:14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</row>
    <row r="89" spans="1:14" ht="15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</row>
    <row r="90" spans="1:14" ht="15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</row>
    <row r="91" spans="1:14" ht="15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</row>
    <row r="92" spans="1:14" ht="15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</row>
    <row r="93" spans="1:14" ht="15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</row>
    <row r="94" spans="1:14" ht="15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</row>
    <row r="95" spans="1:14" ht="15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</row>
    <row r="96" spans="1:14" ht="15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</row>
    <row r="97" spans="1:14" ht="15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</row>
    <row r="98" spans="1:14" ht="15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</row>
    <row r="99" spans="1:14" ht="15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</row>
    <row r="100" spans="1:14" ht="15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</row>
    <row r="101" spans="1:14" ht="15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</row>
    <row r="102" spans="1:14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</row>
    <row r="103" spans="1:14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</row>
    <row r="104" spans="1:1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</row>
    <row r="105" spans="1:14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</row>
    <row r="106" spans="1:14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</row>
    <row r="107" spans="1:14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</row>
    <row r="108" spans="1:14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</row>
    <row r="109" spans="1:14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</row>
    <row r="110" spans="1:14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</row>
    <row r="111" spans="1:14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</row>
    <row r="112" spans="1:14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</row>
    <row r="113" spans="1:14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</row>
    <row r="114" spans="1: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</row>
    <row r="115" spans="1:14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</row>
    <row r="116" spans="1:14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</row>
    <row r="117" spans="1:14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</row>
    <row r="118" spans="1:14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</row>
    <row r="119" spans="1:14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1:14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</row>
    <row r="121" spans="1:14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</row>
    <row r="122" spans="1:14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1:14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</row>
    <row r="124" spans="1:1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</row>
    <row r="125" spans="1:14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</row>
    <row r="126" spans="1:14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</row>
    <row r="127" spans="1:14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8" spans="1:14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</row>
    <row r="129" spans="1:14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</row>
    <row r="130" spans="1:14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</row>
    <row r="131" spans="1:14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</row>
    <row r="132" spans="1:14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</row>
    <row r="133" spans="1:14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</row>
    <row r="134" spans="1:1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  <row r="135" spans="1:14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</row>
    <row r="136" spans="1:14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</row>
    <row r="137" spans="1:14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</row>
    <row r="138" spans="1:14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</row>
    <row r="139" spans="1:14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</row>
    <row r="140" spans="1:14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</row>
    <row r="141" spans="1:14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</row>
    <row r="142" spans="1:14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</row>
    <row r="143" spans="1:14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</row>
    <row r="144" spans="1:1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</row>
    <row r="145" spans="1:14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</row>
    <row r="146" spans="1:14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</row>
    <row r="147" spans="1:14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</row>
    <row r="148" spans="1:14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</row>
    <row r="149" spans="1:14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</row>
    <row r="150" spans="1:14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</row>
    <row r="151" spans="1:14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</row>
    <row r="152" spans="1:14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</row>
    <row r="153" spans="1:14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</row>
    <row r="154" spans="1:1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</row>
    <row r="155" spans="1:14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</row>
    <row r="156" spans="1:14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</row>
    <row r="157" spans="1:14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</row>
    <row r="158" spans="1:14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</row>
    <row r="159" spans="1:14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</row>
    <row r="160" spans="1:14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</row>
    <row r="161" spans="1:14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</row>
    <row r="162" spans="1:14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</row>
    <row r="163" spans="1:14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</row>
    <row r="164" spans="1:1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</row>
    <row r="165" spans="1:14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</row>
    <row r="166" spans="1:14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</row>
    <row r="167" spans="1:14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</row>
    <row r="168" spans="1:14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</row>
    <row r="169" spans="1:14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</row>
    <row r="170" spans="1:14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</row>
    <row r="171" spans="1:14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</row>
    <row r="172" spans="1:14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</row>
    <row r="173" spans="1:14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</row>
    <row r="174" spans="1:1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</row>
    <row r="175" spans="1:14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</row>
    <row r="176" spans="1:14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</row>
    <row r="177" spans="1:14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</row>
    <row r="178" spans="1:14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</row>
    <row r="179" spans="1:14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</row>
    <row r="180" spans="1:14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</row>
    <row r="181" spans="1:14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</row>
    <row r="182" spans="1:14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</row>
    <row r="183" spans="1:14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</row>
    <row r="184" spans="1:1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</row>
    <row r="185" spans="1:14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</row>
    <row r="186" spans="1:14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</row>
    <row r="187" spans="1:14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</row>
    <row r="188" spans="1:14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</row>
    <row r="189" spans="1:14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</row>
    <row r="190" spans="1:14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</row>
    <row r="191" spans="1:14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</row>
    <row r="192" spans="1:14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</row>
    <row r="193" spans="1:14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</row>
    <row r="194" spans="1:1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</row>
    <row r="195" spans="1:14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</row>
    <row r="196" spans="1:14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</row>
    <row r="197" spans="1:14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</row>
    <row r="198" spans="1:14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</row>
    <row r="199" spans="1:14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</row>
    <row r="200" spans="1:14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</row>
    <row r="201" spans="1:14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</row>
    <row r="202" spans="1:14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</row>
    <row r="203" spans="1:14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</row>
    <row r="204" spans="1:1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</row>
    <row r="205" spans="1:14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</row>
    <row r="206" spans="1:14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</row>
    <row r="207" spans="1:14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</row>
    <row r="208" spans="1:14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</row>
    <row r="209" spans="1:14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</row>
    <row r="210" spans="1:14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</row>
    <row r="211" spans="1:14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</row>
    <row r="212" spans="1:14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</row>
    <row r="213" spans="1:14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</row>
    <row r="214" spans="1: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</row>
    <row r="215" spans="1:14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</row>
    <row r="216" spans="1:14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</row>
    <row r="217" spans="1:14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</row>
    <row r="218" spans="1:14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</row>
    <row r="219" spans="1:14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</row>
    <row r="220" spans="1:14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</row>
    <row r="221" spans="1:14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</row>
    <row r="222" spans="1:14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</row>
    <row r="223" spans="1:14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</row>
    <row r="224" spans="1:1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</row>
    <row r="225" spans="1:14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</row>
    <row r="226" spans="1:14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</row>
    <row r="227" spans="1:14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</row>
    <row r="228" spans="1:14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</row>
    <row r="229" spans="1:14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</row>
    <row r="230" spans="1:14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</row>
    <row r="231" spans="1:14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</row>
    <row r="232" spans="1:14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</row>
    <row r="233" spans="1:14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</row>
    <row r="234" spans="1:1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</row>
    <row r="235" spans="1:14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</row>
    <row r="236" spans="1:14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</row>
    <row r="237" spans="1:14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</row>
    <row r="238" spans="1:14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</row>
    <row r="239" spans="1:14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</row>
    <row r="240" spans="1:14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</row>
    <row r="241" spans="1:14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</row>
    <row r="242" spans="1:14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</row>
    <row r="243" spans="1:14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</row>
    <row r="244" spans="1:1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</row>
    <row r="245" spans="1:14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</row>
    <row r="246" spans="1:14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</row>
    <row r="247" spans="1:14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</row>
    <row r="248" spans="1:14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</row>
    <row r="249" spans="1:14" ht="15.75" customHeight="1"/>
    <row r="250" spans="1:14" ht="15.75" customHeight="1"/>
    <row r="251" spans="1:14" ht="15.75" customHeight="1"/>
    <row r="252" spans="1:14" ht="15.75" customHeight="1"/>
    <row r="253" spans="1:14" ht="15.75" customHeight="1"/>
    <row r="254" spans="1:14" ht="15.75" customHeight="1"/>
    <row r="255" spans="1:14" ht="15.75" customHeight="1"/>
    <row r="256" spans="1:1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4">
    <mergeCell ref="B7:C7"/>
    <mergeCell ref="B18:E18"/>
    <mergeCell ref="B24:H24"/>
    <mergeCell ref="B31:E31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>
      <selection sqref="A1:S15"/>
    </sheetView>
  </sheetViews>
  <sheetFormatPr defaultColWidth="14.42578125" defaultRowHeight="15" customHeight="1"/>
  <cols>
    <col min="1" max="1" width="37" customWidth="1"/>
    <col min="2" max="2" width="27.85546875" customWidth="1"/>
    <col min="3" max="3" width="33.5703125" customWidth="1"/>
    <col min="4" max="4" width="28.42578125" customWidth="1"/>
    <col min="5" max="5" width="45.28515625" customWidth="1"/>
    <col min="6" max="6" width="8.7109375" customWidth="1"/>
  </cols>
  <sheetData>
    <row r="1" spans="1:19" ht="15.75">
      <c r="A1" s="56" t="s">
        <v>1</v>
      </c>
      <c r="B1" s="134" t="s">
        <v>107</v>
      </c>
      <c r="C1" s="135"/>
      <c r="D1" s="135"/>
      <c r="E1" s="136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ht="15.75">
      <c r="A2" s="67"/>
      <c r="B2" s="53" t="s">
        <v>108</v>
      </c>
      <c r="C2" s="54" t="s">
        <v>109</v>
      </c>
      <c r="D2" s="54" t="s">
        <v>110</v>
      </c>
      <c r="E2" s="137" t="s">
        <v>111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19" ht="15.75">
      <c r="A3" s="138" t="s">
        <v>112</v>
      </c>
      <c r="B3" s="139" t="s">
        <v>113</v>
      </c>
      <c r="C3" s="65" t="s">
        <v>114</v>
      </c>
      <c r="D3" s="140"/>
      <c r="E3" s="141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19" ht="15.75">
      <c r="A4" s="142" t="s">
        <v>115</v>
      </c>
      <c r="B4" s="65" t="s">
        <v>116</v>
      </c>
      <c r="C4" s="65" t="s">
        <v>117</v>
      </c>
      <c r="D4" s="143"/>
      <c r="E4" s="144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19" ht="16.5">
      <c r="A5" s="142" t="s">
        <v>118</v>
      </c>
      <c r="B5" s="139" t="s">
        <v>119</v>
      </c>
      <c r="C5" s="145" t="s">
        <v>120</v>
      </c>
      <c r="D5" s="146"/>
      <c r="E5" s="147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ht="15.75">
      <c r="A6" s="148" t="s">
        <v>121</v>
      </c>
      <c r="B6" s="139" t="s">
        <v>122</v>
      </c>
      <c r="C6" s="139" t="s">
        <v>123</v>
      </c>
      <c r="D6" s="145">
        <v>1.4</v>
      </c>
      <c r="E6" s="145" t="s">
        <v>124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5.75">
      <c r="A7" s="148" t="s">
        <v>125</v>
      </c>
      <c r="B7" s="139" t="s">
        <v>126</v>
      </c>
      <c r="C7" s="139" t="s">
        <v>127</v>
      </c>
      <c r="D7" s="149">
        <v>1.02</v>
      </c>
      <c r="E7" s="145" t="s">
        <v>128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ht="15.75">
      <c r="A8" s="150" t="s">
        <v>129</v>
      </c>
      <c r="B8" s="139" t="s">
        <v>130</v>
      </c>
      <c r="C8" s="139" t="s">
        <v>131</v>
      </c>
      <c r="D8" s="145">
        <v>1.32</v>
      </c>
      <c r="E8" s="145" t="s">
        <v>132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 ht="15.75">
      <c r="A9" s="151"/>
      <c r="B9" s="151"/>
      <c r="C9" s="151"/>
      <c r="D9" s="151"/>
      <c r="E9" s="151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 ht="1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 ht="15" customHeight="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 ht="15" customHeight="1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19" ht="1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19" ht="1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19" ht="15" customHeigh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E1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J361"/>
  <sheetViews>
    <sheetView workbookViewId="0">
      <selection sqref="A1:AJ361"/>
    </sheetView>
  </sheetViews>
  <sheetFormatPr defaultColWidth="14.42578125" defaultRowHeight="15" customHeight="1"/>
  <cols>
    <col min="2" max="2" width="22.140625" customWidth="1"/>
    <col min="3" max="3" width="20" customWidth="1"/>
    <col min="4" max="4" width="33.28515625" customWidth="1"/>
    <col min="5" max="5" width="33.5703125" customWidth="1"/>
    <col min="6" max="6" width="25.140625" customWidth="1"/>
    <col min="7" max="7" width="43.42578125" customWidth="1"/>
    <col min="8" max="8" width="25.85546875" customWidth="1"/>
    <col min="9" max="9" width="27.140625" customWidth="1"/>
    <col min="11" max="11" width="23.28515625" customWidth="1"/>
    <col min="12" max="12" width="25.140625" customWidth="1"/>
  </cols>
  <sheetData>
    <row r="1" spans="1:36">
      <c r="A1" s="151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1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>
      <c r="A3" s="55"/>
      <c r="B3" s="53" t="s">
        <v>1</v>
      </c>
      <c r="C3" s="54" t="s">
        <v>2</v>
      </c>
      <c r="D3" s="54" t="s">
        <v>3</v>
      </c>
      <c r="E3" s="54" t="s">
        <v>8</v>
      </c>
      <c r="F3" s="54" t="s">
        <v>4</v>
      </c>
      <c r="G3" s="54" t="s">
        <v>5</v>
      </c>
      <c r="H3" s="54" t="s">
        <v>6</v>
      </c>
      <c r="I3" s="54" t="s">
        <v>7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</row>
    <row r="4" spans="1:36">
      <c r="A4" s="55"/>
      <c r="B4" s="56">
        <v>1</v>
      </c>
      <c r="C4" s="58" t="s">
        <v>10</v>
      </c>
      <c r="D4" s="58">
        <v>60</v>
      </c>
      <c r="E4" s="71">
        <v>50.561797752808985</v>
      </c>
      <c r="F4" s="58">
        <v>0.89</v>
      </c>
      <c r="G4" s="58">
        <v>0.95</v>
      </c>
      <c r="H4" s="58">
        <v>45</v>
      </c>
      <c r="I4" s="71">
        <f t="shared" ref="I4:I12" si="0">H4*(TAN(ACOS(F4)))</f>
        <v>23.054183828449876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36">
      <c r="A5" s="55"/>
      <c r="B5" s="61"/>
      <c r="C5" s="63" t="s">
        <v>12</v>
      </c>
      <c r="D5" s="63">
        <v>150</v>
      </c>
      <c r="E5" s="64">
        <v>125</v>
      </c>
      <c r="F5" s="63">
        <v>0.88</v>
      </c>
      <c r="G5" s="63">
        <v>0.96</v>
      </c>
      <c r="H5" s="63">
        <v>110</v>
      </c>
      <c r="I5" s="71">
        <f t="shared" si="0"/>
        <v>59.371710435189556</v>
      </c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>
      <c r="A6" s="55"/>
      <c r="B6" s="61"/>
      <c r="C6" s="63" t="s">
        <v>13</v>
      </c>
      <c r="D6" s="63">
        <v>20</v>
      </c>
      <c r="E6" s="64">
        <v>17.241379310344829</v>
      </c>
      <c r="F6" s="63">
        <v>0.87</v>
      </c>
      <c r="G6" s="63">
        <v>0.92</v>
      </c>
      <c r="H6" s="63">
        <v>15</v>
      </c>
      <c r="I6" s="71">
        <f t="shared" si="0"/>
        <v>8.50089174870417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>
      <c r="A7" s="55"/>
      <c r="B7" s="67"/>
      <c r="C7" s="66" t="s">
        <v>14</v>
      </c>
      <c r="D7" s="66">
        <v>150</v>
      </c>
      <c r="E7" s="69">
        <v>130.95238095238096</v>
      </c>
      <c r="F7" s="66">
        <v>0.84</v>
      </c>
      <c r="G7" s="66">
        <v>0.96</v>
      </c>
      <c r="H7" s="66">
        <v>110</v>
      </c>
      <c r="I7" s="71">
        <f t="shared" si="0"/>
        <v>71.05298077559803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</row>
    <row r="8" spans="1:36">
      <c r="A8" s="55"/>
      <c r="B8" s="56">
        <v>2</v>
      </c>
      <c r="C8" s="58" t="s">
        <v>16</v>
      </c>
      <c r="D8" s="58">
        <v>20</v>
      </c>
      <c r="E8" s="71">
        <v>18.75</v>
      </c>
      <c r="F8" s="58">
        <v>0.8</v>
      </c>
      <c r="G8" s="58">
        <v>0.93</v>
      </c>
      <c r="H8" s="58">
        <v>15</v>
      </c>
      <c r="I8" s="71">
        <f t="shared" si="0"/>
        <v>11.249999999999996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</row>
    <row r="9" spans="1:36">
      <c r="A9" s="55"/>
      <c r="B9" s="61"/>
      <c r="C9" s="63" t="s">
        <v>17</v>
      </c>
      <c r="D9" s="63">
        <v>20</v>
      </c>
      <c r="E9" s="64">
        <v>19.23076923076923</v>
      </c>
      <c r="F9" s="63">
        <v>0.78</v>
      </c>
      <c r="G9" s="63">
        <v>0.92</v>
      </c>
      <c r="H9" s="63">
        <v>15</v>
      </c>
      <c r="I9" s="71">
        <f t="shared" si="0"/>
        <v>12.034221420893854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</row>
    <row r="10" spans="1:36">
      <c r="A10" s="55"/>
      <c r="B10" s="67"/>
      <c r="C10" s="66" t="s">
        <v>19</v>
      </c>
      <c r="D10" s="66">
        <v>30</v>
      </c>
      <c r="E10" s="69">
        <v>27.160493827160494</v>
      </c>
      <c r="F10" s="66">
        <v>0.81</v>
      </c>
      <c r="G10" s="66">
        <v>0.92</v>
      </c>
      <c r="H10" s="66">
        <v>22</v>
      </c>
      <c r="I10" s="71">
        <f t="shared" si="0"/>
        <v>15.927725039541054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6">
      <c r="A11" s="55"/>
      <c r="B11" s="56">
        <v>3</v>
      </c>
      <c r="C11" s="58" t="s">
        <v>69</v>
      </c>
      <c r="D11" s="58" t="s">
        <v>22</v>
      </c>
      <c r="E11" s="71">
        <v>86.956521739130437</v>
      </c>
      <c r="F11" s="58">
        <v>0.92</v>
      </c>
      <c r="G11" s="58" t="s">
        <v>22</v>
      </c>
      <c r="H11" s="58">
        <v>80</v>
      </c>
      <c r="I11" s="71">
        <f t="shared" si="0"/>
        <v>34.079857290896371</v>
      </c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</row>
    <row r="12" spans="1:36">
      <c r="A12" s="55"/>
      <c r="B12" s="61"/>
      <c r="C12" s="63" t="s">
        <v>71</v>
      </c>
      <c r="D12" s="63" t="s">
        <v>22</v>
      </c>
      <c r="E12" s="64">
        <v>86.956521739130437</v>
      </c>
      <c r="F12" s="63">
        <v>0.92</v>
      </c>
      <c r="G12" s="63" t="s">
        <v>22</v>
      </c>
      <c r="H12" s="63">
        <v>80</v>
      </c>
      <c r="I12" s="71">
        <f t="shared" si="0"/>
        <v>34.079857290896371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</row>
    <row r="13" spans="1:36">
      <c r="A13" s="55"/>
      <c r="B13" s="61"/>
      <c r="C13" s="63" t="s">
        <v>24</v>
      </c>
      <c r="D13" s="63" t="s">
        <v>22</v>
      </c>
      <c r="E13" s="63">
        <v>30</v>
      </c>
      <c r="F13" s="63">
        <v>1</v>
      </c>
      <c r="G13" s="63" t="s">
        <v>22</v>
      </c>
      <c r="H13" s="63">
        <v>30</v>
      </c>
      <c r="I13" s="63">
        <v>30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</row>
    <row r="14" spans="1:36">
      <c r="A14" s="55"/>
      <c r="B14" s="61"/>
      <c r="C14" s="63" t="s">
        <v>25</v>
      </c>
      <c r="D14" s="63" t="s">
        <v>22</v>
      </c>
      <c r="E14" s="63">
        <v>30</v>
      </c>
      <c r="F14" s="63">
        <v>1</v>
      </c>
      <c r="G14" s="63" t="s">
        <v>22</v>
      </c>
      <c r="H14" s="63">
        <v>30</v>
      </c>
      <c r="I14" s="63">
        <v>30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6">
      <c r="A15" s="55"/>
      <c r="B15" s="67"/>
      <c r="C15" s="66" t="s">
        <v>26</v>
      </c>
      <c r="D15" s="66" t="s">
        <v>22</v>
      </c>
      <c r="E15" s="152">
        <v>30</v>
      </c>
      <c r="F15" s="66">
        <v>1</v>
      </c>
      <c r="G15" s="66" t="s">
        <v>22</v>
      </c>
      <c r="H15" s="66">
        <v>30</v>
      </c>
      <c r="I15" s="66">
        <v>30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</row>
    <row r="16" spans="1:36">
      <c r="A16" s="55"/>
      <c r="B16" s="62" t="s">
        <v>89</v>
      </c>
      <c r="C16" s="153"/>
      <c r="D16" s="153"/>
      <c r="E16" s="154">
        <f>SUM(E4:E15)</f>
        <v>652.80986455172547</v>
      </c>
      <c r="F16" s="125"/>
      <c r="G16" s="125"/>
      <c r="H16" s="125"/>
      <c r="I16" s="12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</row>
    <row r="17" spans="1:36" ht="1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</row>
    <row r="18" spans="1:36">
      <c r="A18" s="55"/>
      <c r="B18" s="155" t="s">
        <v>133</v>
      </c>
      <c r="C18" s="78"/>
      <c r="D18" s="78"/>
      <c r="E18" s="78"/>
      <c r="F18" s="79"/>
      <c r="G18" s="55"/>
      <c r="H18" s="77" t="s">
        <v>134</v>
      </c>
      <c r="I18" s="78"/>
      <c r="J18" s="78"/>
      <c r="K18" s="78"/>
      <c r="L18" s="78"/>
      <c r="M18" s="79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</row>
    <row r="19" spans="1:36">
      <c r="A19" s="55"/>
      <c r="B19" s="156" t="s">
        <v>135</v>
      </c>
      <c r="C19" s="156" t="s">
        <v>136</v>
      </c>
      <c r="D19" s="156" t="s">
        <v>137</v>
      </c>
      <c r="E19" s="156" t="s">
        <v>138</v>
      </c>
      <c r="F19" s="156" t="s">
        <v>139</v>
      </c>
      <c r="G19" s="55"/>
      <c r="H19" s="123" t="s">
        <v>140</v>
      </c>
      <c r="I19" s="123" t="s">
        <v>141</v>
      </c>
      <c r="J19" s="123" t="s">
        <v>142</v>
      </c>
      <c r="K19" s="123" t="s">
        <v>143</v>
      </c>
      <c r="L19" s="157" t="s">
        <v>144</v>
      </c>
      <c r="M19" s="123" t="s">
        <v>145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</row>
    <row r="20" spans="1:36">
      <c r="A20" s="55"/>
      <c r="B20" s="156">
        <v>1</v>
      </c>
      <c r="C20" s="158">
        <v>0.92</v>
      </c>
      <c r="D20" s="159">
        <f t="shared" ref="D20:D23" si="1">H4/C20</f>
        <v>48.913043478260867</v>
      </c>
      <c r="E20" s="159">
        <f t="shared" ref="E20:E23" si="2">SQRT(D20^2-H4^2)</f>
        <v>19.169919726129212</v>
      </c>
      <c r="F20" s="159">
        <f t="shared" ref="F20:F23" si="3">I4-E20</f>
        <v>3.8842641023206639</v>
      </c>
      <c r="G20" s="55"/>
      <c r="H20" s="123">
        <v>1</v>
      </c>
      <c r="I20" s="87">
        <f>'2 - Dados condutores áreas'!D21</f>
        <v>80.828399999999988</v>
      </c>
      <c r="J20" s="87">
        <f t="shared" ref="J20:J23" si="4">D20*1000/(SQRT(3)*380)</f>
        <v>74.315681102783643</v>
      </c>
      <c r="K20" s="160">
        <f t="shared" ref="K20:L20" si="5">SUM(I20:I23)</f>
        <v>513.34139999999991</v>
      </c>
      <c r="L20" s="161">
        <f t="shared" si="5"/>
        <v>462.40868241732039</v>
      </c>
      <c r="M20" s="161">
        <f>K20-L20</f>
        <v>50.932717582679516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</row>
    <row r="21" spans="1:36">
      <c r="A21" s="55"/>
      <c r="B21" s="156">
        <v>2</v>
      </c>
      <c r="C21" s="158">
        <v>0.92</v>
      </c>
      <c r="D21" s="159">
        <f t="shared" si="1"/>
        <v>119.56521739130434</v>
      </c>
      <c r="E21" s="159">
        <f t="shared" si="2"/>
        <v>46.859803774982531</v>
      </c>
      <c r="F21" s="159">
        <f t="shared" si="3"/>
        <v>12.511906660207025</v>
      </c>
      <c r="G21" s="55"/>
      <c r="H21" s="123">
        <v>2</v>
      </c>
      <c r="I21" s="87">
        <f>'2 - Dados condutores áreas'!D22</f>
        <v>198.01799999999997</v>
      </c>
      <c r="J21" s="87">
        <f t="shared" si="4"/>
        <v>181.66055380680444</v>
      </c>
      <c r="K21" s="162"/>
      <c r="L21" s="162"/>
      <c r="M21" s="162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</row>
    <row r="22" spans="1:36">
      <c r="A22" s="55"/>
      <c r="B22" s="156">
        <v>3</v>
      </c>
      <c r="C22" s="158">
        <v>0.92</v>
      </c>
      <c r="D22" s="159">
        <f t="shared" si="1"/>
        <v>16.304347826086957</v>
      </c>
      <c r="E22" s="159">
        <f t="shared" si="2"/>
        <v>6.3899732420430766</v>
      </c>
      <c r="F22" s="159">
        <f t="shared" si="3"/>
        <v>2.1109185066610934</v>
      </c>
      <c r="G22" s="55"/>
      <c r="H22" s="123">
        <v>3</v>
      </c>
      <c r="I22" s="87">
        <f>'2 - Dados condutores áreas'!D23</f>
        <v>28.370999999999999</v>
      </c>
      <c r="J22" s="87">
        <f t="shared" si="4"/>
        <v>24.771893700927883</v>
      </c>
      <c r="K22" s="162"/>
      <c r="L22" s="162"/>
      <c r="M22" s="162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</row>
    <row r="23" spans="1:36">
      <c r="A23" s="55"/>
      <c r="B23" s="156">
        <v>4</v>
      </c>
      <c r="C23" s="158">
        <v>0.92</v>
      </c>
      <c r="D23" s="159">
        <f t="shared" si="1"/>
        <v>119.56521739130434</v>
      </c>
      <c r="E23" s="159">
        <f t="shared" si="2"/>
        <v>46.859803774982531</v>
      </c>
      <c r="F23" s="159">
        <f t="shared" si="3"/>
        <v>24.193177000615499</v>
      </c>
      <c r="G23" s="55"/>
      <c r="H23" s="123">
        <v>4</v>
      </c>
      <c r="I23" s="87">
        <f>'2 - Dados condutores áreas'!D24</f>
        <v>206.124</v>
      </c>
      <c r="J23" s="87">
        <f t="shared" si="4"/>
        <v>181.66055380680444</v>
      </c>
      <c r="K23" s="163"/>
      <c r="L23" s="163"/>
      <c r="M23" s="163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</row>
    <row r="24" spans="1:36" ht="1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</row>
    <row r="25" spans="1:36">
      <c r="A25" s="55"/>
      <c r="B25" s="164" t="s">
        <v>93</v>
      </c>
      <c r="C25" s="164" t="s">
        <v>146</v>
      </c>
      <c r="D25" s="165">
        <f>SUM(F20:F23)</f>
        <v>42.700266269804281</v>
      </c>
      <c r="E25" s="55"/>
      <c r="F25" s="166" t="s">
        <v>147</v>
      </c>
      <c r="G25" s="158" t="s">
        <v>148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</row>
    <row r="26" spans="1:36" ht="15" customHeight="1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</row>
    <row r="27" spans="1:36">
      <c r="A27" s="55"/>
      <c r="B27" s="123" t="s">
        <v>135</v>
      </c>
      <c r="C27" s="123" t="s">
        <v>136</v>
      </c>
      <c r="D27" s="123" t="s">
        <v>137</v>
      </c>
      <c r="E27" s="123" t="s">
        <v>138</v>
      </c>
      <c r="F27" s="123" t="s">
        <v>139</v>
      </c>
      <c r="G27" s="55"/>
      <c r="H27" s="123" t="s">
        <v>149</v>
      </c>
      <c r="I27" s="123" t="s">
        <v>141</v>
      </c>
      <c r="J27" s="123" t="s">
        <v>142</v>
      </c>
      <c r="K27" s="123" t="s">
        <v>143</v>
      </c>
      <c r="L27" s="157" t="s">
        <v>144</v>
      </c>
      <c r="M27" s="123" t="s">
        <v>145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</row>
    <row r="28" spans="1:36">
      <c r="A28" s="55"/>
      <c r="B28" s="123">
        <v>5</v>
      </c>
      <c r="C28" s="86">
        <v>0.92</v>
      </c>
      <c r="D28" s="87">
        <f t="shared" ref="D28:D30" si="6">H8/C28</f>
        <v>16.304347826086957</v>
      </c>
      <c r="E28" s="87">
        <f t="shared" ref="E28:E30" si="7">SQRT(D28^2-H8^2)</f>
        <v>6.3899732420430766</v>
      </c>
      <c r="F28" s="87">
        <f t="shared" ref="F28:F30" si="8">I8-E28</f>
        <v>4.8600267579569199</v>
      </c>
      <c r="G28" s="55"/>
      <c r="H28" s="62">
        <v>5</v>
      </c>
      <c r="I28" s="87">
        <f>'2 - Dados condutores áreas'!D25</f>
        <v>30.455399999999997</v>
      </c>
      <c r="J28" s="87">
        <f t="shared" ref="J28:J30" si="9">D28/(SQRT(3)*380)*1000</f>
        <v>24.77189370092788</v>
      </c>
      <c r="K28" s="161">
        <f t="shared" ref="K28:L28" si="10">SUM(I28:I30)</f>
        <v>106.65179999999999</v>
      </c>
      <c r="L28" s="161">
        <f t="shared" si="10"/>
        <v>85.875898163216647</v>
      </c>
      <c r="M28" s="161">
        <f>K28-L28</f>
        <v>20.775901836783348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</row>
    <row r="29" spans="1:36">
      <c r="A29" s="55"/>
      <c r="B29" s="123">
        <v>6</v>
      </c>
      <c r="C29" s="86">
        <v>0.92</v>
      </c>
      <c r="D29" s="87">
        <f t="shared" si="6"/>
        <v>16.304347826086957</v>
      </c>
      <c r="E29" s="87">
        <f t="shared" si="7"/>
        <v>6.3899732420430766</v>
      </c>
      <c r="F29" s="87">
        <f t="shared" si="8"/>
        <v>5.644248178850777</v>
      </c>
      <c r="G29" s="55"/>
      <c r="H29" s="62">
        <v>6</v>
      </c>
      <c r="I29" s="87">
        <f>'2 - Dados condutores áreas'!D26</f>
        <v>31.497599999999998</v>
      </c>
      <c r="J29" s="87">
        <f t="shared" si="9"/>
        <v>24.77189370092788</v>
      </c>
      <c r="K29" s="162"/>
      <c r="L29" s="162"/>
      <c r="M29" s="162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</row>
    <row r="30" spans="1:36">
      <c r="A30" s="55"/>
      <c r="B30" s="123">
        <v>7</v>
      </c>
      <c r="C30" s="86">
        <v>0.92</v>
      </c>
      <c r="D30" s="87">
        <f t="shared" si="6"/>
        <v>23.913043478260867</v>
      </c>
      <c r="E30" s="87">
        <f t="shared" si="7"/>
        <v>9.3719607549965023</v>
      </c>
      <c r="F30" s="87">
        <f t="shared" si="8"/>
        <v>6.5557642845445514</v>
      </c>
      <c r="G30" s="55"/>
      <c r="H30" s="62">
        <v>7</v>
      </c>
      <c r="I30" s="87">
        <f>'2 - Dados condutores áreas'!D27</f>
        <v>44.698799999999999</v>
      </c>
      <c r="J30" s="87">
        <f t="shared" si="9"/>
        <v>36.332110761360894</v>
      </c>
      <c r="K30" s="163"/>
      <c r="L30" s="163"/>
      <c r="M30" s="163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</row>
    <row r="31" spans="1:36" ht="1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</row>
    <row r="32" spans="1:36">
      <c r="A32" s="55"/>
      <c r="B32" s="167" t="s">
        <v>94</v>
      </c>
      <c r="C32" s="167" t="s">
        <v>150</v>
      </c>
      <c r="D32" s="168">
        <f>SUM(F28:F30)</f>
        <v>17.060039221352248</v>
      </c>
      <c r="E32" s="55"/>
      <c r="F32" s="169" t="s">
        <v>151</v>
      </c>
      <c r="G32" s="170" t="s">
        <v>152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</row>
    <row r="33" spans="1:36" ht="1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</row>
    <row r="34" spans="1:36" ht="1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</row>
    <row r="35" spans="1:36" ht="1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</row>
    <row r="36" spans="1:36" ht="1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</row>
    <row r="37" spans="1:36" ht="1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</row>
    <row r="38" spans="1:36" ht="1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</row>
    <row r="39" spans="1:36" ht="1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</row>
    <row r="40" spans="1:36" ht="1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</row>
    <row r="41" spans="1:36" ht="1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</row>
    <row r="42" spans="1:36" ht="1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</row>
    <row r="43" spans="1:36" ht="1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</row>
    <row r="44" spans="1:36" ht="1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</row>
    <row r="45" spans="1:36" ht="1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</row>
    <row r="46" spans="1:36" ht="1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</row>
    <row r="47" spans="1:36" ht="1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</row>
    <row r="48" spans="1:36" ht="1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</row>
    <row r="49" spans="1:36" ht="1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</row>
    <row r="50" spans="1:36" ht="1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</row>
    <row r="51" spans="1:36" ht="1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</row>
    <row r="52" spans="1:36" ht="1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</row>
    <row r="53" spans="1:36" ht="1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</row>
    <row r="54" spans="1:36" ht="1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</row>
    <row r="55" spans="1:36" ht="1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</row>
    <row r="56" spans="1:36" ht="1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</row>
    <row r="57" spans="1:36" ht="1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</row>
    <row r="58" spans="1:36" ht="1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</row>
    <row r="59" spans="1:36" ht="1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</row>
    <row r="60" spans="1:36" ht="1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</row>
    <row r="61" spans="1:36" ht="1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6" ht="1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6" ht="1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</row>
    <row r="64" spans="1:36" ht="1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</row>
    <row r="65" spans="1:36" ht="1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</row>
    <row r="66" spans="1:36" ht="1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</row>
    <row r="67" spans="1:36" ht="1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</row>
    <row r="68" spans="1:36" ht="1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</row>
    <row r="69" spans="1:36" ht="1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</row>
    <row r="70" spans="1:36" ht="1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</row>
    <row r="71" spans="1:36" ht="1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</row>
    <row r="72" spans="1:36" ht="1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</row>
    <row r="73" spans="1:36" ht="1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</row>
    <row r="74" spans="1:36" ht="1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</row>
    <row r="75" spans="1:36" ht="1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</row>
    <row r="76" spans="1:36" ht="1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</row>
    <row r="77" spans="1:36" ht="1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 ht="1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spans="1:36" ht="1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ht="1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ht="1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ht="1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ht="1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ht="1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 ht="1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ht="1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ht="1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ht="1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ht="1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ht="1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ht="1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ht="1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ht="1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ht="1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ht="1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ht="1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ht="1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ht="1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ht="1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spans="1:36" ht="1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spans="1:36" ht="1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spans="1:36" ht="1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spans="1:36" ht="1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spans="1:36" ht="1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spans="1:36" ht="1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spans="1:36" ht="1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spans="1:36" ht="1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spans="1:36" ht="1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1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ht="1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spans="1:36" ht="1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spans="1:36" ht="1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spans="1:36" ht="1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spans="1:36" ht="1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spans="1:36" ht="1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spans="1:36" ht="1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spans="1:36" ht="1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spans="1:36" ht="1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spans="1:36" ht="1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spans="1:36" ht="1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1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1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1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ht="1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spans="1:36" ht="1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spans="1:36" ht="1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spans="1:36" ht="1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spans="1:36" ht="1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1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1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ht="1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spans="1:36" ht="1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spans="1:36" ht="1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1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1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ht="1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spans="1:36" ht="1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spans="1:36" ht="1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1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1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ht="1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spans="1:36" ht="1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spans="1:36" ht="1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1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spans="1:36" ht="1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spans="1:36" ht="1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spans="1:36" ht="1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spans="1:36" ht="1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spans="1:36" ht="1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spans="1:36" ht="1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spans="1:36" ht="1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spans="1:36" ht="1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spans="1:36" ht="1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spans="1:36" ht="1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spans="1:36" ht="1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spans="1:36" ht="1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spans="1:36" ht="1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spans="1:36" ht="1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spans="1:36" ht="1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spans="1:36" ht="1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spans="1:36" ht="1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spans="1:36" ht="1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spans="1:36" ht="1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spans="1:36" ht="1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spans="1:36" ht="1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spans="1:36" ht="1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spans="1:36" ht="1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spans="1:36" ht="1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spans="1:36" ht="1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spans="1:36" ht="1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spans="1:36" ht="1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spans="1:36" ht="1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spans="1:36" ht="1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spans="1:36" ht="1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spans="1:36" ht="1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spans="1:36" ht="1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spans="1:36" ht="1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spans="1:36" ht="1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spans="1:36" ht="1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spans="1:36" ht="1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spans="1:36" ht="1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spans="1:36" ht="1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spans="1:36" ht="1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spans="1:36" ht="1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spans="1:36" ht="1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spans="1:36" ht="1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spans="1:36" ht="1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spans="1:36" ht="1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spans="1:36" ht="1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spans="1:36" ht="1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spans="1:36" ht="1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spans="1:36" ht="1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spans="1:36" ht="1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spans="1:36" ht="1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spans="1:36" ht="1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spans="1:36" ht="1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spans="1:36" ht="1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spans="1:36" ht="1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spans="1:36" ht="1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spans="1:36" ht="1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spans="1:36" ht="1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spans="1:36" ht="1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spans="1:36" ht="1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spans="1:36" ht="1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spans="1:36" ht="1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spans="1:36" ht="1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spans="1:36" ht="1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spans="1:36" ht="1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spans="1:36" ht="1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spans="1:36" ht="1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spans="1:36" ht="1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spans="1:36" ht="1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spans="1:36" ht="1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spans="1:36" ht="1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spans="1:36" ht="1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spans="1:36" ht="1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spans="1:36" ht="1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spans="1:36" ht="1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spans="1:36" ht="1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spans="1:36" ht="1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spans="1:36" ht="1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spans="1:36" ht="1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spans="1:36" ht="1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spans="1:36" ht="1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spans="1:36" ht="1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spans="1:36" ht="1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spans="1:36" ht="1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spans="1:36" ht="1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spans="1:36" ht="1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spans="1:36" ht="1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spans="1:36" ht="1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spans="1:36" ht="1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spans="1:36" ht="1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spans="1:36" ht="1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spans="1:36" ht="1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spans="1:36" ht="1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spans="1:36" ht="1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spans="1:36" ht="1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spans="1:36" ht="1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spans="1:36" ht="1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spans="1:36" ht="1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spans="1:36" ht="1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spans="1:36" ht="1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spans="1:36" ht="1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spans="1:36" ht="1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spans="1:36" ht="1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spans="1:36" ht="1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spans="1:36" ht="1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spans="1:36" ht="1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spans="1:36" ht="1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spans="1:36" ht="1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spans="1:36" ht="1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spans="1:36" ht="1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spans="1:36" ht="1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spans="1:36" ht="1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spans="1:36" ht="1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spans="1:36" ht="1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spans="1:36" ht="1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spans="1:36" ht="1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spans="1:36" ht="1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spans="1:36" ht="1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spans="1:36" ht="1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spans="1:36" ht="1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spans="1:36" ht="1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ht="1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ht="1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ht="1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ht="1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ht="1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ht="1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ht="1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ht="1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ht="1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 ht="1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 ht="1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 ht="1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ht="1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ht="1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ht="1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ht="1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ht="1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ht="1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ht="1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ht="1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ht="1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ht="1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ht="1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ht="1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ht="1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ht="1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ht="1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ht="1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ht="1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ht="1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ht="1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ht="1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ht="1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ht="1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ht="1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ht="1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ht="1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ht="1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ht="1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ht="1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ht="1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ht="1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ht="1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ht="1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ht="1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ht="1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spans="1:36" ht="1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spans="1:36" ht="1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spans="1:36" ht="1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spans="1:36" ht="1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spans="1:36" ht="1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spans="1:36" ht="1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spans="1:36" ht="1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spans="1:36" ht="1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spans="1:36" ht="1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spans="1:36" ht="1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spans="1:36" ht="1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spans="1:36" ht="1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spans="1:36" ht="1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spans="1:36" ht="1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spans="1:36" ht="1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spans="1:36" ht="1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spans="1:36" ht="1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spans="1:36" ht="1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spans="1:36" ht="1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spans="1:36" ht="1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spans="1:36" ht="1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spans="1:36" ht="1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spans="1:36" ht="1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spans="1:36" ht="1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spans="1:36" ht="1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spans="1:36" ht="1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spans="1:36" ht="1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spans="1:36" ht="1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spans="1:36" ht="1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spans="1:36" ht="1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spans="1:36" ht="1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spans="1:36" ht="1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spans="1:36" ht="1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spans="1:36" ht="1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spans="1:36" ht="1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spans="1:36" ht="1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spans="1:36" ht="1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spans="1:36" ht="1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spans="1:36" ht="1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spans="1:36" ht="1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spans="1:36" ht="1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spans="1:36" ht="1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spans="1:36" ht="1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spans="1:36" ht="1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spans="1:36" ht="1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spans="1:36" ht="1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spans="1:36" ht="1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spans="1:36" ht="1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spans="1:36" ht="1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spans="1:36" ht="1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spans="1:36" ht="1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</sheetData>
  <mergeCells count="11">
    <mergeCell ref="K20:K23"/>
    <mergeCell ref="K28:K30"/>
    <mergeCell ref="L28:L30"/>
    <mergeCell ref="M28:M30"/>
    <mergeCell ref="B4:B7"/>
    <mergeCell ref="B8:B10"/>
    <mergeCell ref="B11:B15"/>
    <mergeCell ref="B18:F18"/>
    <mergeCell ref="H18:M18"/>
    <mergeCell ref="L20:L23"/>
    <mergeCell ref="M20:M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workbookViewId="0">
      <selection sqref="A1:R437"/>
    </sheetView>
  </sheetViews>
  <sheetFormatPr defaultColWidth="14.42578125" defaultRowHeight="15" customHeight="1"/>
  <cols>
    <col min="1" max="1" width="72.5703125" customWidth="1"/>
    <col min="2" max="2" width="46.7109375" customWidth="1"/>
    <col min="3" max="3" width="24.140625" customWidth="1"/>
    <col min="4" max="4" width="40.85546875" customWidth="1"/>
    <col min="5" max="5" width="34.140625" customWidth="1"/>
    <col min="6" max="7" width="8.7109375" customWidth="1"/>
    <col min="8" max="8" width="10.7109375" customWidth="1"/>
    <col min="9" max="9" width="10.42578125" customWidth="1"/>
    <col min="10" max="26" width="8.7109375" customWidth="1"/>
  </cols>
  <sheetData>
    <row r="1" spans="1:26">
      <c r="A1" s="171" t="s">
        <v>153</v>
      </c>
      <c r="B1" s="171" t="s">
        <v>154</v>
      </c>
      <c r="C1" s="171" t="s">
        <v>155</v>
      </c>
      <c r="D1" s="171" t="s">
        <v>156</v>
      </c>
      <c r="E1" s="171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40"/>
      <c r="T1" s="40"/>
      <c r="U1" s="40"/>
      <c r="V1" s="40"/>
      <c r="W1" s="40"/>
      <c r="X1" s="40"/>
      <c r="Y1" s="40"/>
      <c r="Z1" s="40"/>
    </row>
    <row r="2" spans="1:26">
      <c r="A2" s="171" t="s">
        <v>157</v>
      </c>
      <c r="B2" s="173" t="s">
        <v>154</v>
      </c>
      <c r="C2" s="173" t="s">
        <v>155</v>
      </c>
      <c r="D2" s="173" t="s">
        <v>156</v>
      </c>
      <c r="E2" s="173" t="s">
        <v>158</v>
      </c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40"/>
      <c r="T2" s="40"/>
      <c r="U2" s="40"/>
      <c r="V2" s="40"/>
      <c r="W2" s="40"/>
      <c r="X2" s="40"/>
      <c r="Y2" s="40"/>
      <c r="Z2" s="40"/>
    </row>
    <row r="3" spans="1:26">
      <c r="A3" s="173" t="s">
        <v>159</v>
      </c>
      <c r="B3" s="173">
        <v>13800</v>
      </c>
      <c r="C3" s="173" t="s">
        <v>160</v>
      </c>
      <c r="D3" s="173" t="s">
        <v>161</v>
      </c>
      <c r="E3" s="173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40"/>
      <c r="T3" s="40"/>
      <c r="U3" s="40"/>
      <c r="V3" s="40"/>
      <c r="W3" s="40"/>
      <c r="X3" s="40"/>
      <c r="Y3" s="40"/>
      <c r="Z3" s="40"/>
    </row>
    <row r="4" spans="1:26">
      <c r="A4" s="173" t="s">
        <v>162</v>
      </c>
      <c r="B4" s="173">
        <v>100000000</v>
      </c>
      <c r="C4" s="173" t="s">
        <v>163</v>
      </c>
      <c r="D4" s="173" t="s">
        <v>164</v>
      </c>
      <c r="E4" s="173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40"/>
      <c r="T4" s="40"/>
      <c r="U4" s="40"/>
      <c r="V4" s="40"/>
      <c r="W4" s="40"/>
      <c r="X4" s="40"/>
      <c r="Y4" s="40"/>
      <c r="Z4" s="40"/>
    </row>
    <row r="5" spans="1:26">
      <c r="A5" s="173" t="s">
        <v>165</v>
      </c>
      <c r="B5" s="173">
        <f>B3^2/B4</f>
        <v>1.9044000000000001</v>
      </c>
      <c r="C5" s="173" t="s">
        <v>166</v>
      </c>
      <c r="D5" s="173"/>
      <c r="E5" s="173" t="e">
        <f t="shared" ref="E5:E6" ca="1" si="0">_xludf.FORMULATEXT(B5)</f>
        <v>#NAME?</v>
      </c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40"/>
      <c r="T5" s="40"/>
      <c r="U5" s="40"/>
      <c r="V5" s="40"/>
      <c r="W5" s="40"/>
      <c r="X5" s="40"/>
      <c r="Y5" s="40"/>
      <c r="Z5" s="40"/>
    </row>
    <row r="6" spans="1:26">
      <c r="A6" s="173" t="s">
        <v>167</v>
      </c>
      <c r="B6" s="173">
        <f>Pb/(SQRT(3)*Vb)</f>
        <v>4183.6976028233748</v>
      </c>
      <c r="C6" s="173" t="s">
        <v>168</v>
      </c>
      <c r="D6" s="173"/>
      <c r="E6" s="173" t="e">
        <f t="shared" ca="1" si="0"/>
        <v>#NAME?</v>
      </c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40"/>
      <c r="T6" s="40"/>
      <c r="U6" s="40"/>
      <c r="V6" s="40"/>
      <c r="W6" s="40"/>
      <c r="X6" s="40"/>
      <c r="Y6" s="40"/>
      <c r="Z6" s="40"/>
    </row>
    <row r="7" spans="1:26">
      <c r="A7" s="173" t="s">
        <v>169</v>
      </c>
      <c r="B7" s="173">
        <v>380</v>
      </c>
      <c r="C7" s="173" t="s">
        <v>160</v>
      </c>
      <c r="D7" s="173"/>
      <c r="E7" s="173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40"/>
      <c r="T7" s="40"/>
      <c r="U7" s="40"/>
      <c r="V7" s="40"/>
      <c r="W7" s="40"/>
      <c r="X7" s="40"/>
      <c r="Y7" s="40"/>
      <c r="Z7" s="40"/>
    </row>
    <row r="8" spans="1:26">
      <c r="A8" s="173" t="s">
        <v>170</v>
      </c>
      <c r="B8" s="173">
        <f>Pb/(SQRT(3)*Vbbt)</f>
        <v>151934.28136569101</v>
      </c>
      <c r="C8" s="173" t="s">
        <v>168</v>
      </c>
      <c r="D8" s="173"/>
      <c r="E8" s="173" t="e">
        <f ca="1">_xludf.FORMULATEXT(B8)</f>
        <v>#NAME?</v>
      </c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40"/>
      <c r="T8" s="40"/>
      <c r="U8" s="40"/>
      <c r="V8" s="40"/>
      <c r="W8" s="40"/>
      <c r="X8" s="40"/>
      <c r="Y8" s="40"/>
      <c r="Z8" s="40"/>
    </row>
    <row r="9" spans="1:26">
      <c r="A9" s="55"/>
      <c r="B9" s="55"/>
      <c r="C9" s="55"/>
      <c r="D9" s="55"/>
      <c r="E9" s="55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40"/>
      <c r="T9" s="40"/>
      <c r="U9" s="40"/>
      <c r="V9" s="40"/>
      <c r="W9" s="40"/>
      <c r="X9" s="40"/>
      <c r="Y9" s="40"/>
      <c r="Z9" s="40"/>
    </row>
    <row r="10" spans="1:26">
      <c r="A10" s="171" t="s">
        <v>171</v>
      </c>
      <c r="B10" s="174"/>
      <c r="C10" s="174"/>
      <c r="D10" s="174"/>
      <c r="E10" s="174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40"/>
      <c r="T10" s="40"/>
      <c r="U10" s="40"/>
      <c r="V10" s="40"/>
      <c r="W10" s="40"/>
      <c r="X10" s="40"/>
      <c r="Y10" s="40"/>
      <c r="Z10" s="40"/>
    </row>
    <row r="11" spans="1:26">
      <c r="A11" s="173" t="s">
        <v>172</v>
      </c>
      <c r="B11" s="173" t="s">
        <v>173</v>
      </c>
      <c r="C11" s="175" t="s">
        <v>174</v>
      </c>
      <c r="D11" s="173"/>
      <c r="E11" s="173" t="str">
        <f>COMPLEX(B12,B13,"j")</f>
        <v>0,1+0,5j</v>
      </c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40"/>
      <c r="T11" s="40"/>
      <c r="U11" s="40"/>
      <c r="V11" s="40"/>
      <c r="W11" s="40"/>
      <c r="X11" s="40"/>
      <c r="Y11" s="40"/>
      <c r="Z11" s="40"/>
    </row>
    <row r="12" spans="1:26">
      <c r="A12" s="173" t="s">
        <v>175</v>
      </c>
      <c r="B12" s="173">
        <v>0.1</v>
      </c>
      <c r="C12" s="162"/>
      <c r="D12" s="173"/>
      <c r="E12" s="173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40"/>
      <c r="T12" s="40"/>
      <c r="U12" s="40"/>
      <c r="V12" s="40"/>
      <c r="W12" s="40"/>
      <c r="X12" s="40"/>
      <c r="Y12" s="40"/>
      <c r="Z12" s="40"/>
    </row>
    <row r="13" spans="1:26">
      <c r="A13" s="173" t="s">
        <v>176</v>
      </c>
      <c r="B13" s="173">
        <v>0.5</v>
      </c>
      <c r="C13" s="163"/>
      <c r="D13" s="173"/>
      <c r="E13" s="173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40"/>
      <c r="T13" s="40"/>
      <c r="U13" s="40"/>
      <c r="V13" s="40"/>
      <c r="W13" s="40"/>
      <c r="X13" s="40"/>
      <c r="Y13" s="40"/>
      <c r="Z13" s="40"/>
    </row>
    <row r="14" spans="1:26">
      <c r="A14" s="173"/>
      <c r="B14" s="173"/>
      <c r="C14" s="173"/>
      <c r="D14" s="173"/>
      <c r="E14" s="173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40"/>
      <c r="T14" s="40"/>
      <c r="U14" s="40"/>
      <c r="V14" s="40"/>
      <c r="W14" s="40"/>
      <c r="X14" s="40"/>
      <c r="Y14" s="40"/>
      <c r="Z14" s="40"/>
    </row>
    <row r="15" spans="1:26">
      <c r="A15" s="173" t="s">
        <v>177</v>
      </c>
      <c r="B15" s="173" t="s">
        <v>178</v>
      </c>
      <c r="C15" s="173" t="s">
        <v>174</v>
      </c>
      <c r="D15" s="173"/>
      <c r="E15" s="173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40"/>
      <c r="T15" s="40"/>
      <c r="U15" s="40"/>
      <c r="V15" s="40"/>
      <c r="W15" s="40"/>
      <c r="X15" s="40"/>
      <c r="Y15" s="40"/>
      <c r="Z15" s="40"/>
    </row>
    <row r="16" spans="1:26">
      <c r="A16" s="173" t="s">
        <v>179</v>
      </c>
      <c r="B16" s="173">
        <v>0.2</v>
      </c>
      <c r="C16" s="173"/>
      <c r="D16" s="173"/>
      <c r="E16" s="173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40"/>
      <c r="T16" s="40"/>
      <c r="U16" s="40"/>
      <c r="V16" s="40"/>
      <c r="W16" s="40"/>
      <c r="X16" s="40"/>
      <c r="Y16" s="40"/>
      <c r="Z16" s="40"/>
    </row>
    <row r="17" spans="1:26">
      <c r="A17" s="173" t="s">
        <v>180</v>
      </c>
      <c r="B17" s="173">
        <v>0.8</v>
      </c>
      <c r="C17" s="173"/>
      <c r="D17" s="173"/>
      <c r="E17" s="173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40"/>
      <c r="T17" s="40"/>
      <c r="U17" s="40"/>
      <c r="V17" s="40"/>
      <c r="W17" s="40"/>
      <c r="X17" s="40"/>
      <c r="Y17" s="40"/>
      <c r="Z17" s="40"/>
    </row>
    <row r="18" spans="1:26">
      <c r="A18" s="174"/>
      <c r="B18" s="174"/>
      <c r="C18" s="174"/>
      <c r="D18" s="174"/>
      <c r="E18" s="174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40"/>
      <c r="T18" s="40"/>
      <c r="U18" s="40"/>
      <c r="V18" s="40"/>
      <c r="W18" s="40"/>
      <c r="X18" s="40"/>
      <c r="Y18" s="40"/>
      <c r="Z18" s="40"/>
    </row>
    <row r="19" spans="1:26">
      <c r="A19" s="55"/>
      <c r="B19" s="55"/>
      <c r="C19" s="176"/>
      <c r="D19" s="55"/>
      <c r="E19" s="55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40"/>
      <c r="T19" s="40"/>
      <c r="U19" s="40"/>
      <c r="V19" s="40"/>
      <c r="W19" s="40"/>
      <c r="X19" s="40"/>
      <c r="Y19" s="40"/>
      <c r="Z19" s="40"/>
    </row>
    <row r="20" spans="1:26">
      <c r="A20" s="177" t="s">
        <v>181</v>
      </c>
      <c r="B20" s="178" t="str">
        <f>IMDIV(Ib,B11)</f>
        <v>1609,11446262437-8045,57231312187j</v>
      </c>
      <c r="C20" s="178"/>
      <c r="D20" s="178"/>
      <c r="E20" s="178" t="e">
        <f t="shared" ref="E20:E23" ca="1" si="1">_xludf.FORMULATEXT(B20)</f>
        <v>#NAME?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40"/>
      <c r="T20" s="40"/>
      <c r="U20" s="40"/>
      <c r="V20" s="40"/>
      <c r="W20" s="40"/>
      <c r="X20" s="40"/>
      <c r="Y20" s="40"/>
      <c r="Z20" s="40"/>
    </row>
    <row r="21" spans="1:26" ht="15.75" customHeight="1">
      <c r="A21" s="179" t="s">
        <v>182</v>
      </c>
      <c r="B21" s="179" t="str">
        <f>IMDIV(Ib,B11)</f>
        <v>1609,11446262437-8045,57231312187j</v>
      </c>
      <c r="C21" s="176" t="s">
        <v>183</v>
      </c>
      <c r="D21" s="179" t="s">
        <v>113</v>
      </c>
      <c r="E21" s="179" t="e">
        <f t="shared" ca="1" si="1"/>
        <v>#NAME?</v>
      </c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40"/>
      <c r="T21" s="40"/>
      <c r="U21" s="40"/>
      <c r="V21" s="40"/>
      <c r="W21" s="40"/>
      <c r="X21" s="40"/>
      <c r="Y21" s="40"/>
      <c r="Z21" s="40"/>
    </row>
    <row r="22" spans="1:26" ht="15.75" customHeight="1">
      <c r="A22" s="179" t="s">
        <v>184</v>
      </c>
      <c r="B22" s="179">
        <f>IMABS(B21)</f>
        <v>8204.9060445260493</v>
      </c>
      <c r="C22" s="180" t="s">
        <v>168</v>
      </c>
      <c r="D22" s="179"/>
      <c r="E22" s="179" t="e">
        <f t="shared" ca="1" si="1"/>
        <v>#NAME?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40"/>
      <c r="T22" s="40"/>
      <c r="U22" s="40"/>
      <c r="V22" s="40"/>
      <c r="W22" s="40"/>
      <c r="X22" s="40"/>
      <c r="Y22" s="40"/>
      <c r="Z22" s="40"/>
    </row>
    <row r="23" spans="1:26" ht="15.75" customHeight="1">
      <c r="A23" s="179" t="s">
        <v>185</v>
      </c>
      <c r="B23" s="179">
        <f>DEGREES(IMARGUMENT(B11))</f>
        <v>78.690067525979785</v>
      </c>
      <c r="C23" s="179" t="s">
        <v>186</v>
      </c>
      <c r="D23" s="179"/>
      <c r="E23" s="179" t="e">
        <f t="shared" ca="1" si="1"/>
        <v>#NAME?</v>
      </c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40"/>
      <c r="T23" s="40"/>
      <c r="U23" s="40"/>
      <c r="V23" s="40"/>
      <c r="W23" s="40"/>
      <c r="X23" s="40"/>
      <c r="Y23" s="40"/>
      <c r="Z23" s="40"/>
    </row>
    <row r="24" spans="1:26" ht="15.75" customHeight="1">
      <c r="A24" s="55"/>
      <c r="B24" s="55"/>
      <c r="C24" s="55"/>
      <c r="D24" s="55"/>
      <c r="E24" s="181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40"/>
      <c r="T24" s="40"/>
      <c r="U24" s="40"/>
      <c r="V24" s="40"/>
      <c r="W24" s="40"/>
      <c r="X24" s="40"/>
      <c r="Y24" s="40"/>
      <c r="Z24" s="40"/>
    </row>
    <row r="25" spans="1:26" ht="15.75" customHeight="1">
      <c r="A25" s="182"/>
      <c r="B25" s="182"/>
      <c r="C25" s="182"/>
      <c r="D25" s="182"/>
      <c r="E25" s="18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40"/>
      <c r="T25" s="40"/>
      <c r="U25" s="40"/>
      <c r="V25" s="40"/>
      <c r="W25" s="40"/>
      <c r="X25" s="40"/>
      <c r="Y25" s="40"/>
      <c r="Z25" s="40"/>
    </row>
    <row r="26" spans="1:26" ht="15.75" customHeight="1">
      <c r="A26" s="183" t="s">
        <v>187</v>
      </c>
      <c r="B26" s="178"/>
      <c r="C26" s="178"/>
      <c r="D26" s="178"/>
      <c r="E26" s="178" t="e">
        <f t="shared" ref="E26:E29" ca="1" si="2">_xludf.FORMULATEXT(B26)</f>
        <v>#NAME?</v>
      </c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40"/>
      <c r="T26" s="40"/>
      <c r="U26" s="40"/>
      <c r="V26" s="40"/>
      <c r="W26" s="40"/>
      <c r="X26" s="40"/>
      <c r="Y26" s="40"/>
      <c r="Z26" s="40"/>
    </row>
    <row r="27" spans="1:26" ht="15.75" customHeight="1">
      <c r="A27" s="183" t="s">
        <v>188</v>
      </c>
      <c r="B27" s="183" t="str">
        <f>IMSUM(IMPRODUCT(2,B11),B15)</f>
        <v>0,4+1,8j</v>
      </c>
      <c r="C27" s="183"/>
      <c r="D27" s="183" t="s">
        <v>189</v>
      </c>
      <c r="E27" s="179" t="e">
        <f t="shared" ca="1" si="2"/>
        <v>#NAME?</v>
      </c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40"/>
      <c r="T27" s="40"/>
      <c r="U27" s="40"/>
      <c r="V27" s="40"/>
      <c r="W27" s="40"/>
      <c r="X27" s="40"/>
      <c r="Y27" s="40"/>
      <c r="Z27" s="40"/>
    </row>
    <row r="28" spans="1:26" ht="15.75" customHeight="1">
      <c r="A28" s="179" t="s">
        <v>190</v>
      </c>
      <c r="B28" s="179" t="str">
        <f>IMDIV(3*Ib,B27)</f>
        <v>1476,59915393766-6644,69619271948j</v>
      </c>
      <c r="C28" s="179" t="s">
        <v>191</v>
      </c>
      <c r="D28" s="179" t="s">
        <v>114</v>
      </c>
      <c r="E28" s="179" t="e">
        <f t="shared" ca="1" si="2"/>
        <v>#NAME?</v>
      </c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40"/>
      <c r="T28" s="40"/>
      <c r="U28" s="40"/>
      <c r="V28" s="40"/>
      <c r="W28" s="40"/>
      <c r="X28" s="40"/>
      <c r="Y28" s="40"/>
      <c r="Z28" s="40"/>
    </row>
    <row r="29" spans="1:26" ht="15.75" customHeight="1">
      <c r="A29" s="179" t="s">
        <v>192</v>
      </c>
      <c r="B29" s="179">
        <f>IMABS(B28)</f>
        <v>6806.7857726646689</v>
      </c>
      <c r="C29" s="179" t="s">
        <v>168</v>
      </c>
      <c r="D29" s="179"/>
      <c r="E29" s="179" t="e">
        <f t="shared" ca="1" si="2"/>
        <v>#NAME?</v>
      </c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40"/>
      <c r="T29" s="40"/>
      <c r="U29" s="40"/>
      <c r="V29" s="40"/>
      <c r="W29" s="40"/>
      <c r="X29" s="40"/>
      <c r="Y29" s="40"/>
      <c r="Z29" s="40"/>
    </row>
    <row r="30" spans="1:26" ht="15.75" customHeight="1">
      <c r="A30" s="179" t="s">
        <v>193</v>
      </c>
      <c r="B30" s="179">
        <v>-87.543768979999996</v>
      </c>
      <c r="C30" s="179" t="s">
        <v>186</v>
      </c>
      <c r="D30" s="179"/>
      <c r="E30" s="179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40"/>
      <c r="T30" s="40"/>
      <c r="U30" s="40"/>
      <c r="V30" s="40"/>
      <c r="W30" s="40"/>
      <c r="X30" s="40"/>
      <c r="Y30" s="40"/>
      <c r="Z30" s="40"/>
    </row>
    <row r="31" spans="1:26" ht="15.75" customHeight="1">
      <c r="A31" s="179"/>
      <c r="B31" s="179"/>
      <c r="C31" s="179"/>
      <c r="D31" s="179"/>
      <c r="E31" s="179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40"/>
      <c r="T31" s="40"/>
      <c r="U31" s="40"/>
      <c r="V31" s="40"/>
      <c r="W31" s="40"/>
      <c r="X31" s="40"/>
      <c r="Y31" s="40"/>
      <c r="Z31" s="40"/>
    </row>
    <row r="32" spans="1:26" ht="15.75" customHeight="1">
      <c r="A32" s="183" t="s">
        <v>194</v>
      </c>
      <c r="B32" s="184"/>
      <c r="C32" s="179"/>
      <c r="D32" s="179"/>
      <c r="E32" s="179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40"/>
      <c r="T32" s="40"/>
      <c r="U32" s="40"/>
      <c r="V32" s="40"/>
      <c r="W32" s="40"/>
      <c r="X32" s="40"/>
      <c r="Y32" s="40"/>
      <c r="Z32" s="40"/>
    </row>
    <row r="33" spans="1:26" ht="15.75" customHeight="1">
      <c r="A33" s="179" t="s">
        <v>195</v>
      </c>
      <c r="B33" s="184">
        <f>SQRT(3)*Vb*B22</f>
        <v>196116135.13818386</v>
      </c>
      <c r="C33" s="179" t="s">
        <v>163</v>
      </c>
      <c r="D33" s="179" t="s">
        <v>196</v>
      </c>
      <c r="E33" s="179" t="e">
        <f ca="1">_xludf.FORMULATEXT(B33)</f>
        <v>#NAME?</v>
      </c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40"/>
      <c r="T33" s="40"/>
      <c r="U33" s="40"/>
      <c r="V33" s="40"/>
      <c r="W33" s="40"/>
      <c r="X33" s="40"/>
      <c r="Y33" s="40"/>
      <c r="Z33" s="40"/>
    </row>
    <row r="34" spans="1:26" ht="15.75" customHeight="1">
      <c r="A34" s="55"/>
      <c r="B34" s="55"/>
      <c r="C34" s="55"/>
      <c r="D34" s="55"/>
      <c r="E34" s="55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40"/>
      <c r="T34" s="40"/>
      <c r="U34" s="40"/>
      <c r="V34" s="40"/>
      <c r="W34" s="40"/>
      <c r="X34" s="40"/>
      <c r="Y34" s="40"/>
      <c r="Z34" s="40"/>
    </row>
    <row r="35" spans="1:26" ht="15.75" customHeight="1">
      <c r="A35" s="55"/>
      <c r="B35" s="55"/>
      <c r="C35" s="55"/>
      <c r="D35" s="55"/>
      <c r="E35" s="55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183" t="s">
        <v>197</v>
      </c>
      <c r="B36" s="178"/>
      <c r="C36" s="178"/>
      <c r="D36" s="178"/>
      <c r="E36" s="178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179" t="s">
        <v>198</v>
      </c>
      <c r="B37" s="179">
        <v>1000</v>
      </c>
      <c r="C37" s="179" t="s">
        <v>163</v>
      </c>
      <c r="D37" s="179" t="s">
        <v>199</v>
      </c>
      <c r="E37" s="179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40"/>
      <c r="T37" s="40"/>
      <c r="U37" s="40"/>
      <c r="V37" s="40"/>
      <c r="W37" s="40"/>
      <c r="X37" s="40"/>
      <c r="Y37" s="40"/>
      <c r="Z37" s="40"/>
    </row>
    <row r="38" spans="1:26" ht="15.75" customHeight="1">
      <c r="A38" s="179" t="s">
        <v>200</v>
      </c>
      <c r="B38" s="180">
        <v>11700</v>
      </c>
      <c r="C38" s="179" t="s">
        <v>201</v>
      </c>
      <c r="D38" s="184" t="s">
        <v>202</v>
      </c>
      <c r="E38" s="179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40"/>
      <c r="T38" s="40"/>
      <c r="U38" s="40"/>
      <c r="V38" s="40"/>
      <c r="W38" s="40"/>
      <c r="X38" s="40"/>
      <c r="Y38" s="40"/>
      <c r="Z38" s="40"/>
    </row>
    <row r="39" spans="1:26" ht="15.75" customHeight="1">
      <c r="A39" s="185" t="s">
        <v>203</v>
      </c>
      <c r="B39" s="185">
        <f>B38/(10*B37)</f>
        <v>1.17</v>
      </c>
      <c r="C39" s="185" t="s">
        <v>204</v>
      </c>
      <c r="D39" s="186" t="s">
        <v>205</v>
      </c>
      <c r="E39" s="179" t="e">
        <f t="shared" ref="E39:E41" ca="1" si="3">_xludf.FORMULATEXT(B39)</f>
        <v>#NAME?</v>
      </c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40"/>
      <c r="T39" s="40"/>
      <c r="U39" s="40"/>
      <c r="V39" s="40"/>
      <c r="W39" s="40"/>
      <c r="X39" s="40"/>
      <c r="Y39" s="40"/>
      <c r="Z39" s="40"/>
    </row>
    <row r="40" spans="1:26" ht="15.75" customHeight="1">
      <c r="A40" s="179" t="s">
        <v>206</v>
      </c>
      <c r="B40" s="179">
        <f>B39/100</f>
        <v>1.1699999999999999E-2</v>
      </c>
      <c r="C40" s="179" t="s">
        <v>207</v>
      </c>
      <c r="D40" s="179" t="s">
        <v>208</v>
      </c>
      <c r="E40" s="179" t="e">
        <f t="shared" ca="1" si="3"/>
        <v>#NAME?</v>
      </c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40"/>
      <c r="T40" s="40"/>
      <c r="U40" s="40"/>
      <c r="V40" s="40"/>
      <c r="W40" s="40"/>
      <c r="X40" s="40"/>
      <c r="Y40" s="40"/>
      <c r="Z40" s="40"/>
    </row>
    <row r="41" spans="1:26" ht="15.75" customHeight="1">
      <c r="A41" s="179" t="s">
        <v>206</v>
      </c>
      <c r="B41" s="179">
        <f>B40*Pb/(B37*1000)</f>
        <v>1.1699999999999997</v>
      </c>
      <c r="C41" s="179" t="s">
        <v>207</v>
      </c>
      <c r="D41" s="179" t="s">
        <v>209</v>
      </c>
      <c r="E41" s="179" t="e">
        <f t="shared" ca="1" si="3"/>
        <v>#NAME?</v>
      </c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40"/>
      <c r="T41" s="40"/>
      <c r="U41" s="40"/>
      <c r="V41" s="40"/>
      <c r="W41" s="40"/>
      <c r="X41" s="40"/>
      <c r="Y41" s="40"/>
      <c r="Z41" s="40"/>
    </row>
    <row r="42" spans="1:26" ht="15.75" customHeight="1">
      <c r="A42" s="179" t="s">
        <v>210</v>
      </c>
      <c r="B42" s="179">
        <v>0.06</v>
      </c>
      <c r="C42" s="179" t="s">
        <v>207</v>
      </c>
      <c r="D42" s="179" t="s">
        <v>211</v>
      </c>
      <c r="E42" s="179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40"/>
      <c r="T42" s="40"/>
      <c r="U42" s="40"/>
      <c r="V42" s="40"/>
      <c r="W42" s="40"/>
      <c r="X42" s="40"/>
      <c r="Y42" s="40"/>
      <c r="Z42" s="40"/>
    </row>
    <row r="43" spans="1:26" ht="15.75" customHeight="1">
      <c r="A43" s="179" t="s">
        <v>212</v>
      </c>
      <c r="B43" s="179">
        <f>B42*Pb/(B37*1000)</f>
        <v>6</v>
      </c>
      <c r="C43" s="179" t="s">
        <v>207</v>
      </c>
      <c r="D43" s="179" t="s">
        <v>213</v>
      </c>
      <c r="E43" s="179" t="e">
        <f t="shared" ref="E43:E45" ca="1" si="4">_xludf.FORMULATEXT(B43)</f>
        <v>#NAME?</v>
      </c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40"/>
      <c r="T43" s="40"/>
      <c r="U43" s="40"/>
      <c r="V43" s="40"/>
      <c r="W43" s="40"/>
      <c r="X43" s="40"/>
      <c r="Y43" s="40"/>
      <c r="Z43" s="40"/>
    </row>
    <row r="44" spans="1:26" ht="15.75" customHeight="1">
      <c r="A44" s="185" t="s">
        <v>214</v>
      </c>
      <c r="B44" s="185">
        <f>SQRT(B43^2-B41^2)</f>
        <v>5.8848194534751874</v>
      </c>
      <c r="C44" s="185" t="s">
        <v>207</v>
      </c>
      <c r="D44" s="185" t="s">
        <v>215</v>
      </c>
      <c r="E44" s="185" t="e">
        <f t="shared" ca="1" si="4"/>
        <v>#NAME?</v>
      </c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40"/>
      <c r="T44" s="40"/>
      <c r="U44" s="40"/>
      <c r="V44" s="40"/>
      <c r="W44" s="40"/>
      <c r="X44" s="40"/>
      <c r="Y44" s="40"/>
      <c r="Z44" s="40"/>
    </row>
    <row r="45" spans="1:26" ht="15.75" customHeight="1">
      <c r="A45" s="179" t="s">
        <v>216</v>
      </c>
      <c r="B45" s="179" t="str">
        <f>COMPLEX(B41,B44,"j")</f>
        <v>1,17+5,88481945347519j</v>
      </c>
      <c r="C45" s="179" t="s">
        <v>207</v>
      </c>
      <c r="D45" s="179" t="s">
        <v>217</v>
      </c>
      <c r="E45" s="179" t="e">
        <f t="shared" ca="1" si="4"/>
        <v>#NAME?</v>
      </c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40"/>
      <c r="T45" s="40"/>
      <c r="U45" s="40"/>
      <c r="V45" s="40"/>
      <c r="W45" s="40"/>
      <c r="X45" s="40"/>
      <c r="Y45" s="40"/>
      <c r="Z45" s="40"/>
    </row>
    <row r="46" spans="1:26" ht="15.75" customHeight="1">
      <c r="A46" s="55"/>
      <c r="B46" s="55"/>
      <c r="C46" s="55"/>
      <c r="D46" s="55"/>
      <c r="E46" s="55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40"/>
      <c r="T46" s="40"/>
      <c r="U46" s="40"/>
      <c r="V46" s="40"/>
      <c r="W46" s="40"/>
      <c r="X46" s="40"/>
      <c r="Y46" s="40"/>
      <c r="Z46" s="40"/>
    </row>
    <row r="47" spans="1:26" ht="15.75" customHeight="1">
      <c r="A47" s="55"/>
      <c r="B47" s="55"/>
      <c r="C47" s="55"/>
      <c r="D47" s="55"/>
      <c r="E47" s="55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40"/>
      <c r="T47" s="40"/>
      <c r="U47" s="40"/>
      <c r="V47" s="40"/>
      <c r="W47" s="40"/>
      <c r="X47" s="40"/>
      <c r="Y47" s="40"/>
      <c r="Z47" s="40"/>
    </row>
    <row r="48" spans="1:26" ht="15.75" customHeight="1">
      <c r="A48" s="55"/>
      <c r="B48" s="172"/>
      <c r="C48" s="55"/>
      <c r="D48" s="55"/>
      <c r="E48" s="55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40"/>
      <c r="T48" s="40"/>
      <c r="U48" s="40"/>
      <c r="V48" s="40"/>
      <c r="W48" s="40"/>
      <c r="X48" s="40"/>
      <c r="Y48" s="40"/>
      <c r="Z48" s="40"/>
    </row>
    <row r="49" spans="1:26" ht="15.75" customHeight="1">
      <c r="A49" s="183" t="s">
        <v>218</v>
      </c>
      <c r="B49" s="178"/>
      <c r="C49" s="178"/>
      <c r="D49" s="178"/>
      <c r="E49" s="178" t="e">
        <f t="shared" ref="E49:E50" ca="1" si="5">_xludf.FORMULATEXT(B49)</f>
        <v>#NAME?</v>
      </c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40"/>
      <c r="T49" s="40"/>
      <c r="U49" s="40"/>
      <c r="V49" s="40"/>
      <c r="W49" s="40"/>
      <c r="X49" s="40"/>
      <c r="Y49" s="40"/>
      <c r="Z49" s="40"/>
    </row>
    <row r="50" spans="1:26" ht="15.75" customHeight="1">
      <c r="A50" s="183" t="s">
        <v>219</v>
      </c>
      <c r="B50" s="179" t="str">
        <f>IMSUM(B45,Zps)</f>
        <v>1,27+6,38481945347519j</v>
      </c>
      <c r="C50" s="183"/>
      <c r="D50" s="179" t="s">
        <v>220</v>
      </c>
      <c r="E50" s="179" t="e">
        <f t="shared" ca="1" si="5"/>
        <v>#NAME?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40"/>
      <c r="T50" s="40"/>
      <c r="U50" s="40"/>
      <c r="V50" s="40"/>
      <c r="W50" s="40"/>
      <c r="X50" s="40"/>
      <c r="Y50" s="40"/>
      <c r="Z50" s="40"/>
    </row>
    <row r="51" spans="1:26" ht="15.75" customHeight="1">
      <c r="A51" s="183" t="s">
        <v>221</v>
      </c>
      <c r="B51" s="179"/>
      <c r="C51" s="179"/>
      <c r="D51" s="179"/>
      <c r="E51" s="179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40"/>
      <c r="T51" s="40"/>
      <c r="U51" s="40"/>
      <c r="V51" s="40"/>
      <c r="W51" s="40"/>
      <c r="X51" s="40"/>
      <c r="Y51" s="40"/>
      <c r="Z51" s="40"/>
    </row>
    <row r="52" spans="1:26" ht="15.75" customHeight="1">
      <c r="A52" s="179" t="s">
        <v>182</v>
      </c>
      <c r="B52" s="179" t="str">
        <f>IMDIV(Ibbt,B50)</f>
        <v>4553,13620867285-22890,513889336j</v>
      </c>
      <c r="C52" s="179"/>
      <c r="D52" s="179"/>
      <c r="E52" s="179" t="e">
        <f t="shared" ref="E52:E58" ca="1" si="6">_xludf.FORMULATEXT(B52)</f>
        <v>#NAME?</v>
      </c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40"/>
      <c r="T52" s="40"/>
      <c r="U52" s="40"/>
      <c r="V52" s="40"/>
      <c r="W52" s="40"/>
      <c r="X52" s="40"/>
      <c r="Y52" s="40"/>
      <c r="Z52" s="40"/>
    </row>
    <row r="53" spans="1:26" ht="15.75" customHeight="1">
      <c r="A53" s="179" t="s">
        <v>184</v>
      </c>
      <c r="B53" s="179">
        <f>IMABS(B52)</f>
        <v>23338.951892760997</v>
      </c>
      <c r="C53" s="179" t="s">
        <v>168</v>
      </c>
      <c r="D53" s="179" t="s">
        <v>116</v>
      </c>
      <c r="E53" s="179" t="e">
        <f t="shared" ca="1" si="6"/>
        <v>#NAME?</v>
      </c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40"/>
      <c r="T53" s="40"/>
      <c r="U53" s="40"/>
      <c r="V53" s="40"/>
      <c r="W53" s="40"/>
      <c r="X53" s="40"/>
      <c r="Y53" s="40"/>
      <c r="Z53" s="40"/>
    </row>
    <row r="54" spans="1:26" ht="15.75" customHeight="1">
      <c r="A54" s="179" t="s">
        <v>185</v>
      </c>
      <c r="B54" s="179">
        <f>DEGREES(IMARGUMENT(B52))</f>
        <v>-78.750168783781461</v>
      </c>
      <c r="C54" s="179" t="s">
        <v>186</v>
      </c>
      <c r="D54" s="179"/>
      <c r="E54" s="179" t="e">
        <f t="shared" ca="1" si="6"/>
        <v>#NAME?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1:26" ht="15.75" customHeight="1">
      <c r="A55" s="183" t="s">
        <v>222</v>
      </c>
      <c r="B55" s="184" t="str">
        <f>IMSUM(B45,B45,B45,Zps,Zps,ZOs)</f>
        <v>3,91+19,4544583604256j</v>
      </c>
      <c r="C55" s="179"/>
      <c r="D55" s="179"/>
      <c r="E55" s="179" t="e">
        <f t="shared" ca="1" si="6"/>
        <v>#NAME?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1:26" ht="15.75" customHeight="1">
      <c r="A56" s="179" t="s">
        <v>190</v>
      </c>
      <c r="B56" s="184" t="str">
        <f>IMDIV(3*Ibbt,B55)</f>
        <v>4526,03309006527-22519,5709177962j</v>
      </c>
      <c r="C56" s="179"/>
      <c r="D56" s="179"/>
      <c r="E56" s="179" t="e">
        <f t="shared" ca="1" si="6"/>
        <v>#NAME?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1:26" ht="15.75" customHeight="1">
      <c r="A57" s="187" t="s">
        <v>223</v>
      </c>
      <c r="B57" s="187">
        <f>IMABS(B56)</f>
        <v>22969.894424093862</v>
      </c>
      <c r="C57" s="187"/>
      <c r="D57" s="187" t="s">
        <v>117</v>
      </c>
      <c r="E57" s="179" t="e">
        <f t="shared" ca="1" si="6"/>
        <v>#NAME?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  <row r="58" spans="1:26" ht="15.75" customHeight="1">
      <c r="A58" s="187" t="s">
        <v>193</v>
      </c>
      <c r="B58" s="187">
        <f>DEGREES(IMARGUMENT(B56))</f>
        <v>-78.635965854719529</v>
      </c>
      <c r="C58" s="187"/>
      <c r="D58" s="187"/>
      <c r="E58" s="179" t="e">
        <f t="shared" ca="1" si="6"/>
        <v>#NAME?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</row>
    <row r="59" spans="1:26" ht="15.7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1:26" ht="15.75" customHeight="1">
      <c r="A60" s="188" t="s">
        <v>224</v>
      </c>
      <c r="B60" s="189"/>
      <c r="C60" s="190"/>
      <c r="D60" s="190"/>
      <c r="E60" s="190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1:26" ht="15.75" customHeight="1">
      <c r="A61" s="179" t="s">
        <v>225</v>
      </c>
      <c r="B61" s="179">
        <v>10</v>
      </c>
      <c r="C61" s="179" t="s">
        <v>226</v>
      </c>
      <c r="D61" s="179" t="s">
        <v>227</v>
      </c>
      <c r="E61" s="179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1:26" ht="15.75" customHeight="1">
      <c r="A62" s="179" t="s">
        <v>228</v>
      </c>
      <c r="B62" s="179">
        <v>3</v>
      </c>
      <c r="C62" s="179"/>
      <c r="D62" s="179" t="s">
        <v>229</v>
      </c>
      <c r="E62" s="179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1:26" ht="15.75" customHeight="1">
      <c r="A63" s="179" t="s">
        <v>230</v>
      </c>
      <c r="B63" s="179">
        <v>300</v>
      </c>
      <c r="C63" s="179" t="s">
        <v>231</v>
      </c>
      <c r="D63" s="179"/>
      <c r="E63" s="179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</row>
    <row r="64" spans="1:26" ht="15.75" customHeight="1">
      <c r="A64" s="183" t="s">
        <v>232</v>
      </c>
      <c r="B64" s="179"/>
      <c r="C64" s="178"/>
      <c r="D64" s="179"/>
      <c r="E64" s="179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</row>
    <row r="65" spans="1:18" ht="15.75" customHeight="1">
      <c r="A65" s="179" t="s">
        <v>233</v>
      </c>
      <c r="B65" s="179">
        <v>7.8100000000000003E-2</v>
      </c>
      <c r="C65" s="179" t="s">
        <v>234</v>
      </c>
      <c r="D65" s="179" t="s">
        <v>235</v>
      </c>
      <c r="E65" s="179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1:18" ht="15.75" customHeight="1">
      <c r="A66" s="179" t="s">
        <v>236</v>
      </c>
      <c r="B66" s="179">
        <f>B65*B61/(1000*B62)</f>
        <v>2.6033333333333334E-4</v>
      </c>
      <c r="C66" s="179" t="s">
        <v>237</v>
      </c>
      <c r="D66" s="179"/>
      <c r="E66" s="179" t="e">
        <f t="shared" ref="E66:E67" ca="1" si="7">_xludf.FORMULATEXT(B66)</f>
        <v>#NAME?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1:18" ht="15.75" customHeight="1">
      <c r="A67" s="179" t="s">
        <v>238</v>
      </c>
      <c r="B67" s="179">
        <f>B66/(Vbbt^2/Pb)</f>
        <v>0.18028624192059095</v>
      </c>
      <c r="C67" s="179" t="s">
        <v>207</v>
      </c>
      <c r="D67" s="179" t="s">
        <v>239</v>
      </c>
      <c r="E67" s="179" t="e">
        <f t="shared" ca="1" si="7"/>
        <v>#NAME?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1:18" ht="15.75" customHeight="1">
      <c r="A68" s="179" t="s">
        <v>240</v>
      </c>
      <c r="B68" s="179">
        <v>0.10680000000000001</v>
      </c>
      <c r="C68" s="179" t="s">
        <v>241</v>
      </c>
      <c r="D68" s="179" t="s">
        <v>235</v>
      </c>
      <c r="E68" s="179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1:18" ht="15.75" customHeight="1">
      <c r="A69" s="179" t="s">
        <v>242</v>
      </c>
      <c r="B69" s="179">
        <f>B68*B61/(1000*B62)</f>
        <v>3.5600000000000003E-4</v>
      </c>
      <c r="C69" s="179" t="s">
        <v>237</v>
      </c>
      <c r="D69" s="179"/>
      <c r="E69" s="179" t="e">
        <f t="shared" ref="E69:E71" ca="1" si="8">_xludf.FORMULATEXT(B69)</f>
        <v>#NAME?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1:18" ht="15.75" customHeight="1">
      <c r="A70" s="179" t="s">
        <v>243</v>
      </c>
      <c r="B70" s="179">
        <f>B69/(Vbbt^2/Pb)</f>
        <v>0.24653739612188369</v>
      </c>
      <c r="C70" s="179" t="s">
        <v>207</v>
      </c>
      <c r="D70" s="179"/>
      <c r="E70" s="179" t="e">
        <f t="shared" ca="1" si="8"/>
        <v>#NAME?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1:18" ht="15.75" customHeight="1">
      <c r="A71" s="179" t="s">
        <v>244</v>
      </c>
      <c r="B71" s="179" t="str">
        <f>COMPLEX(B67,B70,"j")</f>
        <v>0,180286241920591+0,246537396121884j</v>
      </c>
      <c r="C71" s="178"/>
      <c r="D71" s="179"/>
      <c r="E71" s="179" t="e">
        <f t="shared" ca="1" si="8"/>
        <v>#NAME?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ht="15.75" customHeight="1">
      <c r="A72" s="183" t="s">
        <v>245</v>
      </c>
      <c r="B72" s="179"/>
      <c r="C72" s="179"/>
      <c r="D72" s="179"/>
      <c r="E72" s="179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ht="15.75" customHeight="1">
      <c r="A73" s="179" t="s">
        <v>233</v>
      </c>
      <c r="B73" s="179">
        <v>1.8781000000000001</v>
      </c>
      <c r="C73" s="179" t="s">
        <v>234</v>
      </c>
      <c r="D73" s="179" t="s">
        <v>235</v>
      </c>
      <c r="E73" s="179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ht="15.75" customHeight="1">
      <c r="A74" s="179" t="s">
        <v>246</v>
      </c>
      <c r="B74" s="179">
        <f>((B73*B61)/B62)/1000</f>
        <v>6.2603333333333348E-3</v>
      </c>
      <c r="C74" s="179" t="s">
        <v>237</v>
      </c>
      <c r="D74" s="179"/>
      <c r="E74" s="179" t="e">
        <f t="shared" ref="E74:E75" ca="1" si="9">_xludf.FORMULATEXT(B74)</f>
        <v>#NAME?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1:18" ht="15.75" customHeight="1">
      <c r="A75" s="179" t="s">
        <v>247</v>
      </c>
      <c r="B75" s="179">
        <f>(B74/(Vbbt^2/Pb))</f>
        <v>4.3354108956602042</v>
      </c>
      <c r="C75" s="179" t="s">
        <v>207</v>
      </c>
      <c r="D75" s="179"/>
      <c r="E75" s="179" t="e">
        <f t="shared" ca="1" si="9"/>
        <v>#NAME?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1:18" ht="15.75" customHeight="1">
      <c r="A76" s="179" t="s">
        <v>240</v>
      </c>
      <c r="B76" s="179">
        <v>2.4066999999999998</v>
      </c>
      <c r="C76" s="179" t="s">
        <v>234</v>
      </c>
      <c r="D76" s="179" t="s">
        <v>235</v>
      </c>
      <c r="E76" s="179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1:18" ht="15.75" customHeight="1">
      <c r="A77" s="179" t="s">
        <v>248</v>
      </c>
      <c r="B77" s="179">
        <f>((B76*B61)/B62)/1000</f>
        <v>8.0223333333333344E-3</v>
      </c>
      <c r="C77" s="179" t="s">
        <v>237</v>
      </c>
      <c r="D77" s="179"/>
      <c r="E77" s="179" t="e">
        <f t="shared" ref="E77:E79" ca="1" si="10">_xludf.FORMULATEXT(B77)</f>
        <v>#NAME?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1:18" ht="15.75" customHeight="1">
      <c r="A78" s="179" t="s">
        <v>249</v>
      </c>
      <c r="B78" s="179">
        <f>(B77/(Vbbt^2/Pb))</f>
        <v>5.5556325023084039</v>
      </c>
      <c r="C78" s="179" t="s">
        <v>207</v>
      </c>
      <c r="D78" s="179"/>
      <c r="E78" s="179" t="e">
        <f t="shared" ca="1" si="10"/>
        <v>#NAME?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1:18" ht="15.75" customHeight="1">
      <c r="A79" s="179" t="s">
        <v>250</v>
      </c>
      <c r="B79" s="179" t="str">
        <f>COMPLEX(B75,B78,"j")</f>
        <v>4,3354108956602+5,5556325023084j</v>
      </c>
      <c r="C79" s="179" t="s">
        <v>207</v>
      </c>
      <c r="D79" s="179"/>
      <c r="E79" s="179" t="e">
        <f t="shared" ca="1" si="10"/>
        <v>#NAME?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1:18" ht="15.7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1:18" ht="15.7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1:18" ht="15.75" customHeight="1">
      <c r="A82" s="188" t="s">
        <v>251</v>
      </c>
      <c r="B82" s="171"/>
      <c r="C82" s="188"/>
      <c r="D82" s="188"/>
      <c r="E82" s="188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1:18" ht="15.75" customHeight="1">
      <c r="A83" s="174" t="s">
        <v>252</v>
      </c>
      <c r="B83" s="173" t="str">
        <f>IMSUM(B71,B45,Zps)</f>
        <v>1,45028624192059+6,63135684959707j</v>
      </c>
      <c r="C83" s="174"/>
      <c r="D83" s="173" t="s">
        <v>253</v>
      </c>
      <c r="E83" s="173" t="e">
        <f ca="1">_xludf.FORMULATEXT(B83)</f>
        <v>#NAME?</v>
      </c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1:18" ht="15.75" customHeight="1">
      <c r="A84" s="173" t="s">
        <v>221</v>
      </c>
      <c r="B84" s="171"/>
      <c r="C84" s="173"/>
      <c r="D84" s="173"/>
      <c r="E84" s="173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1:18" ht="15.75" customHeight="1">
      <c r="A85" s="173" t="s">
        <v>182</v>
      </c>
      <c r="B85" s="173" t="str">
        <f>IMDIV(Ibbt,B83)</f>
        <v>4782,0462580566-21865,6526496857j</v>
      </c>
      <c r="C85" s="173"/>
      <c r="D85" s="173"/>
      <c r="E85" s="173" t="e">
        <f t="shared" ref="E85:E87" ca="1" si="11">_xludf.FORMULATEXT(B85)</f>
        <v>#NAME?</v>
      </c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1:18" ht="15.75" customHeight="1">
      <c r="A86" s="173" t="s">
        <v>184</v>
      </c>
      <c r="B86" s="173">
        <f>IMABS(B85)</f>
        <v>22382.464837700521</v>
      </c>
      <c r="C86" s="173" t="s">
        <v>168</v>
      </c>
      <c r="D86" s="173" t="s">
        <v>119</v>
      </c>
      <c r="E86" s="173" t="e">
        <f t="shared" ca="1" si="11"/>
        <v>#NAME?</v>
      </c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5.75" customHeight="1">
      <c r="A87" s="173" t="s">
        <v>185</v>
      </c>
      <c r="B87" s="173">
        <f>DEGREES(IMARGUMENT(B85))</f>
        <v>-77.663576634914278</v>
      </c>
      <c r="C87" s="173" t="s">
        <v>186</v>
      </c>
      <c r="D87" s="173"/>
      <c r="E87" s="173" t="e">
        <f t="shared" ca="1" si="11"/>
        <v>#NAME?</v>
      </c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5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5.75" customHeight="1">
      <c r="A89" s="191" t="s">
        <v>254</v>
      </c>
      <c r="B89" s="191"/>
      <c r="C89" s="191"/>
      <c r="D89" s="191"/>
      <c r="E89" s="191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5.75" customHeight="1">
      <c r="A90" s="183" t="s">
        <v>255</v>
      </c>
      <c r="B90" s="179" t="str">
        <f>IMSUM(B83,B83,B79,B45,ZOs)</f>
        <v>8,60598337950138+25,5031656549777j</v>
      </c>
      <c r="C90" s="178"/>
      <c r="D90" s="178"/>
      <c r="E90" s="178" t="e">
        <f t="shared" ref="E90:E93" ca="1" si="12">_xludf.FORMULATEXT(B90)</f>
        <v>#NAME?</v>
      </c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5.75" customHeight="1">
      <c r="A91" s="179" t="s">
        <v>190</v>
      </c>
      <c r="B91" s="179" t="str">
        <f>IMDIV(3*Ibbt,B90)</f>
        <v>5414,45171202642-16045,3085781683j</v>
      </c>
      <c r="C91" s="179" t="s">
        <v>256</v>
      </c>
      <c r="D91" s="179" t="s">
        <v>120</v>
      </c>
      <c r="E91" s="178" t="e">
        <f t="shared" ca="1" si="12"/>
        <v>#NAME?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5.75" customHeight="1">
      <c r="A92" s="183" t="s">
        <v>192</v>
      </c>
      <c r="B92" s="179">
        <f>IMABS(B91)</f>
        <v>16934.232037813435</v>
      </c>
      <c r="C92" s="179" t="s">
        <v>168</v>
      </c>
      <c r="D92" s="179"/>
      <c r="E92" s="178" t="e">
        <f t="shared" ca="1" si="12"/>
        <v>#NAME?</v>
      </c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5.75" customHeight="1">
      <c r="A93" s="183" t="s">
        <v>193</v>
      </c>
      <c r="B93" s="179">
        <f>DEGREES(IMARGUMENT(B91))</f>
        <v>-71.3531538810619</v>
      </c>
      <c r="C93" s="179" t="s">
        <v>186</v>
      </c>
      <c r="D93" s="179"/>
      <c r="E93" s="178" t="e">
        <f t="shared" ca="1" si="12"/>
        <v>#NAME?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5.75" customHeight="1">
      <c r="A94" s="55"/>
      <c r="B94" s="55"/>
      <c r="C94" s="55"/>
      <c r="D94" s="55"/>
      <c r="E94" s="172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5.75" customHeight="1">
      <c r="A95" s="192" t="s">
        <v>257</v>
      </c>
      <c r="B95" s="189"/>
      <c r="C95" s="190"/>
      <c r="D95" s="190"/>
      <c r="E95" s="190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5.75" customHeight="1">
      <c r="A96" s="179" t="s">
        <v>225</v>
      </c>
      <c r="B96" s="179">
        <v>30</v>
      </c>
      <c r="C96" s="179" t="s">
        <v>226</v>
      </c>
      <c r="D96" s="179" t="s">
        <v>227</v>
      </c>
      <c r="E96" s="179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1:18" ht="15.75" customHeight="1">
      <c r="A97" s="179" t="s">
        <v>228</v>
      </c>
      <c r="B97" s="179">
        <v>1</v>
      </c>
      <c r="C97" s="179"/>
      <c r="D97" s="179" t="s">
        <v>229</v>
      </c>
      <c r="E97" s="179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1:18" ht="15.75" customHeight="1">
      <c r="A98" s="179" t="s">
        <v>230</v>
      </c>
      <c r="B98" s="179">
        <v>400</v>
      </c>
      <c r="C98" s="179" t="s">
        <v>231</v>
      </c>
      <c r="D98" s="179"/>
      <c r="E98" s="179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1:18" ht="15.75" customHeight="1">
      <c r="A99" s="183" t="s">
        <v>232</v>
      </c>
      <c r="B99" s="179"/>
      <c r="C99" s="178"/>
      <c r="D99" s="179"/>
      <c r="E99" s="179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1:18" ht="15.75" customHeight="1">
      <c r="A100" s="179" t="s">
        <v>233</v>
      </c>
      <c r="B100" s="179">
        <v>6.08E-2</v>
      </c>
      <c r="C100" s="179" t="s">
        <v>241</v>
      </c>
      <c r="D100" s="179" t="s">
        <v>235</v>
      </c>
      <c r="E100" s="179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1:18" ht="15.75" customHeight="1">
      <c r="A101" s="179" t="s">
        <v>236</v>
      </c>
      <c r="B101" s="179">
        <f>B100*B96/(1000*B97)</f>
        <v>1.8240000000000001E-3</v>
      </c>
      <c r="C101" s="179" t="s">
        <v>237</v>
      </c>
      <c r="D101" s="179"/>
      <c r="E101" s="179" t="e">
        <f t="shared" ref="E101:E102" ca="1" si="13">_xludf.FORMULATEXT(B101)</f>
        <v>#NAME?</v>
      </c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1:18" ht="15.75" customHeight="1">
      <c r="A102" s="179" t="s">
        <v>238</v>
      </c>
      <c r="B102" s="179">
        <f>B101/(Vbbt^2/Pb)</f>
        <v>1.2631578947368423</v>
      </c>
      <c r="C102" s="179" t="s">
        <v>207</v>
      </c>
      <c r="D102" s="179" t="s">
        <v>239</v>
      </c>
      <c r="E102" s="179" t="e">
        <f t="shared" ca="1" si="13"/>
        <v>#NAME?</v>
      </c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1:18" ht="15.75" customHeight="1">
      <c r="A103" s="179" t="s">
        <v>240</v>
      </c>
      <c r="B103" s="179">
        <v>0.10580000000000001</v>
      </c>
      <c r="C103" s="179" t="s">
        <v>241</v>
      </c>
      <c r="D103" s="179" t="s">
        <v>235</v>
      </c>
      <c r="E103" s="179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1:18" ht="15.75" customHeight="1">
      <c r="A104" s="179" t="s">
        <v>242</v>
      </c>
      <c r="B104" s="179">
        <f>B103*B96/(1000*B97)</f>
        <v>3.1740000000000002E-3</v>
      </c>
      <c r="C104" s="179" t="s">
        <v>237</v>
      </c>
      <c r="D104" s="179"/>
      <c r="E104" s="179" t="e">
        <f t="shared" ref="E104:E106" ca="1" si="14">_xludf.FORMULATEXT(B104)</f>
        <v>#NAME?</v>
      </c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1:18" ht="15.75" customHeight="1">
      <c r="A105" s="179" t="s">
        <v>243</v>
      </c>
      <c r="B105" s="179">
        <f>B104/(Vbbt^2/Pb)</f>
        <v>2.1980609418282548</v>
      </c>
      <c r="C105" s="179" t="s">
        <v>207</v>
      </c>
      <c r="D105" s="179"/>
      <c r="E105" s="179" t="e">
        <f t="shared" ca="1" si="14"/>
        <v>#NAME?</v>
      </c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1:18" ht="15.75" customHeight="1">
      <c r="A106" s="179" t="s">
        <v>244</v>
      </c>
      <c r="B106" s="179" t="str">
        <f>COMPLEX(B102,B105,"j")</f>
        <v>1,26315789473684+2,19806094182825j</v>
      </c>
      <c r="C106" s="179" t="s">
        <v>207</v>
      </c>
      <c r="D106" s="179" t="s">
        <v>258</v>
      </c>
      <c r="E106" s="179" t="e">
        <f t="shared" ca="1" si="14"/>
        <v>#NAME?</v>
      </c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1:18" ht="15.75" customHeight="1">
      <c r="A107" s="183" t="s">
        <v>245</v>
      </c>
      <c r="B107" s="179"/>
      <c r="C107" s="179"/>
      <c r="D107" s="179"/>
      <c r="E107" s="179"/>
      <c r="F107" s="55"/>
      <c r="G107" s="193" t="s">
        <v>259</v>
      </c>
      <c r="H107" s="194"/>
      <c r="I107" s="194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1:18" ht="15.75" customHeight="1">
      <c r="A108" s="179" t="s">
        <v>233</v>
      </c>
      <c r="B108" s="179">
        <v>1.8608</v>
      </c>
      <c r="C108" s="179" t="s">
        <v>241</v>
      </c>
      <c r="D108" s="179" t="s">
        <v>235</v>
      </c>
      <c r="E108" s="179"/>
      <c r="F108" s="55"/>
      <c r="G108" s="193" t="s">
        <v>260</v>
      </c>
      <c r="H108" s="194"/>
      <c r="I108" s="194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1:18" ht="15.75" customHeight="1">
      <c r="A109" s="179" t="s">
        <v>246</v>
      </c>
      <c r="B109" s="179">
        <f>((B108*B96)/B97)/1000</f>
        <v>5.5823999999999999E-2</v>
      </c>
      <c r="C109" s="179" t="s">
        <v>237</v>
      </c>
      <c r="D109" s="179"/>
      <c r="E109" s="179" t="e">
        <f t="shared" ref="E109:E110" ca="1" si="15">_xludf.FORMULATEXT(B109)</f>
        <v>#NAME?</v>
      </c>
      <c r="F109" s="55"/>
      <c r="G109" s="193" t="s">
        <v>261</v>
      </c>
      <c r="H109" s="194"/>
      <c r="I109" s="194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1:18" ht="15.75" customHeight="1">
      <c r="A110" s="179" t="s">
        <v>247</v>
      </c>
      <c r="B110" s="179">
        <f>(B109/(Vbbt^2/Pb))</f>
        <v>38.659279778393355</v>
      </c>
      <c r="C110" s="179" t="s">
        <v>207</v>
      </c>
      <c r="D110" s="179"/>
      <c r="E110" s="179" t="e">
        <f t="shared" ca="1" si="15"/>
        <v>#NAME?</v>
      </c>
      <c r="F110" s="55"/>
      <c r="G110" s="193" t="s">
        <v>262</v>
      </c>
      <c r="H110" s="194"/>
      <c r="I110" s="194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1:18" ht="15.75" customHeight="1">
      <c r="A111" s="179" t="s">
        <v>240</v>
      </c>
      <c r="B111" s="179">
        <v>2.3757000000000001</v>
      </c>
      <c r="C111" s="179" t="s">
        <v>241</v>
      </c>
      <c r="D111" s="179" t="s">
        <v>235</v>
      </c>
      <c r="E111" s="179"/>
      <c r="F111" s="55"/>
      <c r="G111" s="193" t="s">
        <v>263</v>
      </c>
      <c r="H111" s="194"/>
      <c r="I111" s="194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1:18" ht="15.75" customHeight="1">
      <c r="A112" s="179" t="s">
        <v>248</v>
      </c>
      <c r="B112" s="179">
        <f>((B111*B96)/B97)/1000</f>
        <v>7.1271000000000001E-2</v>
      </c>
      <c r="C112" s="179" t="s">
        <v>237</v>
      </c>
      <c r="D112" s="179"/>
      <c r="E112" s="179" t="e">
        <f t="shared" ref="E112:E114" ca="1" si="16">_xludf.FORMULATEXT(B112)</f>
        <v>#NAME?</v>
      </c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1:18" ht="15.75" customHeight="1">
      <c r="A113" s="179" t="s">
        <v>249</v>
      </c>
      <c r="B113" s="179">
        <f>(B112/(Vbbt^2/Pb))</f>
        <v>49.356648199445985</v>
      </c>
      <c r="C113" s="179" t="s">
        <v>207</v>
      </c>
      <c r="D113" s="179"/>
      <c r="E113" s="179" t="e">
        <f t="shared" ca="1" si="16"/>
        <v>#NAME?</v>
      </c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1:18" ht="15.75" customHeight="1">
      <c r="A114" s="179" t="s">
        <v>250</v>
      </c>
      <c r="B114" s="179" t="str">
        <f>COMPLEX(B110,B113,"j")</f>
        <v>38,6592797783934+49,356648199446j</v>
      </c>
      <c r="C114" s="179" t="s">
        <v>207</v>
      </c>
      <c r="D114" s="179" t="s">
        <v>264</v>
      </c>
      <c r="E114" s="179" t="e">
        <f t="shared" ca="1" si="16"/>
        <v>#NAME?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1:18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1:18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1:18" ht="15.75" customHeight="1">
      <c r="A117" s="192" t="s">
        <v>265</v>
      </c>
      <c r="B117" s="171"/>
      <c r="C117" s="188"/>
      <c r="D117" s="188"/>
      <c r="E117" s="188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1:18" ht="15.75" customHeight="1">
      <c r="A118" s="174" t="s">
        <v>266</v>
      </c>
      <c r="B118" s="173" t="str">
        <f>IMSUM(B106,B71,B45,B11)</f>
        <v>2,71344413665743+8,82941779142532j</v>
      </c>
      <c r="C118" s="174"/>
      <c r="D118" s="173" t="s">
        <v>267</v>
      </c>
      <c r="E118" s="173" t="e">
        <f ca="1">_xludf.FORMULATEXT(B118)</f>
        <v>#NAME?</v>
      </c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1:18" ht="15.75" customHeight="1">
      <c r="A119" s="171" t="s">
        <v>221</v>
      </c>
      <c r="B119" s="171"/>
      <c r="C119" s="173"/>
      <c r="D119" s="173"/>
      <c r="E119" s="173"/>
      <c r="F119" s="55"/>
      <c r="G119" s="193" t="s">
        <v>268</v>
      </c>
      <c r="H119" s="194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1:18" ht="15.75" customHeight="1">
      <c r="A120" s="173" t="s">
        <v>182</v>
      </c>
      <c r="B120" s="173" t="str">
        <f>IMDIV(Ibbt,B118)</f>
        <v>4831,90848294986-15722,7997250944j</v>
      </c>
      <c r="C120" s="173" t="s">
        <v>168</v>
      </c>
      <c r="D120" s="173"/>
      <c r="E120" s="173" t="e">
        <f t="shared" ref="E120:E122" ca="1" si="17">_xludf.FORMULATEXT(B120)</f>
        <v>#NAME?</v>
      </c>
      <c r="F120" s="55"/>
      <c r="G120" s="193" t="s">
        <v>269</v>
      </c>
      <c r="H120" s="194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1:18" ht="15.75" customHeight="1">
      <c r="A121" s="173" t="s">
        <v>184</v>
      </c>
      <c r="B121" s="173">
        <f>IMABS(B120)</f>
        <v>16448.518802099825</v>
      </c>
      <c r="C121" s="173" t="s">
        <v>168</v>
      </c>
      <c r="D121" s="173" t="s">
        <v>130</v>
      </c>
      <c r="E121" s="173" t="e">
        <f t="shared" ca="1" si="17"/>
        <v>#NAME?</v>
      </c>
      <c r="F121" s="55"/>
      <c r="G121" s="193" t="s">
        <v>270</v>
      </c>
      <c r="H121" s="194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1:18" ht="15.75" customHeight="1">
      <c r="A122" s="173" t="s">
        <v>185</v>
      </c>
      <c r="B122" s="173">
        <f>DEGREES(IMARGUMENT(B120))</f>
        <v>-72.916834175183936</v>
      </c>
      <c r="C122" s="173" t="s">
        <v>186</v>
      </c>
      <c r="D122" s="173"/>
      <c r="E122" s="173" t="e">
        <f t="shared" ca="1" si="17"/>
        <v>#NAME?</v>
      </c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1:18" ht="15.75" customHeight="1">
      <c r="A123" s="195" t="s">
        <v>254</v>
      </c>
      <c r="B123" s="195"/>
      <c r="C123" s="195"/>
      <c r="D123" s="195"/>
      <c r="E123" s="19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1:18" ht="15.75" customHeight="1">
      <c r="A124" s="171" t="s">
        <v>271</v>
      </c>
      <c r="B124" s="173" t="str">
        <f>IMSUM(B118,B118,B114,B79,B45,ZOs)</f>
        <v>49,7915789473685+79,2559357380802j</v>
      </c>
      <c r="C124" s="174"/>
      <c r="D124" s="173" t="s">
        <v>272</v>
      </c>
      <c r="E124" s="174" t="e">
        <f t="shared" ref="E124:E127" ca="1" si="18">_xludf.FORMULATEXT(B124)</f>
        <v>#NAME?</v>
      </c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1:18" ht="15.75" customHeight="1">
      <c r="A125" s="173" t="s">
        <v>190</v>
      </c>
      <c r="B125" s="173" t="str">
        <f>IMDIV(3*Ibbt,B124)</f>
        <v>2590,56138923226-4123,53597397608j</v>
      </c>
      <c r="C125" s="173" t="s">
        <v>256</v>
      </c>
      <c r="D125" s="173" t="s">
        <v>131</v>
      </c>
      <c r="E125" s="174" t="e">
        <f t="shared" ca="1" si="18"/>
        <v>#NAME?</v>
      </c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1:18" ht="15.75" customHeight="1">
      <c r="A126" s="171" t="s">
        <v>192</v>
      </c>
      <c r="B126" s="173">
        <f>IMABS(B125)</f>
        <v>4869.7594642914173</v>
      </c>
      <c r="C126" s="173" t="s">
        <v>168</v>
      </c>
      <c r="D126" s="173"/>
      <c r="E126" s="174" t="e">
        <f t="shared" ca="1" si="18"/>
        <v>#NAME?</v>
      </c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1:18" ht="15.75" customHeight="1">
      <c r="A127" s="171" t="s">
        <v>193</v>
      </c>
      <c r="B127" s="173">
        <f>DEGREES(IMARGUMENT(B125))</f>
        <v>-57.861406591058191</v>
      </c>
      <c r="C127" s="173" t="s">
        <v>186</v>
      </c>
      <c r="D127" s="173"/>
      <c r="E127" s="174" t="e">
        <f t="shared" ca="1" si="18"/>
        <v>#NAME?</v>
      </c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1:1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1:18" ht="15.75" customHeight="1">
      <c r="A129" s="196" t="s">
        <v>273</v>
      </c>
      <c r="B129" s="197"/>
      <c r="C129" s="197"/>
      <c r="D129" s="197"/>
      <c r="E129" s="197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1:18" ht="15.75" customHeight="1">
      <c r="A130" s="179" t="s">
        <v>274</v>
      </c>
      <c r="B130" s="179">
        <f>8.82/2.71</f>
        <v>3.2546125461254616</v>
      </c>
      <c r="C130" s="179"/>
      <c r="D130" s="179"/>
      <c r="E130" s="178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1:18" ht="15.75" customHeight="1">
      <c r="A131" s="179" t="s">
        <v>110</v>
      </c>
      <c r="B131" s="179">
        <v>1.32</v>
      </c>
      <c r="C131" s="183"/>
      <c r="D131" s="179"/>
      <c r="E131" s="178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1:18" ht="15.75" customHeight="1">
      <c r="A132" s="179" t="s">
        <v>275</v>
      </c>
      <c r="B132" s="179">
        <f>B131*B121</f>
        <v>21712.04481877177</v>
      </c>
      <c r="C132" s="179"/>
      <c r="D132" s="179" t="s">
        <v>132</v>
      </c>
      <c r="E132" s="178" t="e">
        <f t="shared" ref="E132:E133" ca="1" si="19">_xludf.FORMULATEXT(B132)</f>
        <v>#NAME?</v>
      </c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1:18" ht="15.75" customHeight="1">
      <c r="A133" s="179" t="s">
        <v>276</v>
      </c>
      <c r="B133" s="179">
        <f>B132*SQRT(2)</f>
        <v>30705.46824955953</v>
      </c>
      <c r="C133" s="179"/>
      <c r="D133" s="179" t="s">
        <v>277</v>
      </c>
      <c r="E133" s="178" t="e">
        <f t="shared" ca="1" si="19"/>
        <v>#NAME?</v>
      </c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1:18" ht="15.75" customHeight="1">
      <c r="A134" s="178"/>
      <c r="B134" s="178"/>
      <c r="C134" s="178"/>
      <c r="D134" s="178"/>
      <c r="E134" s="178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1:18" ht="15.75" customHeight="1">
      <c r="A135" s="179" t="s">
        <v>278</v>
      </c>
      <c r="B135" s="198">
        <f>SQRT(1+2*EXP(-2*0.00416/B136))</f>
        <v>1.3277556615854751</v>
      </c>
      <c r="C135" s="179" t="s">
        <v>279</v>
      </c>
      <c r="D135" s="179"/>
      <c r="E135" s="199" t="e">
        <f t="shared" ref="E135:E138" ca="1" si="20">_xludf.FORMULATEXT(B135)</f>
        <v>#NAME?</v>
      </c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1:18" ht="15.75" customHeight="1">
      <c r="A136" s="179" t="s">
        <v>280</v>
      </c>
      <c r="B136" s="200">
        <f>8.82/(2*PI()*60*2.71)</f>
        <v>8.6331279094127734E-3</v>
      </c>
      <c r="C136" s="179"/>
      <c r="D136" s="179"/>
      <c r="E136" s="199" t="e">
        <f t="shared" ca="1" si="20"/>
        <v>#NAME?</v>
      </c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1:18" ht="15.75" customHeight="1">
      <c r="A137" s="179" t="s">
        <v>281</v>
      </c>
      <c r="B137" s="179">
        <f>B135*$B$121</f>
        <v>21839.61396418318</v>
      </c>
      <c r="C137" s="179"/>
      <c r="D137" s="179" t="s">
        <v>282</v>
      </c>
      <c r="E137" s="199" t="e">
        <f t="shared" ca="1" si="20"/>
        <v>#NAME?</v>
      </c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1:18" ht="15.75" customHeight="1">
      <c r="A138" s="179" t="s">
        <v>283</v>
      </c>
      <c r="B138" s="179">
        <f>B137*SQRT(2)</f>
        <v>30885.878265140687</v>
      </c>
      <c r="C138" s="179"/>
      <c r="D138" s="179" t="s">
        <v>284</v>
      </c>
      <c r="E138" s="199" t="e">
        <f t="shared" ca="1" si="20"/>
        <v>#NAME?</v>
      </c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1:18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1:18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1:18" ht="15.75" customHeight="1">
      <c r="A141" s="192" t="s">
        <v>285</v>
      </c>
      <c r="B141" s="189"/>
      <c r="C141" s="190"/>
      <c r="D141" s="190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1:18" ht="15.75" customHeight="1">
      <c r="A142" s="179" t="s">
        <v>225</v>
      </c>
      <c r="B142" s="179">
        <v>25</v>
      </c>
      <c r="C142" s="179" t="s">
        <v>226</v>
      </c>
      <c r="D142" s="179" t="s">
        <v>227</v>
      </c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1:18" ht="15.75" customHeight="1">
      <c r="A143" s="179" t="s">
        <v>228</v>
      </c>
      <c r="B143" s="179">
        <v>1</v>
      </c>
      <c r="C143" s="179"/>
      <c r="D143" s="179" t="s">
        <v>229</v>
      </c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1:18" ht="15.75" customHeight="1">
      <c r="A144" s="179" t="s">
        <v>230</v>
      </c>
      <c r="B144" s="179">
        <v>630</v>
      </c>
      <c r="C144" s="179" t="s">
        <v>231</v>
      </c>
      <c r="D144" s="179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1:18" ht="15.75" customHeight="1">
      <c r="A145" s="183" t="s">
        <v>232</v>
      </c>
      <c r="B145" s="179"/>
      <c r="C145" s="178"/>
      <c r="D145" s="179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1:18" ht="15.75" customHeight="1">
      <c r="A146" s="179" t="s">
        <v>233</v>
      </c>
      <c r="B146" s="179">
        <v>2.92E-2</v>
      </c>
      <c r="C146" s="179" t="s">
        <v>241</v>
      </c>
      <c r="D146" s="179" t="s">
        <v>235</v>
      </c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1:18" ht="15.75" customHeight="1">
      <c r="A147" s="179" t="s">
        <v>236</v>
      </c>
      <c r="B147" s="179">
        <f>B146*B142/(1000*B143)</f>
        <v>7.2999999999999996E-4</v>
      </c>
      <c r="C147" s="179" t="s">
        <v>237</v>
      </c>
      <c r="D147" s="179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1:18" ht="15.75" customHeight="1">
      <c r="A148" s="179" t="s">
        <v>238</v>
      </c>
      <c r="B148" s="179">
        <f>B147/(Vbbt^2/Pb)</f>
        <v>0.5055401662049861</v>
      </c>
      <c r="C148" s="179" t="s">
        <v>207</v>
      </c>
      <c r="D148" s="179" t="s">
        <v>239</v>
      </c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1:18" ht="15.75" customHeight="1">
      <c r="A149" s="179" t="s">
        <v>240</v>
      </c>
      <c r="B149" s="179">
        <v>0.1042</v>
      </c>
      <c r="C149" s="179" t="s">
        <v>241</v>
      </c>
      <c r="D149" s="179" t="s">
        <v>235</v>
      </c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1:18" ht="15.75" customHeight="1">
      <c r="A150" s="179" t="s">
        <v>242</v>
      </c>
      <c r="B150" s="179">
        <f>B149*B142/(1000*B143)</f>
        <v>2.6050000000000001E-3</v>
      </c>
      <c r="C150" s="179" t="s">
        <v>237</v>
      </c>
      <c r="D150" s="179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1:18" ht="15.75" customHeight="1">
      <c r="A151" s="179" t="s">
        <v>243</v>
      </c>
      <c r="B151" s="179">
        <f>B150/(Vbbt^2/Pb)</f>
        <v>1.804016620498615</v>
      </c>
      <c r="C151" s="179" t="s">
        <v>207</v>
      </c>
      <c r="D151" s="179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1:18" ht="15.75" customHeight="1">
      <c r="A152" s="179" t="s">
        <v>244</v>
      </c>
      <c r="B152" s="179" t="str">
        <f>COMPLEX(B148,B151,"j")</f>
        <v>0,505540166204986+1,80401662049861j</v>
      </c>
      <c r="C152" s="179" t="s">
        <v>207</v>
      </c>
      <c r="D152" s="179" t="s">
        <v>286</v>
      </c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1:18" ht="15.75" customHeight="1">
      <c r="A153" s="183" t="s">
        <v>245</v>
      </c>
      <c r="B153" s="179"/>
      <c r="C153" s="179"/>
      <c r="D153" s="179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1:18" ht="15.75" customHeight="1">
      <c r="A154" s="179" t="s">
        <v>233</v>
      </c>
      <c r="B154" s="179">
        <v>1.8375999999999999</v>
      </c>
      <c r="C154" s="179" t="s">
        <v>241</v>
      </c>
      <c r="D154" s="179" t="s">
        <v>235</v>
      </c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1:18" ht="15.75" customHeight="1">
      <c r="A155" s="179" t="s">
        <v>246</v>
      </c>
      <c r="B155" s="179">
        <f>((B154*B142)/B143)/1000</f>
        <v>4.5939999999999995E-2</v>
      </c>
      <c r="C155" s="179" t="s">
        <v>237</v>
      </c>
      <c r="D155" s="179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1:18" ht="15.75" customHeight="1">
      <c r="A156" s="179" t="s">
        <v>247</v>
      </c>
      <c r="B156" s="179">
        <f>(B155/(Vbbt^2/Pb))</f>
        <v>31.81440443213296</v>
      </c>
      <c r="C156" s="179" t="s">
        <v>207</v>
      </c>
      <c r="D156" s="179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1:18" ht="15.75" customHeight="1">
      <c r="A157" s="179" t="s">
        <v>240</v>
      </c>
      <c r="B157" s="179">
        <v>2.3001</v>
      </c>
      <c r="C157" s="179" t="s">
        <v>241</v>
      </c>
      <c r="D157" s="179" t="s">
        <v>235</v>
      </c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1:18" ht="15.75" customHeight="1">
      <c r="A158" s="179" t="s">
        <v>248</v>
      </c>
      <c r="B158" s="179">
        <f>((B157*B142)/B143)/1000</f>
        <v>5.7502499999999998E-2</v>
      </c>
      <c r="C158" s="179" t="s">
        <v>237</v>
      </c>
      <c r="D158" s="179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1:18" ht="15.75" customHeight="1">
      <c r="A159" s="179" t="s">
        <v>249</v>
      </c>
      <c r="B159" s="179">
        <f>(B158/(Vbbt^2/Pb))</f>
        <v>39.821675900277008</v>
      </c>
      <c r="C159" s="179" t="s">
        <v>207</v>
      </c>
      <c r="D159" s="179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1:18" ht="15.75" customHeight="1">
      <c r="A160" s="179" t="s">
        <v>250</v>
      </c>
      <c r="B160" s="179" t="str">
        <f>COMPLEX(B156,B159,"j")</f>
        <v>31,814404432133+39,821675900277j</v>
      </c>
      <c r="C160" s="179" t="s">
        <v>207</v>
      </c>
      <c r="D160" s="179" t="s">
        <v>287</v>
      </c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1:18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1:18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1:18" ht="15.75" customHeight="1">
      <c r="A163" s="192" t="s">
        <v>288</v>
      </c>
      <c r="B163" s="171"/>
      <c r="C163" s="188"/>
      <c r="D163" s="188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1:18" ht="15.75" customHeight="1">
      <c r="A164" s="174" t="s">
        <v>289</v>
      </c>
      <c r="B164" s="173" t="str">
        <f>IMSUM(B152,B83)</f>
        <v>1,95582640812558+8,43537347009568j</v>
      </c>
      <c r="C164" s="174"/>
      <c r="D164" s="173" t="s">
        <v>290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1:18" ht="15.75" customHeight="1">
      <c r="A165" s="171" t="s">
        <v>221</v>
      </c>
      <c r="B165" s="171"/>
      <c r="C165" s="173"/>
      <c r="D165" s="173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1:18" ht="15.75" customHeight="1">
      <c r="A166" s="173" t="s">
        <v>182</v>
      </c>
      <c r="B166" s="173" t="str">
        <f>IMDIV(Ibbt,B164)</f>
        <v>3963,10987712657-17092,678459448j</v>
      </c>
      <c r="C166" s="173" t="s">
        <v>168</v>
      </c>
      <c r="D166" s="173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1:18" ht="15.75" customHeight="1">
      <c r="A167" s="173" t="s">
        <v>184</v>
      </c>
      <c r="B167" s="173">
        <f>IMABS(B166)</f>
        <v>17546.107739788215</v>
      </c>
      <c r="C167" s="173" t="s">
        <v>168</v>
      </c>
      <c r="D167" s="173" t="s">
        <v>122</v>
      </c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1:18" ht="15.75" customHeight="1">
      <c r="A168" s="173" t="s">
        <v>185</v>
      </c>
      <c r="B168" s="173">
        <f>DEGREES(IMARGUMENT(B166))</f>
        <v>-76.946056256359356</v>
      </c>
      <c r="C168" s="173" t="s">
        <v>186</v>
      </c>
      <c r="D168" s="173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1:18" ht="15.75" customHeight="1">
      <c r="A169" s="195" t="s">
        <v>254</v>
      </c>
      <c r="B169" s="195"/>
      <c r="C169" s="195"/>
      <c r="D169" s="19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1:18" ht="15.75" customHeight="1">
      <c r="A170" s="171" t="s">
        <v>291</v>
      </c>
      <c r="B170" s="173" t="str">
        <f>IMSUM(ZOs,B160,B79,B45,B164,B164)</f>
        <v>41,4314681440444+68,932874796252j</v>
      </c>
      <c r="C170" s="174"/>
      <c r="D170" s="173" t="s">
        <v>292</v>
      </c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1:18" ht="15.75" customHeight="1">
      <c r="A171" s="173" t="s">
        <v>190</v>
      </c>
      <c r="B171" s="173" t="str">
        <f>IMDIV(3*Ibbt,B170)</f>
        <v>2919,55510726368-4857,49927977618j</v>
      </c>
      <c r="C171" s="173" t="s">
        <v>256</v>
      </c>
      <c r="D171" s="173" t="s">
        <v>123</v>
      </c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1:18" ht="15.75" customHeight="1">
      <c r="A172" s="171" t="s">
        <v>192</v>
      </c>
      <c r="B172" s="173">
        <f>IMABS(B171)</f>
        <v>5667.3716374855403</v>
      </c>
      <c r="C172" s="173" t="s">
        <v>168</v>
      </c>
      <c r="D172" s="173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1:18" ht="15.75" customHeight="1">
      <c r="A173" s="171" t="s">
        <v>193</v>
      </c>
      <c r="B173" s="173">
        <f>DEGREES(IMARGUMENT(B171))</f>
        <v>-58.992416742054289</v>
      </c>
      <c r="C173" s="173" t="s">
        <v>186</v>
      </c>
      <c r="D173" s="173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1:18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1:18" ht="15.75" customHeight="1">
      <c r="A175" s="196" t="s">
        <v>293</v>
      </c>
      <c r="B175" s="197"/>
      <c r="C175" s="197"/>
      <c r="D175" s="197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1:18" ht="15.75" customHeight="1">
      <c r="A176" s="179" t="s">
        <v>274</v>
      </c>
      <c r="B176" s="179">
        <f>8.43/1.95</f>
        <v>4.3230769230769228</v>
      </c>
      <c r="C176" s="179"/>
      <c r="D176" s="179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1:18" ht="15.75" customHeight="1">
      <c r="A177" s="179" t="s">
        <v>110</v>
      </c>
      <c r="B177" s="179">
        <v>1.4</v>
      </c>
      <c r="C177" s="183"/>
      <c r="D177" s="179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1:18" ht="15.75" customHeight="1">
      <c r="A178" s="179" t="s">
        <v>275</v>
      </c>
      <c r="B178" s="179">
        <f>B177*B167</f>
        <v>24564.5508357035</v>
      </c>
      <c r="C178" s="179"/>
      <c r="D178" s="179" t="s">
        <v>124</v>
      </c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1:18" ht="15.75" customHeight="1">
      <c r="A179" s="179" t="s">
        <v>276</v>
      </c>
      <c r="B179" s="179">
        <f>B178*SQRT(2)</f>
        <v>34739.520945455239</v>
      </c>
      <c r="C179" s="179"/>
      <c r="D179" s="179" t="s">
        <v>294</v>
      </c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1:18" ht="15.75" customHeight="1">
      <c r="A180" s="178"/>
      <c r="B180" s="178"/>
      <c r="C180" s="178"/>
      <c r="D180" s="178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1:18" ht="15.75" customHeight="1">
      <c r="A181" s="179" t="s">
        <v>278</v>
      </c>
      <c r="B181" s="198">
        <f>SQRT(1+2*EXP(-2*0.00416/B182))</f>
        <v>1.4028991455996773</v>
      </c>
      <c r="C181" s="179" t="s">
        <v>279</v>
      </c>
      <c r="D181" s="179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1:18" ht="15.75" customHeight="1">
      <c r="A182" s="179" t="s">
        <v>280</v>
      </c>
      <c r="B182" s="200">
        <f>8.43/(2*PI()*60*1.95)</f>
        <v>1.1467317694569896E-2</v>
      </c>
      <c r="C182" s="179"/>
      <c r="D182" s="179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1:18" ht="15.75" customHeight="1">
      <c r="A183" s="179" t="s">
        <v>281</v>
      </c>
      <c r="B183" s="179">
        <f>B181*$B$167</f>
        <v>24615.419556748773</v>
      </c>
      <c r="C183" s="179"/>
      <c r="D183" s="179" t="s">
        <v>295</v>
      </c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1:18" ht="15.75" customHeight="1">
      <c r="A184" s="179" t="s">
        <v>283</v>
      </c>
      <c r="B184" s="179">
        <f>B183*SQRT(2)</f>
        <v>34811.460180658039</v>
      </c>
      <c r="C184" s="179"/>
      <c r="D184" s="179" t="s">
        <v>296</v>
      </c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1:18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1:18" ht="15.75" customHeight="1">
      <c r="A186" s="180"/>
      <c r="B186" s="180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1:18" ht="15.75" customHeight="1">
      <c r="A187" s="192" t="s">
        <v>297</v>
      </c>
      <c r="B187" s="189"/>
      <c r="C187" s="190"/>
      <c r="D187" s="190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1:18" ht="15.75" customHeight="1">
      <c r="A188" s="179" t="s">
        <v>225</v>
      </c>
      <c r="B188" s="179">
        <v>35</v>
      </c>
      <c r="C188" s="179" t="s">
        <v>226</v>
      </c>
      <c r="D188" s="179" t="s">
        <v>227</v>
      </c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1:18" ht="15.75" customHeight="1">
      <c r="A189" s="179" t="s">
        <v>228</v>
      </c>
      <c r="B189" s="179">
        <v>1</v>
      </c>
      <c r="C189" s="179"/>
      <c r="D189" s="179" t="s">
        <v>229</v>
      </c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1:18" ht="15.75" customHeight="1">
      <c r="A190" s="179" t="s">
        <v>230</v>
      </c>
      <c r="B190" s="179">
        <v>50</v>
      </c>
      <c r="C190" s="179" t="s">
        <v>231</v>
      </c>
      <c r="D190" s="179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1:18" ht="15.75" customHeight="1">
      <c r="A191" s="183" t="s">
        <v>232</v>
      </c>
      <c r="B191" s="179"/>
      <c r="C191" s="178"/>
      <c r="D191" s="179"/>
      <c r="E191" s="172"/>
      <c r="F191" s="172"/>
      <c r="G191" s="172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1:18" ht="15.75" customHeight="1">
      <c r="A192" s="179" t="s">
        <v>233</v>
      </c>
      <c r="B192" s="179">
        <v>0.44500000000000001</v>
      </c>
      <c r="C192" s="179" t="s">
        <v>241</v>
      </c>
      <c r="D192" s="179" t="s">
        <v>235</v>
      </c>
      <c r="E192" s="172"/>
      <c r="F192" s="172"/>
      <c r="G192" s="172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1:18" ht="15.75" customHeight="1">
      <c r="A193" s="179" t="s">
        <v>236</v>
      </c>
      <c r="B193" s="179">
        <f>B192*B188/(1000*B189)</f>
        <v>1.5575E-2</v>
      </c>
      <c r="C193" s="179" t="s">
        <v>237</v>
      </c>
      <c r="D193" s="179"/>
      <c r="E193" s="201"/>
      <c r="F193" s="172"/>
      <c r="G193" s="172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1:18" ht="15.75" customHeight="1">
      <c r="A194" s="179" t="s">
        <v>238</v>
      </c>
      <c r="B194" s="179">
        <f>B193/(Vbbt^2/Pb)</f>
        <v>10.786011080332411</v>
      </c>
      <c r="C194" s="179" t="s">
        <v>207</v>
      </c>
      <c r="D194" s="179" t="s">
        <v>239</v>
      </c>
      <c r="E194" s="180"/>
      <c r="F194" s="172"/>
      <c r="G194" s="172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1:18" ht="15.75" customHeight="1">
      <c r="A195" s="179" t="s">
        <v>240</v>
      </c>
      <c r="B195" s="179">
        <v>0.11269999999999999</v>
      </c>
      <c r="C195" s="179" t="s">
        <v>241</v>
      </c>
      <c r="D195" s="179" t="s">
        <v>235</v>
      </c>
      <c r="E195" s="180"/>
      <c r="F195" s="172"/>
      <c r="G195" s="172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1:18" ht="15.75" customHeight="1">
      <c r="A196" s="179" t="s">
        <v>242</v>
      </c>
      <c r="B196" s="179">
        <f>B195*B188/(1000*B189)</f>
        <v>3.9445000000000001E-3</v>
      </c>
      <c r="C196" s="179" t="s">
        <v>237</v>
      </c>
      <c r="D196" s="179"/>
      <c r="E196" s="172"/>
      <c r="F196" s="172"/>
      <c r="G196" s="172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1:18" ht="15.75" customHeight="1">
      <c r="A197" s="179" t="s">
        <v>243</v>
      </c>
      <c r="B197" s="179">
        <f>B196/(Vbbt^2/Pb)</f>
        <v>2.7316481994459836</v>
      </c>
      <c r="C197" s="179" t="s">
        <v>207</v>
      </c>
      <c r="D197" s="179"/>
      <c r="E197" s="180"/>
      <c r="F197" s="172"/>
      <c r="G197" s="172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1:18" ht="15.75" customHeight="1">
      <c r="A198" s="179" t="s">
        <v>244</v>
      </c>
      <c r="B198" s="179" t="str">
        <f>COMPLEX(B194,B197,"j")</f>
        <v>10,7860110803324+2,73164819944598j</v>
      </c>
      <c r="C198" s="179" t="s">
        <v>207</v>
      </c>
      <c r="D198" s="179" t="s">
        <v>298</v>
      </c>
      <c r="E198" s="180"/>
      <c r="F198" s="172"/>
      <c r="G198" s="172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1:18" ht="15.75" customHeight="1">
      <c r="A199" s="183" t="s">
        <v>245</v>
      </c>
      <c r="B199" s="179"/>
      <c r="C199" s="179"/>
      <c r="D199" s="179"/>
      <c r="E199" s="180"/>
      <c r="F199" s="172"/>
      <c r="G199" s="172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1:18" ht="15.75" customHeight="1">
      <c r="A200" s="179" t="s">
        <v>233</v>
      </c>
      <c r="B200" s="179">
        <v>2.2450000000000001</v>
      </c>
      <c r="C200" s="179" t="s">
        <v>241</v>
      </c>
      <c r="D200" s="179" t="s">
        <v>235</v>
      </c>
      <c r="E200" s="180"/>
      <c r="F200" s="172"/>
      <c r="G200" s="172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  <row r="201" spans="1:18" ht="15.75" customHeight="1">
      <c r="A201" s="179" t="s">
        <v>246</v>
      </c>
      <c r="B201" s="179">
        <f>((B200*B188)/B189)/1000</f>
        <v>7.8575000000000006E-2</v>
      </c>
      <c r="C201" s="179" t="s">
        <v>237</v>
      </c>
      <c r="D201" s="179"/>
      <c r="E201" s="180"/>
      <c r="F201" s="172"/>
      <c r="G201" s="172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</row>
    <row r="202" spans="1:18" ht="15.75" customHeight="1">
      <c r="A202" s="179" t="s">
        <v>247</v>
      </c>
      <c r="B202" s="179">
        <f>(B201/(Vbbt^2/Pb))</f>
        <v>54.414819944598342</v>
      </c>
      <c r="C202" s="179" t="s">
        <v>207</v>
      </c>
      <c r="D202" s="179"/>
      <c r="E202" s="180"/>
      <c r="F202" s="172"/>
      <c r="G202" s="172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</row>
    <row r="203" spans="1:18" ht="15.75" customHeight="1">
      <c r="A203" s="179" t="s">
        <v>240</v>
      </c>
      <c r="B203" s="179">
        <v>2.5991</v>
      </c>
      <c r="C203" s="179" t="s">
        <v>241</v>
      </c>
      <c r="D203" s="179" t="s">
        <v>235</v>
      </c>
      <c r="E203" s="180"/>
      <c r="F203" s="172"/>
      <c r="G203" s="172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</row>
    <row r="204" spans="1:18" ht="15.75" customHeight="1">
      <c r="A204" s="179" t="s">
        <v>248</v>
      </c>
      <c r="B204" s="179">
        <f>((B203*B188)/B189)/1000</f>
        <v>9.0968500000000008E-2</v>
      </c>
      <c r="C204" s="179" t="s">
        <v>237</v>
      </c>
      <c r="D204" s="179"/>
      <c r="E204" s="172"/>
      <c r="F204" s="172"/>
      <c r="G204" s="172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</row>
    <row r="205" spans="1:18" ht="15.75" customHeight="1">
      <c r="A205" s="179" t="s">
        <v>249</v>
      </c>
      <c r="B205" s="179">
        <f>(B204/(Vbbt^2/Pb))</f>
        <v>62.997576177285325</v>
      </c>
      <c r="C205" s="179" t="s">
        <v>207</v>
      </c>
      <c r="D205" s="179"/>
      <c r="E205" s="172"/>
      <c r="F205" s="172"/>
      <c r="G205" s="172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</row>
    <row r="206" spans="1:18" ht="15.75" customHeight="1">
      <c r="A206" s="179" t="s">
        <v>250</v>
      </c>
      <c r="B206" s="179" t="str">
        <f>COMPLEX(B202,B205,"j")</f>
        <v>54,4148199445983+62,9975761772853j</v>
      </c>
      <c r="C206" s="179" t="s">
        <v>207</v>
      </c>
      <c r="D206" s="179" t="s">
        <v>299</v>
      </c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</row>
    <row r="207" spans="1:18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</row>
    <row r="208" spans="1:1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</row>
    <row r="209" spans="1:18" ht="15.75" customHeight="1">
      <c r="A209" s="192" t="s">
        <v>300</v>
      </c>
      <c r="B209" s="171"/>
      <c r="C209" s="188"/>
      <c r="D209" s="188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</row>
    <row r="210" spans="1:18" ht="15.75" customHeight="1">
      <c r="A210" s="174" t="s">
        <v>301</v>
      </c>
      <c r="B210" s="173" t="str">
        <f>IMSUM(B71,B45,B11,B198)</f>
        <v>12,236297322253+9,36300504904305j</v>
      </c>
      <c r="C210" s="174"/>
      <c r="D210" s="173" t="s">
        <v>302</v>
      </c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</row>
    <row r="211" spans="1:18" ht="15.75" customHeight="1">
      <c r="A211" s="171" t="s">
        <v>221</v>
      </c>
      <c r="B211" s="171"/>
      <c r="C211" s="173"/>
      <c r="D211" s="173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</row>
    <row r="212" spans="1:18" ht="15.75" customHeight="1">
      <c r="A212" s="173" t="s">
        <v>182</v>
      </c>
      <c r="B212" s="173" t="str">
        <f>IMDIV(Ibbt,B210)</f>
        <v>7831,37803926053-5992,43628946573j</v>
      </c>
      <c r="C212" s="173" t="s">
        <v>168</v>
      </c>
      <c r="D212" s="173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</row>
    <row r="213" spans="1:18" ht="15.75" customHeight="1">
      <c r="A213" s="173" t="s">
        <v>184</v>
      </c>
      <c r="B213" s="173">
        <f>IMABS(B212)</f>
        <v>9861.0230035791883</v>
      </c>
      <c r="C213" s="173" t="s">
        <v>168</v>
      </c>
      <c r="D213" s="173" t="s">
        <v>126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</row>
    <row r="214" spans="1:18" ht="15.75" customHeight="1">
      <c r="A214" s="173" t="s">
        <v>185</v>
      </c>
      <c r="B214" s="173">
        <f>DEGREES(IMARGUMENT(B212))</f>
        <v>-37.422597460206937</v>
      </c>
      <c r="C214" s="173" t="s">
        <v>186</v>
      </c>
      <c r="D214" s="173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</row>
    <row r="215" spans="1:18" ht="15.75" customHeight="1">
      <c r="A215" s="195" t="s">
        <v>254</v>
      </c>
      <c r="B215" s="195"/>
      <c r="C215" s="195"/>
      <c r="D215" s="19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</row>
    <row r="216" spans="1:18" ht="15.75" customHeight="1">
      <c r="A216" s="171" t="s">
        <v>303</v>
      </c>
      <c r="B216" s="173" t="str">
        <f>IMSUM(ZOs,B45,B79,B210,B210,B206)</f>
        <v>84,5928254847645+93,964038231155j</v>
      </c>
      <c r="C216" s="174"/>
      <c r="D216" s="173" t="s">
        <v>304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</row>
    <row r="217" spans="1:18" ht="15.75" customHeight="1">
      <c r="A217" s="173" t="s">
        <v>190</v>
      </c>
      <c r="B217" s="173" t="str">
        <f>IMDIV(3*Ibbt,B216)</f>
        <v>2412,0863522499-2679,29783549407j</v>
      </c>
      <c r="C217" s="173" t="s">
        <v>256</v>
      </c>
      <c r="D217" s="173" t="s">
        <v>127</v>
      </c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</row>
    <row r="218" spans="1:18" ht="15.75" customHeight="1">
      <c r="A218" s="171" t="s">
        <v>192</v>
      </c>
      <c r="B218" s="173">
        <f>IMABS(B217)</f>
        <v>3605.1071359938028</v>
      </c>
      <c r="C218" s="173" t="s">
        <v>168</v>
      </c>
      <c r="D218" s="173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</row>
    <row r="219" spans="1:18" ht="15.75" customHeight="1">
      <c r="A219" s="171" t="s">
        <v>193</v>
      </c>
      <c r="B219" s="173">
        <f>DEGREES(IMARGUMENT(B217))</f>
        <v>-48.004302125630232</v>
      </c>
      <c r="C219" s="173" t="s">
        <v>186</v>
      </c>
      <c r="D219" s="173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</row>
    <row r="220" spans="1:18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</row>
    <row r="221" spans="1:18" ht="15.75" customHeight="1">
      <c r="A221" s="196" t="s">
        <v>305</v>
      </c>
      <c r="B221" s="197"/>
      <c r="C221" s="197"/>
      <c r="D221" s="19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</row>
    <row r="222" spans="1:18" ht="15.75" customHeight="1">
      <c r="A222" s="179" t="s">
        <v>274</v>
      </c>
      <c r="B222" s="179">
        <f>9.36/12.23</f>
        <v>0.76533115290269826</v>
      </c>
      <c r="C222" s="179"/>
      <c r="D222" s="179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</row>
    <row r="223" spans="1:18" ht="15.75" customHeight="1">
      <c r="A223" s="179" t="s">
        <v>110</v>
      </c>
      <c r="B223" s="179">
        <v>1.02</v>
      </c>
      <c r="C223" s="183"/>
      <c r="D223" s="179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</row>
    <row r="224" spans="1:18" ht="15.75" customHeight="1">
      <c r="A224" s="179" t="s">
        <v>275</v>
      </c>
      <c r="B224" s="179">
        <f>B223*B213</f>
        <v>10058.243463650771</v>
      </c>
      <c r="C224" s="179"/>
      <c r="D224" s="179" t="s">
        <v>128</v>
      </c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</row>
    <row r="225" spans="1:18" ht="15.75" customHeight="1">
      <c r="A225" s="179" t="s">
        <v>276</v>
      </c>
      <c r="B225" s="179">
        <f>B224*SQRT(2)</f>
        <v>14224.504319945458</v>
      </c>
      <c r="C225" s="179"/>
      <c r="D225" s="179" t="s">
        <v>306</v>
      </c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</row>
    <row r="226" spans="1:18" ht="15.75" customHeight="1">
      <c r="A226" s="178"/>
      <c r="B226" s="178"/>
      <c r="C226" s="178"/>
      <c r="D226" s="178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</row>
    <row r="227" spans="1:18" ht="15.75" customHeight="1">
      <c r="A227" s="179" t="s">
        <v>278</v>
      </c>
      <c r="B227" s="198">
        <f>SQRT(1+2*EXP(-2*0.00416/B228))</f>
        <v>1.0164651180615152</v>
      </c>
      <c r="C227" s="179" t="s">
        <v>279</v>
      </c>
      <c r="D227" s="179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</row>
    <row r="228" spans="1:18" ht="15.75" customHeight="1">
      <c r="A228" s="179" t="s">
        <v>280</v>
      </c>
      <c r="B228" s="200">
        <f>9.36/(2*PI()*60*12.23)</f>
        <v>2.0301039347780602E-3</v>
      </c>
      <c r="C228" s="179"/>
      <c r="D228" s="179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</row>
    <row r="229" spans="1:18" ht="15.75" customHeight="1">
      <c r="A229" s="179" t="s">
        <v>281</v>
      </c>
      <c r="B229" s="179">
        <f>B227*$B$213</f>
        <v>10023.385911540438</v>
      </c>
      <c r="C229" s="179"/>
      <c r="D229" s="179" t="s">
        <v>307</v>
      </c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</row>
    <row r="230" spans="1:18" ht="15.75" customHeight="1">
      <c r="A230" s="179" t="s">
        <v>283</v>
      </c>
      <c r="B230" s="179">
        <f>B229*SQRT(2)</f>
        <v>14175.208296999896</v>
      </c>
      <c r="C230" s="179"/>
      <c r="D230" s="179" t="s">
        <v>308</v>
      </c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</row>
    <row r="231" spans="1:18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</row>
    <row r="232" spans="1:18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</row>
    <row r="233" spans="1:18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</row>
    <row r="234" spans="1:18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</row>
    <row r="235" spans="1:18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</row>
    <row r="236" spans="1:18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</row>
    <row r="237" spans="1:18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</row>
    <row r="238" spans="1:1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</row>
    <row r="239" spans="1:18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</row>
    <row r="240" spans="1:18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</row>
    <row r="241" spans="1:18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</row>
    <row r="242" spans="1:18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</row>
    <row r="243" spans="1:18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</row>
    <row r="244" spans="1:18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</row>
    <row r="245" spans="1:18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</row>
    <row r="246" spans="1:18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</row>
    <row r="247" spans="1:18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</row>
    <row r="248" spans="1:1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</row>
    <row r="249" spans="1:18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</row>
    <row r="250" spans="1:18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</row>
    <row r="251" spans="1:18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</row>
    <row r="252" spans="1:18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</row>
    <row r="253" spans="1:18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</row>
    <row r="254" spans="1:18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</row>
    <row r="255" spans="1:18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</row>
    <row r="256" spans="1:18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</row>
    <row r="257" spans="1:18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</row>
    <row r="258" spans="1:1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</row>
    <row r="259" spans="1:18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</row>
    <row r="260" spans="1:18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</row>
    <row r="261" spans="1:18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</row>
    <row r="262" spans="1:18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</row>
    <row r="263" spans="1:18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</row>
    <row r="264" spans="1:18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</row>
    <row r="265" spans="1:18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</row>
    <row r="266" spans="1:18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</row>
    <row r="267" spans="1:18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</row>
    <row r="268" spans="1:1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</row>
    <row r="269" spans="1:18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</row>
    <row r="270" spans="1:18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</row>
    <row r="271" spans="1:18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</row>
    <row r="272" spans="1:18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</row>
    <row r="273" spans="1:18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</row>
    <row r="274" spans="1:18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</row>
    <row r="275" spans="1:18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</row>
    <row r="276" spans="1:18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</row>
    <row r="277" spans="1:18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</row>
    <row r="278" spans="1:1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</row>
    <row r="279" spans="1:18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</row>
    <row r="280" spans="1:18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</row>
    <row r="281" spans="1:18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</row>
    <row r="282" spans="1:18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</row>
    <row r="283" spans="1:18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</row>
    <row r="284" spans="1:18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</row>
    <row r="285" spans="1:18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</row>
    <row r="286" spans="1:18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</row>
    <row r="287" spans="1:18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</row>
    <row r="288" spans="1:1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</row>
    <row r="289" spans="1:18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</row>
    <row r="290" spans="1:18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</row>
    <row r="291" spans="1:18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</row>
    <row r="292" spans="1:18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</row>
    <row r="293" spans="1:18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</row>
    <row r="294" spans="1:18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</row>
    <row r="295" spans="1:18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</row>
    <row r="296" spans="1:18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</row>
    <row r="297" spans="1:18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</row>
    <row r="298" spans="1:1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</row>
    <row r="299" spans="1:18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</row>
    <row r="300" spans="1:18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</row>
    <row r="301" spans="1:18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</row>
    <row r="302" spans="1:18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</row>
    <row r="303" spans="1:18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</row>
    <row r="304" spans="1:18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</row>
    <row r="305" spans="1:18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</row>
    <row r="306" spans="1:18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</row>
    <row r="307" spans="1:18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</row>
    <row r="308" spans="1:1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</row>
    <row r="309" spans="1:18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</row>
    <row r="310" spans="1:18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</row>
    <row r="311" spans="1:18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</row>
    <row r="312" spans="1:18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</row>
    <row r="313" spans="1:18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</row>
    <row r="314" spans="1:18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</row>
    <row r="315" spans="1:18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</row>
    <row r="316" spans="1:18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</row>
    <row r="317" spans="1:18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</row>
    <row r="318" spans="1: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</row>
    <row r="319" spans="1:18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</row>
    <row r="320" spans="1:18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</row>
    <row r="321" spans="1:18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</row>
    <row r="322" spans="1:18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</row>
    <row r="323" spans="1:18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</row>
    <row r="324" spans="1:18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</row>
    <row r="325" spans="1:18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</row>
    <row r="326" spans="1:18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</row>
    <row r="327" spans="1:18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</row>
    <row r="328" spans="1:1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</row>
    <row r="329" spans="1:18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</row>
    <row r="330" spans="1:18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</row>
    <row r="331" spans="1:18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</row>
    <row r="332" spans="1:18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</row>
    <row r="333" spans="1:18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</row>
    <row r="334" spans="1:18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</row>
    <row r="335" spans="1:18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</row>
    <row r="336" spans="1:18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</row>
    <row r="337" spans="1:18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</row>
    <row r="338" spans="1:1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</row>
    <row r="339" spans="1:18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</row>
    <row r="340" spans="1:18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</row>
    <row r="341" spans="1:18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</row>
    <row r="342" spans="1:18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</row>
    <row r="343" spans="1:18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</row>
    <row r="344" spans="1:18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</row>
    <row r="345" spans="1:18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</row>
    <row r="346" spans="1:18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</row>
    <row r="347" spans="1:18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</row>
    <row r="348" spans="1:1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</row>
    <row r="349" spans="1:18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</row>
    <row r="350" spans="1:18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</row>
    <row r="351" spans="1:18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</row>
    <row r="352" spans="1:18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</row>
    <row r="353" spans="1:18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</row>
    <row r="354" spans="1:18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</row>
    <row r="355" spans="1:18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</row>
    <row r="356" spans="1:18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</row>
    <row r="357" spans="1:18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</row>
    <row r="358" spans="1:1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</row>
    <row r="359" spans="1:18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</row>
    <row r="360" spans="1:18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</row>
    <row r="361" spans="1:18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</row>
    <row r="362" spans="1:18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</row>
    <row r="363" spans="1:18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</row>
    <row r="364" spans="1:18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</row>
    <row r="365" spans="1:18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</row>
    <row r="366" spans="1:18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</row>
    <row r="367" spans="1:18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</row>
    <row r="368" spans="1:1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</row>
    <row r="369" spans="1:18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</row>
    <row r="370" spans="1:18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</row>
    <row r="371" spans="1:18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</row>
    <row r="372" spans="1:18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</row>
    <row r="373" spans="1:18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</row>
    <row r="374" spans="1:18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</row>
    <row r="375" spans="1:18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</row>
    <row r="376" spans="1:18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</row>
    <row r="377" spans="1:18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</row>
    <row r="378" spans="1:1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</row>
    <row r="379" spans="1:18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</row>
    <row r="380" spans="1:18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</row>
    <row r="381" spans="1:18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</row>
    <row r="382" spans="1:18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</row>
    <row r="383" spans="1:18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</row>
    <row r="384" spans="1:18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</row>
    <row r="385" spans="1:18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</row>
    <row r="386" spans="1:18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</row>
    <row r="387" spans="1:18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</row>
    <row r="388" spans="1:1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</row>
    <row r="389" spans="1:18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</row>
    <row r="390" spans="1:18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</row>
    <row r="391" spans="1:18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</row>
    <row r="392" spans="1:18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</row>
    <row r="393" spans="1:18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</row>
    <row r="394" spans="1:18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</row>
    <row r="395" spans="1:18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</row>
    <row r="396" spans="1:18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</row>
    <row r="397" spans="1:18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</row>
    <row r="398" spans="1:1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</row>
    <row r="399" spans="1:18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</row>
    <row r="400" spans="1:18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</row>
    <row r="401" spans="1:18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</row>
    <row r="402" spans="1:18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</row>
    <row r="403" spans="1:18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</row>
    <row r="404" spans="1:18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</row>
    <row r="405" spans="1:18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</row>
    <row r="406" spans="1:18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</row>
    <row r="407" spans="1:18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</row>
    <row r="408" spans="1:1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</row>
    <row r="409" spans="1:18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</row>
    <row r="410" spans="1:18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</row>
    <row r="411" spans="1:18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</row>
    <row r="412" spans="1:18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</row>
    <row r="413" spans="1:18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</row>
    <row r="414" spans="1:18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</row>
    <row r="415" spans="1:18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</row>
    <row r="416" spans="1:18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</row>
    <row r="417" spans="1:18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</row>
    <row r="418" spans="1: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</row>
    <row r="419" spans="1:18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</row>
    <row r="420" spans="1:18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</row>
    <row r="421" spans="1:18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</row>
    <row r="422" spans="1:18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</row>
    <row r="423" spans="1:18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</row>
    <row r="424" spans="1:18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</row>
    <row r="425" spans="1:18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</row>
    <row r="426" spans="1:18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</row>
    <row r="427" spans="1:18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</row>
    <row r="428" spans="1:1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</row>
    <row r="429" spans="1:18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</row>
    <row r="430" spans="1:18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</row>
    <row r="431" spans="1:18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</row>
    <row r="432" spans="1:18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</row>
    <row r="433" spans="1:18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</row>
    <row r="434" spans="1:18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</row>
    <row r="435" spans="1:18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</row>
    <row r="436" spans="1:18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</row>
    <row r="437" spans="1:18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</row>
    <row r="438" spans="1:18" ht="15.75" customHeight="1"/>
    <row r="439" spans="1:18" ht="15.75" customHeight="1"/>
    <row r="440" spans="1:18" ht="15.75" customHeight="1"/>
    <row r="441" spans="1:18" ht="15.75" customHeight="1"/>
    <row r="442" spans="1:18" ht="15.75" customHeight="1"/>
    <row r="443" spans="1:18" ht="15.75" customHeight="1"/>
    <row r="444" spans="1:18" ht="15.75" customHeight="1"/>
    <row r="445" spans="1:18" ht="15.75" customHeight="1"/>
    <row r="446" spans="1:18" ht="15.75" customHeight="1"/>
    <row r="447" spans="1:18" ht="15.75" customHeight="1"/>
    <row r="448" spans="1:1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G120:H120"/>
    <mergeCell ref="G121:H121"/>
    <mergeCell ref="C11:C13"/>
    <mergeCell ref="G107:I107"/>
    <mergeCell ref="G108:I108"/>
    <mergeCell ref="G109:I109"/>
    <mergeCell ref="G110:I110"/>
    <mergeCell ref="G111:I111"/>
    <mergeCell ref="G119:H119"/>
  </mergeCells>
  <pageMargins left="0.511811024" right="0.511811024" top="0.78740157499999996" bottom="0.78740157499999996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D39"/>
  <sheetViews>
    <sheetView workbookViewId="0"/>
  </sheetViews>
  <sheetFormatPr defaultColWidth="14.42578125" defaultRowHeight="15" customHeight="1"/>
  <cols>
    <col min="1" max="1" width="42.85546875" customWidth="1"/>
    <col min="2" max="2" width="22.140625" customWidth="1"/>
    <col min="3" max="3" width="27.28515625" customWidth="1"/>
  </cols>
  <sheetData>
    <row r="3" spans="1:4">
      <c r="A3" s="50" t="s">
        <v>309</v>
      </c>
      <c r="B3" s="51"/>
      <c r="C3" s="52"/>
    </row>
    <row r="4" spans="1:4">
      <c r="A4" s="36" t="s">
        <v>310</v>
      </c>
      <c r="B4" s="34">
        <v>20</v>
      </c>
      <c r="C4" s="41"/>
    </row>
    <row r="5" spans="1:4">
      <c r="A5" s="36" t="s">
        <v>311</v>
      </c>
      <c r="B5" s="34">
        <v>15</v>
      </c>
      <c r="C5" s="41"/>
    </row>
    <row r="6" spans="1:4">
      <c r="A6" s="36" t="s">
        <v>312</v>
      </c>
      <c r="B6" s="41">
        <f>B4*B5</f>
        <v>300</v>
      </c>
      <c r="C6" s="41" t="e">
        <f ca="1">_xludf.FORMULATEXT(B6)</f>
        <v>#NAME?</v>
      </c>
    </row>
    <row r="7" spans="1:4">
      <c r="A7" s="36" t="s">
        <v>313</v>
      </c>
      <c r="B7" s="17" t="s">
        <v>314</v>
      </c>
      <c r="C7" s="17">
        <v>500</v>
      </c>
    </row>
    <row r="8" spans="1:4">
      <c r="A8" s="36" t="s">
        <v>315</v>
      </c>
      <c r="B8" s="34">
        <v>1</v>
      </c>
      <c r="C8" s="41"/>
    </row>
    <row r="9" spans="1:4">
      <c r="A9" s="36" t="s">
        <v>316</v>
      </c>
      <c r="B9" s="34">
        <v>4.5999999999999996</v>
      </c>
      <c r="C9" s="41"/>
    </row>
    <row r="10" spans="1:4">
      <c r="A10" s="36" t="s">
        <v>317</v>
      </c>
      <c r="B10" s="34">
        <v>0.8</v>
      </c>
      <c r="C10" s="41"/>
    </row>
    <row r="11" spans="1:4">
      <c r="A11" s="36" t="s">
        <v>318</v>
      </c>
      <c r="B11" s="41">
        <f>B9-B8-B10</f>
        <v>2.8</v>
      </c>
      <c r="C11" s="41" t="e">
        <f ca="1">_xludf.FORMULATEXT(B11)</f>
        <v>#NAME?</v>
      </c>
    </row>
    <row r="12" spans="1:4">
      <c r="A12" s="42"/>
      <c r="B12" s="42"/>
      <c r="C12" s="42"/>
    </row>
    <row r="13" spans="1:4">
      <c r="A13" s="36" t="s">
        <v>319</v>
      </c>
      <c r="B13" s="37">
        <f>(B5*B4)/(B11*(B5+B4))</f>
        <v>3.0612244897959182</v>
      </c>
      <c r="C13" s="41" t="e">
        <f ca="1">_xludf.FORMULATEXT(B13)</f>
        <v>#NAME?</v>
      </c>
    </row>
    <row r="14" spans="1:4">
      <c r="A14" s="42"/>
      <c r="B14" s="42"/>
      <c r="C14" s="42"/>
    </row>
    <row r="15" spans="1:4">
      <c r="A15" s="36" t="s">
        <v>320</v>
      </c>
      <c r="B15" s="34">
        <v>751</v>
      </c>
      <c r="C15" s="42"/>
      <c r="D15" s="39"/>
    </row>
    <row r="16" spans="1:4">
      <c r="A16" s="36" t="s">
        <v>321</v>
      </c>
      <c r="B16" s="34">
        <v>7</v>
      </c>
      <c r="C16" s="42"/>
    </row>
    <row r="17" spans="1:3">
      <c r="A17" s="36" t="s">
        <v>322</v>
      </c>
      <c r="B17" s="34">
        <v>5</v>
      </c>
      <c r="C17" s="42"/>
    </row>
    <row r="18" spans="1:3">
      <c r="A18" s="36" t="s">
        <v>323</v>
      </c>
      <c r="B18" s="34">
        <v>1</v>
      </c>
      <c r="C18" s="42"/>
    </row>
    <row r="19" spans="1:3">
      <c r="A19" s="42"/>
      <c r="B19" s="42"/>
      <c r="C19" s="42"/>
    </row>
    <row r="20" spans="1:3">
      <c r="A20" s="36" t="s">
        <v>324</v>
      </c>
      <c r="B20" s="41"/>
      <c r="C20" s="42"/>
    </row>
    <row r="21" spans="1:3">
      <c r="A21" s="36" t="s">
        <v>325</v>
      </c>
      <c r="B21" s="34" t="s">
        <v>326</v>
      </c>
      <c r="C21" s="42"/>
    </row>
    <row r="22" spans="1:3">
      <c r="A22" s="36" t="s">
        <v>327</v>
      </c>
      <c r="B22" s="17">
        <v>0.81</v>
      </c>
      <c r="C22" s="42"/>
    </row>
    <row r="23" spans="1:3">
      <c r="A23" s="42"/>
      <c r="B23" s="42"/>
      <c r="C23" s="42"/>
    </row>
    <row r="24" spans="1:3">
      <c r="A24" s="42"/>
      <c r="B24" s="42"/>
      <c r="C24" s="42"/>
    </row>
    <row r="25" spans="1:3">
      <c r="A25" s="36" t="s">
        <v>328</v>
      </c>
      <c r="B25" s="34">
        <v>0.67</v>
      </c>
      <c r="C25" s="42"/>
    </row>
    <row r="26" spans="1:3">
      <c r="A26" s="42"/>
      <c r="B26" s="42"/>
      <c r="C26" s="42"/>
    </row>
    <row r="27" spans="1:3">
      <c r="A27" s="50" t="s">
        <v>329</v>
      </c>
      <c r="B27" s="52"/>
      <c r="C27" s="42"/>
    </row>
    <row r="28" spans="1:3">
      <c r="A28" s="36" t="s">
        <v>330</v>
      </c>
      <c r="B28" s="41">
        <v>300</v>
      </c>
      <c r="C28" s="42"/>
    </row>
    <row r="29" spans="1:3">
      <c r="A29" s="36" t="s">
        <v>331</v>
      </c>
      <c r="B29" s="34">
        <v>500</v>
      </c>
      <c r="C29" s="42"/>
    </row>
    <row r="30" spans="1:3">
      <c r="A30" s="36" t="s">
        <v>332</v>
      </c>
      <c r="B30" s="34">
        <v>0.81</v>
      </c>
      <c r="C30" s="42"/>
    </row>
    <row r="31" spans="1:3">
      <c r="A31" s="36" t="s">
        <v>333</v>
      </c>
      <c r="B31" s="34">
        <v>0.67</v>
      </c>
      <c r="C31" s="42"/>
    </row>
    <row r="32" spans="1:3">
      <c r="A32" s="36" t="s">
        <v>334</v>
      </c>
      <c r="B32" s="37">
        <f>(B28*B29)/(B30*B31)</f>
        <v>276395.79878385842</v>
      </c>
      <c r="C32" s="41" t="e">
        <f ca="1">_xludf.FORMULATEXT(B32)</f>
        <v>#NAME?</v>
      </c>
    </row>
    <row r="33" spans="1:3">
      <c r="A33" s="42"/>
      <c r="B33" s="42"/>
      <c r="C33" s="42"/>
    </row>
    <row r="34" spans="1:3">
      <c r="A34" s="36" t="s">
        <v>335</v>
      </c>
      <c r="B34" s="34">
        <v>4</v>
      </c>
      <c r="C34" s="42"/>
    </row>
    <row r="35" spans="1:3">
      <c r="A35" s="36" t="s">
        <v>336</v>
      </c>
      <c r="B35" s="35">
        <v>2350</v>
      </c>
      <c r="C35" s="42"/>
    </row>
    <row r="36" spans="1:3">
      <c r="A36" s="36" t="s">
        <v>337</v>
      </c>
      <c r="B36" s="37">
        <f>B34*B35</f>
        <v>9400</v>
      </c>
      <c r="C36" s="41" t="e">
        <f ca="1">_xludf.FORMULATEXT(B36)</f>
        <v>#NAME?</v>
      </c>
    </row>
    <row r="37" spans="1:3">
      <c r="A37" s="43"/>
      <c r="B37" s="42"/>
      <c r="C37" s="42"/>
    </row>
    <row r="38" spans="1:3">
      <c r="A38" s="36" t="s">
        <v>338</v>
      </c>
      <c r="B38" s="37">
        <f>B32/B36</f>
        <v>29.403808381261534</v>
      </c>
      <c r="C38" s="41" t="e">
        <f ca="1">_xludf.FORMULATEXT(B38)</f>
        <v>#NAME?</v>
      </c>
    </row>
    <row r="39" spans="1:3">
      <c r="A39" s="38"/>
      <c r="B39" s="36" t="s">
        <v>339</v>
      </c>
      <c r="C39" s="38"/>
    </row>
  </sheetData>
  <mergeCells count="2">
    <mergeCell ref="A3:C3"/>
    <mergeCell ref="A27:B2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26"/>
  <sheetViews>
    <sheetView tabSelected="1" workbookViewId="0">
      <selection sqref="A1:M226"/>
    </sheetView>
  </sheetViews>
  <sheetFormatPr defaultColWidth="14.42578125" defaultRowHeight="15" customHeight="1"/>
  <cols>
    <col min="2" max="2" width="36.5703125" customWidth="1"/>
    <col min="3" max="3" width="44.5703125" customWidth="1"/>
    <col min="4" max="4" width="36.7109375" customWidth="1"/>
    <col min="5" max="5" width="44.42578125" customWidth="1"/>
  </cols>
  <sheetData>
    <row r="1" spans="1:13" ht="15" customHeight="1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>
      <c r="A2" s="55"/>
      <c r="B2" s="202" t="s">
        <v>340</v>
      </c>
      <c r="C2" s="194"/>
      <c r="D2" s="194"/>
      <c r="E2" s="194"/>
      <c r="F2" s="55"/>
      <c r="G2" s="55"/>
      <c r="H2" s="55"/>
      <c r="I2" s="55"/>
      <c r="J2" s="55"/>
      <c r="K2" s="55"/>
      <c r="L2" s="55"/>
      <c r="M2" s="55"/>
    </row>
    <row r="3" spans="1:13">
      <c r="A3" s="55"/>
      <c r="B3" s="62" t="s">
        <v>1</v>
      </c>
      <c r="C3" s="62" t="s">
        <v>2</v>
      </c>
      <c r="D3" s="62" t="s">
        <v>30</v>
      </c>
      <c r="E3" s="62" t="s">
        <v>31</v>
      </c>
      <c r="F3" s="55"/>
      <c r="G3" s="55"/>
      <c r="H3" s="55"/>
      <c r="I3" s="55"/>
      <c r="J3" s="55"/>
      <c r="K3" s="55"/>
      <c r="L3" s="55"/>
      <c r="M3" s="55"/>
    </row>
    <row r="4" spans="1:13">
      <c r="A4" s="55"/>
      <c r="B4" s="203">
        <v>1</v>
      </c>
      <c r="C4" s="62" t="s">
        <v>10</v>
      </c>
      <c r="D4" s="60" t="s">
        <v>34</v>
      </c>
      <c r="E4" s="63" t="s">
        <v>35</v>
      </c>
      <c r="F4" s="55"/>
      <c r="G4" s="55"/>
      <c r="H4" s="55"/>
      <c r="I4" s="55"/>
      <c r="J4" s="55"/>
      <c r="K4" s="55"/>
      <c r="L4" s="55"/>
      <c r="M4" s="55"/>
    </row>
    <row r="5" spans="1:13">
      <c r="A5" s="55"/>
      <c r="B5" s="162"/>
      <c r="C5" s="62" t="s">
        <v>12</v>
      </c>
      <c r="D5" s="65" t="s">
        <v>37</v>
      </c>
      <c r="E5" s="63" t="s">
        <v>38</v>
      </c>
      <c r="F5" s="55"/>
      <c r="G5" s="55"/>
      <c r="H5" s="55"/>
      <c r="I5" s="55"/>
      <c r="J5" s="55"/>
      <c r="K5" s="55"/>
      <c r="L5" s="55"/>
      <c r="M5" s="55"/>
    </row>
    <row r="6" spans="1:13">
      <c r="A6" s="55"/>
      <c r="B6" s="162"/>
      <c r="C6" s="62" t="s">
        <v>13</v>
      </c>
      <c r="D6" s="65" t="s">
        <v>40</v>
      </c>
      <c r="E6" s="63" t="s">
        <v>41</v>
      </c>
      <c r="F6" s="55"/>
      <c r="G6" s="55"/>
      <c r="H6" s="55"/>
      <c r="I6" s="55"/>
      <c r="J6" s="55"/>
      <c r="K6" s="55"/>
      <c r="L6" s="55"/>
      <c r="M6" s="55"/>
    </row>
    <row r="7" spans="1:13">
      <c r="A7" s="55"/>
      <c r="B7" s="163"/>
      <c r="C7" s="62" t="s">
        <v>14</v>
      </c>
      <c r="D7" s="70" t="s">
        <v>42</v>
      </c>
      <c r="E7" s="63" t="s">
        <v>38</v>
      </c>
      <c r="F7" s="55"/>
      <c r="G7" s="55"/>
      <c r="H7" s="55"/>
      <c r="I7" s="55"/>
      <c r="J7" s="55"/>
      <c r="K7" s="55"/>
      <c r="L7" s="55"/>
      <c r="M7" s="55"/>
    </row>
    <row r="8" spans="1:13">
      <c r="A8" s="55"/>
      <c r="B8" s="203">
        <v>2</v>
      </c>
      <c r="C8" s="62" t="s">
        <v>16</v>
      </c>
      <c r="D8" s="65" t="s">
        <v>40</v>
      </c>
      <c r="E8" s="63" t="s">
        <v>43</v>
      </c>
      <c r="F8" s="55"/>
      <c r="G8" s="55"/>
      <c r="H8" s="55"/>
      <c r="I8" s="55"/>
      <c r="J8" s="55"/>
      <c r="K8" s="55"/>
      <c r="L8" s="55"/>
      <c r="M8" s="55"/>
    </row>
    <row r="9" spans="1:13">
      <c r="A9" s="55"/>
      <c r="B9" s="162"/>
      <c r="C9" s="62" t="s">
        <v>17</v>
      </c>
      <c r="D9" s="65" t="s">
        <v>40</v>
      </c>
      <c r="E9" s="63" t="s">
        <v>43</v>
      </c>
      <c r="F9" s="55"/>
      <c r="G9" s="55"/>
      <c r="H9" s="55"/>
      <c r="I9" s="55"/>
      <c r="J9" s="55"/>
      <c r="K9" s="55"/>
      <c r="L9" s="55"/>
      <c r="M9" s="55"/>
    </row>
    <row r="10" spans="1:13">
      <c r="A10" s="55"/>
      <c r="B10" s="163"/>
      <c r="C10" s="62" t="s">
        <v>19</v>
      </c>
      <c r="D10" s="70" t="s">
        <v>44</v>
      </c>
      <c r="E10" s="63" t="s">
        <v>45</v>
      </c>
      <c r="F10" s="55"/>
      <c r="G10" s="55"/>
      <c r="H10" s="55"/>
      <c r="I10" s="55"/>
      <c r="J10" s="55"/>
      <c r="K10" s="55"/>
      <c r="L10" s="55"/>
      <c r="M10" s="55"/>
    </row>
    <row r="11" spans="1:13">
      <c r="A11" s="55"/>
      <c r="B11" s="203">
        <v>3</v>
      </c>
      <c r="C11" s="62" t="s">
        <v>21</v>
      </c>
      <c r="D11" s="60" t="s">
        <v>47</v>
      </c>
      <c r="E11" s="73" t="s">
        <v>48</v>
      </c>
      <c r="F11" s="55"/>
      <c r="G11" s="55"/>
      <c r="H11" s="55"/>
      <c r="I11" s="55"/>
      <c r="J11" s="55"/>
      <c r="K11" s="55"/>
      <c r="L11" s="55"/>
      <c r="M11" s="55"/>
    </row>
    <row r="12" spans="1:13">
      <c r="A12" s="55"/>
      <c r="B12" s="162"/>
      <c r="C12" s="62" t="s">
        <v>23</v>
      </c>
      <c r="D12" s="65" t="s">
        <v>47</v>
      </c>
      <c r="E12" s="73" t="s">
        <v>48</v>
      </c>
      <c r="F12" s="55"/>
      <c r="G12" s="55"/>
      <c r="H12" s="55"/>
      <c r="I12" s="55"/>
      <c r="J12" s="55"/>
      <c r="K12" s="55"/>
      <c r="L12" s="55"/>
      <c r="M12" s="55"/>
    </row>
    <row r="13" spans="1:13">
      <c r="A13" s="55"/>
      <c r="B13" s="162"/>
      <c r="C13" s="62" t="s">
        <v>24</v>
      </c>
      <c r="D13" s="63" t="s">
        <v>44</v>
      </c>
      <c r="E13" s="63" t="s">
        <v>49</v>
      </c>
      <c r="F13" s="55"/>
      <c r="G13" s="55"/>
      <c r="H13" s="55"/>
      <c r="I13" s="55"/>
      <c r="J13" s="55"/>
      <c r="K13" s="55"/>
      <c r="L13" s="55"/>
      <c r="M13" s="55"/>
    </row>
    <row r="14" spans="1:13">
      <c r="A14" s="55"/>
      <c r="B14" s="162"/>
      <c r="C14" s="62" t="s">
        <v>25</v>
      </c>
      <c r="D14" s="63" t="s">
        <v>44</v>
      </c>
      <c r="E14" s="63" t="s">
        <v>49</v>
      </c>
      <c r="F14" s="55"/>
      <c r="G14" s="55"/>
      <c r="H14" s="55"/>
      <c r="I14" s="55"/>
      <c r="J14" s="55"/>
      <c r="K14" s="55"/>
      <c r="L14" s="55"/>
      <c r="M14" s="55"/>
    </row>
    <row r="15" spans="1:13">
      <c r="A15" s="55"/>
      <c r="B15" s="163"/>
      <c r="C15" s="62" t="s">
        <v>26</v>
      </c>
      <c r="D15" s="66" t="s">
        <v>44</v>
      </c>
      <c r="E15" s="63" t="s">
        <v>49</v>
      </c>
      <c r="F15" s="55"/>
      <c r="G15" s="55"/>
      <c r="H15" s="55"/>
      <c r="I15" s="55"/>
      <c r="J15" s="55"/>
      <c r="K15" s="55"/>
      <c r="L15" s="55"/>
      <c r="M15" s="55"/>
    </row>
    <row r="16" spans="1:13" ht="15" customHeight="1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>
      <c r="A17" s="55"/>
      <c r="B17" s="204" t="s">
        <v>341</v>
      </c>
      <c r="C17" s="78"/>
      <c r="D17" s="79"/>
      <c r="E17" s="55"/>
      <c r="F17" s="55"/>
      <c r="G17" s="55"/>
      <c r="H17" s="55"/>
      <c r="I17" s="55"/>
      <c r="J17" s="55"/>
      <c r="K17" s="55"/>
      <c r="L17" s="55"/>
      <c r="M17" s="55"/>
    </row>
    <row r="18" spans="1:13">
      <c r="A18" s="55"/>
      <c r="B18" s="62" t="s">
        <v>1</v>
      </c>
      <c r="C18" s="62" t="s">
        <v>30</v>
      </c>
      <c r="D18" s="62" t="s">
        <v>80</v>
      </c>
      <c r="E18" s="55"/>
      <c r="F18" s="55"/>
      <c r="G18" s="55"/>
      <c r="H18" s="55"/>
      <c r="I18" s="55"/>
      <c r="J18" s="55"/>
      <c r="K18" s="55"/>
      <c r="L18" s="55"/>
      <c r="M18" s="55"/>
    </row>
    <row r="19" spans="1:13">
      <c r="A19" s="55"/>
      <c r="B19" s="62">
        <v>1</v>
      </c>
      <c r="C19" s="108" t="s">
        <v>83</v>
      </c>
      <c r="D19" s="60" t="s">
        <v>84</v>
      </c>
      <c r="E19" s="55"/>
      <c r="F19" s="55"/>
      <c r="G19" s="55"/>
      <c r="H19" s="55"/>
      <c r="I19" s="55"/>
      <c r="J19" s="55"/>
      <c r="K19" s="55"/>
      <c r="L19" s="55"/>
      <c r="M19" s="55"/>
    </row>
    <row r="20" spans="1:13">
      <c r="A20" s="55"/>
      <c r="B20" s="62">
        <v>2</v>
      </c>
      <c r="C20" s="63" t="s">
        <v>46</v>
      </c>
      <c r="D20" s="65" t="s">
        <v>85</v>
      </c>
      <c r="E20" s="55"/>
      <c r="F20" s="55"/>
      <c r="G20" s="55"/>
      <c r="H20" s="55"/>
      <c r="I20" s="55"/>
      <c r="J20" s="55"/>
      <c r="K20" s="55"/>
      <c r="L20" s="55"/>
      <c r="M20" s="55"/>
    </row>
    <row r="21" spans="1:13">
      <c r="A21" s="55"/>
      <c r="B21" s="62">
        <v>3</v>
      </c>
      <c r="C21" s="65" t="s">
        <v>86</v>
      </c>
      <c r="D21" s="65" t="s">
        <v>88</v>
      </c>
      <c r="E21" s="55"/>
      <c r="F21" s="55"/>
      <c r="G21" s="55"/>
      <c r="H21" s="55"/>
      <c r="I21" s="55"/>
      <c r="J21" s="55"/>
      <c r="K21" s="55"/>
      <c r="L21" s="55"/>
      <c r="M21" s="55"/>
    </row>
    <row r="22" spans="1:13" ht="15" customHeight="1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ht="15" customHeight="1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ht="1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>
      <c r="A25" s="55"/>
      <c r="B25" s="126" t="s">
        <v>57</v>
      </c>
      <c r="C25" s="78"/>
      <c r="D25" s="78"/>
      <c r="E25" s="79"/>
      <c r="F25" s="55"/>
      <c r="G25" s="55"/>
      <c r="H25" s="55"/>
      <c r="I25" s="55"/>
      <c r="J25" s="55"/>
      <c r="K25" s="55"/>
      <c r="L25" s="55"/>
      <c r="M25" s="55"/>
    </row>
    <row r="26" spans="1:13">
      <c r="A26" s="55"/>
      <c r="B26" s="127" t="s">
        <v>1</v>
      </c>
      <c r="C26" s="128" t="s">
        <v>96</v>
      </c>
      <c r="D26" s="129" t="s">
        <v>68</v>
      </c>
      <c r="E26" s="129" t="s">
        <v>97</v>
      </c>
      <c r="F26" s="55"/>
      <c r="G26" s="55"/>
      <c r="H26" s="55"/>
      <c r="I26" s="55"/>
      <c r="J26" s="55"/>
      <c r="K26" s="55"/>
      <c r="L26" s="55"/>
      <c r="M26" s="55"/>
    </row>
    <row r="27" spans="1:13">
      <c r="A27" s="55"/>
      <c r="B27" s="130" t="s">
        <v>105</v>
      </c>
      <c r="C27" s="131">
        <v>1020.97</v>
      </c>
      <c r="D27" s="132" t="s">
        <v>106</v>
      </c>
      <c r="E27" s="133">
        <v>1202.8800000000001</v>
      </c>
      <c r="F27" s="55"/>
      <c r="G27" s="55"/>
      <c r="H27" s="55"/>
      <c r="I27" s="55"/>
      <c r="J27" s="55"/>
      <c r="K27" s="55"/>
      <c r="L27" s="55"/>
      <c r="M27" s="55"/>
    </row>
    <row r="28" spans="1:13" ht="15" customHeight="1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ht="1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ht="1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ht="1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ht="1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ht="1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ht="1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ht="1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ht="1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1:13" ht="1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ht="1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ht="1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3" ht="1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ht="1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 ht="1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 ht="1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 ht="1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 ht="1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 ht="1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3" ht="1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ht="1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 ht="1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1:13" ht="1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3" ht="1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1:13" ht="1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1:13" ht="1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1:13" ht="1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 ht="1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1:13" ht="1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1:13" ht="1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spans="1:13" ht="1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spans="1:13" ht="1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spans="1:13" ht="1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spans="1:13" ht="1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spans="1:13" ht="1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spans="1:13" ht="1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spans="1:13" ht="1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spans="1:13" ht="1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spans="1:13" ht="1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spans="1:13" ht="1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spans="1:13" ht="1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spans="1:13" ht="1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spans="1:13" ht="1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spans="1:13" ht="1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spans="1:13" ht="1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spans="1:13" ht="1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spans="1:13" ht="1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spans="1:13" ht="1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spans="1:13" ht="1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spans="1:13" ht="1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 ht="1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spans="1:13" ht="1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spans="1:13" ht="1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1:13" ht="1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spans="1:13" ht="1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spans="1:13" ht="1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spans="1:13" ht="1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spans="1:13" ht="1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spans="1:13" ht="1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spans="1:13" ht="1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spans="1:13" ht="1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spans="1:13" ht="1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3" ht="1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spans="1:13" ht="1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spans="1:13" ht="1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spans="1:13" ht="1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spans="1:13" ht="1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spans="1:13" ht="1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spans="1:13" ht="1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spans="1:13" ht="1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spans="1:13" ht="1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 ht="1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spans="1:13" ht="1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spans="1:13" ht="1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spans="1:13" ht="1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spans="1:13" ht="1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spans="1:13" ht="1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spans="1:13" ht="1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spans="1:13" ht="1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spans="1:13" ht="1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spans="1:13" ht="1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3" ht="1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spans="1:13" ht="1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spans="1:13" ht="1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spans="1:13" ht="1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spans="1:13" ht="1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spans="1:13" ht="1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spans="1:13" ht="1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spans="1:13" ht="1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spans="1:13" ht="1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spans="1:13" ht="1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spans="1:13" ht="1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spans="1:13" ht="1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spans="1:13" ht="1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spans="1:13" ht="1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spans="1:13" ht="1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 ht="1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spans="1:13" ht="1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 ht="1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spans="1:13" ht="1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3" ht="1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spans="1:13" ht="1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spans="1:13" ht="1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spans="1:13" ht="1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spans="1:13" ht="1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spans="1:13" ht="1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spans="1:13" ht="1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spans="1:13" ht="1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spans="1:13" ht="1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spans="1:13" ht="1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spans="1:13" ht="1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spans="1:13" ht="1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spans="1:13" ht="1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spans="1:13" ht="1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spans="1:13" ht="1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spans="1:13" ht="1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spans="1:13" ht="1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spans="1:13" ht="1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spans="1:13" ht="1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3" ht="1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spans="1:13" ht="1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spans="1:13" ht="1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spans="1:13" ht="1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spans="1:13" ht="1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spans="1:13" ht="1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spans="1:13" ht="1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spans="1:13" ht="1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spans="1:13" ht="1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spans="1:13" ht="1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spans="1:13" ht="1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spans="1:13" ht="1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spans="1:13" ht="1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spans="1:13" ht="1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spans="1:13" ht="1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spans="1:13" ht="1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spans="1:13" ht="1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spans="1:13" ht="1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spans="1:13" ht="1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spans="1:13" ht="1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spans="1:13" ht="1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spans="1:13" ht="1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spans="1:13" ht="1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spans="1:13" ht="1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spans="1:13" ht="1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spans="1:13" ht="1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spans="1:13" ht="1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spans="1:13" ht="1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spans="1:13" ht="1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spans="1:13" ht="1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spans="1:13" ht="1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spans="1:13" ht="1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spans="1:13" ht="1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spans="1:13" ht="1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spans="1:13" ht="1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spans="1:13" ht="1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spans="1:13" ht="1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spans="1:13" ht="1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spans="1:13" ht="1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spans="1:13" ht="1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spans="1:13" ht="1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spans="1:13" ht="1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spans="1:13" ht="1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spans="1:13" ht="1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spans="1:13" ht="1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spans="1:13" ht="1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spans="1:13" ht="1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spans="1:13" ht="1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spans="1:13" ht="1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spans="1:13" ht="1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spans="1:13" ht="1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spans="1:13" ht="1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spans="1:13" ht="1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spans="1:13" ht="1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spans="1:13" ht="1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spans="1:13" ht="1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spans="1:13" ht="1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spans="1:13" ht="1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spans="1:13" ht="1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spans="1:13" ht="1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spans="1:13" ht="1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spans="1:13" ht="1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spans="1:13" ht="1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spans="1:13" ht="1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spans="1:13" ht="1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spans="1:13" ht="1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spans="1:13" ht="1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spans="1:13" ht="1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spans="1:13" ht="1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spans="1:13" ht="1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spans="1:13" ht="1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spans="1:13" ht="1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spans="1:13" ht="1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spans="1:13" ht="1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spans="1:13" ht="1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spans="1:13" ht="1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spans="1:13" ht="1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spans="1:13" ht="1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</sheetData>
  <mergeCells count="6">
    <mergeCell ref="B25:E25"/>
    <mergeCell ref="B2:E2"/>
    <mergeCell ref="B4:B7"/>
    <mergeCell ref="B8:B10"/>
    <mergeCell ref="B11:B15"/>
    <mergeCell ref="B17:D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1 - Dados iniciais de cargas</vt:lpstr>
      <vt:lpstr>2 - Dados condutores áreas</vt:lpstr>
      <vt:lpstr>3 - Dados condutores QGF-áreas </vt:lpstr>
      <vt:lpstr>4 - Dados de curto-circuito</vt:lpstr>
      <vt:lpstr>5 - Correção do fator de potênc</vt:lpstr>
      <vt:lpstr>7 - Calculo de curto-circuito</vt:lpstr>
      <vt:lpstr>9 - Luminotécnico área 1</vt:lpstr>
      <vt:lpstr>10 - Tabela final</vt:lpstr>
      <vt:lpstr>Ib</vt:lpstr>
      <vt:lpstr>Ibbt</vt:lpstr>
      <vt:lpstr>Pb</vt:lpstr>
      <vt:lpstr>Vb</vt:lpstr>
      <vt:lpstr>Vbbt</vt:lpstr>
      <vt:lpstr>ZOs</vt:lpstr>
      <vt:lpstr>Zps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Henrique</cp:lastModifiedBy>
  <dcterms:modified xsi:type="dcterms:W3CDTF">2025-06-15T15:15:20Z</dcterms:modified>
</cp:coreProperties>
</file>