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lozoya/Documents/ITESO/Semestre 7/Finanzas Cuantitativas/Parcial2/"/>
    </mc:Choice>
  </mc:AlternateContent>
  <xr:revisionPtr revIDLastSave="0" documentId="13_ncr:1_{F0AE9F05-8422-DC45-A2B5-0305955F6E05}" xr6:coauthVersionLast="47" xr6:coauthVersionMax="47" xr10:uidLastSave="{00000000-0000-0000-0000-000000000000}"/>
  <bookViews>
    <workbookView xWindow="0" yWindow="660" windowWidth="29400" windowHeight="18460" activeTab="1" xr2:uid="{7AA262BF-19A2-CE48-ABC5-AE4343C31B7C}"/>
  </bookViews>
  <sheets>
    <sheet name="1)" sheetId="1" r:id="rId1"/>
    <sheet name="EXAMEN 1" sheetId="6" r:id="rId2"/>
    <sheet name="2)" sheetId="2" r:id="rId3"/>
    <sheet name="3)" sheetId="3" r:id="rId4"/>
    <sheet name="4)" sheetId="4" r:id="rId5"/>
    <sheet name="5)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6" l="1"/>
  <c r="K33" i="6"/>
  <c r="K33" i="1"/>
  <c r="K32" i="1"/>
  <c r="N21" i="6"/>
  <c r="N22" i="6" s="1"/>
  <c r="K21" i="6"/>
  <c r="P19" i="6"/>
  <c r="O19" i="6"/>
  <c r="L19" i="6"/>
  <c r="L21" i="6" s="1"/>
  <c r="M19" i="6"/>
  <c r="N19" i="6"/>
  <c r="K19" i="6"/>
  <c r="P17" i="6"/>
  <c r="P21" i="6" s="1"/>
  <c r="O17" i="6"/>
  <c r="O21" i="6" s="1"/>
  <c r="L17" i="6"/>
  <c r="M17" i="6"/>
  <c r="N17" i="6"/>
  <c r="K17" i="6"/>
  <c r="K28" i="6"/>
  <c r="K35" i="6" s="1"/>
  <c r="M21" i="6"/>
  <c r="N8" i="6"/>
  <c r="K14" i="6"/>
  <c r="D10" i="6"/>
  <c r="D9" i="6"/>
  <c r="D13" i="6"/>
  <c r="Y8" i="6"/>
  <c r="X8" i="6"/>
  <c r="W8" i="6"/>
  <c r="V8" i="6"/>
  <c r="U8" i="6"/>
  <c r="T8" i="6"/>
  <c r="L7" i="6"/>
  <c r="M7" i="6"/>
  <c r="N7" i="6"/>
  <c r="O7" i="6"/>
  <c r="P7" i="6"/>
  <c r="K7" i="6"/>
  <c r="S17" i="1"/>
  <c r="K17" i="1"/>
  <c r="O8" i="6" l="1"/>
  <c r="K10" i="6"/>
  <c r="L8" i="6"/>
  <c r="P22" i="6"/>
  <c r="K11" i="6"/>
  <c r="P8" i="6"/>
  <c r="G7" i="6"/>
  <c r="M8" i="6"/>
  <c r="L22" i="6"/>
  <c r="D7" i="6"/>
  <c r="K8" i="6"/>
  <c r="F7" i="6"/>
  <c r="E7" i="6"/>
  <c r="O22" i="6"/>
  <c r="M22" i="6"/>
  <c r="K25" i="6"/>
  <c r="K24" i="6"/>
  <c r="D6" i="5"/>
  <c r="D2" i="5"/>
  <c r="D7" i="5" s="1"/>
  <c r="C5" i="4"/>
  <c r="C4" i="4"/>
  <c r="D8" i="6" l="1"/>
  <c r="K32" i="6"/>
  <c r="K37" i="6" s="1"/>
  <c r="K22" i="6"/>
  <c r="K23" i="6" s="1"/>
  <c r="K9" i="6"/>
  <c r="D9" i="5"/>
  <c r="D11" i="5"/>
  <c r="D13" i="5" s="1"/>
  <c r="D11" i="4"/>
  <c r="C12" i="4"/>
  <c r="C13" i="4" s="1"/>
  <c r="D10" i="4"/>
  <c r="D9" i="4"/>
  <c r="D8" i="4"/>
  <c r="D7" i="4"/>
  <c r="D6" i="4"/>
  <c r="D5" i="4"/>
  <c r="D4" i="4"/>
  <c r="K41" i="6" l="1"/>
  <c r="K38" i="6"/>
  <c r="K39" i="6"/>
  <c r="D19" i="5"/>
  <c r="D12" i="5"/>
  <c r="D15" i="5"/>
  <c r="D12" i="4"/>
  <c r="C15" i="4"/>
  <c r="C14" i="4"/>
  <c r="C16" i="4" s="1"/>
  <c r="D13" i="4"/>
  <c r="K40" i="6" l="1"/>
  <c r="K43" i="6" s="1"/>
  <c r="K42" i="6"/>
  <c r="D14" i="5"/>
  <c r="D16" i="5"/>
  <c r="C17" i="4"/>
  <c r="D15" i="4"/>
  <c r="D14" i="4"/>
  <c r="D16" i="4" s="1"/>
  <c r="D17" i="5" l="1"/>
  <c r="D20" i="5" s="1"/>
  <c r="D17" i="4"/>
  <c r="C39" i="3" l="1"/>
  <c r="C60" i="3"/>
  <c r="C55" i="3"/>
  <c r="C62" i="3" s="1"/>
  <c r="C52" i="3"/>
  <c r="N46" i="3"/>
  <c r="C41" i="3"/>
  <c r="C25" i="3"/>
  <c r="C18" i="3"/>
  <c r="C23" i="3"/>
  <c r="C15" i="3"/>
  <c r="D9" i="3" s="1"/>
  <c r="C2" i="3"/>
  <c r="C4" i="3" s="1"/>
  <c r="L16" i="2"/>
  <c r="M11" i="2"/>
  <c r="M10" i="2"/>
  <c r="L18" i="2" s="1"/>
  <c r="R6" i="2"/>
  <c r="Q6" i="2"/>
  <c r="P6" i="2"/>
  <c r="O6" i="2"/>
  <c r="N6" i="2"/>
  <c r="M6" i="2"/>
  <c r="Q5" i="2"/>
  <c r="P5" i="2"/>
  <c r="O5" i="2"/>
  <c r="N5" i="2"/>
  <c r="M5" i="2"/>
  <c r="L5" i="2"/>
  <c r="E6" i="2"/>
  <c r="F6" i="2"/>
  <c r="G6" i="2"/>
  <c r="H6" i="2"/>
  <c r="I6" i="2"/>
  <c r="C6" i="2"/>
  <c r="D5" i="2"/>
  <c r="F5" i="2"/>
  <c r="G5" i="2"/>
  <c r="H5" i="2"/>
  <c r="I5" i="2"/>
  <c r="C5" i="2"/>
  <c r="C16" i="2"/>
  <c r="D11" i="2"/>
  <c r="L6" i="2" s="1"/>
  <c r="L15" i="2" s="1"/>
  <c r="D10" i="2"/>
  <c r="C18" i="2" s="1"/>
  <c r="AA27" i="1"/>
  <c r="AA28" i="1" s="1"/>
  <c r="AA35" i="1" s="1"/>
  <c r="AF20" i="1"/>
  <c r="AE20" i="1"/>
  <c r="AD20" i="1"/>
  <c r="AC20" i="1"/>
  <c r="AB20" i="1"/>
  <c r="AA20" i="1"/>
  <c r="AF19" i="1"/>
  <c r="AE19" i="1"/>
  <c r="AD19" i="1"/>
  <c r="AC19" i="1"/>
  <c r="AB19" i="1"/>
  <c r="AA19" i="1"/>
  <c r="AF18" i="1"/>
  <c r="AE18" i="1"/>
  <c r="AD18" i="1"/>
  <c r="AC18" i="1"/>
  <c r="AB18" i="1"/>
  <c r="AA18" i="1"/>
  <c r="AF17" i="1"/>
  <c r="AE17" i="1"/>
  <c r="AD17" i="1"/>
  <c r="AC17" i="1"/>
  <c r="AB17" i="1"/>
  <c r="AA17" i="1"/>
  <c r="AA21" i="1" s="1"/>
  <c r="T17" i="1"/>
  <c r="U17" i="1"/>
  <c r="V17" i="1"/>
  <c r="W17" i="1"/>
  <c r="X17" i="1"/>
  <c r="T18" i="1"/>
  <c r="U18" i="1"/>
  <c r="U21" i="1" s="1"/>
  <c r="V18" i="1"/>
  <c r="W18" i="1"/>
  <c r="X18" i="1"/>
  <c r="T19" i="1"/>
  <c r="U19" i="1"/>
  <c r="V19" i="1"/>
  <c r="W19" i="1"/>
  <c r="X19" i="1"/>
  <c r="T20" i="1"/>
  <c r="U20" i="1"/>
  <c r="V20" i="1"/>
  <c r="W20" i="1"/>
  <c r="X20" i="1"/>
  <c r="S18" i="1"/>
  <c r="S21" i="1" s="1"/>
  <c r="S33" i="1" s="1"/>
  <c r="S19" i="1"/>
  <c r="S20" i="1"/>
  <c r="S27" i="1"/>
  <c r="S28" i="1" s="1"/>
  <c r="S35" i="1" s="1"/>
  <c r="L17" i="1"/>
  <c r="M17" i="1"/>
  <c r="N17" i="1"/>
  <c r="O17" i="1"/>
  <c r="P17" i="1"/>
  <c r="L18" i="1"/>
  <c r="M18" i="1"/>
  <c r="N18" i="1"/>
  <c r="O18" i="1"/>
  <c r="P18" i="1"/>
  <c r="L19" i="1"/>
  <c r="M19" i="1"/>
  <c r="N19" i="1"/>
  <c r="O19" i="1"/>
  <c r="P19" i="1"/>
  <c r="L20" i="1"/>
  <c r="M20" i="1"/>
  <c r="N20" i="1"/>
  <c r="O20" i="1"/>
  <c r="P20" i="1"/>
  <c r="K18" i="1"/>
  <c r="K19" i="1"/>
  <c r="K20" i="1"/>
  <c r="K27" i="1"/>
  <c r="K28" i="1" s="1"/>
  <c r="K35" i="1" s="1"/>
  <c r="K21" i="1"/>
  <c r="K7" i="1"/>
  <c r="P21" i="1" l="1"/>
  <c r="AF21" i="1"/>
  <c r="C46" i="3"/>
  <c r="K46" i="3"/>
  <c r="T21" i="1"/>
  <c r="V21" i="1"/>
  <c r="D46" i="3"/>
  <c r="L46" i="3"/>
  <c r="M46" i="3"/>
  <c r="E46" i="3"/>
  <c r="F46" i="3"/>
  <c r="AB21" i="1"/>
  <c r="G46" i="3"/>
  <c r="N21" i="1"/>
  <c r="M21" i="1"/>
  <c r="AD21" i="1"/>
  <c r="E5" i="2"/>
  <c r="D6" i="2"/>
  <c r="C15" i="2" s="1"/>
  <c r="C20" i="2" s="1"/>
  <c r="R5" i="2"/>
  <c r="I46" i="3"/>
  <c r="X21" i="1"/>
  <c r="W21" i="1"/>
  <c r="AC21" i="1"/>
  <c r="H46" i="3"/>
  <c r="O21" i="1"/>
  <c r="L21" i="1"/>
  <c r="K24" i="1" s="1"/>
  <c r="AE21" i="1"/>
  <c r="J46" i="3"/>
  <c r="L9" i="3"/>
  <c r="K9" i="3"/>
  <c r="J9" i="3"/>
  <c r="I9" i="3"/>
  <c r="C9" i="3"/>
  <c r="G9" i="3"/>
  <c r="F9" i="3"/>
  <c r="H9" i="3"/>
  <c r="N9" i="3"/>
  <c r="M9" i="3"/>
  <c r="E9" i="3"/>
  <c r="L7" i="2"/>
  <c r="L20" i="2"/>
  <c r="AA25" i="1"/>
  <c r="AA33" i="1"/>
  <c r="S25" i="1"/>
  <c r="S24" i="1"/>
  <c r="K25" i="1"/>
  <c r="C47" i="3" l="1"/>
  <c r="C49" i="3" s="1"/>
  <c r="C59" i="3"/>
  <c r="C64" i="3" s="1"/>
  <c r="C66" i="3" s="1"/>
  <c r="AA24" i="1"/>
  <c r="C7" i="2"/>
  <c r="C22" i="3"/>
  <c r="C10" i="3"/>
  <c r="C12" i="3" s="1"/>
  <c r="L24" i="2"/>
  <c r="L22" i="2"/>
  <c r="L21" i="2"/>
  <c r="C24" i="2"/>
  <c r="C22" i="2"/>
  <c r="C21" i="2"/>
  <c r="C68" i="3" l="1"/>
  <c r="C65" i="3"/>
  <c r="C67" i="3"/>
  <c r="C70" i="3" s="1"/>
  <c r="C73" i="3" s="1"/>
  <c r="C69" i="3"/>
  <c r="C27" i="3"/>
  <c r="L25" i="2"/>
  <c r="L23" i="2"/>
  <c r="L26" i="2" s="1"/>
  <c r="L29" i="2" s="1"/>
  <c r="C23" i="2"/>
  <c r="C26" i="2" s="1"/>
  <c r="C29" i="2" s="1"/>
  <c r="C25" i="2"/>
  <c r="C31" i="3" l="1"/>
  <c r="C28" i="3"/>
  <c r="C29" i="3"/>
  <c r="C30" i="3" l="1"/>
  <c r="C32" i="3"/>
  <c r="C33" i="3"/>
  <c r="C36" i="3" s="1"/>
  <c r="AA13" i="1" l="1"/>
  <c r="AA14" i="1" s="1"/>
  <c r="S13" i="1"/>
  <c r="S14" i="1" s="1"/>
  <c r="K13" i="1"/>
  <c r="K14" i="1" s="1"/>
  <c r="C13" i="1"/>
  <c r="C14" i="1" s="1"/>
  <c r="AF7" i="1"/>
  <c r="AF8" i="1" s="1"/>
  <c r="AE7" i="1"/>
  <c r="AE8" i="1" s="1"/>
  <c r="AD7" i="1"/>
  <c r="AD8" i="1" s="1"/>
  <c r="AC7" i="1"/>
  <c r="AB7" i="1"/>
  <c r="AA7" i="1"/>
  <c r="X7" i="1"/>
  <c r="W7" i="1"/>
  <c r="V7" i="1"/>
  <c r="U7" i="1"/>
  <c r="U8" i="1" s="1"/>
  <c r="T7" i="1"/>
  <c r="T8" i="1" s="1"/>
  <c r="S7" i="1"/>
  <c r="S11" i="1" s="1"/>
  <c r="P7" i="1"/>
  <c r="O7" i="1"/>
  <c r="N7" i="1"/>
  <c r="M7" i="1"/>
  <c r="L7" i="1"/>
  <c r="K8" i="1"/>
  <c r="D7" i="1"/>
  <c r="D8" i="1" s="1"/>
  <c r="E7" i="1"/>
  <c r="F7" i="1"/>
  <c r="G7" i="1"/>
  <c r="H7" i="1"/>
  <c r="C7" i="1"/>
  <c r="G8" i="1" l="1"/>
  <c r="K22" i="1"/>
  <c r="S22" i="1"/>
  <c r="U22" i="1"/>
  <c r="AA22" i="1"/>
  <c r="O22" i="1"/>
  <c r="N22" i="1"/>
  <c r="X22" i="1"/>
  <c r="M22" i="1"/>
  <c r="T22" i="1"/>
  <c r="AC22" i="1"/>
  <c r="V22" i="1"/>
  <c r="AF22" i="1"/>
  <c r="AE22" i="1"/>
  <c r="AB22" i="1"/>
  <c r="AA32" i="1" s="1"/>
  <c r="L22" i="1"/>
  <c r="P22" i="1"/>
  <c r="W22" i="1"/>
  <c r="AD22" i="1"/>
  <c r="M8" i="1"/>
  <c r="W8" i="1"/>
  <c r="AA11" i="1"/>
  <c r="L8" i="1"/>
  <c r="K11" i="1"/>
  <c r="AA8" i="1"/>
  <c r="X8" i="1"/>
  <c r="F8" i="1"/>
  <c r="P8" i="1"/>
  <c r="AB8" i="1"/>
  <c r="C8" i="1"/>
  <c r="C11" i="1"/>
  <c r="H8" i="1"/>
  <c r="N8" i="1"/>
  <c r="O8" i="1"/>
  <c r="E8" i="1"/>
  <c r="S8" i="1"/>
  <c r="AC8" i="1"/>
  <c r="C10" i="1"/>
  <c r="V8" i="1"/>
  <c r="AA10" i="1"/>
  <c r="S10" i="1"/>
  <c r="K10" i="1"/>
  <c r="K23" i="1" l="1"/>
  <c r="AA37" i="1"/>
  <c r="AA23" i="1"/>
  <c r="S23" i="1"/>
  <c r="S32" i="1"/>
  <c r="S37" i="1" s="1"/>
  <c r="AA9" i="1"/>
  <c r="C9" i="1"/>
  <c r="S9" i="1"/>
  <c r="K9" i="1"/>
  <c r="AA39" i="1" l="1"/>
  <c r="AA41" i="1"/>
  <c r="AA38" i="1"/>
  <c r="S38" i="1"/>
  <c r="S39" i="1"/>
  <c r="S41" i="1"/>
  <c r="K37" i="1"/>
  <c r="K41" i="1" l="1"/>
  <c r="K39" i="1"/>
  <c r="K38" i="1"/>
  <c r="AA40" i="1"/>
  <c r="AA43" i="1" s="1"/>
  <c r="AA46" i="1" s="1"/>
  <c r="AA42" i="1"/>
  <c r="S40" i="1"/>
  <c r="S43" i="1" s="1"/>
  <c r="S46" i="1" s="1"/>
  <c r="S42" i="1"/>
  <c r="K40" i="1" l="1"/>
  <c r="K43" i="1" s="1"/>
  <c r="K46" i="1" s="1"/>
  <c r="K42" i="1"/>
</calcChain>
</file>

<file path=xl/sharedStrings.xml><?xml version="1.0" encoding="utf-8"?>
<sst xmlns="http://schemas.openxmlformats.org/spreadsheetml/2006/main" count="344" uniqueCount="85">
  <si>
    <t>CURRENT</t>
  </si>
  <si>
    <t>Revenue</t>
  </si>
  <si>
    <t>Operating cost</t>
  </si>
  <si>
    <t>Available Capital</t>
  </si>
  <si>
    <t>Investment</t>
  </si>
  <si>
    <t>NET</t>
  </si>
  <si>
    <t>PROJECT 1</t>
  </si>
  <si>
    <t>PROJECT 2</t>
  </si>
  <si>
    <t>PROJECT 3</t>
  </si>
  <si>
    <t>r per</t>
  </si>
  <si>
    <t>r cont</t>
  </si>
  <si>
    <t>PV</t>
  </si>
  <si>
    <t>NPV</t>
  </si>
  <si>
    <t>IRR</t>
  </si>
  <si>
    <t>PROJECT 1 DELTA</t>
  </si>
  <si>
    <t>REAL OPTIONS APROACH (ROA)</t>
  </si>
  <si>
    <t>Call</t>
  </si>
  <si>
    <t>So</t>
  </si>
  <si>
    <t>K</t>
  </si>
  <si>
    <t>T</t>
  </si>
  <si>
    <t>sigma</t>
  </si>
  <si>
    <t>d1</t>
  </si>
  <si>
    <t>d2</t>
  </si>
  <si>
    <t>N(d1)</t>
  </si>
  <si>
    <t>N(d2)</t>
  </si>
  <si>
    <t>N(-d1)</t>
  </si>
  <si>
    <t>N(-d2)</t>
  </si>
  <si>
    <t>Option</t>
  </si>
  <si>
    <t>If ITM, then VP=Option, if not, VP=Option + VPN</t>
  </si>
  <si>
    <t>Valor Proyecto</t>
  </si>
  <si>
    <t>PROJECT 2 DELTA</t>
  </si>
  <si>
    <t>PROJECT 3 DELTA</t>
  </si>
  <si>
    <t>El proyecto 3 es la mejor opción para invertir, porque es en el que el valor del proyecto es el más alto</t>
  </si>
  <si>
    <t>INITIAL STATE</t>
  </si>
  <si>
    <t>Profit</t>
  </si>
  <si>
    <t>K PV</t>
  </si>
  <si>
    <t>Profit PV</t>
  </si>
  <si>
    <t>per</t>
  </si>
  <si>
    <t>cont</t>
  </si>
  <si>
    <t>r</t>
  </si>
  <si>
    <t>fixed flows (&lt;1 year)</t>
  </si>
  <si>
    <t>riskCap</t>
  </si>
  <si>
    <t>stochastics flows (&gt;1 year)</t>
  </si>
  <si>
    <t>La oferta por el copyright no es justa. El valor justo es de $5.47M, por lo que el autor está vendiendo muy caro ($20M) el proyecto</t>
  </si>
  <si>
    <t>NPV = 0</t>
  </si>
  <si>
    <t>Desde que el costo es de $159.83M hay ganancias para el que compre el proyecto, con un valor del proyecto de $57.05M</t>
  </si>
  <si>
    <t>Cost</t>
  </si>
  <si>
    <t>NetFlow</t>
  </si>
  <si>
    <t>NPV1</t>
  </si>
  <si>
    <t>NPV2</t>
  </si>
  <si>
    <t>NPV total</t>
  </si>
  <si>
    <t>NetFlow PV</t>
  </si>
  <si>
    <t>r loan per</t>
  </si>
  <si>
    <t>r loan cont</t>
  </si>
  <si>
    <t>rf per</t>
  </si>
  <si>
    <t>rf cont</t>
  </si>
  <si>
    <t>Valor Proyecto (ROA)</t>
  </si>
  <si>
    <t>VALOR PROYECTO = 0</t>
  </si>
  <si>
    <t>La prima debería ser de máximo 13.03% para que pudiera comenzar a tener beneficios</t>
  </si>
  <si>
    <t>MARGRABE EXCHANGE</t>
  </si>
  <si>
    <t>S1 yield q1</t>
  </si>
  <si>
    <t>S2 yield q2</t>
  </si>
  <si>
    <t>Sigma S1</t>
  </si>
  <si>
    <t>Sigma S2</t>
  </si>
  <si>
    <t xml:space="preserve">CORRELATION </t>
  </si>
  <si>
    <t>SPREAD VOLATILITY</t>
  </si>
  <si>
    <t>Recibo S1, tengo S2</t>
  </si>
  <si>
    <t>S1 (FE)</t>
  </si>
  <si>
    <t>S2 (DS)</t>
  </si>
  <si>
    <t>S1 (DS)</t>
  </si>
  <si>
    <t>S2 (FE)</t>
  </si>
  <si>
    <t>Intercambio FE por DS</t>
  </si>
  <si>
    <t>Intercambio DS por FE</t>
  </si>
  <si>
    <t>rate</t>
  </si>
  <si>
    <t>rate cont</t>
  </si>
  <si>
    <t>drift</t>
  </si>
  <si>
    <t>St*N(d1)</t>
  </si>
  <si>
    <t>Current</t>
  </si>
  <si>
    <t>$K</t>
  </si>
  <si>
    <t>Project 1</t>
  </si>
  <si>
    <t>Marketing</t>
  </si>
  <si>
    <t>Project 2</t>
  </si>
  <si>
    <t>Digital Marketing</t>
  </si>
  <si>
    <t>Net</t>
  </si>
  <si>
    <t>Project 1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</si>
</sst>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0.000000"/>
    <numFmt numFmtId="166" formatCode="_(&quot;$&quot;* #,##0.000_);_(&quot;$&quot;* \(#,##0.000\);_(&quot;$&quot;* &quot;-&quot;??_);_(@_)"/>
    <numFmt numFmtId="167" formatCode="0.000%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name val="Arial"/>
      <family val="2"/>
    </font>
    <font>
      <sz val="10"/>
      <name val="Arial"/>
      <family val="2"/>
    </font>
    <font>
      <sz val="16"/>
      <color rgb="FF273540"/>
      <name val="Helvetica Neue"/>
      <family val="2"/>
    </font>
  </fonts>
  <fills count="11">
    <fill>
      <patternFill patternType="none"/>
    </fill>
    <fill>
      <patternFill patternType="gray125"/>
    </fill>
    <fill>
      <patternFill patternType="solid">
        <fgColor rgb="FF6495ED"/>
        <bgColor indexed="64"/>
      </patternFill>
    </fill>
    <fill>
      <patternFill patternType="solid">
        <fgColor rgb="FFCD5C5C"/>
        <bgColor indexed="64"/>
      </patternFill>
    </fill>
    <fill>
      <patternFill patternType="solid">
        <fgColor rgb="FF8FBC8F"/>
        <bgColor indexed="64"/>
      </patternFill>
    </fill>
    <fill>
      <patternFill patternType="solid">
        <fgColor rgb="FF8E45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8" fontId="0" fillId="0" borderId="0" xfId="0" applyNumberFormat="1"/>
    <xf numFmtId="0" fontId="0" fillId="0" borderId="1" xfId="0" applyBorder="1"/>
    <xf numFmtId="8" fontId="0" fillId="0" borderId="1" xfId="0" applyNumberFormat="1" applyBorder="1"/>
    <xf numFmtId="44" fontId="0" fillId="0" borderId="1" xfId="2" applyFont="1" applyBorder="1"/>
    <xf numFmtId="0" fontId="2" fillId="0" borderId="1" xfId="0" applyFont="1" applyBorder="1"/>
    <xf numFmtId="44" fontId="2" fillId="0" borderId="1" xfId="2" applyFont="1" applyBorder="1"/>
    <xf numFmtId="10" fontId="0" fillId="0" borderId="0" xfId="3" applyNumberFormat="1" applyFont="1"/>
    <xf numFmtId="44" fontId="2" fillId="0" borderId="0" xfId="2" applyFont="1" applyBorder="1"/>
    <xf numFmtId="44" fontId="0" fillId="0" borderId="0" xfId="0" applyNumberFormat="1"/>
    <xf numFmtId="0" fontId="3" fillId="0" borderId="0" xfId="0" applyFont="1"/>
    <xf numFmtId="44" fontId="3" fillId="0" borderId="0" xfId="2" applyFont="1" applyBorder="1"/>
    <xf numFmtId="0" fontId="2" fillId="0" borderId="0" xfId="0" applyFont="1"/>
    <xf numFmtId="44" fontId="2" fillId="0" borderId="0" xfId="0" applyNumberFormat="1" applyFont="1"/>
    <xf numFmtId="9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4" fillId="0" borderId="0" xfId="0" applyFont="1" applyAlignment="1">
      <alignment horizontal="center"/>
    </xf>
    <xf numFmtId="0" fontId="4" fillId="6" borderId="1" xfId="0" applyFont="1" applyFill="1" applyBorder="1"/>
    <xf numFmtId="164" fontId="0" fillId="0" borderId="1" xfId="2" applyNumberFormat="1" applyFont="1" applyBorder="1"/>
    <xf numFmtId="44" fontId="0" fillId="0" borderId="1" xfId="0" applyNumberFormat="1" applyBorder="1"/>
    <xf numFmtId="10" fontId="0" fillId="0" borderId="1" xfId="0" applyNumberFormat="1" applyBorder="1"/>
    <xf numFmtId="9" fontId="0" fillId="0" borderId="1" xfId="3" applyFont="1" applyBorder="1"/>
    <xf numFmtId="0" fontId="0" fillId="7" borderId="1" xfId="0" applyFill="1" applyBorder="1"/>
    <xf numFmtId="0" fontId="0" fillId="8" borderId="1" xfId="0" applyFill="1" applyBorder="1"/>
    <xf numFmtId="165" fontId="0" fillId="0" borderId="1" xfId="0" applyNumberFormat="1" applyBorder="1"/>
    <xf numFmtId="0" fontId="4" fillId="0" borderId="0" xfId="0" applyFont="1"/>
    <xf numFmtId="166" fontId="0" fillId="0" borderId="0" xfId="0" applyNumberFormat="1"/>
    <xf numFmtId="0" fontId="0" fillId="2" borderId="0" xfId="0" applyFill="1"/>
    <xf numFmtId="44" fontId="0" fillId="0" borderId="0" xfId="2" applyFont="1"/>
    <xf numFmtId="0" fontId="0" fillId="0" borderId="3" xfId="0" applyBorder="1"/>
    <xf numFmtId="44" fontId="0" fillId="0" borderId="3" xfId="2" applyFont="1" applyBorder="1"/>
    <xf numFmtId="0" fontId="0" fillId="0" borderId="2" xfId="0" applyBorder="1"/>
    <xf numFmtId="44" fontId="0" fillId="0" borderId="2" xfId="2" applyFont="1" applyBorder="1"/>
    <xf numFmtId="44" fontId="2" fillId="0" borderId="1" xfId="0" applyNumberFormat="1" applyFont="1" applyBorder="1"/>
    <xf numFmtId="0" fontId="0" fillId="0" borderId="1" xfId="0" applyBorder="1" applyAlignment="1">
      <alignment horizontal="right"/>
    </xf>
    <xf numFmtId="10" fontId="0" fillId="0" borderId="1" xfId="3" applyNumberFormat="1" applyFont="1" applyBorder="1"/>
    <xf numFmtId="167" fontId="0" fillId="0" borderId="0" xfId="3" applyNumberFormat="1" applyFont="1"/>
    <xf numFmtId="44" fontId="3" fillId="0" borderId="1" xfId="2" applyFont="1" applyBorder="1"/>
    <xf numFmtId="44" fontId="2" fillId="0" borderId="0" xfId="2" applyFont="1"/>
    <xf numFmtId="44" fontId="0" fillId="0" borderId="4" xfId="2" applyFont="1" applyBorder="1"/>
    <xf numFmtId="0" fontId="6" fillId="0" borderId="5" xfId="0" applyFont="1" applyBorder="1" applyAlignment="1">
      <alignment horizontal="centerContinuous"/>
    </xf>
    <xf numFmtId="0" fontId="6" fillId="0" borderId="6" xfId="0" applyFont="1" applyBorder="1" applyAlignment="1">
      <alignment horizontal="centerContinuous"/>
    </xf>
    <xf numFmtId="0" fontId="7" fillId="0" borderId="7" xfId="0" applyFont="1" applyBorder="1"/>
    <xf numFmtId="0" fontId="4" fillId="9" borderId="1" xfId="0" applyFont="1" applyFill="1" applyBorder="1"/>
    <xf numFmtId="9" fontId="0" fillId="0" borderId="1" xfId="0" applyNumberFormat="1" applyBorder="1"/>
    <xf numFmtId="0" fontId="4" fillId="8" borderId="1" xfId="0" applyFont="1" applyFill="1" applyBorder="1"/>
    <xf numFmtId="0" fontId="0" fillId="10" borderId="0" xfId="0" applyFill="1"/>
    <xf numFmtId="0" fontId="0" fillId="0" borderId="4" xfId="0" applyBorder="1"/>
    <xf numFmtId="167" fontId="0" fillId="10" borderId="0" xfId="3" applyNumberFormat="1" applyFont="1" applyFill="1"/>
    <xf numFmtId="0" fontId="4" fillId="0" borderId="1" xfId="0" applyFont="1" applyBorder="1"/>
    <xf numFmtId="43" fontId="0" fillId="0" borderId="1" xfId="1" applyFont="1" applyBorder="1"/>
    <xf numFmtId="10" fontId="4" fillId="0" borderId="1" xfId="0" applyNumberFormat="1" applyFont="1" applyBorder="1"/>
    <xf numFmtId="43" fontId="0" fillId="0" borderId="1" xfId="0" applyNumberFormat="1" applyBorder="1"/>
    <xf numFmtId="0" fontId="5" fillId="5" borderId="0" xfId="0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8" fillId="0" borderId="0" xfId="0" applyFont="1"/>
    <xf numFmtId="0" fontId="8" fillId="0" borderId="1" xfId="0" applyFont="1" applyBorder="1"/>
    <xf numFmtId="44" fontId="8" fillId="0" borderId="1" xfId="2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8FBC8F"/>
      <color rgb="FFCD5C5C"/>
      <color rgb="FF6495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410307</xdr:colOff>
      <xdr:row>14</xdr:row>
      <xdr:rowOff>97693</xdr:rowOff>
    </xdr:from>
    <xdr:to>
      <xdr:col>8</xdr:col>
      <xdr:colOff>259000</xdr:colOff>
      <xdr:row>45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3E719D-6FED-AE41-AD66-2A6F005CB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307" y="2969847"/>
          <a:ext cx="5563693" cy="63890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58616</xdr:colOff>
      <xdr:row>11</xdr:row>
      <xdr:rowOff>146539</xdr:rowOff>
    </xdr:from>
    <xdr:to>
      <xdr:col>9</xdr:col>
      <xdr:colOff>722923</xdr:colOff>
      <xdr:row>21</xdr:row>
      <xdr:rowOff>24656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4675BE-D584-ECFD-275D-F6DA9C499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8693" y="2413001"/>
          <a:ext cx="5646615" cy="19296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674077</xdr:colOff>
      <xdr:row>47</xdr:row>
      <xdr:rowOff>97691</xdr:rowOff>
    </xdr:from>
    <xdr:to>
      <xdr:col>11</xdr:col>
      <xdr:colOff>507831</xdr:colOff>
      <xdr:row>62</xdr:row>
      <xdr:rowOff>185615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A6F9C7-4BF2-DBC2-834A-272E533D4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1615" y="9739922"/>
          <a:ext cx="6476831" cy="31652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48845</xdr:colOff>
      <xdr:row>1</xdr:row>
      <xdr:rowOff>39075</xdr:rowOff>
    </xdr:from>
    <xdr:to>
      <xdr:col>14</xdr:col>
      <xdr:colOff>259861</xdr:colOff>
      <xdr:row>15</xdr:row>
      <xdr:rowOff>125995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2C403D-9740-0A4E-8E61-6EE0324D7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8999" y="244229"/>
          <a:ext cx="7772400" cy="29590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635001</xdr:colOff>
      <xdr:row>1</xdr:row>
      <xdr:rowOff>175846</xdr:rowOff>
    </xdr:from>
    <xdr:to>
      <xdr:col>15</xdr:col>
      <xdr:colOff>660401</xdr:colOff>
      <xdr:row>11</xdr:row>
      <xdr:rowOff>199463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D248AD-4782-643C-C702-43D687B4D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2616" y="381000"/>
          <a:ext cx="7772400" cy="20751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96E3-EBED-B348-A697-C527C41D1791}">
  <dimension ref="B2:AF50"/>
  <sheetViews>
    <sheetView topLeftCell="D12" zoomScale="130" zoomScaleNormal="130" workbookViewId="0">
      <selection activeCell="K34" sqref="K34"/>
    </sheetView>
  </sheetViews>
  <sheetFormatPr baseColWidth="10" defaultRowHeight="16" x14ac:dyDescent="0.2"/>
  <cols>
    <col min="1" max="1" width="5.6640625" customWidth="1"/>
    <col min="2" max="2" width="15" bestFit="1" customWidth="1"/>
    <col min="3" max="6" width="9" bestFit="1" customWidth="1"/>
    <col min="7" max="8" width="9.1640625" bestFit="1" customWidth="1"/>
    <col min="9" max="9" width="6.5" customWidth="1"/>
    <col min="10" max="10" width="16.6640625" customWidth="1"/>
    <col min="17" max="17" width="5.83203125" customWidth="1"/>
    <col min="18" max="18" width="18" customWidth="1"/>
    <col min="25" max="25" width="5" customWidth="1"/>
    <col min="26" max="26" width="18" customWidth="1"/>
  </cols>
  <sheetData>
    <row r="2" spans="2:32" x14ac:dyDescent="0.2">
      <c r="B2" s="15" t="s">
        <v>0</v>
      </c>
      <c r="C2" s="15">
        <v>0</v>
      </c>
      <c r="D2" s="15">
        <v>1</v>
      </c>
      <c r="E2" s="15">
        <v>2</v>
      </c>
      <c r="F2" s="15">
        <v>3</v>
      </c>
      <c r="G2" s="15">
        <v>4</v>
      </c>
      <c r="H2" s="15">
        <v>5</v>
      </c>
      <c r="J2" s="16" t="s">
        <v>6</v>
      </c>
      <c r="K2" s="16">
        <v>0</v>
      </c>
      <c r="L2" s="16">
        <v>1</v>
      </c>
      <c r="M2" s="16">
        <v>2</v>
      </c>
      <c r="N2" s="16">
        <v>3</v>
      </c>
      <c r="O2" s="16">
        <v>4</v>
      </c>
      <c r="P2" s="16">
        <v>5</v>
      </c>
      <c r="R2" s="16" t="s">
        <v>7</v>
      </c>
      <c r="S2" s="16">
        <v>0</v>
      </c>
      <c r="T2" s="16">
        <v>1</v>
      </c>
      <c r="U2" s="16">
        <v>2</v>
      </c>
      <c r="V2" s="16">
        <v>3</v>
      </c>
      <c r="W2" s="16">
        <v>4</v>
      </c>
      <c r="X2" s="16">
        <v>5</v>
      </c>
      <c r="Z2" s="16" t="s">
        <v>8</v>
      </c>
      <c r="AA2" s="16">
        <v>0</v>
      </c>
      <c r="AB2" s="16">
        <v>1</v>
      </c>
      <c r="AC2" s="16">
        <v>2</v>
      </c>
      <c r="AD2" s="16">
        <v>3</v>
      </c>
      <c r="AE2" s="16">
        <v>4</v>
      </c>
      <c r="AF2" s="16">
        <v>5</v>
      </c>
    </row>
    <row r="3" spans="2:32" x14ac:dyDescent="0.2">
      <c r="B3" s="2" t="s">
        <v>1</v>
      </c>
      <c r="C3" s="4"/>
      <c r="D3" s="4">
        <v>60</v>
      </c>
      <c r="E3" s="4">
        <v>50</v>
      </c>
      <c r="F3" s="4">
        <v>40</v>
      </c>
      <c r="G3" s="4">
        <v>35</v>
      </c>
      <c r="H3" s="4">
        <v>25</v>
      </c>
      <c r="J3" s="2" t="s">
        <v>1</v>
      </c>
      <c r="K3" s="4"/>
      <c r="L3" s="4">
        <v>60</v>
      </c>
      <c r="M3" s="4">
        <v>50</v>
      </c>
      <c r="N3" s="4">
        <v>50</v>
      </c>
      <c r="O3" s="4">
        <v>40</v>
      </c>
      <c r="P3" s="4">
        <v>35</v>
      </c>
      <c r="R3" s="2" t="s">
        <v>1</v>
      </c>
      <c r="S3" s="4"/>
      <c r="T3" s="4">
        <v>70</v>
      </c>
      <c r="U3" s="4">
        <v>80</v>
      </c>
      <c r="V3" s="4">
        <v>90</v>
      </c>
      <c r="W3" s="4">
        <v>100</v>
      </c>
      <c r="X3" s="4">
        <v>110</v>
      </c>
      <c r="Z3" s="2" t="s">
        <v>1</v>
      </c>
      <c r="AA3" s="4"/>
      <c r="AB3" s="4">
        <v>70</v>
      </c>
      <c r="AC3" s="4">
        <v>90</v>
      </c>
      <c r="AD3" s="4">
        <v>110</v>
      </c>
      <c r="AE3" s="4">
        <v>130</v>
      </c>
      <c r="AF3" s="4">
        <v>150</v>
      </c>
    </row>
    <row r="4" spans="2:32" x14ac:dyDescent="0.2">
      <c r="B4" s="2" t="s">
        <v>2</v>
      </c>
      <c r="C4" s="4"/>
      <c r="D4" s="4">
        <v>-30</v>
      </c>
      <c r="E4" s="4">
        <v>-30</v>
      </c>
      <c r="F4" s="4">
        <v>-30</v>
      </c>
      <c r="G4" s="4">
        <v>-30</v>
      </c>
      <c r="H4" s="4">
        <v>-30</v>
      </c>
      <c r="J4" s="2" t="s">
        <v>2</v>
      </c>
      <c r="K4" s="4"/>
      <c r="L4" s="4">
        <v>-30</v>
      </c>
      <c r="M4" s="4">
        <v>-30</v>
      </c>
      <c r="N4" s="4">
        <v>-30</v>
      </c>
      <c r="O4" s="4">
        <v>-30</v>
      </c>
      <c r="P4" s="4">
        <v>-30</v>
      </c>
      <c r="R4" s="2" t="s">
        <v>2</v>
      </c>
      <c r="S4" s="4"/>
      <c r="T4" s="4">
        <v>-40</v>
      </c>
      <c r="U4" s="4">
        <v>-40</v>
      </c>
      <c r="V4" s="4">
        <v>-40</v>
      </c>
      <c r="W4" s="4">
        <v>-40</v>
      </c>
      <c r="X4" s="4">
        <v>-40</v>
      </c>
      <c r="Z4" s="2" t="s">
        <v>2</v>
      </c>
      <c r="AA4" s="4"/>
      <c r="AB4" s="4">
        <v>-40</v>
      </c>
      <c r="AC4" s="4">
        <v>-40</v>
      </c>
      <c r="AD4" s="4">
        <v>-40</v>
      </c>
      <c r="AE4" s="4">
        <v>-40</v>
      </c>
      <c r="AF4" s="4">
        <v>-40</v>
      </c>
    </row>
    <row r="5" spans="2:32" x14ac:dyDescent="0.2">
      <c r="B5" s="2" t="s">
        <v>3</v>
      </c>
      <c r="C5" s="4">
        <v>80</v>
      </c>
      <c r="D5" s="4"/>
      <c r="E5" s="4"/>
      <c r="F5" s="4"/>
      <c r="G5" s="4"/>
      <c r="H5" s="4"/>
      <c r="J5" s="2" t="s">
        <v>3</v>
      </c>
      <c r="K5" s="4">
        <v>40</v>
      </c>
      <c r="L5" s="4"/>
      <c r="M5" s="4"/>
      <c r="N5" s="4"/>
      <c r="O5" s="4"/>
      <c r="P5" s="4"/>
      <c r="R5" s="2" t="s">
        <v>3</v>
      </c>
      <c r="S5" s="4"/>
      <c r="T5" s="4"/>
      <c r="U5" s="4"/>
      <c r="V5" s="4"/>
      <c r="W5" s="4"/>
      <c r="X5" s="4"/>
      <c r="Z5" s="2" t="s">
        <v>3</v>
      </c>
      <c r="AA5" s="4"/>
      <c r="AB5" s="4"/>
      <c r="AC5" s="4"/>
      <c r="AD5" s="4"/>
      <c r="AE5" s="4"/>
      <c r="AF5" s="4"/>
    </row>
    <row r="6" spans="2:32" x14ac:dyDescent="0.2">
      <c r="B6" s="2" t="s">
        <v>4</v>
      </c>
      <c r="C6" s="4"/>
      <c r="D6" s="4"/>
      <c r="E6" s="4"/>
      <c r="F6" s="4"/>
      <c r="G6" s="4"/>
      <c r="H6" s="4"/>
      <c r="J6" s="2" t="s">
        <v>4</v>
      </c>
      <c r="K6" s="4">
        <v>-40</v>
      </c>
      <c r="L6" s="4"/>
      <c r="M6" s="4"/>
      <c r="N6" s="4"/>
      <c r="O6" s="4"/>
      <c r="P6" s="4"/>
      <c r="R6" s="2" t="s">
        <v>4</v>
      </c>
      <c r="S6" s="4">
        <v>-80</v>
      </c>
      <c r="T6" s="4">
        <v>-20</v>
      </c>
      <c r="U6" s="4">
        <v>-20</v>
      </c>
      <c r="V6" s="4"/>
      <c r="W6" s="4"/>
      <c r="X6" s="4"/>
      <c r="Z6" s="2" t="s">
        <v>4</v>
      </c>
      <c r="AA6" s="4">
        <v>-80</v>
      </c>
      <c r="AB6" s="4">
        <v>-20</v>
      </c>
      <c r="AC6" s="4">
        <v>-20</v>
      </c>
      <c r="AD6" s="4">
        <v>-20</v>
      </c>
      <c r="AE6" s="4">
        <v>-20</v>
      </c>
      <c r="AF6" s="4">
        <v>-20</v>
      </c>
    </row>
    <row r="7" spans="2:32" x14ac:dyDescent="0.2">
      <c r="B7" s="5" t="s">
        <v>5</v>
      </c>
      <c r="C7" s="6">
        <f>SUM(C3:C6)</f>
        <v>80</v>
      </c>
      <c r="D7" s="6">
        <f t="shared" ref="D7:H7" si="0">SUM(D3:D6)</f>
        <v>30</v>
      </c>
      <c r="E7" s="6">
        <f t="shared" si="0"/>
        <v>20</v>
      </c>
      <c r="F7" s="6">
        <f t="shared" si="0"/>
        <v>10</v>
      </c>
      <c r="G7" s="6">
        <f t="shared" si="0"/>
        <v>5</v>
      </c>
      <c r="H7" s="6">
        <f t="shared" si="0"/>
        <v>-5</v>
      </c>
      <c r="J7" s="5" t="s">
        <v>5</v>
      </c>
      <c r="K7" s="6">
        <f>SUM(K3:K6)</f>
        <v>0</v>
      </c>
      <c r="L7" s="6">
        <f t="shared" ref="L7" si="1">SUM(L3:L6)</f>
        <v>30</v>
      </c>
      <c r="M7" s="6">
        <f t="shared" ref="M7" si="2">SUM(M3:M6)</f>
        <v>20</v>
      </c>
      <c r="N7" s="6">
        <f t="shared" ref="N7" si="3">SUM(N3:N6)</f>
        <v>20</v>
      </c>
      <c r="O7" s="6">
        <f t="shared" ref="O7" si="4">SUM(O3:O6)</f>
        <v>10</v>
      </c>
      <c r="P7" s="6">
        <f t="shared" ref="P7" si="5">SUM(P3:P6)</f>
        <v>5</v>
      </c>
      <c r="R7" s="5" t="s">
        <v>5</v>
      </c>
      <c r="S7" s="6">
        <f>SUM(S3:S6)</f>
        <v>-80</v>
      </c>
      <c r="T7" s="6">
        <f t="shared" ref="T7" si="6">SUM(T3:T6)</f>
        <v>10</v>
      </c>
      <c r="U7" s="6">
        <f t="shared" ref="U7" si="7">SUM(U3:U6)</f>
        <v>20</v>
      </c>
      <c r="V7" s="6">
        <f t="shared" ref="V7" si="8">SUM(V3:V6)</f>
        <v>50</v>
      </c>
      <c r="W7" s="6">
        <f t="shared" ref="W7" si="9">SUM(W3:W6)</f>
        <v>60</v>
      </c>
      <c r="X7" s="6">
        <f t="shared" ref="X7" si="10">SUM(X3:X6)</f>
        <v>70</v>
      </c>
      <c r="Z7" s="5" t="s">
        <v>5</v>
      </c>
      <c r="AA7" s="6">
        <f>SUM(AA3:AA6)</f>
        <v>-80</v>
      </c>
      <c r="AB7" s="6">
        <f t="shared" ref="AB7" si="11">SUM(AB3:AB6)</f>
        <v>10</v>
      </c>
      <c r="AC7" s="6">
        <f t="shared" ref="AC7" si="12">SUM(AC3:AC6)</f>
        <v>30</v>
      </c>
      <c r="AD7" s="6">
        <f t="shared" ref="AD7" si="13">SUM(AD3:AD6)</f>
        <v>50</v>
      </c>
      <c r="AE7" s="6">
        <f t="shared" ref="AE7" si="14">SUM(AE3:AE6)</f>
        <v>70</v>
      </c>
      <c r="AF7" s="6">
        <f t="shared" ref="AF7" si="15">SUM(AF3:AF6)</f>
        <v>90</v>
      </c>
    </row>
    <row r="8" spans="2:32" x14ac:dyDescent="0.2">
      <c r="B8" s="10" t="s">
        <v>11</v>
      </c>
      <c r="C8" s="11">
        <f>C7*EXP(-$C$14*C2)</f>
        <v>80</v>
      </c>
      <c r="D8" s="11">
        <f t="shared" ref="D8:H8" si="16">D7*EXP(-$C$14*D2)</f>
        <v>28.571428571428569</v>
      </c>
      <c r="E8" s="11">
        <f t="shared" si="16"/>
        <v>18.140589569160998</v>
      </c>
      <c r="F8" s="11">
        <f t="shared" si="16"/>
        <v>8.6383759853147595</v>
      </c>
      <c r="G8" s="11">
        <f t="shared" si="16"/>
        <v>4.1135123739594093</v>
      </c>
      <c r="H8" s="11">
        <f t="shared" si="16"/>
        <v>-3.9176308323422941</v>
      </c>
      <c r="J8" s="10" t="s">
        <v>11</v>
      </c>
      <c r="K8" s="11">
        <f>K7*EXP(-$C$14*K2)</f>
        <v>0</v>
      </c>
      <c r="L8" s="11">
        <f t="shared" ref="L8" si="17">L7*EXP(-$C$14*L2)</f>
        <v>28.571428571428569</v>
      </c>
      <c r="M8" s="11">
        <f t="shared" ref="M8" si="18">M7*EXP(-$C$14*M2)</f>
        <v>18.140589569160998</v>
      </c>
      <c r="N8" s="11">
        <f t="shared" ref="N8" si="19">N7*EXP(-$C$14*N2)</f>
        <v>17.276751970629519</v>
      </c>
      <c r="O8" s="11">
        <f t="shared" ref="O8" si="20">O7*EXP(-$C$14*O2)</f>
        <v>8.2270247479188185</v>
      </c>
      <c r="P8" s="11">
        <f t="shared" ref="P8" si="21">P7*EXP(-$C$14*P2)</f>
        <v>3.9176308323422941</v>
      </c>
      <c r="R8" s="10" t="s">
        <v>11</v>
      </c>
      <c r="S8" s="11">
        <f>S7*EXP(-$C$14*S2)</f>
        <v>-80</v>
      </c>
      <c r="T8" s="11">
        <f t="shared" ref="T8" si="22">T7*EXP(-$C$14*T2)</f>
        <v>9.5238095238095237</v>
      </c>
      <c r="U8" s="11">
        <f t="shared" ref="U8" si="23">U7*EXP(-$C$14*U2)</f>
        <v>18.140589569160998</v>
      </c>
      <c r="V8" s="11">
        <f t="shared" ref="V8" si="24">V7*EXP(-$C$14*V2)</f>
        <v>43.191879926573797</v>
      </c>
      <c r="W8" s="11">
        <f t="shared" ref="W8" si="25">W7*EXP(-$C$14*W2)</f>
        <v>49.362148487512911</v>
      </c>
      <c r="X8" s="11">
        <f t="shared" ref="X8" si="26">X7*EXP(-$C$14*X2)</f>
        <v>54.846831652792119</v>
      </c>
      <c r="Z8" s="10" t="s">
        <v>11</v>
      </c>
      <c r="AA8" s="11">
        <f>AA7*EXP(-$C$14*AA2)</f>
        <v>-80</v>
      </c>
      <c r="AB8" s="11">
        <f t="shared" ref="AB8" si="27">AB7*EXP(-$C$14*AB2)</f>
        <v>9.5238095238095237</v>
      </c>
      <c r="AC8" s="11">
        <f t="shared" ref="AC8" si="28">AC7*EXP(-$C$14*AC2)</f>
        <v>27.210884353741495</v>
      </c>
      <c r="AD8" s="11">
        <f t="shared" ref="AD8" si="29">AD7*EXP(-$C$14*AD2)</f>
        <v>43.191879926573797</v>
      </c>
      <c r="AE8" s="11">
        <f t="shared" ref="AE8" si="30">AE7*EXP(-$C$14*AE2)</f>
        <v>57.58917323543173</v>
      </c>
      <c r="AF8" s="11">
        <f t="shared" ref="AF8" si="31">AF7*EXP(-$C$14*AF2)</f>
        <v>70.517354982161294</v>
      </c>
    </row>
    <row r="9" spans="2:32" x14ac:dyDescent="0.2">
      <c r="B9" s="12" t="s">
        <v>12</v>
      </c>
      <c r="C9" s="13">
        <f>SUM(C8:H8)</f>
        <v>135.54627566752146</v>
      </c>
      <c r="D9" s="8"/>
      <c r="E9" s="8"/>
      <c r="F9" s="8"/>
      <c r="G9" s="8"/>
      <c r="H9" s="8"/>
      <c r="J9" s="12" t="s">
        <v>12</v>
      </c>
      <c r="K9" s="13">
        <f>SUM(K8:P8)</f>
        <v>76.133425691480198</v>
      </c>
      <c r="L9" s="8"/>
      <c r="M9" s="8"/>
      <c r="N9" s="8"/>
      <c r="O9" s="8"/>
      <c r="P9" s="8"/>
      <c r="R9" s="12" t="s">
        <v>12</v>
      </c>
      <c r="S9" s="13">
        <f>SUM(S8:X8)</f>
        <v>95.065259159849347</v>
      </c>
      <c r="T9" s="8"/>
      <c r="U9" s="8"/>
      <c r="V9" s="8"/>
      <c r="W9" s="8"/>
      <c r="X9" s="8"/>
      <c r="Z9" s="12" t="s">
        <v>12</v>
      </c>
      <c r="AA9" s="13">
        <f>SUM(AA8:AF8)</f>
        <v>128.03310202171784</v>
      </c>
      <c r="AB9" s="8"/>
      <c r="AC9" s="8"/>
      <c r="AD9" s="8"/>
      <c r="AE9" s="8"/>
      <c r="AF9" s="8"/>
    </row>
    <row r="10" spans="2:32" x14ac:dyDescent="0.2">
      <c r="B10" t="s">
        <v>12</v>
      </c>
      <c r="C10" s="9">
        <f>NPV(C13,D7:H7)+C7</f>
        <v>135.54627566752146</v>
      </c>
      <c r="D10" s="8"/>
      <c r="E10" s="8"/>
      <c r="F10" s="8"/>
      <c r="G10" s="8"/>
      <c r="H10" s="8"/>
      <c r="J10" t="s">
        <v>12</v>
      </c>
      <c r="K10" s="9">
        <f>NPV(K13,L7:P7)+K7</f>
        <v>76.133425691480213</v>
      </c>
      <c r="L10" s="8"/>
      <c r="M10" s="8"/>
      <c r="N10" s="8"/>
      <c r="O10" s="8"/>
      <c r="P10" s="8"/>
      <c r="R10" t="s">
        <v>12</v>
      </c>
      <c r="S10" s="9">
        <f>NPV(S13,T7:X7)+S7</f>
        <v>95.065259159849376</v>
      </c>
      <c r="T10" s="8"/>
      <c r="U10" s="8"/>
      <c r="V10" s="8"/>
      <c r="W10" s="8"/>
      <c r="X10" s="8"/>
      <c r="Z10" t="s">
        <v>12</v>
      </c>
      <c r="AA10" s="9">
        <f>NPV(AA13,AB7:AF7)+AA7</f>
        <v>128.03310202171784</v>
      </c>
      <c r="AB10" s="8"/>
      <c r="AC10" s="8"/>
      <c r="AD10" s="8"/>
      <c r="AE10" s="8"/>
      <c r="AF10" s="8"/>
    </row>
    <row r="11" spans="2:32" x14ac:dyDescent="0.2">
      <c r="B11" s="10" t="s">
        <v>13</v>
      </c>
      <c r="C11" s="14">
        <f>IRR(C7:H7)</f>
        <v>-0.64051896495056326</v>
      </c>
      <c r="D11" s="8"/>
      <c r="E11" s="8"/>
      <c r="F11" s="8"/>
      <c r="G11" s="8"/>
      <c r="H11" s="8"/>
      <c r="J11" s="10" t="s">
        <v>13</v>
      </c>
      <c r="K11" s="14" t="e">
        <f>IRR(K7:P7)</f>
        <v>#NUM!</v>
      </c>
      <c r="L11" s="8"/>
      <c r="M11" s="8"/>
      <c r="N11" s="8"/>
      <c r="O11" s="8"/>
      <c r="P11" s="8"/>
      <c r="R11" s="10" t="s">
        <v>13</v>
      </c>
      <c r="S11" s="14">
        <f>IRR(S7:X7)</f>
        <v>0.31022769343212331</v>
      </c>
      <c r="T11" s="8"/>
      <c r="U11" s="8"/>
      <c r="V11" s="8"/>
      <c r="W11" s="8"/>
      <c r="X11" s="8"/>
      <c r="Z11" s="10" t="s">
        <v>13</v>
      </c>
      <c r="AA11" s="14">
        <f>IRR(AA7:AF7)</f>
        <v>0.37639194531382536</v>
      </c>
      <c r="AB11" s="8"/>
      <c r="AC11" s="8"/>
      <c r="AD11" s="8"/>
      <c r="AE11" s="8"/>
      <c r="AF11" s="8"/>
    </row>
    <row r="12" spans="2:32" x14ac:dyDescent="0.2">
      <c r="C12" s="9"/>
      <c r="D12" s="8"/>
      <c r="E12" s="8"/>
      <c r="F12" s="8"/>
      <c r="G12" s="8"/>
      <c r="H12" s="8"/>
      <c r="K12" s="9"/>
      <c r="L12" s="8"/>
      <c r="M12" s="8"/>
      <c r="N12" s="8"/>
      <c r="O12" s="8"/>
      <c r="P12" s="8"/>
      <c r="S12" s="9"/>
      <c r="T12" s="8"/>
      <c r="U12" s="8"/>
      <c r="V12" s="8"/>
      <c r="W12" s="8"/>
      <c r="X12" s="8"/>
      <c r="AA12" s="9"/>
      <c r="AB12" s="8"/>
      <c r="AC12" s="8"/>
      <c r="AD12" s="8"/>
      <c r="AE12" s="8"/>
      <c r="AF12" s="8"/>
    </row>
    <row r="13" spans="2:32" x14ac:dyDescent="0.2">
      <c r="B13" t="s">
        <v>9</v>
      </c>
      <c r="C13" s="7">
        <f>0.05</f>
        <v>0.05</v>
      </c>
      <c r="J13" t="s">
        <v>9</v>
      </c>
      <c r="K13" s="7">
        <f>0.05</f>
        <v>0.05</v>
      </c>
      <c r="R13" t="s">
        <v>9</v>
      </c>
      <c r="S13" s="7">
        <f>0.05</f>
        <v>0.05</v>
      </c>
      <c r="Z13" t="s">
        <v>9</v>
      </c>
      <c r="AA13" s="7">
        <f>0.05</f>
        <v>0.05</v>
      </c>
      <c r="AB13" s="8"/>
      <c r="AC13" s="8"/>
      <c r="AD13" s="8"/>
      <c r="AE13" s="8"/>
      <c r="AF13" s="8"/>
    </row>
    <row r="14" spans="2:32" x14ac:dyDescent="0.2">
      <c r="B14" t="s">
        <v>10</v>
      </c>
      <c r="C14" s="7">
        <f>LN(1+C13)</f>
        <v>4.8790164169432049E-2</v>
      </c>
      <c r="J14" t="s">
        <v>10</v>
      </c>
      <c r="K14" s="7">
        <f>LN(1+K13)</f>
        <v>4.8790164169432049E-2</v>
      </c>
      <c r="R14" t="s">
        <v>10</v>
      </c>
      <c r="S14" s="7">
        <f>LN(1+S13)</f>
        <v>4.8790164169432049E-2</v>
      </c>
      <c r="Z14" t="s">
        <v>10</v>
      </c>
      <c r="AA14" s="7">
        <f>LN(1+AA13)</f>
        <v>4.8790164169432049E-2</v>
      </c>
    </row>
    <row r="16" spans="2:32" x14ac:dyDescent="0.2">
      <c r="J16" s="17" t="s">
        <v>14</v>
      </c>
      <c r="K16" s="17">
        <v>0</v>
      </c>
      <c r="L16" s="17">
        <v>1</v>
      </c>
      <c r="M16" s="17">
        <v>2</v>
      </c>
      <c r="N16" s="17">
        <v>3</v>
      </c>
      <c r="O16" s="17">
        <v>4</v>
      </c>
      <c r="P16" s="17">
        <v>5</v>
      </c>
      <c r="R16" s="17" t="s">
        <v>30</v>
      </c>
      <c r="S16" s="17">
        <v>0</v>
      </c>
      <c r="T16" s="17">
        <v>1</v>
      </c>
      <c r="U16" s="17">
        <v>2</v>
      </c>
      <c r="V16" s="17">
        <v>3</v>
      </c>
      <c r="W16" s="17">
        <v>4</v>
      </c>
      <c r="X16" s="17">
        <v>5</v>
      </c>
      <c r="Z16" s="17" t="s">
        <v>31</v>
      </c>
      <c r="AA16" s="17">
        <v>0</v>
      </c>
      <c r="AB16" s="17">
        <v>1</v>
      </c>
      <c r="AC16" s="17">
        <v>2</v>
      </c>
      <c r="AD16" s="17">
        <v>3</v>
      </c>
      <c r="AE16" s="17">
        <v>4</v>
      </c>
      <c r="AF16" s="17">
        <v>5</v>
      </c>
    </row>
    <row r="17" spans="9:32" x14ac:dyDescent="0.2">
      <c r="J17" s="2" t="s">
        <v>1</v>
      </c>
      <c r="K17" s="4">
        <f>K3-C3</f>
        <v>0</v>
      </c>
      <c r="L17" s="4">
        <f t="shared" ref="L17:P20" si="32">L3-D3</f>
        <v>0</v>
      </c>
      <c r="M17" s="4">
        <f t="shared" si="32"/>
        <v>0</v>
      </c>
      <c r="N17" s="4">
        <f t="shared" si="32"/>
        <v>10</v>
      </c>
      <c r="O17" s="4">
        <f t="shared" si="32"/>
        <v>5</v>
      </c>
      <c r="P17" s="4">
        <f t="shared" si="32"/>
        <v>10</v>
      </c>
      <c r="R17" s="2" t="s">
        <v>1</v>
      </c>
      <c r="S17" s="4">
        <f>S3-$C$3</f>
        <v>0</v>
      </c>
      <c r="T17" s="4">
        <f t="shared" ref="T17:X17" si="33">T3-$C$3</f>
        <v>70</v>
      </c>
      <c r="U17" s="4">
        <f t="shared" si="33"/>
        <v>80</v>
      </c>
      <c r="V17" s="4">
        <f t="shared" si="33"/>
        <v>90</v>
      </c>
      <c r="W17" s="4">
        <f t="shared" si="33"/>
        <v>100</v>
      </c>
      <c r="X17" s="4">
        <f t="shared" si="33"/>
        <v>110</v>
      </c>
      <c r="Z17" s="2" t="s">
        <v>1</v>
      </c>
      <c r="AA17" s="4">
        <f>AA3-$C$3</f>
        <v>0</v>
      </c>
      <c r="AB17" s="4">
        <f t="shared" ref="AB17:AF17" si="34">AB3-$C$3</f>
        <v>70</v>
      </c>
      <c r="AC17" s="4">
        <f t="shared" si="34"/>
        <v>90</v>
      </c>
      <c r="AD17" s="4">
        <f t="shared" si="34"/>
        <v>110</v>
      </c>
      <c r="AE17" s="4">
        <f t="shared" si="34"/>
        <v>130</v>
      </c>
      <c r="AF17" s="4">
        <f t="shared" si="34"/>
        <v>150</v>
      </c>
    </row>
    <row r="18" spans="9:32" x14ac:dyDescent="0.2">
      <c r="I18" s="1"/>
      <c r="J18" s="2" t="s">
        <v>2</v>
      </c>
      <c r="K18" s="4">
        <f t="shared" ref="K18:K20" si="35">K4-C4</f>
        <v>0</v>
      </c>
      <c r="L18" s="4">
        <f t="shared" si="32"/>
        <v>0</v>
      </c>
      <c r="M18" s="4">
        <f t="shared" si="32"/>
        <v>0</v>
      </c>
      <c r="N18" s="4">
        <f t="shared" si="32"/>
        <v>0</v>
      </c>
      <c r="O18" s="4">
        <f t="shared" si="32"/>
        <v>0</v>
      </c>
      <c r="P18" s="4">
        <f t="shared" si="32"/>
        <v>0</v>
      </c>
      <c r="R18" s="2" t="s">
        <v>2</v>
      </c>
      <c r="S18" s="4">
        <f t="shared" ref="S18:X20" si="36">S4-$C$3</f>
        <v>0</v>
      </c>
      <c r="T18" s="4">
        <f t="shared" si="36"/>
        <v>-40</v>
      </c>
      <c r="U18" s="4">
        <f t="shared" si="36"/>
        <v>-40</v>
      </c>
      <c r="V18" s="4">
        <f t="shared" si="36"/>
        <v>-40</v>
      </c>
      <c r="W18" s="4">
        <f t="shared" si="36"/>
        <v>-40</v>
      </c>
      <c r="X18" s="4">
        <f t="shared" si="36"/>
        <v>-40</v>
      </c>
      <c r="Z18" s="2" t="s">
        <v>2</v>
      </c>
      <c r="AA18" s="4">
        <f t="shared" ref="AA18:AF18" si="37">AA4-$C$3</f>
        <v>0</v>
      </c>
      <c r="AB18" s="4">
        <f t="shared" si="37"/>
        <v>-40</v>
      </c>
      <c r="AC18" s="4">
        <f t="shared" si="37"/>
        <v>-40</v>
      </c>
      <c r="AD18" s="4">
        <f t="shared" si="37"/>
        <v>-40</v>
      </c>
      <c r="AE18" s="4">
        <f t="shared" si="37"/>
        <v>-40</v>
      </c>
      <c r="AF18" s="4">
        <f t="shared" si="37"/>
        <v>-40</v>
      </c>
    </row>
    <row r="19" spans="9:32" x14ac:dyDescent="0.2">
      <c r="J19" s="2" t="s">
        <v>3</v>
      </c>
      <c r="K19" s="4">
        <f t="shared" si="35"/>
        <v>-40</v>
      </c>
      <c r="L19" s="4">
        <f t="shared" si="32"/>
        <v>0</v>
      </c>
      <c r="M19" s="4">
        <f t="shared" si="32"/>
        <v>0</v>
      </c>
      <c r="N19" s="4">
        <f t="shared" si="32"/>
        <v>0</v>
      </c>
      <c r="O19" s="4">
        <f t="shared" si="32"/>
        <v>0</v>
      </c>
      <c r="P19" s="4">
        <f t="shared" si="32"/>
        <v>0</v>
      </c>
      <c r="R19" s="2" t="s">
        <v>3</v>
      </c>
      <c r="S19" s="4">
        <f t="shared" si="36"/>
        <v>0</v>
      </c>
      <c r="T19" s="4">
        <f t="shared" si="36"/>
        <v>0</v>
      </c>
      <c r="U19" s="4">
        <f t="shared" si="36"/>
        <v>0</v>
      </c>
      <c r="V19" s="4">
        <f t="shared" si="36"/>
        <v>0</v>
      </c>
      <c r="W19" s="4">
        <f t="shared" si="36"/>
        <v>0</v>
      </c>
      <c r="X19" s="4">
        <f t="shared" si="36"/>
        <v>0</v>
      </c>
      <c r="Z19" s="2" t="s">
        <v>3</v>
      </c>
      <c r="AA19" s="4">
        <f t="shared" ref="AA19:AF19" si="38">AA5-$C$3</f>
        <v>0</v>
      </c>
      <c r="AB19" s="4">
        <f t="shared" si="38"/>
        <v>0</v>
      </c>
      <c r="AC19" s="4">
        <f t="shared" si="38"/>
        <v>0</v>
      </c>
      <c r="AD19" s="4">
        <f t="shared" si="38"/>
        <v>0</v>
      </c>
      <c r="AE19" s="4">
        <f t="shared" si="38"/>
        <v>0</v>
      </c>
      <c r="AF19" s="4">
        <f t="shared" si="38"/>
        <v>0</v>
      </c>
    </row>
    <row r="20" spans="9:32" x14ac:dyDescent="0.2">
      <c r="J20" s="2" t="s">
        <v>4</v>
      </c>
      <c r="K20" s="4">
        <f t="shared" si="35"/>
        <v>-40</v>
      </c>
      <c r="L20" s="4">
        <f t="shared" si="32"/>
        <v>0</v>
      </c>
      <c r="M20" s="4">
        <f t="shared" si="32"/>
        <v>0</v>
      </c>
      <c r="N20" s="4">
        <f t="shared" si="32"/>
        <v>0</v>
      </c>
      <c r="O20" s="4">
        <f t="shared" si="32"/>
        <v>0</v>
      </c>
      <c r="P20" s="4">
        <f t="shared" si="32"/>
        <v>0</v>
      </c>
      <c r="R20" s="2" t="s">
        <v>4</v>
      </c>
      <c r="S20" s="4">
        <f t="shared" si="36"/>
        <v>-80</v>
      </c>
      <c r="T20" s="4">
        <f t="shared" si="36"/>
        <v>-20</v>
      </c>
      <c r="U20" s="4">
        <f t="shared" si="36"/>
        <v>-20</v>
      </c>
      <c r="V20" s="4">
        <f t="shared" si="36"/>
        <v>0</v>
      </c>
      <c r="W20" s="4">
        <f t="shared" si="36"/>
        <v>0</v>
      </c>
      <c r="X20" s="4">
        <f t="shared" si="36"/>
        <v>0</v>
      </c>
      <c r="Z20" s="2" t="s">
        <v>4</v>
      </c>
      <c r="AA20" s="4">
        <f t="shared" ref="AA20:AF20" si="39">AA6-$C$3</f>
        <v>-80</v>
      </c>
      <c r="AB20" s="4">
        <f t="shared" si="39"/>
        <v>-20</v>
      </c>
      <c r="AC20" s="4">
        <f t="shared" si="39"/>
        <v>-20</v>
      </c>
      <c r="AD20" s="4">
        <f t="shared" si="39"/>
        <v>-20</v>
      </c>
      <c r="AE20" s="4">
        <f t="shared" si="39"/>
        <v>-20</v>
      </c>
      <c r="AF20" s="4">
        <f t="shared" si="39"/>
        <v>-20</v>
      </c>
    </row>
    <row r="21" spans="9:32" x14ac:dyDescent="0.2">
      <c r="J21" s="5" t="s">
        <v>5</v>
      </c>
      <c r="K21" s="6">
        <f>SUM(K17:K20)</f>
        <v>-80</v>
      </c>
      <c r="L21" s="6">
        <f t="shared" ref="L21" si="40">SUM(L17:L20)</f>
        <v>0</v>
      </c>
      <c r="M21" s="6">
        <f t="shared" ref="M21" si="41">SUM(M17:M20)</f>
        <v>0</v>
      </c>
      <c r="N21" s="6">
        <f t="shared" ref="N21" si="42">SUM(N17:N20)</f>
        <v>10</v>
      </c>
      <c r="O21" s="6">
        <f t="shared" ref="O21" si="43">SUM(O17:O20)</f>
        <v>5</v>
      </c>
      <c r="P21" s="6">
        <f t="shared" ref="P21" si="44">SUM(P17:P20)</f>
        <v>10</v>
      </c>
      <c r="R21" s="5" t="s">
        <v>5</v>
      </c>
      <c r="S21" s="6">
        <f>SUM(S17:S20)</f>
        <v>-80</v>
      </c>
      <c r="T21" s="6">
        <f t="shared" ref="T21" si="45">SUM(T17:T20)</f>
        <v>10</v>
      </c>
      <c r="U21" s="6">
        <f t="shared" ref="U21" si="46">SUM(U17:U20)</f>
        <v>20</v>
      </c>
      <c r="V21" s="6">
        <f t="shared" ref="V21" si="47">SUM(V17:V20)</f>
        <v>50</v>
      </c>
      <c r="W21" s="6">
        <f t="shared" ref="W21" si="48">SUM(W17:W20)</f>
        <v>60</v>
      </c>
      <c r="X21" s="6">
        <f t="shared" ref="X21" si="49">SUM(X17:X20)</f>
        <v>70</v>
      </c>
      <c r="Z21" s="5" t="s">
        <v>5</v>
      </c>
      <c r="AA21" s="6">
        <f>SUM(AA17:AA20)</f>
        <v>-80</v>
      </c>
      <c r="AB21" s="6">
        <f t="shared" ref="AB21" si="50">SUM(AB17:AB20)</f>
        <v>10</v>
      </c>
      <c r="AC21" s="6">
        <f t="shared" ref="AC21" si="51">SUM(AC17:AC20)</f>
        <v>30</v>
      </c>
      <c r="AD21" s="6">
        <f t="shared" ref="AD21" si="52">SUM(AD17:AD20)</f>
        <v>50</v>
      </c>
      <c r="AE21" s="6">
        <f t="shared" ref="AE21" si="53">SUM(AE17:AE20)</f>
        <v>70</v>
      </c>
      <c r="AF21" s="6">
        <f t="shared" ref="AF21" si="54">SUM(AF17:AF20)</f>
        <v>90</v>
      </c>
    </row>
    <row r="22" spans="9:32" x14ac:dyDescent="0.2">
      <c r="J22" s="10" t="s">
        <v>11</v>
      </c>
      <c r="K22" s="11">
        <f>K21*EXP(-$C$14*K16)</f>
        <v>-80</v>
      </c>
      <c r="L22" s="11">
        <f t="shared" ref="L22" si="55">L21*EXP(-$C$14*L16)</f>
        <v>0</v>
      </c>
      <c r="M22" s="11">
        <f t="shared" ref="M22" si="56">M21*EXP(-$C$14*M16)</f>
        <v>0</v>
      </c>
      <c r="N22" s="11">
        <f t="shared" ref="N22" si="57">N21*EXP(-$C$14*N16)</f>
        <v>8.6383759853147595</v>
      </c>
      <c r="O22" s="11">
        <f t="shared" ref="O22" si="58">O21*EXP(-$C$14*O16)</f>
        <v>4.1135123739594093</v>
      </c>
      <c r="P22" s="11">
        <f t="shared" ref="P22" si="59">P21*EXP(-$C$14*P16)</f>
        <v>7.8352616646845883</v>
      </c>
      <c r="R22" s="10" t="s">
        <v>11</v>
      </c>
      <c r="S22" s="11">
        <f>S21*EXP(-$C$14*S16)</f>
        <v>-80</v>
      </c>
      <c r="T22" s="11">
        <f t="shared" ref="T22" si="60">T21*EXP(-$C$14*T16)</f>
        <v>9.5238095238095237</v>
      </c>
      <c r="U22" s="11">
        <f t="shared" ref="U22" si="61">U21*EXP(-$C$14*U16)</f>
        <v>18.140589569160998</v>
      </c>
      <c r="V22" s="11">
        <f t="shared" ref="V22" si="62">V21*EXP(-$C$14*V16)</f>
        <v>43.191879926573797</v>
      </c>
      <c r="W22" s="11">
        <f t="shared" ref="W22" si="63">W21*EXP(-$C$14*W16)</f>
        <v>49.362148487512911</v>
      </c>
      <c r="X22" s="11">
        <f t="shared" ref="X22" si="64">X21*EXP(-$C$14*X16)</f>
        <v>54.846831652792119</v>
      </c>
      <c r="Z22" s="10" t="s">
        <v>11</v>
      </c>
      <c r="AA22" s="11">
        <f>AA21*EXP(-$C$14*AA16)</f>
        <v>-80</v>
      </c>
      <c r="AB22" s="11">
        <f t="shared" ref="AB22" si="65">AB21*EXP(-$C$14*AB16)</f>
        <v>9.5238095238095237</v>
      </c>
      <c r="AC22" s="11">
        <f t="shared" ref="AC22" si="66">AC21*EXP(-$C$14*AC16)</f>
        <v>27.210884353741495</v>
      </c>
      <c r="AD22" s="11">
        <f t="shared" ref="AD22" si="67">AD21*EXP(-$C$14*AD16)</f>
        <v>43.191879926573797</v>
      </c>
      <c r="AE22" s="11">
        <f t="shared" ref="AE22" si="68">AE21*EXP(-$C$14*AE16)</f>
        <v>57.58917323543173</v>
      </c>
      <c r="AF22" s="11">
        <f t="shared" ref="AF22" si="69">AF21*EXP(-$C$14*AF16)</f>
        <v>70.517354982161294</v>
      </c>
    </row>
    <row r="23" spans="9:32" x14ac:dyDescent="0.2">
      <c r="J23" s="12" t="s">
        <v>12</v>
      </c>
      <c r="K23" s="13">
        <f>SUM(K22:P22)</f>
        <v>-59.412849976041251</v>
      </c>
      <c r="L23" s="8"/>
      <c r="M23" s="8"/>
      <c r="N23" s="8"/>
      <c r="O23" s="8"/>
      <c r="P23" s="8"/>
      <c r="R23" s="12" t="s">
        <v>12</v>
      </c>
      <c r="S23" s="13">
        <f>SUM(S22:X22)</f>
        <v>95.065259159849347</v>
      </c>
      <c r="T23" s="8"/>
      <c r="U23" s="8"/>
      <c r="V23" s="8"/>
      <c r="W23" s="8"/>
      <c r="X23" s="8"/>
      <c r="Z23" s="12" t="s">
        <v>12</v>
      </c>
      <c r="AA23" s="13">
        <f>SUM(AA22:AF22)</f>
        <v>128.03310202171784</v>
      </c>
      <c r="AB23" s="8"/>
      <c r="AC23" s="8"/>
      <c r="AD23" s="8"/>
      <c r="AE23" s="8"/>
      <c r="AF23" s="8"/>
    </row>
    <row r="24" spans="9:32" x14ac:dyDescent="0.2">
      <c r="J24" t="s">
        <v>12</v>
      </c>
      <c r="K24" s="9">
        <f>NPV(K27,L21:P21)+K21</f>
        <v>-59.412849976041244</v>
      </c>
      <c r="L24" s="8"/>
      <c r="M24" s="8"/>
      <c r="N24" s="8"/>
      <c r="O24" s="8"/>
      <c r="P24" s="8"/>
      <c r="R24" t="s">
        <v>12</v>
      </c>
      <c r="S24" s="9">
        <f>NPV(S27,T21:X21)+S21</f>
        <v>95.065259159849376</v>
      </c>
      <c r="T24" s="8"/>
      <c r="U24" s="8"/>
      <c r="V24" s="8"/>
      <c r="W24" s="8"/>
      <c r="X24" s="8"/>
      <c r="Z24" t="s">
        <v>12</v>
      </c>
      <c r="AA24" s="9">
        <f>NPV(AA27,AB21:AF21)+AA21</f>
        <v>128.03310202171784</v>
      </c>
      <c r="AB24" s="8"/>
      <c r="AC24" s="8"/>
      <c r="AD24" s="8"/>
      <c r="AE24" s="8"/>
      <c r="AF24" s="8"/>
    </row>
    <row r="25" spans="9:32" x14ac:dyDescent="0.2">
      <c r="J25" s="10" t="s">
        <v>13</v>
      </c>
      <c r="K25" s="14">
        <f>IRR(K21:P21)</f>
        <v>-0.24637490000142659</v>
      </c>
      <c r="L25" s="8"/>
      <c r="M25" s="8"/>
      <c r="N25" s="8"/>
      <c r="O25" s="8"/>
      <c r="P25" s="8"/>
      <c r="R25" s="10" t="s">
        <v>13</v>
      </c>
      <c r="S25" s="14">
        <f>IRR(S21:X21)</f>
        <v>0.31022769343212331</v>
      </c>
      <c r="T25" s="8"/>
      <c r="U25" s="8"/>
      <c r="V25" s="8"/>
      <c r="W25" s="8"/>
      <c r="X25" s="8"/>
      <c r="Z25" s="10" t="s">
        <v>13</v>
      </c>
      <c r="AA25" s="14">
        <f>IRR(AA21:AF21)</f>
        <v>0.37639194531382536</v>
      </c>
      <c r="AB25" s="8"/>
      <c r="AC25" s="8"/>
      <c r="AD25" s="8"/>
      <c r="AE25" s="8"/>
      <c r="AF25" s="8"/>
    </row>
    <row r="26" spans="9:32" x14ac:dyDescent="0.2">
      <c r="K26" s="9"/>
      <c r="L26" s="8"/>
      <c r="M26" s="8"/>
      <c r="N26" s="8"/>
      <c r="O26" s="8"/>
      <c r="P26" s="8"/>
      <c r="S26" s="9"/>
      <c r="T26" s="8"/>
      <c r="U26" s="8"/>
      <c r="V26" s="8"/>
      <c r="W26" s="8"/>
      <c r="X26" s="8"/>
      <c r="AA26" s="9"/>
      <c r="AB26" s="8"/>
      <c r="AC26" s="8"/>
      <c r="AD26" s="8"/>
      <c r="AE26" s="8"/>
      <c r="AF26" s="8"/>
    </row>
    <row r="27" spans="9:32" x14ac:dyDescent="0.2">
      <c r="J27" t="s">
        <v>9</v>
      </c>
      <c r="K27" s="7">
        <f>0.05</f>
        <v>0.05</v>
      </c>
      <c r="R27" t="s">
        <v>9</v>
      </c>
      <c r="S27" s="7">
        <f>0.05</f>
        <v>0.05</v>
      </c>
      <c r="Z27" t="s">
        <v>9</v>
      </c>
      <c r="AA27" s="7">
        <f>0.05</f>
        <v>0.05</v>
      </c>
    </row>
    <row r="28" spans="9:32" x14ac:dyDescent="0.2">
      <c r="J28" t="s">
        <v>10</v>
      </c>
      <c r="K28" s="7">
        <f>LN(1+K27)</f>
        <v>4.8790164169432049E-2</v>
      </c>
      <c r="R28" t="s">
        <v>10</v>
      </c>
      <c r="S28" s="7">
        <f>LN(1+S27)</f>
        <v>4.8790164169432049E-2</v>
      </c>
      <c r="Z28" t="s">
        <v>10</v>
      </c>
      <c r="AA28" s="7">
        <f>LN(1+AA27)</f>
        <v>4.8790164169432049E-2</v>
      </c>
    </row>
    <row r="30" spans="9:32" x14ac:dyDescent="0.2">
      <c r="J30" s="55" t="s">
        <v>15</v>
      </c>
      <c r="K30" s="55"/>
      <c r="R30" s="55" t="s">
        <v>15</v>
      </c>
      <c r="S30" s="55"/>
      <c r="Z30" s="55" t="s">
        <v>15</v>
      </c>
      <c r="AA30" s="55"/>
    </row>
    <row r="31" spans="9:32" x14ac:dyDescent="0.2">
      <c r="K31" s="18" t="s">
        <v>16</v>
      </c>
      <c r="S31" s="18" t="s">
        <v>16</v>
      </c>
      <c r="AA31" s="18" t="s">
        <v>16</v>
      </c>
    </row>
    <row r="32" spans="9:32" x14ac:dyDescent="0.2">
      <c r="J32" s="19" t="s">
        <v>17</v>
      </c>
      <c r="K32" s="20">
        <f>SUM(L22:P22)</f>
        <v>20.587150023958756</v>
      </c>
      <c r="R32" s="19" t="s">
        <v>17</v>
      </c>
      <c r="S32" s="20">
        <f>SUM(T22:X22)</f>
        <v>175.06525915984935</v>
      </c>
      <c r="Z32" s="19" t="s">
        <v>17</v>
      </c>
      <c r="AA32" s="20">
        <f>SUM(AB22:AF22)</f>
        <v>208.03310202171784</v>
      </c>
    </row>
    <row r="33" spans="10:30" x14ac:dyDescent="0.2">
      <c r="J33" s="19" t="s">
        <v>18</v>
      </c>
      <c r="K33" s="21">
        <f>-K21*EXP(K28*K34)</f>
        <v>84</v>
      </c>
      <c r="R33" s="19" t="s">
        <v>18</v>
      </c>
      <c r="S33" s="21">
        <f>-S21*EXP(S28*S34)</f>
        <v>84</v>
      </c>
      <c r="Z33" s="19" t="s">
        <v>18</v>
      </c>
      <c r="AA33" s="21">
        <f>-AA21*EXP(AA28*AA34)</f>
        <v>84</v>
      </c>
    </row>
    <row r="34" spans="10:30" x14ac:dyDescent="0.2">
      <c r="J34" s="19" t="s">
        <v>19</v>
      </c>
      <c r="K34" s="2">
        <v>1</v>
      </c>
      <c r="R34" s="19" t="s">
        <v>19</v>
      </c>
      <c r="S34" s="2">
        <v>1</v>
      </c>
      <c r="Z34" s="19" t="s">
        <v>19</v>
      </c>
      <c r="AA34" s="2">
        <v>1</v>
      </c>
    </row>
    <row r="35" spans="10:30" x14ac:dyDescent="0.2">
      <c r="J35" s="19" t="s">
        <v>10</v>
      </c>
      <c r="K35" s="22">
        <f>K28</f>
        <v>4.8790164169432049E-2</v>
      </c>
      <c r="R35" s="19" t="s">
        <v>10</v>
      </c>
      <c r="S35" s="22">
        <f>S28</f>
        <v>4.8790164169432049E-2</v>
      </c>
      <c r="Z35" s="19" t="s">
        <v>10</v>
      </c>
      <c r="AA35" s="22">
        <f>AA28</f>
        <v>4.8790164169432049E-2</v>
      </c>
    </row>
    <row r="36" spans="10:30" x14ac:dyDescent="0.2">
      <c r="J36" s="19" t="s">
        <v>20</v>
      </c>
      <c r="K36" s="23">
        <v>0.08</v>
      </c>
      <c r="R36" s="19" t="s">
        <v>20</v>
      </c>
      <c r="S36" s="23">
        <v>0.18</v>
      </c>
      <c r="Z36" s="19" t="s">
        <v>20</v>
      </c>
      <c r="AA36" s="23">
        <v>0.28000000000000003</v>
      </c>
    </row>
    <row r="37" spans="10:30" x14ac:dyDescent="0.2">
      <c r="J37" s="24" t="s">
        <v>21</v>
      </c>
      <c r="K37" s="2">
        <f>(LN(K32/K33)+(K35+K36*K36*0.5)*K34)/(K36*SQRT(K34))</f>
        <v>-16.926994234475337</v>
      </c>
      <c r="R37" s="24" t="s">
        <v>21</v>
      </c>
      <c r="S37" s="2">
        <f>(LN(S32/S33)+(S35+S36*S36*0.5)*S34)/(S36*SQRT(S34))</f>
        <v>4.4407343290056938</v>
      </c>
      <c r="Z37" s="24" t="s">
        <v>21</v>
      </c>
      <c r="AA37" s="2">
        <f>(LN(AA32/AA33)+(AA35+AA36*AA36*0.5)*AA34)/(AA36*SQRT(AA34))</f>
        <v>3.5531092025017927</v>
      </c>
    </row>
    <row r="38" spans="10:30" x14ac:dyDescent="0.2">
      <c r="J38" s="24" t="s">
        <v>22</v>
      </c>
      <c r="K38" s="2">
        <f>+K37-K36*SQRT(K34)</f>
        <v>-17.006994234475336</v>
      </c>
      <c r="R38" s="24" t="s">
        <v>22</v>
      </c>
      <c r="S38" s="2">
        <f>+S37-S36*SQRT(S34)</f>
        <v>4.260734329005694</v>
      </c>
      <c r="Z38" s="24" t="s">
        <v>22</v>
      </c>
      <c r="AA38" s="2">
        <f>+AA37-AA36*SQRT(AA34)</f>
        <v>3.2731092025017929</v>
      </c>
    </row>
    <row r="39" spans="10:30" x14ac:dyDescent="0.2">
      <c r="J39" s="25" t="s">
        <v>23</v>
      </c>
      <c r="K39" s="26">
        <f>_xlfn.NORM.DIST(K37,0,1,1)</f>
        <v>1.422720228489306E-64</v>
      </c>
      <c r="R39" s="25" t="s">
        <v>23</v>
      </c>
      <c r="S39" s="26">
        <f>_xlfn.NORM.DIST(S37,0,1,1)</f>
        <v>0.99999551737894421</v>
      </c>
      <c r="Z39" s="25" t="s">
        <v>23</v>
      </c>
      <c r="AA39" s="26">
        <f>_xlfn.NORM.DIST(AA37,0,1,1)</f>
        <v>0.9998096468050145</v>
      </c>
    </row>
    <row r="40" spans="10:30" x14ac:dyDescent="0.2">
      <c r="J40" s="25" t="s">
        <v>24</v>
      </c>
      <c r="K40" s="26">
        <f>_xlfn.NORM.DIST(K38,0,1,1)</f>
        <v>3.6441145146474514E-65</v>
      </c>
      <c r="R40" s="25" t="s">
        <v>24</v>
      </c>
      <c r="S40" s="26">
        <f>_xlfn.NORM.DIST(S38,0,1,1)</f>
        <v>0.9999898121837949</v>
      </c>
      <c r="Z40" s="25" t="s">
        <v>24</v>
      </c>
      <c r="AA40" s="26">
        <f>_xlfn.NORM.DIST(AA38,0,1,1)</f>
        <v>0.99946814313915355</v>
      </c>
    </row>
    <row r="41" spans="10:30" x14ac:dyDescent="0.2">
      <c r="J41" s="25" t="s">
        <v>25</v>
      </c>
      <c r="K41" s="26">
        <f>_xlfn.NORM.DIST(-K37,0,1,1)</f>
        <v>1</v>
      </c>
      <c r="R41" s="25" t="s">
        <v>25</v>
      </c>
      <c r="S41" s="26">
        <f>_xlfn.NORM.DIST(-S37,0,1,1)</f>
        <v>4.4826210558060991E-6</v>
      </c>
      <c r="Z41" s="25" t="s">
        <v>25</v>
      </c>
      <c r="AA41" s="26">
        <f>_xlfn.NORM.DIST(-AA37,0,1,1)</f>
        <v>1.9035319498554516E-4</v>
      </c>
    </row>
    <row r="42" spans="10:30" x14ac:dyDescent="0.2">
      <c r="J42" s="25" t="s">
        <v>26</v>
      </c>
      <c r="K42" s="26">
        <f>_xlfn.NORM.DIST(-K38,0,1,1)</f>
        <v>1</v>
      </c>
      <c r="R42" s="25" t="s">
        <v>26</v>
      </c>
      <c r="S42" s="26">
        <f>_xlfn.NORM.DIST(-S38,0,1,1)</f>
        <v>1.0187816205047982E-5</v>
      </c>
      <c r="Z42" s="25" t="s">
        <v>26</v>
      </c>
      <c r="AA42" s="26">
        <f>_xlfn.NORM.DIST(-AA38,0,1,1)</f>
        <v>5.3185686084642706E-4</v>
      </c>
    </row>
    <row r="43" spans="10:30" x14ac:dyDescent="0.2">
      <c r="J43" s="27" t="s">
        <v>27</v>
      </c>
      <c r="K43" s="9">
        <f>+K32*K39-K33*EXP(-K35*K34)*K40</f>
        <v>1.36838668850612E-65</v>
      </c>
      <c r="R43" s="27" t="s">
        <v>27</v>
      </c>
      <c r="S43" s="9">
        <f>+S32*S39-S33*EXP(-S35*S34)*S40</f>
        <v>95.065289433928896</v>
      </c>
      <c r="Z43" s="27" t="s">
        <v>27</v>
      </c>
      <c r="AA43" s="9">
        <f>+AA32*AA39-AA33*EXP(-AA35*AA34)*AA40</f>
        <v>128.03605080495299</v>
      </c>
    </row>
    <row r="45" spans="10:30" x14ac:dyDescent="0.2">
      <c r="K45" t="s">
        <v>28</v>
      </c>
      <c r="S45" t="s">
        <v>28</v>
      </c>
      <c r="AA45" t="s">
        <v>28</v>
      </c>
    </row>
    <row r="46" spans="10:30" x14ac:dyDescent="0.2">
      <c r="J46" s="29" t="s">
        <v>29</v>
      </c>
      <c r="K46" s="30">
        <f>IF(K32&gt;K33,K43,K43+K23)</f>
        <v>-59.412849976041251</v>
      </c>
      <c r="R46" s="29" t="s">
        <v>29</v>
      </c>
      <c r="S46" s="30">
        <f>IF(S32&gt;S33,S43,S43+S23)</f>
        <v>95.065289433928896</v>
      </c>
      <c r="Z46" s="29" t="s">
        <v>29</v>
      </c>
      <c r="AA46" s="30">
        <f>IF(AA32&gt;AA33,AA43,AA43+AA23)</f>
        <v>128.03605080495299</v>
      </c>
    </row>
    <row r="48" spans="10:30" x14ac:dyDescent="0.2">
      <c r="Z48" s="56" t="s">
        <v>32</v>
      </c>
      <c r="AA48" s="56"/>
      <c r="AB48" s="56"/>
      <c r="AC48" s="56"/>
      <c r="AD48" s="56"/>
    </row>
    <row r="49" spans="26:30" x14ac:dyDescent="0.2">
      <c r="Z49" s="56"/>
      <c r="AA49" s="56"/>
      <c r="AB49" s="56"/>
      <c r="AC49" s="56"/>
      <c r="AD49" s="56"/>
    </row>
    <row r="50" spans="26:30" x14ac:dyDescent="0.2">
      <c r="Z50" s="56"/>
      <c r="AA50" s="56"/>
      <c r="AB50" s="56"/>
      <c r="AC50" s="56"/>
      <c r="AD50" s="56"/>
    </row>
  </sheetData>
  <mergeCells count="4">
    <mergeCell ref="J30:K30"/>
    <mergeCell ref="R30:S30"/>
    <mergeCell ref="Z30:AA30"/>
    <mergeCell ref="Z48:AD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9F0F-6447-C848-B120-4198951DD4DE}">
  <dimension ref="B2:Y46"/>
  <sheetViews>
    <sheetView tabSelected="1" topLeftCell="F19" zoomScale="130" zoomScaleNormal="130" workbookViewId="0">
      <selection activeCell="I34" sqref="I34"/>
    </sheetView>
  </sheetViews>
  <sheetFormatPr baseColWidth="10" defaultRowHeight="16" x14ac:dyDescent="0.2"/>
  <cols>
    <col min="2" max="2" width="10.5" bestFit="1" customWidth="1"/>
    <col min="3" max="3" width="22.1640625" bestFit="1" customWidth="1"/>
    <col min="4" max="4" width="14.83203125" bestFit="1" customWidth="1"/>
    <col min="5" max="7" width="15.5" bestFit="1" customWidth="1"/>
    <col min="9" max="9" width="12.1640625" bestFit="1" customWidth="1"/>
    <col min="10" max="10" width="21.5" bestFit="1" customWidth="1"/>
    <col min="11" max="11" width="15.5" bestFit="1" customWidth="1"/>
    <col min="12" max="12" width="16.33203125" bestFit="1" customWidth="1"/>
    <col min="13" max="13" width="17.1640625" bestFit="1" customWidth="1"/>
    <col min="14" max="14" width="16.33203125" bestFit="1" customWidth="1"/>
    <col min="15" max="16" width="15.5" bestFit="1" customWidth="1"/>
    <col min="18" max="18" width="12.1640625" bestFit="1" customWidth="1"/>
    <col min="19" max="19" width="22.1640625" bestFit="1" customWidth="1"/>
    <col min="20" max="20" width="15.5" bestFit="1" customWidth="1"/>
    <col min="21" max="21" width="16.33203125" bestFit="1" customWidth="1"/>
    <col min="22" max="22" width="17.1640625" bestFit="1" customWidth="1"/>
    <col min="23" max="25" width="16.33203125" bestFit="1" customWidth="1"/>
  </cols>
  <sheetData>
    <row r="2" spans="2:25" ht="20" x14ac:dyDescent="0.2">
      <c r="B2" s="57" t="s">
        <v>77</v>
      </c>
      <c r="C2" s="58" t="s">
        <v>78</v>
      </c>
      <c r="D2" s="58">
        <v>0</v>
      </c>
      <c r="E2" s="58">
        <v>1</v>
      </c>
      <c r="F2" s="58">
        <v>2</v>
      </c>
      <c r="G2" s="58">
        <v>3</v>
      </c>
      <c r="I2" s="58" t="s">
        <v>79</v>
      </c>
      <c r="J2" s="58"/>
      <c r="K2" s="58">
        <v>0</v>
      </c>
      <c r="L2" s="58">
        <v>1</v>
      </c>
      <c r="M2" s="58">
        <v>2</v>
      </c>
      <c r="N2" s="58">
        <v>3</v>
      </c>
      <c r="O2" s="58">
        <v>4</v>
      </c>
      <c r="P2" s="58">
        <v>5</v>
      </c>
      <c r="R2" s="57" t="s">
        <v>81</v>
      </c>
      <c r="S2" s="58"/>
      <c r="T2" s="58">
        <v>0</v>
      </c>
      <c r="U2" s="58">
        <v>1</v>
      </c>
      <c r="V2" s="58">
        <v>2</v>
      </c>
      <c r="W2" s="58">
        <v>3</v>
      </c>
      <c r="X2" s="58">
        <v>4</v>
      </c>
      <c r="Y2" s="58">
        <v>5</v>
      </c>
    </row>
    <row r="3" spans="2:25" ht="20" x14ac:dyDescent="0.2">
      <c r="B3" s="57"/>
      <c r="C3" s="58" t="s">
        <v>1</v>
      </c>
      <c r="D3" s="59"/>
      <c r="E3" s="59">
        <v>7987.4</v>
      </c>
      <c r="F3" s="59">
        <v>6389.92</v>
      </c>
      <c r="G3" s="59">
        <v>5111.93</v>
      </c>
      <c r="I3" s="58"/>
      <c r="J3" s="58" t="s">
        <v>1</v>
      </c>
      <c r="K3" s="59"/>
      <c r="L3" s="59">
        <v>15974.8</v>
      </c>
      <c r="M3" s="59">
        <v>12779.84</v>
      </c>
      <c r="N3" s="59">
        <v>10223.86</v>
      </c>
      <c r="O3" s="59">
        <v>9201.4699999999993</v>
      </c>
      <c r="P3" s="59">
        <v>8281.33</v>
      </c>
      <c r="R3" s="57"/>
      <c r="S3" s="58" t="s">
        <v>1</v>
      </c>
      <c r="T3" s="59"/>
      <c r="U3" s="59">
        <v>23962.2</v>
      </c>
      <c r="V3" s="59">
        <v>19169.759999999998</v>
      </c>
      <c r="W3" s="59">
        <v>15335.79</v>
      </c>
      <c r="X3" s="59">
        <v>13802.21</v>
      </c>
      <c r="Y3" s="59">
        <v>12421.99</v>
      </c>
    </row>
    <row r="4" spans="2:25" ht="20" x14ac:dyDescent="0.2">
      <c r="B4" s="57"/>
      <c r="C4" s="58" t="s">
        <v>2</v>
      </c>
      <c r="D4" s="59"/>
      <c r="E4" s="59">
        <v>-6360.36</v>
      </c>
      <c r="F4" s="59">
        <v>-8463.56</v>
      </c>
      <c r="G4" s="59">
        <v>-7460.31</v>
      </c>
      <c r="I4" s="58"/>
      <c r="J4" s="58" t="s">
        <v>80</v>
      </c>
      <c r="K4" s="59"/>
      <c r="L4" s="59">
        <v>-3000</v>
      </c>
      <c r="M4" s="59">
        <v>-3000</v>
      </c>
      <c r="N4" s="59">
        <v>-3000</v>
      </c>
      <c r="O4" s="59">
        <v>-3000</v>
      </c>
      <c r="P4" s="59">
        <v>-3000</v>
      </c>
      <c r="R4" s="57"/>
      <c r="S4" s="58" t="s">
        <v>80</v>
      </c>
      <c r="T4" s="59"/>
      <c r="U4" s="59">
        <v>-3000</v>
      </c>
      <c r="V4" s="59">
        <v>-3000</v>
      </c>
      <c r="W4" s="59">
        <v>-3000</v>
      </c>
      <c r="X4" s="59">
        <v>-3000</v>
      </c>
      <c r="Y4" s="59">
        <v>-3000</v>
      </c>
    </row>
    <row r="5" spans="2:25" ht="20" x14ac:dyDescent="0.2">
      <c r="B5" s="57"/>
      <c r="C5" s="58" t="s">
        <v>3</v>
      </c>
      <c r="D5" s="59">
        <v>2000</v>
      </c>
      <c r="E5" s="59"/>
      <c r="F5" s="59"/>
      <c r="G5" s="59"/>
      <c r="I5" s="58"/>
      <c r="J5" s="58" t="s">
        <v>2</v>
      </c>
      <c r="K5" s="59"/>
      <c r="L5" s="59">
        <v>-7711.16</v>
      </c>
      <c r="M5" s="59">
        <v>-10261.030000000001</v>
      </c>
      <c r="N5" s="59">
        <v>-9044.7099999999991</v>
      </c>
      <c r="O5" s="59">
        <v>-7235.77</v>
      </c>
      <c r="P5" s="59">
        <v>-5788.61</v>
      </c>
      <c r="R5" s="57"/>
      <c r="S5" s="58" t="s">
        <v>82</v>
      </c>
      <c r="T5" s="59"/>
      <c r="U5" s="59">
        <v>-5528.34</v>
      </c>
      <c r="V5" s="59">
        <v>-7356.42</v>
      </c>
      <c r="W5" s="59">
        <v>-6484.4</v>
      </c>
      <c r="X5" s="59">
        <v>-5187.5200000000004</v>
      </c>
      <c r="Y5" s="59">
        <v>-4150.0200000000004</v>
      </c>
    </row>
    <row r="6" spans="2:25" ht="20" x14ac:dyDescent="0.2">
      <c r="B6" s="57"/>
      <c r="C6" s="58" t="s">
        <v>5</v>
      </c>
      <c r="D6" s="59">
        <v>2000</v>
      </c>
      <c r="E6" s="59">
        <v>1627.04</v>
      </c>
      <c r="F6" s="59">
        <v>-2073.64</v>
      </c>
      <c r="G6" s="59">
        <v>-2348.38</v>
      </c>
      <c r="I6" s="58"/>
      <c r="J6" s="58" t="s">
        <v>4</v>
      </c>
      <c r="K6" s="59">
        <v>-2000</v>
      </c>
      <c r="L6" s="59"/>
      <c r="M6" s="59"/>
      <c r="N6" s="59"/>
      <c r="O6" s="59"/>
      <c r="P6" s="59"/>
      <c r="R6" s="57"/>
      <c r="S6" s="58" t="s">
        <v>2</v>
      </c>
      <c r="T6" s="59"/>
      <c r="U6" s="59">
        <v>-7711.16</v>
      </c>
      <c r="V6" s="59">
        <v>-10261.030000000001</v>
      </c>
      <c r="W6" s="59">
        <v>-9044.7099999999991</v>
      </c>
      <c r="X6" s="59">
        <v>-7235.77</v>
      </c>
      <c r="Y6" s="59">
        <v>-5788.61</v>
      </c>
    </row>
    <row r="7" spans="2:25" ht="20" x14ac:dyDescent="0.2">
      <c r="C7" s="10" t="s">
        <v>11</v>
      </c>
      <c r="D7" s="11">
        <f>D6*EXP(-$D$13*D2)</f>
        <v>2000</v>
      </c>
      <c r="E7" s="11">
        <f t="shared" ref="E7:F7" si="0">E6*EXP(-$D$13*E2)</f>
        <v>1479.1272727272726</v>
      </c>
      <c r="F7" s="11">
        <f t="shared" si="0"/>
        <v>-1713.7520661157023</v>
      </c>
      <c r="G7" s="11">
        <f>G6*EXP(-$D$13*G2)</f>
        <v>-1764.3726521412468</v>
      </c>
      <c r="J7" s="57" t="s">
        <v>83</v>
      </c>
      <c r="K7" s="9">
        <f>SUM(K3:K6)</f>
        <v>-2000</v>
      </c>
      <c r="L7" s="9">
        <f t="shared" ref="L7:P7" si="1">SUM(L3:L6)</f>
        <v>5263.6399999999994</v>
      </c>
      <c r="M7" s="9">
        <f t="shared" si="1"/>
        <v>-481.19000000000051</v>
      </c>
      <c r="N7" s="9">
        <f t="shared" si="1"/>
        <v>-1820.8499999999985</v>
      </c>
      <c r="O7" s="9">
        <f t="shared" si="1"/>
        <v>-1034.3000000000011</v>
      </c>
      <c r="P7" s="9">
        <f t="shared" si="1"/>
        <v>-507.27999999999975</v>
      </c>
      <c r="R7" s="57"/>
      <c r="S7" s="58" t="s">
        <v>4</v>
      </c>
      <c r="T7" s="59">
        <v>-2000</v>
      </c>
      <c r="U7" s="59"/>
      <c r="V7" s="59"/>
      <c r="W7" s="59"/>
      <c r="X7" s="59"/>
      <c r="Y7" s="59"/>
    </row>
    <row r="8" spans="2:25" ht="20" x14ac:dyDescent="0.2">
      <c r="C8" s="12" t="s">
        <v>12</v>
      </c>
      <c r="D8" s="13">
        <f>SUM(D7:G7)</f>
        <v>1.0025544703235028</v>
      </c>
      <c r="E8" s="8"/>
      <c r="F8" s="8"/>
      <c r="G8" s="8"/>
      <c r="J8" s="10" t="s">
        <v>11</v>
      </c>
      <c r="K8" s="11">
        <f>K7*EXP(-$D$13*K2)</f>
        <v>-2000</v>
      </c>
      <c r="L8" s="11">
        <f>L7*EXP(-$D$13*L2)</f>
        <v>4785.1272727272717</v>
      </c>
      <c r="M8" s="11">
        <f t="shared" ref="M8:P8" si="2">M7*EXP(-$D$13*M2)</f>
        <v>-397.6776859504136</v>
      </c>
      <c r="N8" s="11">
        <f t="shared" si="2"/>
        <v>-1368.0315552216364</v>
      </c>
      <c r="O8" s="11">
        <f t="shared" si="2"/>
        <v>-706.44081688409324</v>
      </c>
      <c r="P8" s="11">
        <f t="shared" si="2"/>
        <v>-314.98096876144797</v>
      </c>
      <c r="S8" s="57" t="s">
        <v>83</v>
      </c>
      <c r="T8" s="9">
        <f>SUM(T4:T7)</f>
        <v>-2000</v>
      </c>
      <c r="U8" s="9">
        <f t="shared" ref="U8" si="3">SUM(U4:U7)</f>
        <v>-16239.5</v>
      </c>
      <c r="V8" s="9">
        <f t="shared" ref="V8" si="4">SUM(V4:V7)</f>
        <v>-20617.45</v>
      </c>
      <c r="W8" s="9">
        <f t="shared" ref="W8" si="5">SUM(W4:W7)</f>
        <v>-18529.11</v>
      </c>
      <c r="X8" s="9">
        <f t="shared" ref="X8" si="6">SUM(X4:X7)</f>
        <v>-15423.29</v>
      </c>
      <c r="Y8" s="9">
        <f t="shared" ref="Y8" si="7">SUM(Y4:Y7)</f>
        <v>-12938.630000000001</v>
      </c>
    </row>
    <row r="9" spans="2:25" x14ac:dyDescent="0.2">
      <c r="C9" t="s">
        <v>12</v>
      </c>
      <c r="D9" s="9">
        <f>NPV(D12,E6:G6)+D6</f>
        <v>1.0025544703237301</v>
      </c>
      <c r="E9" s="8"/>
      <c r="F9" s="8"/>
      <c r="G9" s="8"/>
      <c r="J9" s="12" t="s">
        <v>12</v>
      </c>
      <c r="K9" s="13">
        <f>SUM(K8:P8)</f>
        <v>-2.0037540903193189</v>
      </c>
      <c r="L9" s="8"/>
      <c r="M9" s="8"/>
      <c r="N9" s="8"/>
    </row>
    <row r="10" spans="2:25" x14ac:dyDescent="0.2">
      <c r="C10" s="10" t="s">
        <v>13</v>
      </c>
      <c r="D10" s="14">
        <f>IRR(D6:G6)</f>
        <v>9.9847751102519533E-2</v>
      </c>
      <c r="E10" s="8"/>
      <c r="F10" s="8"/>
      <c r="G10" s="8"/>
      <c r="J10" t="s">
        <v>12</v>
      </c>
      <c r="K10" s="9">
        <f>NPV(K13,L7:P7)+K7</f>
        <v>-2.0037540903188074</v>
      </c>
      <c r="L10" s="8"/>
      <c r="M10" s="8"/>
      <c r="N10" s="8"/>
    </row>
    <row r="11" spans="2:25" x14ac:dyDescent="0.2">
      <c r="D11" s="9"/>
      <c r="E11" s="8"/>
      <c r="F11" s="8"/>
      <c r="G11" s="8"/>
      <c r="J11" s="10" t="s">
        <v>13</v>
      </c>
      <c r="K11" s="14">
        <f>IRR(K7:P7)</f>
        <v>0.10048896927638862</v>
      </c>
      <c r="L11" s="8"/>
      <c r="M11" s="8"/>
      <c r="N11" s="8"/>
    </row>
    <row r="12" spans="2:25" x14ac:dyDescent="0.2">
      <c r="C12" t="s">
        <v>9</v>
      </c>
      <c r="D12" s="7">
        <v>0.1</v>
      </c>
      <c r="K12" s="9"/>
      <c r="L12" s="8"/>
      <c r="M12" s="8"/>
      <c r="N12" s="8"/>
    </row>
    <row r="13" spans="2:25" x14ac:dyDescent="0.2">
      <c r="C13" t="s">
        <v>10</v>
      </c>
      <c r="D13" s="7">
        <f>LN(1+D12)</f>
        <v>9.5310179804324935E-2</v>
      </c>
      <c r="J13" t="s">
        <v>9</v>
      </c>
      <c r="K13" s="7">
        <v>0.1</v>
      </c>
    </row>
    <row r="14" spans="2:25" x14ac:dyDescent="0.2">
      <c r="J14" t="s">
        <v>10</v>
      </c>
      <c r="K14" s="7">
        <f>LN(1+K13)</f>
        <v>9.5310179804324935E-2</v>
      </c>
    </row>
    <row r="16" spans="2:25" ht="20" x14ac:dyDescent="0.2">
      <c r="I16" s="58" t="s">
        <v>84</v>
      </c>
      <c r="J16" s="58"/>
      <c r="K16" s="58">
        <v>0</v>
      </c>
      <c r="L16" s="58">
        <v>1</v>
      </c>
      <c r="M16" s="58">
        <v>2</v>
      </c>
      <c r="N16" s="58">
        <v>3</v>
      </c>
      <c r="O16" s="58">
        <v>4</v>
      </c>
      <c r="P16" s="58">
        <v>5</v>
      </c>
    </row>
    <row r="17" spans="9:16" ht="20" x14ac:dyDescent="0.2">
      <c r="I17" s="58"/>
      <c r="J17" s="58" t="s">
        <v>1</v>
      </c>
      <c r="K17" s="59">
        <f>K3-D3</f>
        <v>0</v>
      </c>
      <c r="L17" s="59">
        <f t="shared" ref="L17:N17" si="8">L3-E3</f>
        <v>7987.4</v>
      </c>
      <c r="M17" s="59">
        <f t="shared" si="8"/>
        <v>6389.92</v>
      </c>
      <c r="N17" s="59">
        <f t="shared" si="8"/>
        <v>5111.93</v>
      </c>
      <c r="O17" s="59">
        <f>O3-0</f>
        <v>9201.4699999999993</v>
      </c>
      <c r="P17" s="59">
        <f>P3-0</f>
        <v>8281.33</v>
      </c>
    </row>
    <row r="18" spans="9:16" ht="20" x14ac:dyDescent="0.2">
      <c r="I18" s="58"/>
      <c r="J18" s="58" t="s">
        <v>80</v>
      </c>
      <c r="K18" s="59"/>
      <c r="L18" s="59">
        <v>-3000</v>
      </c>
      <c r="M18" s="59">
        <v>-3000</v>
      </c>
      <c r="N18" s="59">
        <v>-3000</v>
      </c>
      <c r="O18" s="59">
        <v>-3000</v>
      </c>
      <c r="P18" s="59">
        <v>-3000</v>
      </c>
    </row>
    <row r="19" spans="9:16" ht="20" x14ac:dyDescent="0.2">
      <c r="I19" s="58"/>
      <c r="J19" s="58" t="s">
        <v>2</v>
      </c>
      <c r="K19" s="59">
        <f>K5-D4</f>
        <v>0</v>
      </c>
      <c r="L19" s="59">
        <f t="shared" ref="L19:N19" si="9">L5-E4</f>
        <v>-1350.8000000000002</v>
      </c>
      <c r="M19" s="59">
        <f t="shared" si="9"/>
        <v>-1797.4700000000012</v>
      </c>
      <c r="N19" s="59">
        <f t="shared" si="9"/>
        <v>-1584.3999999999987</v>
      </c>
      <c r="O19" s="59">
        <f>O5-0</f>
        <v>-7235.77</v>
      </c>
      <c r="P19" s="59">
        <f>P5-0</f>
        <v>-5788.61</v>
      </c>
    </row>
    <row r="20" spans="9:16" ht="20" x14ac:dyDescent="0.2">
      <c r="I20" s="58"/>
      <c r="J20" s="58" t="s">
        <v>4</v>
      </c>
      <c r="K20" s="59">
        <v>-2000</v>
      </c>
      <c r="L20" s="59"/>
      <c r="M20" s="59"/>
      <c r="N20" s="59"/>
      <c r="O20" s="59"/>
      <c r="P20" s="59"/>
    </row>
    <row r="21" spans="9:16" ht="20" x14ac:dyDescent="0.2">
      <c r="J21" s="57" t="s">
        <v>83</v>
      </c>
      <c r="K21" s="9">
        <f>SUM(K17:K20)</f>
        <v>-2000</v>
      </c>
      <c r="L21" s="9">
        <f>SUM(L17:L20)</f>
        <v>3636.5999999999995</v>
      </c>
      <c r="M21" s="9">
        <f>SUM(M17:M20)</f>
        <v>1592.4499999999989</v>
      </c>
      <c r="N21" s="9">
        <f>SUM(N17:N20)</f>
        <v>527.53000000000156</v>
      </c>
      <c r="O21" s="9">
        <f>SUM(O17:O20)</f>
        <v>-1034.3000000000011</v>
      </c>
      <c r="P21" s="9">
        <f>SUM(P17:P20)</f>
        <v>-507.27999999999975</v>
      </c>
    </row>
    <row r="22" spans="9:16" x14ac:dyDescent="0.2">
      <c r="J22" s="10" t="s">
        <v>11</v>
      </c>
      <c r="K22" s="11">
        <f>K21*EXP(-$D$13*K16)</f>
        <v>-2000</v>
      </c>
      <c r="L22" s="11">
        <f>L21*EXP(-$D$13*L16)</f>
        <v>3305.9999999999995</v>
      </c>
      <c r="M22" s="11">
        <f>M21*EXP(-$D$13*M16)</f>
        <v>1316.0743801652882</v>
      </c>
      <c r="N22" s="11">
        <f>N21*EXP(-$D$13*N16)</f>
        <v>396.34109691961038</v>
      </c>
      <c r="O22" s="11">
        <f>O21*EXP(-$D$13*O16)</f>
        <v>-706.44081688409324</v>
      </c>
      <c r="P22" s="11">
        <f>P21*EXP(-$D$13*P16)</f>
        <v>-314.98096876144797</v>
      </c>
    </row>
    <row r="23" spans="9:16" x14ac:dyDescent="0.2">
      <c r="J23" s="12" t="s">
        <v>12</v>
      </c>
      <c r="K23" s="13">
        <f>SUM(K22:P22)</f>
        <v>1996.993691439357</v>
      </c>
      <c r="L23" s="8"/>
      <c r="M23" s="8"/>
      <c r="N23" s="8"/>
    </row>
    <row r="24" spans="9:16" x14ac:dyDescent="0.2">
      <c r="J24" t="s">
        <v>12</v>
      </c>
      <c r="K24" s="9">
        <f>NPV(K27,L21:P21)+K21</f>
        <v>1996.993691439357</v>
      </c>
      <c r="L24" s="8"/>
      <c r="M24" s="8"/>
      <c r="N24" s="8"/>
    </row>
    <row r="25" spans="9:16" x14ac:dyDescent="0.2">
      <c r="J25" s="10" t="s">
        <v>13</v>
      </c>
      <c r="K25" s="14">
        <f>IRR(K21:P21)</f>
        <v>1.1781359597722583</v>
      </c>
      <c r="L25" s="8"/>
      <c r="M25" s="8"/>
      <c r="N25" s="8"/>
    </row>
    <row r="26" spans="9:16" x14ac:dyDescent="0.2">
      <c r="K26" s="9"/>
      <c r="L26" s="8"/>
      <c r="M26" s="8"/>
      <c r="N26" s="8"/>
    </row>
    <row r="27" spans="9:16" x14ac:dyDescent="0.2">
      <c r="J27" t="s">
        <v>9</v>
      </c>
      <c r="K27" s="7">
        <v>0.1</v>
      </c>
    </row>
    <row r="28" spans="9:16" x14ac:dyDescent="0.2">
      <c r="J28" t="s">
        <v>10</v>
      </c>
      <c r="K28" s="7">
        <f>LN(1+K27)</f>
        <v>9.5310179804324935E-2</v>
      </c>
    </row>
    <row r="30" spans="9:16" x14ac:dyDescent="0.2">
      <c r="J30" s="55" t="s">
        <v>15</v>
      </c>
      <c r="K30" s="55"/>
    </row>
    <row r="31" spans="9:16" x14ac:dyDescent="0.2">
      <c r="K31" s="18" t="s">
        <v>16</v>
      </c>
    </row>
    <row r="32" spans="9:16" x14ac:dyDescent="0.2">
      <c r="J32" s="19" t="s">
        <v>17</v>
      </c>
      <c r="K32" s="20">
        <f>SUM(L22:P22)</f>
        <v>3996.9936914393575</v>
      </c>
    </row>
    <row r="33" spans="10:11" x14ac:dyDescent="0.2">
      <c r="J33" s="19" t="s">
        <v>18</v>
      </c>
      <c r="K33" s="21">
        <f>-K21*EXP(K28*K34)</f>
        <v>2200</v>
      </c>
    </row>
    <row r="34" spans="10:11" x14ac:dyDescent="0.2">
      <c r="J34" s="19" t="s">
        <v>19</v>
      </c>
      <c r="K34" s="2">
        <v>1</v>
      </c>
    </row>
    <row r="35" spans="10:11" x14ac:dyDescent="0.2">
      <c r="J35" s="19" t="s">
        <v>10</v>
      </c>
      <c r="K35" s="22">
        <f>K28</f>
        <v>9.5310179804324935E-2</v>
      </c>
    </row>
    <row r="36" spans="10:11" x14ac:dyDescent="0.2">
      <c r="J36" s="19" t="s">
        <v>20</v>
      </c>
      <c r="K36" s="23">
        <v>0.08</v>
      </c>
    </row>
    <row r="37" spans="10:11" x14ac:dyDescent="0.2">
      <c r="J37" s="24" t="s">
        <v>21</v>
      </c>
      <c r="K37" s="2">
        <f>(LN(K32/K33)+(K35+K36*K36*0.5)*K34)/(K36*SQRT(K34))</f>
        <v>8.6949415105511516</v>
      </c>
    </row>
    <row r="38" spans="10:11" x14ac:dyDescent="0.2">
      <c r="J38" s="24" t="s">
        <v>22</v>
      </c>
      <c r="K38" s="2">
        <f>+K37-K36*SQRT(K34)</f>
        <v>8.6149415105511515</v>
      </c>
    </row>
    <row r="39" spans="10:11" x14ac:dyDescent="0.2">
      <c r="J39" s="25" t="s">
        <v>23</v>
      </c>
      <c r="K39" s="26">
        <f>_xlfn.NORM.DIST(K37,0,1,1)</f>
        <v>1</v>
      </c>
    </row>
    <row r="40" spans="10:11" x14ac:dyDescent="0.2">
      <c r="J40" s="25" t="s">
        <v>24</v>
      </c>
      <c r="K40" s="26">
        <f>_xlfn.NORM.DIST(K38,0,1,1)</f>
        <v>1</v>
      </c>
    </row>
    <row r="41" spans="10:11" x14ac:dyDescent="0.2">
      <c r="J41" s="25" t="s">
        <v>25</v>
      </c>
      <c r="K41" s="26">
        <f>_xlfn.NORM.DIST(-K37,0,1,1)</f>
        <v>1.7350424631671704E-18</v>
      </c>
    </row>
    <row r="42" spans="10:11" x14ac:dyDescent="0.2">
      <c r="J42" s="25" t="s">
        <v>26</v>
      </c>
      <c r="K42" s="26">
        <f>_xlfn.NORM.DIST(-K38,0,1,1)</f>
        <v>3.4988655075588203E-18</v>
      </c>
    </row>
    <row r="43" spans="10:11" x14ac:dyDescent="0.2">
      <c r="J43" s="27" t="s">
        <v>27</v>
      </c>
      <c r="K43" s="9">
        <f>+K32*K39-K33*EXP(-K35*K34)*K40</f>
        <v>1996.9936914393575</v>
      </c>
    </row>
    <row r="45" spans="10:11" x14ac:dyDescent="0.2">
      <c r="K45" t="s">
        <v>28</v>
      </c>
    </row>
    <row r="46" spans="10:11" x14ac:dyDescent="0.2">
      <c r="J46" s="29" t="s">
        <v>29</v>
      </c>
      <c r="K46" s="30">
        <f>IF(K32&gt;K33,K43,K43+K23)</f>
        <v>1996.9936914393575</v>
      </c>
    </row>
  </sheetData>
  <mergeCells count="1">
    <mergeCell ref="J30:K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CD7C-A0DB-5144-876B-456E4BA868D4}">
  <dimension ref="B2:R33"/>
  <sheetViews>
    <sheetView zoomScale="130" zoomScaleNormal="130" workbookViewId="0">
      <selection activeCell="A30" sqref="A30"/>
    </sheetView>
  </sheetViews>
  <sheetFormatPr baseColWidth="10" defaultRowHeight="16" x14ac:dyDescent="0.2"/>
  <cols>
    <col min="2" max="2" width="17" customWidth="1"/>
    <col min="11" max="11" width="15.5" customWidth="1"/>
  </cols>
  <sheetData>
    <row r="2" spans="2:18" x14ac:dyDescent="0.2">
      <c r="B2" s="2" t="s">
        <v>33</v>
      </c>
      <c r="C2" s="2">
        <v>0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K2" s="2" t="s">
        <v>44</v>
      </c>
      <c r="L2" s="2">
        <v>0</v>
      </c>
      <c r="M2" s="2">
        <v>1</v>
      </c>
      <c r="N2" s="2">
        <v>2</v>
      </c>
      <c r="O2" s="2">
        <v>3</v>
      </c>
      <c r="P2" s="2">
        <v>4</v>
      </c>
      <c r="Q2" s="2">
        <v>5</v>
      </c>
      <c r="R2" s="2">
        <v>6</v>
      </c>
    </row>
    <row r="3" spans="2:18" x14ac:dyDescent="0.2">
      <c r="B3" s="2" t="s">
        <v>18</v>
      </c>
      <c r="C3" s="4">
        <v>200</v>
      </c>
      <c r="D3" s="4"/>
      <c r="E3" s="4"/>
      <c r="F3" s="4"/>
      <c r="G3" s="4"/>
      <c r="H3" s="4"/>
      <c r="I3" s="4"/>
      <c r="K3" s="2" t="s">
        <v>18</v>
      </c>
      <c r="L3" s="4">
        <v>159.83248671651722</v>
      </c>
      <c r="M3" s="4"/>
      <c r="N3" s="4"/>
      <c r="O3" s="4"/>
      <c r="P3" s="4"/>
      <c r="Q3" s="4"/>
      <c r="R3" s="4"/>
    </row>
    <row r="4" spans="2:18" ht="17" thickBot="1" x14ac:dyDescent="0.25">
      <c r="B4" s="33" t="s">
        <v>34</v>
      </c>
      <c r="C4" s="34"/>
      <c r="D4" s="34">
        <v>100</v>
      </c>
      <c r="E4" s="34">
        <v>20</v>
      </c>
      <c r="F4" s="34">
        <v>20</v>
      </c>
      <c r="G4" s="34">
        <v>20</v>
      </c>
      <c r="H4" s="34">
        <v>20</v>
      </c>
      <c r="I4" s="34">
        <v>20</v>
      </c>
      <c r="K4" s="33" t="s">
        <v>34</v>
      </c>
      <c r="L4" s="34"/>
      <c r="M4" s="34">
        <v>100</v>
      </c>
      <c r="N4" s="34">
        <v>20</v>
      </c>
      <c r="O4" s="34">
        <v>20</v>
      </c>
      <c r="P4" s="34">
        <v>20</v>
      </c>
      <c r="Q4" s="34">
        <v>20</v>
      </c>
      <c r="R4" s="34">
        <v>20</v>
      </c>
    </row>
    <row r="5" spans="2:18" x14ac:dyDescent="0.2">
      <c r="B5" s="31" t="s">
        <v>35</v>
      </c>
      <c r="C5" s="32">
        <f>C3*EXP(-$D$10*C2)</f>
        <v>200</v>
      </c>
      <c r="D5" s="32">
        <f t="shared" ref="D5:I5" si="0">D3*EXP(-$D$10*D2)</f>
        <v>0</v>
      </c>
      <c r="E5" s="32">
        <f t="shared" si="0"/>
        <v>0</v>
      </c>
      <c r="F5" s="32">
        <f t="shared" si="0"/>
        <v>0</v>
      </c>
      <c r="G5" s="32">
        <f t="shared" si="0"/>
        <v>0</v>
      </c>
      <c r="H5" s="32">
        <f t="shared" si="0"/>
        <v>0</v>
      </c>
      <c r="I5" s="32">
        <f t="shared" si="0"/>
        <v>0</v>
      </c>
      <c r="K5" s="31" t="s">
        <v>35</v>
      </c>
      <c r="L5" s="32">
        <f>L3*EXP(-$D$10*L2)</f>
        <v>159.83248671651722</v>
      </c>
      <c r="M5" s="32">
        <f t="shared" ref="M5:R5" si="1">M3*EXP(-$D$10*M2)</f>
        <v>0</v>
      </c>
      <c r="N5" s="32">
        <f t="shared" si="1"/>
        <v>0</v>
      </c>
      <c r="O5" s="32">
        <f t="shared" si="1"/>
        <v>0</v>
      </c>
      <c r="P5" s="32">
        <f t="shared" si="1"/>
        <v>0</v>
      </c>
      <c r="Q5" s="32">
        <f t="shared" si="1"/>
        <v>0</v>
      </c>
      <c r="R5" s="32">
        <f t="shared" si="1"/>
        <v>0</v>
      </c>
    </row>
    <row r="6" spans="2:18" x14ac:dyDescent="0.2">
      <c r="B6" s="2" t="s">
        <v>36</v>
      </c>
      <c r="C6" s="4">
        <f>C4*EXP(-$D$11*C2)</f>
        <v>0</v>
      </c>
      <c r="D6" s="4">
        <f t="shared" ref="D6:I6" si="2">D4*EXP(-$D$11*D2)</f>
        <v>90.909090909090907</v>
      </c>
      <c r="E6" s="4">
        <f t="shared" si="2"/>
        <v>16.528925619834709</v>
      </c>
      <c r="F6" s="4">
        <f t="shared" si="2"/>
        <v>15.026296018031552</v>
      </c>
      <c r="G6" s="4">
        <f t="shared" si="2"/>
        <v>13.66026910730141</v>
      </c>
      <c r="H6" s="4">
        <f t="shared" si="2"/>
        <v>12.418426461183099</v>
      </c>
      <c r="I6" s="4">
        <f t="shared" si="2"/>
        <v>11.289478601075544</v>
      </c>
      <c r="K6" s="2" t="s">
        <v>36</v>
      </c>
      <c r="L6" s="4">
        <f>L4*EXP(-$D$11*L2)</f>
        <v>0</v>
      </c>
      <c r="M6" s="4">
        <f t="shared" ref="M6:R6" si="3">M4*EXP(-$D$11*M2)</f>
        <v>90.909090909090907</v>
      </c>
      <c r="N6" s="4">
        <f t="shared" si="3"/>
        <v>16.528925619834709</v>
      </c>
      <c r="O6" s="4">
        <f t="shared" si="3"/>
        <v>15.026296018031552</v>
      </c>
      <c r="P6" s="4">
        <f t="shared" si="3"/>
        <v>13.66026910730141</v>
      </c>
      <c r="Q6" s="4">
        <f t="shared" si="3"/>
        <v>12.418426461183099</v>
      </c>
      <c r="R6" s="4">
        <f t="shared" si="3"/>
        <v>11.289478601075544</v>
      </c>
    </row>
    <row r="7" spans="2:18" x14ac:dyDescent="0.2">
      <c r="B7" s="5" t="s">
        <v>12</v>
      </c>
      <c r="C7" s="35">
        <f>SUM(C6:I6)-SUM(C5:I5)</f>
        <v>-40.167513283482776</v>
      </c>
      <c r="D7" s="2"/>
      <c r="E7" s="2"/>
      <c r="F7" s="2"/>
      <c r="G7" s="2"/>
      <c r="H7" s="2"/>
      <c r="I7" s="2"/>
      <c r="K7" s="5" t="s">
        <v>12</v>
      </c>
      <c r="L7" s="35">
        <f>SUM(L6:R6)-SUM(L5:R5)</f>
        <v>0</v>
      </c>
      <c r="M7" s="2"/>
      <c r="N7" s="2"/>
      <c r="O7" s="2"/>
      <c r="P7" s="2"/>
      <c r="Q7" s="2"/>
      <c r="R7" s="2"/>
    </row>
    <row r="9" spans="2:18" x14ac:dyDescent="0.2">
      <c r="B9" s="2"/>
      <c r="C9" s="2" t="s">
        <v>37</v>
      </c>
      <c r="D9" s="2" t="s">
        <v>38</v>
      </c>
      <c r="K9" s="2"/>
      <c r="L9" s="2" t="s">
        <v>37</v>
      </c>
      <c r="M9" s="2" t="s">
        <v>38</v>
      </c>
    </row>
    <row r="10" spans="2:18" x14ac:dyDescent="0.2">
      <c r="B10" s="36" t="s">
        <v>39</v>
      </c>
      <c r="C10" s="37">
        <v>0.03</v>
      </c>
      <c r="D10" s="37">
        <f>LN(C10+1)</f>
        <v>2.9558802241544429E-2</v>
      </c>
      <c r="E10" t="s">
        <v>40</v>
      </c>
      <c r="K10" s="36" t="s">
        <v>39</v>
      </c>
      <c r="L10" s="37">
        <v>0.03</v>
      </c>
      <c r="M10" s="37">
        <f>LN(L10+1)</f>
        <v>2.9558802241544429E-2</v>
      </c>
      <c r="N10" t="s">
        <v>40</v>
      </c>
    </row>
    <row r="11" spans="2:18" x14ac:dyDescent="0.2">
      <c r="B11" s="36" t="s">
        <v>41</v>
      </c>
      <c r="C11" s="37">
        <v>0.1</v>
      </c>
      <c r="D11" s="37">
        <f>LN(C11+1)</f>
        <v>9.5310179804324935E-2</v>
      </c>
      <c r="E11" t="s">
        <v>42</v>
      </c>
      <c r="K11" s="36" t="s">
        <v>41</v>
      </c>
      <c r="L11" s="37">
        <v>0.1</v>
      </c>
      <c r="M11" s="37">
        <f>LN(L11+1)</f>
        <v>9.5310179804324935E-2</v>
      </c>
      <c r="N11" t="s">
        <v>42</v>
      </c>
    </row>
    <row r="13" spans="2:18" x14ac:dyDescent="0.2">
      <c r="B13" s="55" t="s">
        <v>15</v>
      </c>
      <c r="C13" s="55"/>
      <c r="K13" s="55" t="s">
        <v>15</v>
      </c>
      <c r="L13" s="55"/>
    </row>
    <row r="14" spans="2:18" x14ac:dyDescent="0.2">
      <c r="C14" s="18" t="s">
        <v>16</v>
      </c>
      <c r="L14" s="18" t="s">
        <v>16</v>
      </c>
    </row>
    <row r="15" spans="2:18" x14ac:dyDescent="0.2">
      <c r="B15" s="19" t="s">
        <v>17</v>
      </c>
      <c r="C15" s="20">
        <f>SUM(C6:I6)</f>
        <v>159.83248671651722</v>
      </c>
      <c r="K15" s="19" t="s">
        <v>17</v>
      </c>
      <c r="L15" s="20">
        <f>SUM(L6:R6)</f>
        <v>159.83248671651722</v>
      </c>
    </row>
    <row r="16" spans="2:18" x14ac:dyDescent="0.2">
      <c r="B16" s="19" t="s">
        <v>18</v>
      </c>
      <c r="C16" s="21">
        <f>C3</f>
        <v>200</v>
      </c>
      <c r="K16" s="19" t="s">
        <v>18</v>
      </c>
      <c r="L16" s="21">
        <f>L3</f>
        <v>159.83248671651722</v>
      </c>
    </row>
    <row r="17" spans="2:17" x14ac:dyDescent="0.2">
      <c r="B17" s="19" t="s">
        <v>19</v>
      </c>
      <c r="C17" s="2">
        <v>3</v>
      </c>
      <c r="K17" s="19" t="s">
        <v>19</v>
      </c>
      <c r="L17" s="2">
        <v>3</v>
      </c>
    </row>
    <row r="18" spans="2:17" x14ac:dyDescent="0.2">
      <c r="B18" s="19" t="s">
        <v>10</v>
      </c>
      <c r="C18" s="22">
        <f>D10</f>
        <v>2.9558802241544429E-2</v>
      </c>
      <c r="K18" s="19" t="s">
        <v>10</v>
      </c>
      <c r="L18" s="22">
        <f>M10</f>
        <v>2.9558802241544429E-2</v>
      </c>
    </row>
    <row r="19" spans="2:17" x14ac:dyDescent="0.2">
      <c r="B19" s="19" t="s">
        <v>20</v>
      </c>
      <c r="C19" s="23">
        <v>0.9</v>
      </c>
      <c r="K19" s="19" t="s">
        <v>20</v>
      </c>
      <c r="L19" s="23">
        <v>0.9</v>
      </c>
    </row>
    <row r="20" spans="2:17" x14ac:dyDescent="0.2">
      <c r="B20" s="24" t="s">
        <v>21</v>
      </c>
      <c r="C20" s="2">
        <f>(LN(C15/C16)+(C18+C19*C19*0.5)*C17)/(C19*SQRT(C17))</f>
        <v>0.69249017422201287</v>
      </c>
      <c r="K20" s="24" t="s">
        <v>21</v>
      </c>
      <c r="L20" s="2">
        <f>(LN(L15/L16)+(L18+L19*L19*0.5)*L17)/(L19*SQRT(L17))</f>
        <v>0.83630880484292347</v>
      </c>
    </row>
    <row r="21" spans="2:17" x14ac:dyDescent="0.2">
      <c r="B21" s="24" t="s">
        <v>22</v>
      </c>
      <c r="C21" s="2">
        <f>+C20-C19*SQRT(C17)</f>
        <v>-0.86635555258997665</v>
      </c>
      <c r="K21" s="24" t="s">
        <v>22</v>
      </c>
      <c r="L21" s="2">
        <f>+L20-L19*SQRT(L17)</f>
        <v>-0.72253692196906605</v>
      </c>
    </row>
    <row r="22" spans="2:17" x14ac:dyDescent="0.2">
      <c r="B22" s="25" t="s">
        <v>23</v>
      </c>
      <c r="C22" s="26">
        <f>_xlfn.NORM.DIST(C20,0,1,1)</f>
        <v>0.75568522283525019</v>
      </c>
      <c r="K22" s="25" t="s">
        <v>23</v>
      </c>
      <c r="L22" s="26">
        <f>_xlfn.NORM.DIST(L20,0,1,1)</f>
        <v>0.79850939946040322</v>
      </c>
    </row>
    <row r="23" spans="2:17" x14ac:dyDescent="0.2">
      <c r="B23" s="25" t="s">
        <v>24</v>
      </c>
      <c r="C23" s="26">
        <f>_xlfn.NORM.DIST(C21,0,1,1)</f>
        <v>0.19314760523806065</v>
      </c>
      <c r="K23" s="25" t="s">
        <v>24</v>
      </c>
      <c r="L23" s="26">
        <f>_xlfn.NORM.DIST(L21,0,1,1)</f>
        <v>0.23498221683194104</v>
      </c>
    </row>
    <row r="24" spans="2:17" x14ac:dyDescent="0.2">
      <c r="B24" s="25" t="s">
        <v>25</v>
      </c>
      <c r="C24" s="26">
        <f>_xlfn.NORM.DIST(-C20,0,1,1)</f>
        <v>0.24431477716474975</v>
      </c>
      <c r="K24" s="25" t="s">
        <v>25</v>
      </c>
      <c r="L24" s="26">
        <f>_xlfn.NORM.DIST(-L20,0,1,1)</f>
        <v>0.20149060053959675</v>
      </c>
    </row>
    <row r="25" spans="2:17" x14ac:dyDescent="0.2">
      <c r="B25" s="25" t="s">
        <v>26</v>
      </c>
      <c r="C25" s="26">
        <f>_xlfn.NORM.DIST(-C21,0,1,1)</f>
        <v>0.80685239476193937</v>
      </c>
      <c r="K25" s="25" t="s">
        <v>26</v>
      </c>
      <c r="L25" s="26">
        <f>_xlfn.NORM.DIST(-L21,0,1,1)</f>
        <v>0.76501778316805891</v>
      </c>
    </row>
    <row r="26" spans="2:17" x14ac:dyDescent="0.2">
      <c r="B26" s="27" t="s">
        <v>27</v>
      </c>
      <c r="C26" s="9">
        <f>+C15*C22-C16*EXP(-C18*C17)*C23</f>
        <v>85.431564349153916</v>
      </c>
      <c r="K26" s="27" t="s">
        <v>27</v>
      </c>
      <c r="L26" s="9">
        <f>+L15*L22-L16*EXP(-L18*L17)*L23</f>
        <v>93.257042843616858</v>
      </c>
    </row>
    <row r="28" spans="2:17" x14ac:dyDescent="0.2">
      <c r="C28" t="s">
        <v>28</v>
      </c>
      <c r="L28" t="s">
        <v>28</v>
      </c>
    </row>
    <row r="29" spans="2:17" x14ac:dyDescent="0.2">
      <c r="B29" s="29" t="s">
        <v>29</v>
      </c>
      <c r="C29" s="30">
        <f>IF(C15&gt;C16,C26,C26+C7)</f>
        <v>45.26405106567114</v>
      </c>
      <c r="K29" s="29" t="s">
        <v>29</v>
      </c>
      <c r="L29" s="30">
        <f>IF(L15&gt;L16,L26,L26+L7)</f>
        <v>93.257042843616858</v>
      </c>
    </row>
    <row r="30" spans="2:17" x14ac:dyDescent="0.2">
      <c r="C30" s="30"/>
    </row>
    <row r="31" spans="2:17" x14ac:dyDescent="0.2">
      <c r="B31" s="56" t="s">
        <v>43</v>
      </c>
      <c r="C31" s="56"/>
      <c r="D31" s="56"/>
      <c r="E31" s="56"/>
      <c r="F31" s="56"/>
      <c r="G31" s="56"/>
      <c r="K31" s="56" t="s">
        <v>45</v>
      </c>
      <c r="L31" s="56"/>
      <c r="M31" s="56"/>
      <c r="N31" s="56"/>
      <c r="O31" s="56"/>
      <c r="P31" s="56"/>
      <c r="Q31" s="56"/>
    </row>
    <row r="32" spans="2:17" x14ac:dyDescent="0.2">
      <c r="B32" s="56"/>
      <c r="C32" s="56"/>
      <c r="D32" s="56"/>
      <c r="E32" s="56"/>
      <c r="F32" s="56"/>
      <c r="G32" s="56"/>
      <c r="K32" s="56"/>
      <c r="L32" s="56"/>
      <c r="M32" s="56"/>
      <c r="N32" s="56"/>
      <c r="O32" s="56"/>
      <c r="P32" s="56"/>
      <c r="Q32" s="56"/>
    </row>
    <row r="33" spans="2:17" x14ac:dyDescent="0.2">
      <c r="B33" s="56"/>
      <c r="C33" s="56"/>
      <c r="D33" s="56"/>
      <c r="E33" s="56"/>
      <c r="F33" s="56"/>
      <c r="G33" s="56"/>
      <c r="K33" s="56"/>
      <c r="L33" s="56"/>
      <c r="M33" s="56"/>
      <c r="N33" s="56"/>
      <c r="O33" s="56"/>
      <c r="P33" s="56"/>
      <c r="Q33" s="56"/>
    </row>
  </sheetData>
  <mergeCells count="4">
    <mergeCell ref="K13:L13"/>
    <mergeCell ref="B13:C13"/>
    <mergeCell ref="B31:G33"/>
    <mergeCell ref="K31:Q3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AC2B0-C142-5642-B25F-339D87939842}">
  <dimension ref="B2:N78"/>
  <sheetViews>
    <sheetView topLeftCell="A36" zoomScale="130" zoomScaleNormal="130" workbookViewId="0">
      <selection activeCell="E48" sqref="E48"/>
    </sheetView>
  </sheetViews>
  <sheetFormatPr baseColWidth="10" defaultRowHeight="16" x14ac:dyDescent="0.2"/>
  <cols>
    <col min="2" max="2" width="18.5" customWidth="1"/>
  </cols>
  <sheetData>
    <row r="2" spans="2:14" x14ac:dyDescent="0.2">
      <c r="B2" t="s">
        <v>46</v>
      </c>
      <c r="C2" s="30">
        <f>-C3*1.2</f>
        <v>-60</v>
      </c>
    </row>
    <row r="3" spans="2:14" x14ac:dyDescent="0.2">
      <c r="B3" t="s">
        <v>47</v>
      </c>
      <c r="C3" s="41">
        <v>50</v>
      </c>
    </row>
    <row r="4" spans="2:14" x14ac:dyDescent="0.2">
      <c r="B4" s="12" t="s">
        <v>48</v>
      </c>
      <c r="C4" s="40">
        <f>SUM(C2:C3)</f>
        <v>-10</v>
      </c>
    </row>
    <row r="6" spans="2:14" x14ac:dyDescent="0.2">
      <c r="B6" s="5"/>
      <c r="C6" s="5">
        <v>0</v>
      </c>
      <c r="D6" s="5">
        <v>1</v>
      </c>
      <c r="E6" s="5">
        <v>2</v>
      </c>
      <c r="F6" s="5">
        <v>3</v>
      </c>
      <c r="G6" s="5">
        <v>4</v>
      </c>
      <c r="H6" s="5">
        <v>5</v>
      </c>
      <c r="I6" s="5">
        <v>6</v>
      </c>
      <c r="J6" s="5">
        <v>7</v>
      </c>
      <c r="K6" s="5">
        <v>8</v>
      </c>
      <c r="L6" s="5">
        <v>9</v>
      </c>
      <c r="M6" s="5">
        <v>10</v>
      </c>
      <c r="N6" s="5">
        <v>11</v>
      </c>
    </row>
    <row r="7" spans="2:14" x14ac:dyDescent="0.2">
      <c r="B7" s="5" t="s">
        <v>46</v>
      </c>
      <c r="C7" s="39">
        <v>0</v>
      </c>
      <c r="D7" s="39">
        <v>-5</v>
      </c>
      <c r="E7" s="39">
        <v>0</v>
      </c>
      <c r="F7" s="39">
        <v>0</v>
      </c>
      <c r="G7" s="39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39">
        <v>0</v>
      </c>
      <c r="N7" s="39">
        <v>0</v>
      </c>
    </row>
    <row r="8" spans="2:14" x14ac:dyDescent="0.2">
      <c r="B8" s="5" t="s">
        <v>47</v>
      </c>
      <c r="C8" s="39">
        <v>0</v>
      </c>
      <c r="D8" s="39">
        <v>0</v>
      </c>
      <c r="E8" s="39">
        <v>2</v>
      </c>
      <c r="F8" s="39">
        <v>2</v>
      </c>
      <c r="G8" s="39">
        <v>2</v>
      </c>
      <c r="H8" s="39">
        <v>2</v>
      </c>
      <c r="I8" s="39">
        <v>2</v>
      </c>
      <c r="J8" s="39">
        <v>2</v>
      </c>
      <c r="K8" s="39">
        <v>2</v>
      </c>
      <c r="L8" s="39">
        <v>2</v>
      </c>
      <c r="M8" s="39">
        <v>2</v>
      </c>
      <c r="N8" s="39">
        <v>2</v>
      </c>
    </row>
    <row r="9" spans="2:14" x14ac:dyDescent="0.2">
      <c r="B9" s="5" t="s">
        <v>51</v>
      </c>
      <c r="C9" s="39">
        <f t="shared" ref="C9:N9" si="0">C8*EXP(-$C$15*C6)</f>
        <v>0</v>
      </c>
      <c r="D9" s="39">
        <f t="shared" si="0"/>
        <v>0</v>
      </c>
      <c r="E9" s="39">
        <f t="shared" si="0"/>
        <v>1.6528925619834709</v>
      </c>
      <c r="F9" s="39">
        <f t="shared" si="0"/>
        <v>1.5026296018031551</v>
      </c>
      <c r="G9" s="39">
        <f t="shared" si="0"/>
        <v>1.366026910730141</v>
      </c>
      <c r="H9" s="39">
        <f t="shared" si="0"/>
        <v>1.2418426461183099</v>
      </c>
      <c r="I9" s="39">
        <f t="shared" si="0"/>
        <v>1.1289478601075544</v>
      </c>
      <c r="J9" s="39">
        <f t="shared" si="0"/>
        <v>1.0263162364614131</v>
      </c>
      <c r="K9" s="39">
        <f t="shared" si="0"/>
        <v>0.93301476041946629</v>
      </c>
      <c r="L9" s="39">
        <f t="shared" si="0"/>
        <v>0.84819523674496922</v>
      </c>
      <c r="M9" s="39">
        <f t="shared" si="0"/>
        <v>0.77108657885906295</v>
      </c>
      <c r="N9" s="39">
        <f t="shared" si="0"/>
        <v>0.7009877989627844</v>
      </c>
    </row>
    <row r="10" spans="2:14" x14ac:dyDescent="0.2">
      <c r="B10" s="12" t="s">
        <v>49</v>
      </c>
      <c r="C10" s="13">
        <f>D7+SUM(C9:N9)</f>
        <v>6.171940192190327</v>
      </c>
    </row>
    <row r="12" spans="2:14" x14ac:dyDescent="0.2">
      <c r="B12" s="12" t="s">
        <v>50</v>
      </c>
      <c r="C12" s="40">
        <f>C4+C10</f>
        <v>-3.828059807809673</v>
      </c>
    </row>
    <row r="13" spans="2:14" x14ac:dyDescent="0.2">
      <c r="B13" s="12"/>
      <c r="C13" s="40"/>
    </row>
    <row r="14" spans="2:14" x14ac:dyDescent="0.2">
      <c r="B14" t="s">
        <v>52</v>
      </c>
      <c r="C14" t="s">
        <v>53</v>
      </c>
    </row>
    <row r="15" spans="2:14" x14ac:dyDescent="0.2">
      <c r="B15" s="38">
        <v>0.1</v>
      </c>
      <c r="C15" s="38">
        <f>LN(1+B15)</f>
        <v>9.5310179804324935E-2</v>
      </c>
    </row>
    <row r="17" spans="2:3" x14ac:dyDescent="0.2">
      <c r="B17" t="s">
        <v>54</v>
      </c>
      <c r="C17" t="s">
        <v>55</v>
      </c>
    </row>
    <row r="18" spans="2:3" x14ac:dyDescent="0.2">
      <c r="B18" s="38">
        <v>0.06</v>
      </c>
      <c r="C18" s="38">
        <f>LN(1+B18)</f>
        <v>5.8268908123975824E-2</v>
      </c>
    </row>
    <row r="20" spans="2:3" x14ac:dyDescent="0.2">
      <c r="B20" s="55" t="s">
        <v>15</v>
      </c>
      <c r="C20" s="55"/>
    </row>
    <row r="21" spans="2:3" x14ac:dyDescent="0.2">
      <c r="C21" s="18" t="s">
        <v>16</v>
      </c>
    </row>
    <row r="22" spans="2:3" x14ac:dyDescent="0.2">
      <c r="B22" s="19" t="s">
        <v>17</v>
      </c>
      <c r="C22" s="20">
        <f>SUM(C9:N9)</f>
        <v>11.171940192190327</v>
      </c>
    </row>
    <row r="23" spans="2:3" x14ac:dyDescent="0.2">
      <c r="B23" s="19" t="s">
        <v>18</v>
      </c>
      <c r="C23" s="21">
        <f>-D7</f>
        <v>5</v>
      </c>
    </row>
    <row r="24" spans="2:3" x14ac:dyDescent="0.2">
      <c r="B24" s="19" t="s">
        <v>19</v>
      </c>
      <c r="C24" s="2">
        <v>1</v>
      </c>
    </row>
    <row r="25" spans="2:3" x14ac:dyDescent="0.2">
      <c r="B25" s="19" t="s">
        <v>10</v>
      </c>
      <c r="C25" s="22">
        <f>C18</f>
        <v>5.8268908123975824E-2</v>
      </c>
    </row>
    <row r="26" spans="2:3" x14ac:dyDescent="0.2">
      <c r="B26" s="19" t="s">
        <v>20</v>
      </c>
      <c r="C26" s="23">
        <v>0.5</v>
      </c>
    </row>
    <row r="27" spans="2:3" x14ac:dyDescent="0.2">
      <c r="B27" s="24" t="s">
        <v>21</v>
      </c>
      <c r="C27" s="2">
        <f>(LN(C22/C23)+(C25+C26*C26*0.5)*C24)/(C26*SQRT(C24))</f>
        <v>1.9744725807841075</v>
      </c>
    </row>
    <row r="28" spans="2:3" x14ac:dyDescent="0.2">
      <c r="B28" s="24" t="s">
        <v>22</v>
      </c>
      <c r="C28" s="2">
        <f>+C27-C26*SQRT(C24)</f>
        <v>1.4744725807841075</v>
      </c>
    </row>
    <row r="29" spans="2:3" x14ac:dyDescent="0.2">
      <c r="B29" s="25" t="s">
        <v>23</v>
      </c>
      <c r="C29" s="26">
        <f>_xlfn.NORM.DIST(C27,0,1,1)</f>
        <v>0.97583598389576365</v>
      </c>
    </row>
    <row r="30" spans="2:3" x14ac:dyDescent="0.2">
      <c r="B30" s="25" t="s">
        <v>24</v>
      </c>
      <c r="C30" s="26">
        <f>_xlfn.NORM.DIST(C28,0,1,1)</f>
        <v>0.92982280253377536</v>
      </c>
    </row>
    <row r="31" spans="2:3" x14ac:dyDescent="0.2">
      <c r="B31" s="25" t="s">
        <v>25</v>
      </c>
      <c r="C31" s="26">
        <f>_xlfn.NORM.DIST(-C27,0,1,1)</f>
        <v>2.4164016104236376E-2</v>
      </c>
    </row>
    <row r="32" spans="2:3" x14ac:dyDescent="0.2">
      <c r="B32" s="25" t="s">
        <v>26</v>
      </c>
      <c r="C32" s="26">
        <f>_xlfn.NORM.DIST(-C28,0,1,1)</f>
        <v>7.0177197466224694E-2</v>
      </c>
    </row>
    <row r="33" spans="2:14" x14ac:dyDescent="0.2">
      <c r="B33" s="27" t="s">
        <v>27</v>
      </c>
      <c r="C33" s="9">
        <f>+C22*C29-C23*EXP(-C25*C24)*C30</f>
        <v>6.5160246337453192</v>
      </c>
    </row>
    <row r="35" spans="2:14" x14ac:dyDescent="0.2">
      <c r="C35" t="s">
        <v>28</v>
      </c>
    </row>
    <row r="36" spans="2:14" x14ac:dyDescent="0.2">
      <c r="B36" s="29" t="s">
        <v>56</v>
      </c>
      <c r="C36" s="30">
        <f>IF(C22&gt;C23,C33,C33+C10)+C4</f>
        <v>-3.4839753662546808</v>
      </c>
    </row>
    <row r="38" spans="2:14" x14ac:dyDescent="0.2">
      <c r="B38" s="12" t="s">
        <v>57</v>
      </c>
    </row>
    <row r="39" spans="2:14" x14ac:dyDescent="0.2">
      <c r="B39" t="s">
        <v>46</v>
      </c>
      <c r="C39" s="30">
        <f>-C40*(1+D39)</f>
        <v>-56.516024633745332</v>
      </c>
      <c r="D39" s="7">
        <v>0.13032049267490659</v>
      </c>
    </row>
    <row r="40" spans="2:14" x14ac:dyDescent="0.2">
      <c r="B40" t="s">
        <v>47</v>
      </c>
      <c r="C40" s="41">
        <v>50</v>
      </c>
    </row>
    <row r="41" spans="2:14" x14ac:dyDescent="0.2">
      <c r="B41" s="12" t="s">
        <v>48</v>
      </c>
      <c r="C41" s="40">
        <f>SUM(C39:C40)</f>
        <v>-6.5160246337453316</v>
      </c>
    </row>
    <row r="43" spans="2:14" x14ac:dyDescent="0.2">
      <c r="B43" s="5"/>
      <c r="C43" s="5">
        <v>0</v>
      </c>
      <c r="D43" s="5">
        <v>1</v>
      </c>
      <c r="E43" s="5">
        <v>2</v>
      </c>
      <c r="F43" s="5">
        <v>3</v>
      </c>
      <c r="G43" s="5">
        <v>4</v>
      </c>
      <c r="H43" s="5">
        <v>5</v>
      </c>
      <c r="I43" s="5">
        <v>6</v>
      </c>
      <c r="J43" s="5">
        <v>7</v>
      </c>
      <c r="K43" s="5">
        <v>8</v>
      </c>
      <c r="L43" s="5">
        <v>9</v>
      </c>
      <c r="M43" s="5">
        <v>10</v>
      </c>
      <c r="N43" s="5">
        <v>11</v>
      </c>
    </row>
    <row r="44" spans="2:14" x14ac:dyDescent="0.2">
      <c r="B44" s="5" t="s">
        <v>46</v>
      </c>
      <c r="C44" s="39">
        <v>0</v>
      </c>
      <c r="D44" s="39">
        <v>-5</v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  <c r="J44" s="39">
        <v>0</v>
      </c>
      <c r="K44" s="39">
        <v>0</v>
      </c>
      <c r="L44" s="39">
        <v>0</v>
      </c>
      <c r="M44" s="39">
        <v>0</v>
      </c>
      <c r="N44" s="39">
        <v>0</v>
      </c>
    </row>
    <row r="45" spans="2:14" x14ac:dyDescent="0.2">
      <c r="B45" s="5" t="s">
        <v>47</v>
      </c>
      <c r="C45" s="39">
        <v>0</v>
      </c>
      <c r="D45" s="39">
        <v>0</v>
      </c>
      <c r="E45" s="39">
        <v>2</v>
      </c>
      <c r="F45" s="39">
        <v>2</v>
      </c>
      <c r="G45" s="39">
        <v>2</v>
      </c>
      <c r="H45" s="39">
        <v>2</v>
      </c>
      <c r="I45" s="39">
        <v>2</v>
      </c>
      <c r="J45" s="39">
        <v>2</v>
      </c>
      <c r="K45" s="39">
        <v>2</v>
      </c>
      <c r="L45" s="39">
        <v>2</v>
      </c>
      <c r="M45" s="39">
        <v>2</v>
      </c>
      <c r="N45" s="39">
        <v>2</v>
      </c>
    </row>
    <row r="46" spans="2:14" x14ac:dyDescent="0.2">
      <c r="B46" s="5" t="s">
        <v>51</v>
      </c>
      <c r="C46" s="39">
        <f t="shared" ref="C46:N46" si="1">C45*EXP(-$C$15*C43)</f>
        <v>0</v>
      </c>
      <c r="D46" s="39">
        <f t="shared" si="1"/>
        <v>0</v>
      </c>
      <c r="E46" s="39">
        <f t="shared" si="1"/>
        <v>1.6528925619834709</v>
      </c>
      <c r="F46" s="39">
        <f t="shared" si="1"/>
        <v>1.5026296018031551</v>
      </c>
      <c r="G46" s="39">
        <f t="shared" si="1"/>
        <v>1.366026910730141</v>
      </c>
      <c r="H46" s="39">
        <f t="shared" si="1"/>
        <v>1.2418426461183099</v>
      </c>
      <c r="I46" s="39">
        <f t="shared" si="1"/>
        <v>1.1289478601075544</v>
      </c>
      <c r="J46" s="39">
        <f t="shared" si="1"/>
        <v>1.0263162364614131</v>
      </c>
      <c r="K46" s="39">
        <f t="shared" si="1"/>
        <v>0.93301476041946629</v>
      </c>
      <c r="L46" s="39">
        <f t="shared" si="1"/>
        <v>0.84819523674496922</v>
      </c>
      <c r="M46" s="39">
        <f t="shared" si="1"/>
        <v>0.77108657885906295</v>
      </c>
      <c r="N46" s="39">
        <f t="shared" si="1"/>
        <v>0.7009877989627844</v>
      </c>
    </row>
    <row r="47" spans="2:14" x14ac:dyDescent="0.2">
      <c r="B47" s="12" t="s">
        <v>49</v>
      </c>
      <c r="C47" s="13">
        <f>D44+SUM(C46:N46)</f>
        <v>6.171940192190327</v>
      </c>
    </row>
    <row r="49" spans="2:3" x14ac:dyDescent="0.2">
      <c r="B49" s="12" t="s">
        <v>50</v>
      </c>
      <c r="C49" s="40">
        <f>C41+C47</f>
        <v>-0.34408444155500462</v>
      </c>
    </row>
    <row r="50" spans="2:3" x14ac:dyDescent="0.2">
      <c r="B50" s="12"/>
      <c r="C50" s="40"/>
    </row>
    <row r="51" spans="2:3" x14ac:dyDescent="0.2">
      <c r="B51" t="s">
        <v>52</v>
      </c>
      <c r="C51" t="s">
        <v>53</v>
      </c>
    </row>
    <row r="52" spans="2:3" x14ac:dyDescent="0.2">
      <c r="B52" s="50">
        <v>0.1</v>
      </c>
      <c r="C52" s="50">
        <f>LN(1+B52)</f>
        <v>9.5310179804324935E-2</v>
      </c>
    </row>
    <row r="54" spans="2:3" x14ac:dyDescent="0.2">
      <c r="B54" t="s">
        <v>54</v>
      </c>
      <c r="C54" t="s">
        <v>55</v>
      </c>
    </row>
    <row r="55" spans="2:3" x14ac:dyDescent="0.2">
      <c r="B55" s="50">
        <v>0.06</v>
      </c>
      <c r="C55" s="50">
        <f>LN(1+B55)</f>
        <v>5.8268908123975824E-2</v>
      </c>
    </row>
    <row r="57" spans="2:3" x14ac:dyDescent="0.2">
      <c r="B57" s="55" t="s">
        <v>15</v>
      </c>
      <c r="C57" s="55"/>
    </row>
    <row r="58" spans="2:3" x14ac:dyDescent="0.2">
      <c r="C58" s="18" t="s">
        <v>16</v>
      </c>
    </row>
    <row r="59" spans="2:3" x14ac:dyDescent="0.2">
      <c r="B59" s="19" t="s">
        <v>17</v>
      </c>
      <c r="C59" s="20">
        <f>SUM(C46:N46)</f>
        <v>11.171940192190327</v>
      </c>
    </row>
    <row r="60" spans="2:3" x14ac:dyDescent="0.2">
      <c r="B60" s="19" t="s">
        <v>18</v>
      </c>
      <c r="C60" s="21">
        <f>-D44</f>
        <v>5</v>
      </c>
    </row>
    <row r="61" spans="2:3" x14ac:dyDescent="0.2">
      <c r="B61" s="19" t="s">
        <v>19</v>
      </c>
      <c r="C61" s="2">
        <v>1</v>
      </c>
    </row>
    <row r="62" spans="2:3" x14ac:dyDescent="0.2">
      <c r="B62" s="19" t="s">
        <v>10</v>
      </c>
      <c r="C62" s="22">
        <f>C55</f>
        <v>5.8268908123975824E-2</v>
      </c>
    </row>
    <row r="63" spans="2:3" x14ac:dyDescent="0.2">
      <c r="B63" s="19" t="s">
        <v>20</v>
      </c>
      <c r="C63" s="23">
        <v>0.5</v>
      </c>
    </row>
    <row r="64" spans="2:3" x14ac:dyDescent="0.2">
      <c r="B64" s="24" t="s">
        <v>21</v>
      </c>
      <c r="C64" s="2">
        <f>(LN(C59/C60)+(C62+C63*C63*0.5)*C61)/(C63*SQRT(C61))</f>
        <v>1.9744725807841075</v>
      </c>
    </row>
    <row r="65" spans="2:6" x14ac:dyDescent="0.2">
      <c r="B65" s="24" t="s">
        <v>22</v>
      </c>
      <c r="C65" s="2">
        <f>+C64-C63*SQRT(C61)</f>
        <v>1.4744725807841075</v>
      </c>
    </row>
    <row r="66" spans="2:6" x14ac:dyDescent="0.2">
      <c r="B66" s="25" t="s">
        <v>23</v>
      </c>
      <c r="C66" s="26">
        <f>_xlfn.NORM.DIST(C64,0,1,1)</f>
        <v>0.97583598389576365</v>
      </c>
    </row>
    <row r="67" spans="2:6" x14ac:dyDescent="0.2">
      <c r="B67" s="25" t="s">
        <v>24</v>
      </c>
      <c r="C67" s="26">
        <f>_xlfn.NORM.DIST(C65,0,1,1)</f>
        <v>0.92982280253377536</v>
      </c>
    </row>
    <row r="68" spans="2:6" x14ac:dyDescent="0.2">
      <c r="B68" s="25" t="s">
        <v>25</v>
      </c>
      <c r="C68" s="26">
        <f>_xlfn.NORM.DIST(-C64,0,1,1)</f>
        <v>2.4164016104236376E-2</v>
      </c>
    </row>
    <row r="69" spans="2:6" x14ac:dyDescent="0.2">
      <c r="B69" s="25" t="s">
        <v>26</v>
      </c>
      <c r="C69" s="26">
        <f>_xlfn.NORM.DIST(-C65,0,1,1)</f>
        <v>7.0177197466224694E-2</v>
      </c>
    </row>
    <row r="70" spans="2:6" x14ac:dyDescent="0.2">
      <c r="B70" s="27" t="s">
        <v>27</v>
      </c>
      <c r="C70" s="9">
        <f>+C59*C66-C60*EXP(-C62*C61)*C67</f>
        <v>6.5160246337453192</v>
      </c>
    </row>
    <row r="72" spans="2:6" x14ac:dyDescent="0.2">
      <c r="C72" t="s">
        <v>28</v>
      </c>
    </row>
    <row r="73" spans="2:6" x14ac:dyDescent="0.2">
      <c r="B73" s="29" t="s">
        <v>56</v>
      </c>
      <c r="C73" s="30">
        <f>IF(C59&gt;C60,C70,C70+C47)+C41</f>
        <v>-1.2434497875801753E-14</v>
      </c>
    </row>
    <row r="75" spans="2:6" x14ac:dyDescent="0.2">
      <c r="B75" s="56" t="s">
        <v>58</v>
      </c>
      <c r="C75" s="56"/>
      <c r="D75" s="56"/>
      <c r="E75" s="56"/>
      <c r="F75" s="56"/>
    </row>
    <row r="76" spans="2:6" x14ac:dyDescent="0.2">
      <c r="B76" s="56"/>
      <c r="C76" s="56"/>
      <c r="D76" s="56"/>
      <c r="E76" s="56"/>
      <c r="F76" s="56"/>
    </row>
    <row r="77" spans="2:6" x14ac:dyDescent="0.2">
      <c r="B77" s="56"/>
      <c r="C77" s="56"/>
      <c r="D77" s="56"/>
      <c r="E77" s="56"/>
      <c r="F77" s="56"/>
    </row>
    <row r="78" spans="2:6" x14ac:dyDescent="0.2">
      <c r="B78" s="56"/>
      <c r="C78" s="56"/>
      <c r="D78" s="56"/>
      <c r="E78" s="56"/>
      <c r="F78" s="56"/>
    </row>
  </sheetData>
  <mergeCells count="3">
    <mergeCell ref="B20:C20"/>
    <mergeCell ref="B57:C57"/>
    <mergeCell ref="B75:F7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12D15-CE92-7F41-8BD6-40076DBC0DEC}">
  <dimension ref="B2:E20"/>
  <sheetViews>
    <sheetView zoomScale="130" zoomScaleNormal="130" workbookViewId="0">
      <selection activeCell="F20" sqref="F20"/>
    </sheetView>
  </sheetViews>
  <sheetFormatPr baseColWidth="10" defaultRowHeight="16" x14ac:dyDescent="0.2"/>
  <cols>
    <col min="2" max="2" width="17.1640625" bestFit="1" customWidth="1"/>
    <col min="3" max="4" width="19.33203125" bestFit="1" customWidth="1"/>
    <col min="9" max="9" width="12" bestFit="1" customWidth="1"/>
  </cols>
  <sheetData>
    <row r="2" spans="2:5" x14ac:dyDescent="0.2">
      <c r="B2" s="42" t="s">
        <v>59</v>
      </c>
      <c r="C2" s="43"/>
      <c r="D2" s="43"/>
    </row>
    <row r="3" spans="2:5" x14ac:dyDescent="0.2">
      <c r="B3" s="44"/>
      <c r="C3" s="49" t="s">
        <v>71</v>
      </c>
      <c r="D3" s="49" t="s">
        <v>72</v>
      </c>
    </row>
    <row r="4" spans="2:5" x14ac:dyDescent="0.2">
      <c r="B4" s="19" t="s">
        <v>69</v>
      </c>
      <c r="C4" s="4">
        <f>5.7-1.2</f>
        <v>4.5</v>
      </c>
      <c r="D4" s="4">
        <f>+C5</f>
        <v>4.2</v>
      </c>
      <c r="E4" s="19" t="s">
        <v>67</v>
      </c>
    </row>
    <row r="5" spans="2:5" x14ac:dyDescent="0.2">
      <c r="B5" s="19" t="s">
        <v>70</v>
      </c>
      <c r="C5" s="21">
        <f>5.4-1.2</f>
        <v>4.2</v>
      </c>
      <c r="D5" s="21">
        <f>+C4</f>
        <v>4.5</v>
      </c>
      <c r="E5" s="19" t="s">
        <v>68</v>
      </c>
    </row>
    <row r="6" spans="2:5" x14ac:dyDescent="0.2">
      <c r="B6" s="19" t="s">
        <v>19</v>
      </c>
      <c r="C6" s="2">
        <v>2</v>
      </c>
      <c r="D6" s="2">
        <f>+C6</f>
        <v>2</v>
      </c>
    </row>
    <row r="7" spans="2:5" x14ac:dyDescent="0.2">
      <c r="B7" s="19" t="s">
        <v>60</v>
      </c>
      <c r="C7" s="46">
        <v>0.03</v>
      </c>
      <c r="D7" s="46">
        <f>+C8</f>
        <v>0.03</v>
      </c>
    </row>
    <row r="8" spans="2:5" x14ac:dyDescent="0.2">
      <c r="B8" s="19" t="s">
        <v>61</v>
      </c>
      <c r="C8" s="23">
        <v>0.03</v>
      </c>
      <c r="D8" s="23">
        <f>+C7</f>
        <v>0.03</v>
      </c>
    </row>
    <row r="9" spans="2:5" x14ac:dyDescent="0.2">
      <c r="B9" s="45" t="s">
        <v>62</v>
      </c>
      <c r="C9" s="46">
        <v>0.25</v>
      </c>
      <c r="D9" s="46">
        <f>+C10</f>
        <v>0.15</v>
      </c>
    </row>
    <row r="10" spans="2:5" x14ac:dyDescent="0.2">
      <c r="B10" s="45" t="s">
        <v>63</v>
      </c>
      <c r="C10" s="46">
        <v>0.15</v>
      </c>
      <c r="D10" s="46">
        <f>+C9</f>
        <v>0.25</v>
      </c>
    </row>
    <row r="11" spans="2:5" x14ac:dyDescent="0.2">
      <c r="B11" s="45" t="s">
        <v>64</v>
      </c>
      <c r="C11" s="26">
        <v>0.5</v>
      </c>
      <c r="D11" s="26">
        <f>C11</f>
        <v>0.5</v>
      </c>
    </row>
    <row r="12" spans="2:5" x14ac:dyDescent="0.2">
      <c r="B12" s="45" t="s">
        <v>65</v>
      </c>
      <c r="C12" s="26">
        <f>SQRT(C9^2 + C10^2 -2*C11*C10*C9)</f>
        <v>0.21794494717703367</v>
      </c>
      <c r="D12" s="26">
        <f>SQRT(D9^2 + D10^2 -2*D11*D10*D9)</f>
        <v>0.21794494717703367</v>
      </c>
    </row>
    <row r="13" spans="2:5" x14ac:dyDescent="0.2">
      <c r="B13" s="47" t="s">
        <v>21</v>
      </c>
      <c r="C13" s="26">
        <f>(LN(C4/C5)+(C7-C8+(C12^2)/2)*C6)/(C12*SQRT(C6))</f>
        <v>0.37795278328433091</v>
      </c>
      <c r="D13" s="26">
        <f>(LN(D4/D5)+(D7-D8+(D12^2)/2)*D6)/(D12*SQRT(D6))</f>
        <v>-6.9732083135882167E-2</v>
      </c>
    </row>
    <row r="14" spans="2:5" x14ac:dyDescent="0.2">
      <c r="B14" s="47" t="s">
        <v>22</v>
      </c>
      <c r="C14" s="26">
        <f>C13-C12*SQRT(C6)</f>
        <v>6.9732083135882084E-2</v>
      </c>
      <c r="D14" s="26">
        <f>D13-D12*SQRT(D6)</f>
        <v>-0.37795278328433102</v>
      </c>
    </row>
    <row r="15" spans="2:5" x14ac:dyDescent="0.2">
      <c r="B15" s="47" t="s">
        <v>23</v>
      </c>
      <c r="C15" s="20">
        <f>NORMSDIST(C13)</f>
        <v>0.647267164899749</v>
      </c>
      <c r="D15" s="20">
        <f>NORMSDIST(D13)</f>
        <v>0.47220345263901947</v>
      </c>
    </row>
    <row r="16" spans="2:5" x14ac:dyDescent="0.2">
      <c r="B16" s="47" t="s">
        <v>24</v>
      </c>
      <c r="C16" s="21">
        <f>NORMSDIST(C14)</f>
        <v>0.52779654736098047</v>
      </c>
      <c r="D16" s="21">
        <f>NORMSDIST(D14)</f>
        <v>0.35273283510025089</v>
      </c>
    </row>
    <row r="17" spans="2:4" x14ac:dyDescent="0.2">
      <c r="B17" s="27" t="s">
        <v>27</v>
      </c>
      <c r="C17" s="28">
        <f>C4*C15*EXP(-C7*C6)-C5*C16*EXP(-C8*C6)</f>
        <v>0.65542737759122938</v>
      </c>
      <c r="D17" s="28">
        <f>D4*D15*EXP(-D7*D6)-D5*D16*EXP(-D8*D6)</f>
        <v>0.37289801751595508</v>
      </c>
    </row>
    <row r="20" spans="2:4" x14ac:dyDescent="0.2">
      <c r="B20" s="48" t="s">
        <v>66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68C5-701B-454F-80FC-572F1FDF9AE6}">
  <dimension ref="B2:F20"/>
  <sheetViews>
    <sheetView zoomScale="130" zoomScaleNormal="130" workbookViewId="0">
      <selection activeCell="D9" sqref="D9"/>
    </sheetView>
  </sheetViews>
  <sheetFormatPr baseColWidth="10" defaultRowHeight="16" x14ac:dyDescent="0.2"/>
  <cols>
    <col min="1" max="1" width="3.6640625" customWidth="1"/>
    <col min="2" max="2" width="11.5" bestFit="1" customWidth="1"/>
    <col min="4" max="4" width="17.1640625" bestFit="1" customWidth="1"/>
    <col min="9" max="9" width="14.5" bestFit="1" customWidth="1"/>
  </cols>
  <sheetData>
    <row r="2" spans="2:6" x14ac:dyDescent="0.2">
      <c r="C2" s="51" t="s">
        <v>73</v>
      </c>
      <c r="D2" s="53">
        <f>+EXP(D3)-1</f>
        <v>5.1271096376024117E-2</v>
      </c>
    </row>
    <row r="3" spans="2:6" x14ac:dyDescent="0.2">
      <c r="C3" t="s">
        <v>74</v>
      </c>
      <c r="D3" s="7">
        <v>0.05</v>
      </c>
    </row>
    <row r="5" spans="2:6" x14ac:dyDescent="0.2">
      <c r="D5" s="18" t="s">
        <v>16</v>
      </c>
    </row>
    <row r="6" spans="2:6" x14ac:dyDescent="0.2">
      <c r="C6" s="19" t="s">
        <v>17</v>
      </c>
      <c r="D6" s="20">
        <f>100000*5</f>
        <v>500000</v>
      </c>
      <c r="E6" s="20"/>
    </row>
    <row r="7" spans="2:6" x14ac:dyDescent="0.2">
      <c r="B7" s="30">
        <v>50000</v>
      </c>
      <c r="C7" s="19" t="s">
        <v>18</v>
      </c>
      <c r="D7" s="3">
        <f>-FV(D2,D8,B7)</f>
        <v>632638.38356642821</v>
      </c>
      <c r="E7" s="21"/>
    </row>
    <row r="8" spans="2:6" x14ac:dyDescent="0.2">
      <c r="C8" s="19" t="s">
        <v>19</v>
      </c>
      <c r="D8" s="52">
        <v>10</v>
      </c>
      <c r="E8" s="2"/>
    </row>
    <row r="9" spans="2:6" x14ac:dyDescent="0.2">
      <c r="C9" s="19" t="s">
        <v>75</v>
      </c>
      <c r="D9" s="22">
        <f>-F9</f>
        <v>-0.2</v>
      </c>
      <c r="E9" s="22"/>
      <c r="F9" s="7">
        <v>0.2</v>
      </c>
    </row>
    <row r="10" spans="2:6" x14ac:dyDescent="0.2">
      <c r="C10" s="19" t="s">
        <v>20</v>
      </c>
      <c r="D10" s="23">
        <v>0.4</v>
      </c>
      <c r="E10" s="23"/>
    </row>
    <row r="11" spans="2:6" x14ac:dyDescent="0.2">
      <c r="C11" s="24" t="s">
        <v>21</v>
      </c>
      <c r="D11" s="2">
        <f>(LN(D6/D7)+(D9+D10*D10*0.5)*D8)/(D10*SQRT(D8))</f>
        <v>-1.1346970765525051</v>
      </c>
      <c r="E11" s="2"/>
    </row>
    <row r="12" spans="2:6" x14ac:dyDescent="0.2">
      <c r="C12" s="24" t="s">
        <v>22</v>
      </c>
      <c r="D12" s="54">
        <f>+D11-D10*SQRT(D8)</f>
        <v>-2.3996081406198568</v>
      </c>
      <c r="E12" s="2"/>
    </row>
    <row r="13" spans="2:6" x14ac:dyDescent="0.2">
      <c r="C13" s="25" t="s">
        <v>23</v>
      </c>
      <c r="D13" s="26">
        <f>_xlfn.NORM.DIST(D11,0,1,1)</f>
        <v>0.12825113132368771</v>
      </c>
      <c r="E13" s="26"/>
    </row>
    <row r="14" spans="2:6" x14ac:dyDescent="0.2">
      <c r="C14" s="25" t="s">
        <v>24</v>
      </c>
      <c r="D14" s="26">
        <f>_xlfn.NORM.DIST(D12,0,1,1)</f>
        <v>8.206315558942797E-3</v>
      </c>
      <c r="E14" s="26"/>
    </row>
    <row r="15" spans="2:6" x14ac:dyDescent="0.2">
      <c r="C15" s="25" t="s">
        <v>25</v>
      </c>
      <c r="D15" s="26">
        <f>_xlfn.NORM.DIST(-D11,0,1,1)</f>
        <v>0.87174886867631229</v>
      </c>
      <c r="E15" s="26"/>
    </row>
    <row r="16" spans="2:6" x14ac:dyDescent="0.2">
      <c r="C16" s="25" t="s">
        <v>26</v>
      </c>
      <c r="D16" s="26">
        <f>_xlfn.NORM.DIST(-D12,0,1,1)</f>
        <v>0.9917936844410572</v>
      </c>
      <c r="E16" s="26"/>
    </row>
    <row r="17" spans="3:5" x14ac:dyDescent="0.2">
      <c r="C17" s="27" t="s">
        <v>27</v>
      </c>
      <c r="D17" s="30">
        <f>+D6*D13-D7*EXP(-D9*D8)*D14</f>
        <v>25764.318793435974</v>
      </c>
      <c r="E17" s="28"/>
    </row>
    <row r="19" spans="3:5" x14ac:dyDescent="0.2">
      <c r="C19" t="s">
        <v>76</v>
      </c>
      <c r="D19" s="9">
        <f>D6*D13</f>
        <v>64125.565661843852</v>
      </c>
    </row>
    <row r="20" spans="3:5" x14ac:dyDescent="0.2">
      <c r="D20" s="9">
        <f>+D19-D17</f>
        <v>38361.246868407878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1)</vt:lpstr>
      <vt:lpstr>EXAMEN 1</vt:lpstr>
      <vt:lpstr>2)</vt:lpstr>
      <vt:lpstr>3)</vt:lpstr>
      <vt:lpstr>4)</vt:lpstr>
      <vt:lpstr>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Lozoya Morales</dc:creator>
  <cp:lastModifiedBy>Diego Lozoya Morales</cp:lastModifiedBy>
  <dcterms:created xsi:type="dcterms:W3CDTF">2025-11-25T15:29:23Z</dcterms:created>
  <dcterms:modified xsi:type="dcterms:W3CDTF">2025-11-29T03:00:22Z</dcterms:modified>
</cp:coreProperties>
</file>