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lozoya/Documents/ITESO/Semestre 7/Finanzas Cuantitativas/"/>
    </mc:Choice>
  </mc:AlternateContent>
  <xr:revisionPtr revIDLastSave="0" documentId="13_ncr:1_{278F2AE3-1AD5-6240-A315-72339959A606}" xr6:coauthVersionLast="47" xr6:coauthVersionMax="47" xr10:uidLastSave="{00000000-0000-0000-0000-000000000000}"/>
  <bookViews>
    <workbookView xWindow="0" yWindow="740" windowWidth="29400" windowHeight="18380" activeTab="1" xr2:uid="{42C8BECF-2AB5-8642-910C-3DE4A57277B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23" i="1"/>
  <c r="N12" i="2"/>
  <c r="F59" i="1"/>
  <c r="F62" i="1"/>
  <c r="N5" i="2"/>
  <c r="M12" i="2"/>
  <c r="M5" i="2"/>
  <c r="Q22" i="3"/>
  <c r="X6" i="3"/>
  <c r="X7" i="3"/>
  <c r="X8" i="3"/>
  <c r="X9" i="3"/>
  <c r="X10" i="3"/>
  <c r="X11" i="3"/>
  <c r="X12" i="3"/>
  <c r="X13" i="3"/>
  <c r="X14" i="3"/>
  <c r="X5" i="3"/>
  <c r="Q20" i="3"/>
  <c r="Q18" i="3"/>
  <c r="Q16" i="3"/>
  <c r="W6" i="3"/>
  <c r="W7" i="3"/>
  <c r="W8" i="3"/>
  <c r="W9" i="3"/>
  <c r="W10" i="3"/>
  <c r="W11" i="3"/>
  <c r="W12" i="3"/>
  <c r="W13" i="3"/>
  <c r="W14" i="3"/>
  <c r="W5" i="3"/>
  <c r="V6" i="3"/>
  <c r="V7" i="3"/>
  <c r="V8" i="3"/>
  <c r="V9" i="3"/>
  <c r="V10" i="3"/>
  <c r="V11" i="3"/>
  <c r="V12" i="3"/>
  <c r="V13" i="3"/>
  <c r="V14" i="3"/>
  <c r="V5" i="3"/>
  <c r="U13" i="3"/>
  <c r="U6" i="3"/>
  <c r="U7" i="3"/>
  <c r="U8" i="3"/>
  <c r="U9" i="3"/>
  <c r="U10" i="3"/>
  <c r="U11" i="3"/>
  <c r="U12" i="3"/>
  <c r="U14" i="3"/>
  <c r="U5" i="3"/>
  <c r="K5" i="3"/>
  <c r="R5" i="3" s="1"/>
  <c r="L5" i="3"/>
  <c r="M5" i="3"/>
  <c r="N5" i="3"/>
  <c r="O5" i="3"/>
  <c r="P5" i="3"/>
  <c r="K6" i="3"/>
  <c r="R6" i="3" s="1"/>
  <c r="L6" i="3"/>
  <c r="M6" i="3"/>
  <c r="N6" i="3"/>
  <c r="O6" i="3"/>
  <c r="P6" i="3"/>
  <c r="K7" i="3"/>
  <c r="R7" i="3" s="1"/>
  <c r="L7" i="3"/>
  <c r="M7" i="3"/>
  <c r="N7" i="3"/>
  <c r="O7" i="3"/>
  <c r="P7" i="3"/>
  <c r="K8" i="3"/>
  <c r="R8" i="3" s="1"/>
  <c r="L8" i="3"/>
  <c r="M8" i="3"/>
  <c r="N8" i="3"/>
  <c r="O8" i="3"/>
  <c r="P8" i="3"/>
  <c r="K9" i="3"/>
  <c r="R9" i="3" s="1"/>
  <c r="L9" i="3"/>
  <c r="M9" i="3"/>
  <c r="N9" i="3"/>
  <c r="O9" i="3"/>
  <c r="P9" i="3"/>
  <c r="K10" i="3"/>
  <c r="S10" i="3" s="1"/>
  <c r="L10" i="3"/>
  <c r="M10" i="3"/>
  <c r="N10" i="3"/>
  <c r="O10" i="3"/>
  <c r="P10" i="3"/>
  <c r="K11" i="3"/>
  <c r="R11" i="3" s="1"/>
  <c r="L11" i="3"/>
  <c r="M11" i="3"/>
  <c r="N11" i="3"/>
  <c r="O11" i="3"/>
  <c r="P11" i="3"/>
  <c r="K12" i="3"/>
  <c r="R12" i="3" s="1"/>
  <c r="L12" i="3"/>
  <c r="M12" i="3"/>
  <c r="N12" i="3"/>
  <c r="O12" i="3"/>
  <c r="P12" i="3"/>
  <c r="K13" i="3"/>
  <c r="R13" i="3" s="1"/>
  <c r="L13" i="3"/>
  <c r="M13" i="3"/>
  <c r="N13" i="3"/>
  <c r="O13" i="3"/>
  <c r="P13" i="3"/>
  <c r="K14" i="3"/>
  <c r="S14" i="3" s="1"/>
  <c r="L14" i="3"/>
  <c r="M14" i="3"/>
  <c r="N14" i="3"/>
  <c r="O14" i="3"/>
  <c r="P14" i="3"/>
  <c r="M3" i="3"/>
  <c r="S3" i="3" s="1"/>
  <c r="N3" i="3"/>
  <c r="O3" i="3"/>
  <c r="P3" i="3"/>
  <c r="L3" i="3"/>
  <c r="K3" i="3"/>
  <c r="M13" i="2"/>
  <c r="N13" i="2"/>
  <c r="O13" i="2"/>
  <c r="O5" i="2" s="1"/>
  <c r="F3" i="2" s="1"/>
  <c r="P13" i="2"/>
  <c r="Q13" i="2"/>
  <c r="L13" i="2"/>
  <c r="L12" i="2"/>
  <c r="L5" i="2" s="1"/>
  <c r="C3" i="2" s="1"/>
  <c r="D3" i="2"/>
  <c r="E3" i="2"/>
  <c r="O12" i="2"/>
  <c r="P12" i="2"/>
  <c r="Q12" i="2"/>
  <c r="C10" i="2"/>
  <c r="H6" i="2"/>
  <c r="G6" i="2"/>
  <c r="F6" i="2"/>
  <c r="E6" i="2"/>
  <c r="D6" i="2"/>
  <c r="J89" i="1"/>
  <c r="J91" i="1" s="1"/>
  <c r="M88" i="1"/>
  <c r="C98" i="1"/>
  <c r="F96" i="1"/>
  <c r="F88" i="1"/>
  <c r="C89" i="1"/>
  <c r="C91" i="1" s="1"/>
  <c r="C62" i="1"/>
  <c r="C61" i="1"/>
  <c r="C22" i="1"/>
  <c r="E20" i="1"/>
  <c r="E23" i="1" s="1"/>
  <c r="E18" i="1"/>
  <c r="F18" i="1"/>
  <c r="G18" i="1"/>
  <c r="H18" i="1"/>
  <c r="D18" i="1"/>
  <c r="D17" i="1"/>
  <c r="E17" i="1"/>
  <c r="F17" i="1"/>
  <c r="G17" i="1"/>
  <c r="G20" i="1" s="1"/>
  <c r="G23" i="1" s="1"/>
  <c r="H17" i="1"/>
  <c r="C17" i="1"/>
  <c r="D16" i="1"/>
  <c r="D20" i="1" s="1"/>
  <c r="D23" i="1" s="1"/>
  <c r="E16" i="1"/>
  <c r="F16" i="1"/>
  <c r="F20" i="1" s="1"/>
  <c r="F23" i="1" s="1"/>
  <c r="G16" i="1"/>
  <c r="H16" i="1"/>
  <c r="H20" i="1" s="1"/>
  <c r="H23" i="1" s="1"/>
  <c r="C16" i="1"/>
  <c r="C20" i="1" s="1"/>
  <c r="S12" i="3" l="1"/>
  <c r="S9" i="3"/>
  <c r="S6" i="3"/>
  <c r="R14" i="3"/>
  <c r="R10" i="3"/>
  <c r="S13" i="3"/>
  <c r="S7" i="3"/>
  <c r="S11" i="3"/>
  <c r="S8" i="3"/>
  <c r="S5" i="3"/>
  <c r="E4" i="2"/>
  <c r="E5" i="2"/>
  <c r="D4" i="2"/>
  <c r="D8" i="2" s="1"/>
  <c r="D11" i="2" s="1"/>
  <c r="D5" i="2"/>
  <c r="C4" i="2"/>
  <c r="C5" i="2"/>
  <c r="C24" i="1"/>
  <c r="F25" i="1"/>
  <c r="C25" i="1"/>
  <c r="F5" i="2"/>
  <c r="F4" i="2"/>
  <c r="R3" i="3"/>
  <c r="D35" i="1"/>
  <c r="E35" i="1"/>
  <c r="Q5" i="2"/>
  <c r="H3" i="2" s="1"/>
  <c r="H5" i="2" s="1"/>
  <c r="P5" i="2"/>
  <c r="G3" i="2" s="1"/>
  <c r="F8" i="2"/>
  <c r="F11" i="2" s="1"/>
  <c r="G4" i="2" l="1"/>
  <c r="G5" i="2"/>
  <c r="C8" i="2"/>
  <c r="H4" i="2"/>
  <c r="H8" i="2" s="1"/>
  <c r="H11" i="2" s="1"/>
  <c r="E8" i="2"/>
  <c r="E11" i="2" s="1"/>
  <c r="C12" i="2" l="1"/>
  <c r="G8" i="2"/>
  <c r="G11" i="2" s="1"/>
  <c r="C13" i="2" l="1"/>
  <c r="F13" i="2"/>
</calcChain>
</file>

<file path=xl/sharedStrings.xml><?xml version="1.0" encoding="utf-8"?>
<sst xmlns="http://schemas.openxmlformats.org/spreadsheetml/2006/main" count="99" uniqueCount="55">
  <si>
    <t>Year</t>
  </si>
  <si>
    <t>Units</t>
  </si>
  <si>
    <t>Revenue</t>
  </si>
  <si>
    <t>Cost</t>
  </si>
  <si>
    <t>Fix cost</t>
  </si>
  <si>
    <t>Cash flow</t>
  </si>
  <si>
    <t>Investment</t>
  </si>
  <si>
    <t>r =</t>
  </si>
  <si>
    <t>PV =</t>
  </si>
  <si>
    <t>NPV =</t>
  </si>
  <si>
    <t>NPV excel =</t>
  </si>
  <si>
    <t>TIR =</t>
  </si>
  <si>
    <t>…</t>
  </si>
  <si>
    <t>Interest</t>
  </si>
  <si>
    <t>Capital</t>
  </si>
  <si>
    <t>S =</t>
  </si>
  <si>
    <t>C0 =</t>
  </si>
  <si>
    <t xml:space="preserve">G = </t>
  </si>
  <si>
    <t>Valor presente de los dividendos llevados a futuro</t>
  </si>
  <si>
    <t>ret =</t>
  </si>
  <si>
    <t>A = L + E</t>
  </si>
  <si>
    <t>E = S*Q</t>
  </si>
  <si>
    <t>A = L + S*Q</t>
  </si>
  <si>
    <t>A =</t>
  </si>
  <si>
    <t>L =</t>
  </si>
  <si>
    <t>E =</t>
  </si>
  <si>
    <t>S = (A-L)/Q</t>
  </si>
  <si>
    <t>Q =</t>
  </si>
  <si>
    <t>A*Factor = L + E</t>
  </si>
  <si>
    <t xml:space="preserve">Factor =  </t>
  </si>
  <si>
    <t>S0=</t>
  </si>
  <si>
    <t>A*Factor = L + S0*Q</t>
  </si>
  <si>
    <t>Factor = (L + S0*Q)/A</t>
  </si>
  <si>
    <t>Factor =</t>
  </si>
  <si>
    <t>S = (A*Factor - L)/Q</t>
  </si>
  <si>
    <t xml:space="preserve">S =  </t>
  </si>
  <si>
    <t>Factor de mercado</t>
  </si>
  <si>
    <t>si quiebra en 1 año</t>
  </si>
  <si>
    <t>Asumiendo crecimiento de activos 5X en un año</t>
  </si>
  <si>
    <t>INTEL</t>
  </si>
  <si>
    <t>E[Units]</t>
  </si>
  <si>
    <t>U</t>
  </si>
  <si>
    <t>P(U)</t>
  </si>
  <si>
    <t>D</t>
  </si>
  <si>
    <t>P(D)</t>
  </si>
  <si>
    <t>Esc U</t>
  </si>
  <si>
    <t>Esc D</t>
  </si>
  <si>
    <t>NPV</t>
  </si>
  <si>
    <t>Flow</t>
  </si>
  <si>
    <t>TIR</t>
  </si>
  <si>
    <t>rf</t>
  </si>
  <si>
    <t>x&gt;rf</t>
  </si>
  <si>
    <t>x&gt;35%</t>
  </si>
  <si>
    <t>x&gt;2M</t>
  </si>
  <si>
    <t>10%&gt;x&gt;20%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</si>
</sst>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495E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8FBC8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4" fontId="0" fillId="0" borderId="1" xfId="2" applyFont="1" applyBorder="1"/>
    <xf numFmtId="44" fontId="0" fillId="0" borderId="0" xfId="2" applyFont="1"/>
    <xf numFmtId="0" fontId="0" fillId="2" borderId="1" xfId="0" applyFill="1" applyBorder="1" applyAlignment="1">
      <alignment horizontal="center"/>
    </xf>
    <xf numFmtId="44" fontId="0" fillId="0" borderId="0" xfId="2" applyFont="1" applyBorder="1"/>
    <xf numFmtId="44" fontId="0" fillId="0" borderId="0" xfId="0" applyNumberFormat="1"/>
    <xf numFmtId="44" fontId="0" fillId="0" borderId="1" xfId="0" applyNumberFormat="1" applyBorder="1"/>
    <xf numFmtId="9" fontId="0" fillId="0" borderId="0" xfId="3" applyFont="1"/>
    <xf numFmtId="10" fontId="0" fillId="0" borderId="0" xfId="0" applyNumberFormat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10" fontId="0" fillId="0" borderId="0" xfId="3" applyNumberFormat="1" applyFont="1"/>
    <xf numFmtId="164" fontId="0" fillId="0" borderId="0" xfId="1" applyNumberFormat="1" applyFont="1"/>
    <xf numFmtId="43" fontId="0" fillId="0" borderId="0" xfId="0" applyNumberFormat="1"/>
    <xf numFmtId="0" fontId="0" fillId="0" borderId="2" xfId="0" applyBorder="1"/>
    <xf numFmtId="164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9" xfId="2" applyFont="1" applyBorder="1"/>
    <xf numFmtId="0" fontId="0" fillId="0" borderId="9" xfId="0" applyBorder="1"/>
    <xf numFmtId="43" fontId="0" fillId="0" borderId="9" xfId="0" applyNumberFormat="1" applyBorder="1"/>
    <xf numFmtId="0" fontId="0" fillId="0" borderId="10" xfId="0" applyBorder="1"/>
    <xf numFmtId="10" fontId="0" fillId="0" borderId="11" xfId="3" applyNumberFormat="1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43" fontId="0" fillId="0" borderId="0" xfId="1" applyFont="1" applyFill="1" applyBorder="1" applyAlignment="1">
      <alignment horizontal="center"/>
    </xf>
    <xf numFmtId="0" fontId="0" fillId="4" borderId="0" xfId="0" applyFill="1"/>
    <xf numFmtId="9" fontId="0" fillId="4" borderId="0" xfId="3" applyFont="1" applyFill="1"/>
    <xf numFmtId="43" fontId="0" fillId="0" borderId="1" xfId="1" applyFont="1" applyBorder="1"/>
    <xf numFmtId="0" fontId="0" fillId="5" borderId="1" xfId="0" applyFill="1" applyBorder="1" applyAlignment="1">
      <alignment horizontal="left"/>
    </xf>
    <xf numFmtId="43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43" fontId="0" fillId="5" borderId="1" xfId="1" applyFont="1" applyFill="1" applyBorder="1"/>
    <xf numFmtId="0" fontId="0" fillId="6" borderId="0" xfId="0" applyFill="1"/>
    <xf numFmtId="0" fontId="0" fillId="3" borderId="0" xfId="0" applyFill="1"/>
    <xf numFmtId="44" fontId="0" fillId="3" borderId="0" xfId="2" applyFont="1" applyFill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6495ED"/>
      <color rgb="FF8FBC8F"/>
      <color rgb="FFCD5C5C"/>
      <color rgb="FF1E9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972942</xdr:colOff>
      <xdr:row>12</xdr:row>
      <xdr:rowOff>136769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36DB41-18CE-8163-F4F0-7921EC24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12250" cy="2598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5</xdr:col>
      <xdr:colOff>908538</xdr:colOff>
      <xdr:row>31</xdr:row>
      <xdr:rowOff>149220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5C5C3-D7C0-E3ED-5584-88F23A08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34001"/>
          <a:ext cx="5812692" cy="1174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205153</xdr:rowOff>
    </xdr:from>
    <xdr:to>
      <xdr:col>6</xdr:col>
      <xdr:colOff>743180</xdr:colOff>
      <xdr:row>56</xdr:row>
      <xdr:rowOff>68385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B67D24-A9E2-DBEB-8CF8-990CBEFA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85538"/>
          <a:ext cx="6712180" cy="41714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6</xdr:col>
      <xdr:colOff>560148</xdr:colOff>
      <xdr:row>79</xdr:row>
      <xdr:rowOff>29308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442428-BACF-A30A-4362-3A1364E2C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924692"/>
          <a:ext cx="6529148" cy="3321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9769</xdr:colOff>
      <xdr:row>15</xdr:row>
      <xdr:rowOff>9769</xdr:rowOff>
    </xdr:from>
    <xdr:to>
      <xdr:col>16</xdr:col>
      <xdr:colOff>221062</xdr:colOff>
      <xdr:row>22</xdr:row>
      <xdr:rowOff>68384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39786A-B748-33C1-416B-35AC8AF48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0307" y="3087077"/>
          <a:ext cx="6434293" cy="1494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E607-28FF-DE49-A32D-F961284571F9}">
  <dimension ref="B2:N99"/>
  <sheetViews>
    <sheetView topLeftCell="A3" zoomScale="130" zoomScaleNormal="130" workbookViewId="0">
      <selection activeCell="C24" sqref="C24"/>
    </sheetView>
  </sheetViews>
  <sheetFormatPr baseColWidth="10" defaultRowHeight="16" x14ac:dyDescent="0.2"/>
  <cols>
    <col min="3" max="3" width="14.6640625" bestFit="1" customWidth="1"/>
    <col min="4" max="7" width="14" bestFit="1" customWidth="1"/>
    <col min="8" max="8" width="12.5" bestFit="1" customWidth="1"/>
    <col min="10" max="13" width="11.5" bestFit="1" customWidth="1"/>
    <col min="14" max="14" width="11" bestFit="1" customWidth="1"/>
  </cols>
  <sheetData>
    <row r="2" spans="2:14" x14ac:dyDescent="0.2">
      <c r="H2" s="3" t="s">
        <v>0</v>
      </c>
      <c r="I2" s="3">
        <v>0</v>
      </c>
      <c r="J2" s="3">
        <v>1</v>
      </c>
      <c r="K2" s="3">
        <v>2</v>
      </c>
      <c r="L2" s="3">
        <v>3</v>
      </c>
      <c r="M2" s="3">
        <v>4</v>
      </c>
      <c r="N2" s="3">
        <v>5</v>
      </c>
    </row>
    <row r="3" spans="2:14" x14ac:dyDescent="0.2">
      <c r="H3" s="3" t="s">
        <v>1</v>
      </c>
      <c r="I3" s="3">
        <v>0</v>
      </c>
      <c r="J3" s="4">
        <v>200000</v>
      </c>
      <c r="K3" s="4">
        <v>250000</v>
      </c>
      <c r="L3" s="4">
        <v>300000</v>
      </c>
      <c r="M3" s="4">
        <v>250000</v>
      </c>
      <c r="N3" s="4">
        <v>50000</v>
      </c>
    </row>
    <row r="14" spans="2:14" x14ac:dyDescent="0.2">
      <c r="B14" s="7" t="s">
        <v>0</v>
      </c>
      <c r="C14" s="7">
        <v>0</v>
      </c>
      <c r="D14" s="7">
        <v>1</v>
      </c>
      <c r="E14" s="7">
        <v>2</v>
      </c>
      <c r="F14" s="7">
        <v>3</v>
      </c>
      <c r="G14" s="7">
        <v>4</v>
      </c>
      <c r="H14" s="7">
        <v>5</v>
      </c>
    </row>
    <row r="15" spans="2:14" x14ac:dyDescent="0.2">
      <c r="B15" s="13" t="s">
        <v>1</v>
      </c>
      <c r="C15" s="14">
        <v>0</v>
      </c>
      <c r="D15" s="15">
        <v>200000</v>
      </c>
      <c r="E15" s="15">
        <v>250000</v>
      </c>
      <c r="F15" s="15">
        <v>300000</v>
      </c>
      <c r="G15" s="15">
        <v>250000</v>
      </c>
      <c r="H15" s="15">
        <v>50000</v>
      </c>
    </row>
    <row r="16" spans="2:14" x14ac:dyDescent="0.2">
      <c r="B16" s="2" t="s">
        <v>2</v>
      </c>
      <c r="C16" s="5">
        <f>C15*5</f>
        <v>0</v>
      </c>
      <c r="D16" s="5">
        <f t="shared" ref="D16:H16" si="0">D15*5</f>
        <v>1000000</v>
      </c>
      <c r="E16" s="5">
        <f t="shared" si="0"/>
        <v>1250000</v>
      </c>
      <c r="F16" s="5">
        <f t="shared" si="0"/>
        <v>1500000</v>
      </c>
      <c r="G16" s="5">
        <f t="shared" si="0"/>
        <v>1250000</v>
      </c>
      <c r="H16" s="5">
        <f t="shared" si="0"/>
        <v>250000</v>
      </c>
    </row>
    <row r="17" spans="2:8" x14ac:dyDescent="0.2">
      <c r="B17" s="2" t="s">
        <v>3</v>
      </c>
      <c r="C17" s="5">
        <f>-C15*0.8</f>
        <v>0</v>
      </c>
      <c r="D17" s="5">
        <f t="shared" ref="D17:H17" si="1">-D15*0.8</f>
        <v>-160000</v>
      </c>
      <c r="E17" s="5">
        <f t="shared" si="1"/>
        <v>-200000</v>
      </c>
      <c r="F17" s="5">
        <f t="shared" si="1"/>
        <v>-240000</v>
      </c>
      <c r="G17" s="5">
        <f t="shared" si="1"/>
        <v>-200000</v>
      </c>
      <c r="H17" s="5">
        <f t="shared" si="1"/>
        <v>-40000</v>
      </c>
    </row>
    <row r="18" spans="2:8" x14ac:dyDescent="0.2">
      <c r="B18" s="2" t="s">
        <v>4</v>
      </c>
      <c r="C18" s="5">
        <v>0</v>
      </c>
      <c r="D18" s="5">
        <f>-40000</f>
        <v>-40000</v>
      </c>
      <c r="E18" s="5">
        <f t="shared" ref="E18:H18" si="2">-40000</f>
        <v>-40000</v>
      </c>
      <c r="F18" s="5">
        <f t="shared" si="2"/>
        <v>-40000</v>
      </c>
      <c r="G18" s="5">
        <f t="shared" si="2"/>
        <v>-40000</v>
      </c>
      <c r="H18" s="5">
        <f t="shared" si="2"/>
        <v>-40000</v>
      </c>
    </row>
    <row r="19" spans="2:8" x14ac:dyDescent="0.2">
      <c r="B19" s="2" t="s">
        <v>6</v>
      </c>
      <c r="C19" s="5">
        <v>-1800000</v>
      </c>
      <c r="D19" s="5"/>
      <c r="E19" s="5"/>
      <c r="F19" s="5"/>
      <c r="G19" s="5"/>
      <c r="H19" s="5"/>
    </row>
    <row r="20" spans="2:8" x14ac:dyDescent="0.2">
      <c r="B20" s="2" t="s">
        <v>5</v>
      </c>
      <c r="C20" s="10">
        <f>SUM(C16:C19)</f>
        <v>-1800000</v>
      </c>
      <c r="D20" s="10">
        <f t="shared" ref="D20:H20" si="3">SUM(D16:D19)</f>
        <v>800000</v>
      </c>
      <c r="E20" s="10">
        <f t="shared" si="3"/>
        <v>1010000</v>
      </c>
      <c r="F20" s="10">
        <f t="shared" si="3"/>
        <v>1220000</v>
      </c>
      <c r="G20" s="10">
        <f t="shared" si="3"/>
        <v>1010000</v>
      </c>
      <c r="H20" s="10">
        <f t="shared" si="3"/>
        <v>170000</v>
      </c>
    </row>
    <row r="22" spans="2:8" x14ac:dyDescent="0.2">
      <c r="B22" t="s">
        <v>7</v>
      </c>
      <c r="C22" s="11">
        <f>0.03</f>
        <v>0.03</v>
      </c>
    </row>
    <row r="23" spans="2:8" x14ac:dyDescent="0.2">
      <c r="B23" t="s">
        <v>8</v>
      </c>
      <c r="C23" s="9">
        <f>C20/(1+$C$22)^C14</f>
        <v>-1800000</v>
      </c>
      <c r="D23" s="9">
        <f t="shared" ref="D23:H23" si="4">D20/(1+$C$22)^D14</f>
        <v>776699.02912621351</v>
      </c>
      <c r="E23" s="9">
        <f t="shared" si="4"/>
        <v>952021.86822509195</v>
      </c>
      <c r="F23" s="9">
        <f t="shared" si="4"/>
        <v>1116472.8244108546</v>
      </c>
      <c r="G23" s="9">
        <f t="shared" si="4"/>
        <v>897371.91839484591</v>
      </c>
      <c r="H23" s="9">
        <f t="shared" si="4"/>
        <v>146643.49334530788</v>
      </c>
    </row>
    <row r="24" spans="2:8" x14ac:dyDescent="0.2">
      <c r="B24" t="s">
        <v>9</v>
      </c>
      <c r="C24" s="9">
        <f>SUM(C23:H23)</f>
        <v>2089209.1335023139</v>
      </c>
    </row>
    <row r="25" spans="2:8" x14ac:dyDescent="0.2">
      <c r="B25" t="s">
        <v>10</v>
      </c>
      <c r="C25" s="9">
        <f>NPV(C22,D20:H20)+C20</f>
        <v>2089209.1335023143</v>
      </c>
      <c r="E25" t="s">
        <v>11</v>
      </c>
      <c r="F25" s="12">
        <f>IRR(C20:H20)</f>
        <v>0.40883869216331581</v>
      </c>
    </row>
    <row r="33" spans="2:7" x14ac:dyDescent="0.2">
      <c r="B33" s="7" t="s">
        <v>0</v>
      </c>
      <c r="C33" s="7">
        <v>0</v>
      </c>
      <c r="D33" s="7">
        <v>1</v>
      </c>
      <c r="E33" s="7">
        <v>2</v>
      </c>
      <c r="F33" s="7" t="s">
        <v>12</v>
      </c>
      <c r="G33" s="7">
        <v>10</v>
      </c>
    </row>
    <row r="34" spans="2:7" x14ac:dyDescent="0.2">
      <c r="B34" s="2" t="s">
        <v>14</v>
      </c>
      <c r="C34" s="5">
        <v>2000000</v>
      </c>
      <c r="D34" s="5">
        <v>2000000</v>
      </c>
      <c r="E34" s="5">
        <v>2000000</v>
      </c>
      <c r="F34" s="5"/>
      <c r="G34" s="5"/>
    </row>
    <row r="35" spans="2:7" x14ac:dyDescent="0.2">
      <c r="B35" s="2" t="s">
        <v>13</v>
      </c>
      <c r="C35" s="5"/>
      <c r="D35" s="5">
        <f>C34*C22</f>
        <v>60000</v>
      </c>
      <c r="E35" s="5">
        <f>D34*$C$22</f>
        <v>60000</v>
      </c>
      <c r="F35" s="5"/>
      <c r="G35" s="5"/>
    </row>
    <row r="59" spans="2:6" x14ac:dyDescent="0.2">
      <c r="B59" t="s">
        <v>15</v>
      </c>
      <c r="C59">
        <v>15</v>
      </c>
      <c r="E59" t="s">
        <v>8</v>
      </c>
      <c r="F59">
        <f>C60*(1+C61)/(C62-C61)</f>
        <v>20.200000000000003</v>
      </c>
    </row>
    <row r="60" spans="2:6" x14ac:dyDescent="0.2">
      <c r="B60" t="s">
        <v>16</v>
      </c>
      <c r="C60">
        <v>0.4</v>
      </c>
      <c r="E60" t="s">
        <v>18</v>
      </c>
    </row>
    <row r="61" spans="2:6" x14ac:dyDescent="0.2">
      <c r="B61" t="s">
        <v>17</v>
      </c>
      <c r="C61" s="11">
        <f>0.01</f>
        <v>0.01</v>
      </c>
    </row>
    <row r="62" spans="2:6" x14ac:dyDescent="0.2">
      <c r="B62" t="s">
        <v>7</v>
      </c>
      <c r="C62" s="11">
        <f>0.03</f>
        <v>0.03</v>
      </c>
      <c r="E62" t="s">
        <v>19</v>
      </c>
      <c r="F62" s="16">
        <f>F59/C59-1</f>
        <v>0.3466666666666669</v>
      </c>
    </row>
    <row r="79" spans="9:13" ht="17" thickBot="1" x14ac:dyDescent="0.25"/>
    <row r="80" spans="9:13" x14ac:dyDescent="0.2">
      <c r="I80" s="43" t="s">
        <v>39</v>
      </c>
      <c r="J80" s="44"/>
      <c r="K80" s="44"/>
      <c r="L80" s="44"/>
      <c r="M80" s="45"/>
    </row>
    <row r="81" spans="2:13" x14ac:dyDescent="0.2">
      <c r="B81" t="s">
        <v>20</v>
      </c>
      <c r="D81" t="s">
        <v>21</v>
      </c>
      <c r="I81" s="21" t="s">
        <v>20</v>
      </c>
      <c r="J81" s="19"/>
      <c r="K81" s="19" t="s">
        <v>21</v>
      </c>
      <c r="L81" s="19"/>
      <c r="M81" s="22"/>
    </row>
    <row r="82" spans="2:13" x14ac:dyDescent="0.2">
      <c r="B82" t="s">
        <v>22</v>
      </c>
      <c r="E82" t="s">
        <v>30</v>
      </c>
      <c r="F82">
        <v>222.29</v>
      </c>
      <c r="I82" s="23" t="s">
        <v>22</v>
      </c>
      <c r="L82" t="s">
        <v>30</v>
      </c>
      <c r="M82" s="24">
        <v>23.5</v>
      </c>
    </row>
    <row r="83" spans="2:13" x14ac:dyDescent="0.2">
      <c r="B83" t="s">
        <v>26</v>
      </c>
      <c r="I83" s="23" t="s">
        <v>26</v>
      </c>
      <c r="M83" s="25"/>
    </row>
    <row r="84" spans="2:13" x14ac:dyDescent="0.2">
      <c r="I84" s="23"/>
      <c r="M84" s="25"/>
    </row>
    <row r="85" spans="2:13" x14ac:dyDescent="0.2">
      <c r="B85" t="s">
        <v>23</v>
      </c>
      <c r="C85" s="1">
        <v>682170000</v>
      </c>
      <c r="E85" t="s">
        <v>28</v>
      </c>
      <c r="I85" s="23" t="s">
        <v>23</v>
      </c>
      <c r="J85" s="1">
        <v>192520000</v>
      </c>
      <c r="L85" t="s">
        <v>28</v>
      </c>
      <c r="M85" s="25"/>
    </row>
    <row r="86" spans="2:13" x14ac:dyDescent="0.2">
      <c r="B86" t="s">
        <v>24</v>
      </c>
      <c r="C86" s="1">
        <v>348395000</v>
      </c>
      <c r="E86" t="s">
        <v>31</v>
      </c>
      <c r="I86" s="23" t="s">
        <v>24</v>
      </c>
      <c r="J86" s="1">
        <v>86769000</v>
      </c>
      <c r="L86" t="s">
        <v>31</v>
      </c>
      <c r="M86" s="25"/>
    </row>
    <row r="87" spans="2:13" x14ac:dyDescent="0.2">
      <c r="B87" t="s">
        <v>25</v>
      </c>
      <c r="C87" s="1">
        <v>333775000</v>
      </c>
      <c r="E87" t="s">
        <v>32</v>
      </c>
      <c r="I87" s="23" t="s">
        <v>25</v>
      </c>
      <c r="J87" s="1">
        <v>105751000</v>
      </c>
      <c r="L87" t="s">
        <v>32</v>
      </c>
      <c r="M87" s="25"/>
    </row>
    <row r="88" spans="2:13" x14ac:dyDescent="0.2">
      <c r="B88" t="s">
        <v>27</v>
      </c>
      <c r="C88" s="17">
        <v>11175000</v>
      </c>
      <c r="E88" t="s">
        <v>29</v>
      </c>
      <c r="F88" s="18">
        <f>(C86+F82*C88)/C85</f>
        <v>4.152169913657886</v>
      </c>
      <c r="I88" s="23" t="s">
        <v>27</v>
      </c>
      <c r="J88" s="20">
        <v>4377000</v>
      </c>
      <c r="L88" t="s">
        <v>29</v>
      </c>
      <c r="M88" s="26">
        <f>(J86+M82*J88)/J85</f>
        <v>0.98498078121753585</v>
      </c>
    </row>
    <row r="89" spans="2:13" x14ac:dyDescent="0.2">
      <c r="B89" t="s">
        <v>15</v>
      </c>
      <c r="C89" s="6">
        <f>(C85-C86)/C88</f>
        <v>29.86800894854586</v>
      </c>
      <c r="E89" t="s">
        <v>36</v>
      </c>
      <c r="I89" s="23" t="s">
        <v>15</v>
      </c>
      <c r="J89" s="8">
        <f>(J85-J86)/J88</f>
        <v>24.160612291523876</v>
      </c>
      <c r="L89" t="s">
        <v>36</v>
      </c>
      <c r="M89" s="25"/>
    </row>
    <row r="90" spans="2:13" x14ac:dyDescent="0.2">
      <c r="I90" s="23"/>
      <c r="M90" s="25"/>
    </row>
    <row r="91" spans="2:13" ht="17" thickBot="1" x14ac:dyDescent="0.25">
      <c r="B91" t="s">
        <v>19</v>
      </c>
      <c r="C91" s="16">
        <f>C89/F82-1</f>
        <v>-0.86563494107451588</v>
      </c>
      <c r="D91" t="s">
        <v>37</v>
      </c>
      <c r="I91" s="27" t="s">
        <v>19</v>
      </c>
      <c r="J91" s="28">
        <f>J89/M82-1</f>
        <v>2.8111161341441537E-2</v>
      </c>
      <c r="K91" s="29" t="s">
        <v>37</v>
      </c>
      <c r="L91" s="29"/>
      <c r="M91" s="30"/>
    </row>
    <row r="93" spans="2:13" x14ac:dyDescent="0.2">
      <c r="B93" t="s">
        <v>33</v>
      </c>
      <c r="C93">
        <v>5</v>
      </c>
      <c r="E93" t="s">
        <v>28</v>
      </c>
    </row>
    <row r="94" spans="2:13" x14ac:dyDescent="0.2">
      <c r="E94" t="s">
        <v>31</v>
      </c>
    </row>
    <row r="95" spans="2:13" x14ac:dyDescent="0.2">
      <c r="E95" t="s">
        <v>34</v>
      </c>
    </row>
    <row r="96" spans="2:13" x14ac:dyDescent="0.2">
      <c r="E96" t="s">
        <v>35</v>
      </c>
      <c r="F96" s="18">
        <f>(C85*C93-C86)/C88</f>
        <v>274.04519015659957</v>
      </c>
      <c r="M96" s="18"/>
    </row>
    <row r="98" spans="2:10" x14ac:dyDescent="0.2">
      <c r="B98" t="s">
        <v>19</v>
      </c>
      <c r="C98" s="16">
        <f>F96/F82-1</f>
        <v>0.23282734336497191</v>
      </c>
      <c r="J98" s="16"/>
    </row>
    <row r="99" spans="2:10" x14ac:dyDescent="0.2">
      <c r="B99" t="s">
        <v>38</v>
      </c>
    </row>
  </sheetData>
  <mergeCells count="1">
    <mergeCell ref="I80:M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B472-78BA-7F40-B8F7-4BE941D9F7FF}">
  <dimension ref="B2:Q13"/>
  <sheetViews>
    <sheetView tabSelected="1" zoomScale="130" zoomScaleNormal="130" workbookViewId="0">
      <selection activeCell="C12" sqref="C12"/>
    </sheetView>
  </sheetViews>
  <sheetFormatPr baseColWidth="10" defaultRowHeight="16" x14ac:dyDescent="0.2"/>
  <cols>
    <col min="1" max="1" width="2.6640625" customWidth="1"/>
    <col min="2" max="2" width="10.5" bestFit="1" customWidth="1"/>
    <col min="3" max="3" width="14.6640625" bestFit="1" customWidth="1"/>
    <col min="4" max="7" width="14" bestFit="1" customWidth="1"/>
    <col min="8" max="8" width="12.5" bestFit="1" customWidth="1"/>
    <col min="9" max="9" width="5.6640625" customWidth="1"/>
    <col min="10" max="10" width="5.33203125" customWidth="1"/>
    <col min="11" max="11" width="7.33203125" bestFit="1" customWidth="1"/>
    <col min="12" max="12" width="4.6640625" customWidth="1"/>
    <col min="13" max="16" width="11.5" bestFit="1" customWidth="1"/>
    <col min="17" max="17" width="10.5" bestFit="1" customWidth="1"/>
  </cols>
  <sheetData>
    <row r="2" spans="2:17" x14ac:dyDescent="0.2">
      <c r="B2" s="7" t="s">
        <v>0</v>
      </c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31"/>
      <c r="K2" s="7" t="s">
        <v>0</v>
      </c>
      <c r="L2" s="7">
        <v>0</v>
      </c>
      <c r="M2" s="7">
        <v>1</v>
      </c>
      <c r="N2" s="7">
        <v>2</v>
      </c>
      <c r="O2" s="7">
        <v>3</v>
      </c>
      <c r="P2" s="7">
        <v>4</v>
      </c>
      <c r="Q2" s="7">
        <v>5</v>
      </c>
    </row>
    <row r="3" spans="2:17" x14ac:dyDescent="0.2">
      <c r="B3" s="36" t="s">
        <v>1</v>
      </c>
      <c r="C3" s="37">
        <f>L5</f>
        <v>0</v>
      </c>
      <c r="D3" s="37">
        <f t="shared" ref="D3:H3" si="0">M5</f>
        <v>184000</v>
      </c>
      <c r="E3" s="37">
        <f t="shared" si="0"/>
        <v>230000</v>
      </c>
      <c r="F3" s="37">
        <f t="shared" si="0"/>
        <v>276000</v>
      </c>
      <c r="G3" s="37">
        <f t="shared" si="0"/>
        <v>230000</v>
      </c>
      <c r="H3" s="37">
        <f t="shared" si="0"/>
        <v>46000</v>
      </c>
      <c r="I3" s="32"/>
      <c r="K3" s="13" t="s">
        <v>1</v>
      </c>
      <c r="L3" s="14">
        <v>0</v>
      </c>
      <c r="M3" s="15">
        <v>200000</v>
      </c>
      <c r="N3" s="15">
        <v>250000</v>
      </c>
      <c r="O3" s="15">
        <v>300000</v>
      </c>
      <c r="P3" s="15">
        <v>250000</v>
      </c>
      <c r="Q3" s="15">
        <v>50000</v>
      </c>
    </row>
    <row r="4" spans="2:17" x14ac:dyDescent="0.2">
      <c r="B4" s="2" t="s">
        <v>2</v>
      </c>
      <c r="C4" s="5">
        <f>C3*5</f>
        <v>0</v>
      </c>
      <c r="D4" s="5">
        <f t="shared" ref="D4:H4" si="1">D3*5</f>
        <v>920000</v>
      </c>
      <c r="E4" s="5">
        <f t="shared" si="1"/>
        <v>1150000</v>
      </c>
      <c r="F4" s="5">
        <f t="shared" si="1"/>
        <v>1380000</v>
      </c>
      <c r="G4" s="5">
        <f t="shared" si="1"/>
        <v>1150000</v>
      </c>
      <c r="H4" s="5">
        <f t="shared" si="1"/>
        <v>230000</v>
      </c>
      <c r="I4" s="8"/>
    </row>
    <row r="5" spans="2:17" x14ac:dyDescent="0.2">
      <c r="B5" s="2" t="s">
        <v>3</v>
      </c>
      <c r="C5" s="5">
        <f>-C3*0.8</f>
        <v>0</v>
      </c>
      <c r="D5" s="5">
        <f t="shared" ref="D5:H5" si="2">-D3*0.8</f>
        <v>-147200</v>
      </c>
      <c r="E5" s="5">
        <f t="shared" si="2"/>
        <v>-184000</v>
      </c>
      <c r="F5" s="5">
        <f t="shared" si="2"/>
        <v>-220800</v>
      </c>
      <c r="G5" s="5">
        <f t="shared" si="2"/>
        <v>-184000</v>
      </c>
      <c r="H5" s="5">
        <f t="shared" si="2"/>
        <v>-36800</v>
      </c>
      <c r="I5" s="8"/>
      <c r="K5" s="38" t="s">
        <v>40</v>
      </c>
      <c r="L5" s="39">
        <f>L12*$K$8+L13*$K$10</f>
        <v>0</v>
      </c>
      <c r="M5" s="39">
        <f>M12*$K$8+M13*$K$10</f>
        <v>184000</v>
      </c>
      <c r="N5" s="39">
        <f>N12*$K$8+N13*$K$10</f>
        <v>230000</v>
      </c>
      <c r="O5" s="39">
        <f t="shared" ref="N5:Q5" si="3">O12*$K$8+O13*$K$10</f>
        <v>276000</v>
      </c>
      <c r="P5" s="39">
        <f t="shared" si="3"/>
        <v>230000</v>
      </c>
      <c r="Q5" s="39">
        <f t="shared" si="3"/>
        <v>46000</v>
      </c>
    </row>
    <row r="6" spans="2:17" x14ac:dyDescent="0.2">
      <c r="B6" s="2" t="s">
        <v>4</v>
      </c>
      <c r="C6" s="5">
        <v>0</v>
      </c>
      <c r="D6" s="5">
        <f>-40000</f>
        <v>-40000</v>
      </c>
      <c r="E6" s="5">
        <f t="shared" ref="E6:H6" si="4">-40000</f>
        <v>-40000</v>
      </c>
      <c r="F6" s="5">
        <f t="shared" si="4"/>
        <v>-40000</v>
      </c>
      <c r="G6" s="5">
        <f t="shared" si="4"/>
        <v>-40000</v>
      </c>
      <c r="H6" s="5">
        <f t="shared" si="4"/>
        <v>-40000</v>
      </c>
      <c r="I6" s="8"/>
    </row>
    <row r="7" spans="2:17" x14ac:dyDescent="0.2">
      <c r="B7" s="2" t="s">
        <v>6</v>
      </c>
      <c r="C7" s="5">
        <v>-1800000</v>
      </c>
      <c r="D7" s="5"/>
      <c r="E7" s="5"/>
      <c r="F7" s="5"/>
      <c r="G7" s="5"/>
      <c r="H7" s="5"/>
      <c r="I7" s="8"/>
      <c r="J7" t="s">
        <v>41</v>
      </c>
      <c r="K7" s="11">
        <v>1.1000000000000001</v>
      </c>
    </row>
    <row r="8" spans="2:17" x14ac:dyDescent="0.2">
      <c r="B8" s="2" t="s">
        <v>5</v>
      </c>
      <c r="C8" s="10">
        <f>SUM(C4:C7)</f>
        <v>-1800000</v>
      </c>
      <c r="D8" s="10">
        <f t="shared" ref="D8:H8" si="5">SUM(D4:D7)</f>
        <v>732800</v>
      </c>
      <c r="E8" s="10">
        <f t="shared" si="5"/>
        <v>926000</v>
      </c>
      <c r="F8" s="10">
        <f t="shared" si="5"/>
        <v>1119200</v>
      </c>
      <c r="G8" s="10">
        <f t="shared" si="5"/>
        <v>926000</v>
      </c>
      <c r="H8" s="10">
        <f t="shared" si="5"/>
        <v>153200</v>
      </c>
      <c r="I8" s="9"/>
      <c r="J8" s="33" t="s">
        <v>42</v>
      </c>
      <c r="K8" s="34">
        <v>0.7</v>
      </c>
    </row>
    <row r="9" spans="2:17" x14ac:dyDescent="0.2">
      <c r="J9" t="s">
        <v>43</v>
      </c>
      <c r="K9" s="11">
        <v>0.5</v>
      </c>
    </row>
    <row r="10" spans="2:17" x14ac:dyDescent="0.2">
      <c r="B10" t="s">
        <v>7</v>
      </c>
      <c r="C10" s="11">
        <f>0.03</f>
        <v>0.03</v>
      </c>
      <c r="J10" s="33" t="s">
        <v>44</v>
      </c>
      <c r="K10" s="34">
        <v>0.3</v>
      </c>
    </row>
    <row r="11" spans="2:17" x14ac:dyDescent="0.2">
      <c r="B11" t="s">
        <v>8</v>
      </c>
      <c r="C11" s="9">
        <f>C8/(1+$C$22)^C2</f>
        <v>-1800000</v>
      </c>
      <c r="D11" s="9">
        <f t="shared" ref="D11:H11" si="6">D8/(1+$C$22)^D2</f>
        <v>732800</v>
      </c>
      <c r="E11" s="9">
        <f t="shared" si="6"/>
        <v>926000</v>
      </c>
      <c r="F11" s="9">
        <f t="shared" si="6"/>
        <v>1119200</v>
      </c>
      <c r="G11" s="9">
        <f t="shared" si="6"/>
        <v>926000</v>
      </c>
      <c r="H11" s="9">
        <f t="shared" si="6"/>
        <v>153200</v>
      </c>
      <c r="I11" s="9"/>
    </row>
    <row r="12" spans="2:17" x14ac:dyDescent="0.2">
      <c r="B12" t="s">
        <v>9</v>
      </c>
      <c r="C12" s="9">
        <f>SUM(C11:H11)</f>
        <v>2057200</v>
      </c>
      <c r="K12" s="2" t="s">
        <v>45</v>
      </c>
      <c r="L12" s="35">
        <f>L3*$K$7</f>
        <v>0</v>
      </c>
      <c r="M12" s="35">
        <f>M3*$K$7</f>
        <v>220000.00000000003</v>
      </c>
      <c r="N12" s="35">
        <f>N3*$K$7</f>
        <v>275000</v>
      </c>
      <c r="O12" s="35">
        <f t="shared" ref="M12:Q12" si="7">O3*$K$7</f>
        <v>330000</v>
      </c>
      <c r="P12" s="35">
        <f t="shared" si="7"/>
        <v>275000</v>
      </c>
      <c r="Q12" s="35">
        <f t="shared" si="7"/>
        <v>55000.000000000007</v>
      </c>
    </row>
    <row r="13" spans="2:17" x14ac:dyDescent="0.2">
      <c r="B13" t="s">
        <v>10</v>
      </c>
      <c r="C13" s="9">
        <f>NPV(C10,D8:H8)+C8</f>
        <v>1763417.3398231063</v>
      </c>
      <c r="E13" t="s">
        <v>11</v>
      </c>
      <c r="F13" s="12">
        <f>IRR(C8:H8)</f>
        <v>0.35606592851190477</v>
      </c>
      <c r="K13" s="2" t="s">
        <v>46</v>
      </c>
      <c r="L13" s="35">
        <f>L3*$K$9</f>
        <v>0</v>
      </c>
      <c r="M13" s="35">
        <f>M3*$K$9</f>
        <v>100000</v>
      </c>
      <c r="N13" s="35">
        <f t="shared" ref="N13:Q13" si="8">N3*$K$9</f>
        <v>125000</v>
      </c>
      <c r="O13" s="35">
        <f t="shared" si="8"/>
        <v>150000</v>
      </c>
      <c r="P13" s="35">
        <f t="shared" si="8"/>
        <v>125000</v>
      </c>
      <c r="Q13" s="35">
        <f t="shared" si="8"/>
        <v>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604E-68C1-0649-969F-315DD86B234A}">
  <dimension ref="B2:X22"/>
  <sheetViews>
    <sheetView topLeftCell="J1" zoomScale="130" zoomScaleNormal="130" workbookViewId="0">
      <selection activeCell="Q23" sqref="Q23"/>
    </sheetView>
  </sheetViews>
  <sheetFormatPr baseColWidth="10" defaultRowHeight="16" x14ac:dyDescent="0.2"/>
  <cols>
    <col min="1" max="1" width="5.5" customWidth="1"/>
    <col min="2" max="2" width="5.33203125" bestFit="1" customWidth="1"/>
    <col min="3" max="3" width="5.1640625" bestFit="1" customWidth="1"/>
    <col min="4" max="7" width="11.5" bestFit="1" customWidth="1"/>
    <col min="8" max="8" width="10.5" bestFit="1" customWidth="1"/>
    <col min="10" max="10" width="5" bestFit="1" customWidth="1"/>
    <col min="11" max="11" width="14.6640625" bestFit="1" customWidth="1"/>
    <col min="12" max="12" width="12.5" bestFit="1" customWidth="1"/>
    <col min="13" max="15" width="14" bestFit="1" customWidth="1"/>
    <col min="16" max="16" width="12.5" bestFit="1" customWidth="1"/>
    <col min="18" max="18" width="14" bestFit="1" customWidth="1"/>
    <col min="19" max="19" width="7.1640625" bestFit="1" customWidth="1"/>
    <col min="21" max="21" width="4.1640625" bestFit="1" customWidth="1"/>
    <col min="22" max="22" width="6.5" bestFit="1" customWidth="1"/>
    <col min="23" max="23" width="5.5" bestFit="1" customWidth="1"/>
  </cols>
  <sheetData>
    <row r="2" spans="2:24" x14ac:dyDescent="0.2">
      <c r="B2" s="7" t="s">
        <v>0</v>
      </c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J2" s="7" t="s">
        <v>0</v>
      </c>
      <c r="K2" s="7">
        <v>0</v>
      </c>
      <c r="L2" s="7">
        <v>1</v>
      </c>
      <c r="M2" s="7">
        <v>2</v>
      </c>
      <c r="N2" s="7">
        <v>3</v>
      </c>
      <c r="O2" s="7">
        <v>4</v>
      </c>
      <c r="P2" s="7">
        <v>5</v>
      </c>
      <c r="R2" t="s">
        <v>47</v>
      </c>
      <c r="S2" t="s">
        <v>49</v>
      </c>
      <c r="U2" t="s">
        <v>50</v>
      </c>
      <c r="V2" s="11">
        <v>0.03</v>
      </c>
    </row>
    <row r="3" spans="2:24" x14ac:dyDescent="0.2">
      <c r="B3" s="36" t="s">
        <v>1</v>
      </c>
      <c r="C3" s="37">
        <v>0</v>
      </c>
      <c r="D3" s="37">
        <v>200000</v>
      </c>
      <c r="E3" s="37">
        <v>250000</v>
      </c>
      <c r="F3" s="37">
        <v>300000</v>
      </c>
      <c r="G3" s="37">
        <v>250000</v>
      </c>
      <c r="H3" s="37">
        <v>50000</v>
      </c>
      <c r="J3" s="41" t="s">
        <v>48</v>
      </c>
      <c r="K3" s="42">
        <f>-1800000</f>
        <v>-1800000</v>
      </c>
      <c r="L3" s="42">
        <f>(5-0.8)*D3-40000</f>
        <v>800000</v>
      </c>
      <c r="M3" s="42">
        <f>(5-0.8)*E3-40000</f>
        <v>1010000</v>
      </c>
      <c r="N3" s="42">
        <f>(5-0.8)*F3-40000</f>
        <v>1220000</v>
      </c>
      <c r="O3" s="42">
        <f>(5-0.8)*G3-40000</f>
        <v>1010000</v>
      </c>
      <c r="P3" s="42">
        <f>(5-0.8)*H3-40000</f>
        <v>170000</v>
      </c>
      <c r="R3" s="9">
        <f>K3+NPV(0.03, L3:P3)</f>
        <v>2089209.1335023143</v>
      </c>
      <c r="S3" s="12">
        <f>IRR(K3:P3)</f>
        <v>0.40883869216331581</v>
      </c>
    </row>
    <row r="4" spans="2:24" x14ac:dyDescent="0.2">
      <c r="K4" s="6"/>
      <c r="L4" s="6"/>
      <c r="M4" s="6"/>
      <c r="N4" s="6"/>
      <c r="O4" s="6"/>
      <c r="P4" s="6"/>
      <c r="R4" s="9"/>
      <c r="S4" s="12"/>
      <c r="U4" t="s">
        <v>51</v>
      </c>
      <c r="V4" t="s">
        <v>52</v>
      </c>
      <c r="W4" t="s">
        <v>53</v>
      </c>
      <c r="X4" t="s">
        <v>54</v>
      </c>
    </row>
    <row r="5" spans="2:24" x14ac:dyDescent="0.2">
      <c r="C5" s="40"/>
      <c r="D5" s="40">
        <v>203726</v>
      </c>
      <c r="E5" s="40">
        <v>279969</v>
      </c>
      <c r="F5" s="40">
        <v>465303</v>
      </c>
      <c r="G5" s="40">
        <v>200445</v>
      </c>
      <c r="H5" s="40">
        <v>96319</v>
      </c>
      <c r="K5" s="42">
        <f t="shared" ref="K5:K14" si="0">-1800000</f>
        <v>-1800000</v>
      </c>
      <c r="L5" s="42">
        <f t="shared" ref="L5:L14" si="1">(5-0.8)*D5-40000</f>
        <v>815649.20000000007</v>
      </c>
      <c r="M5" s="42">
        <f t="shared" ref="M5:M14" si="2">(5-0.8)*E5-40000</f>
        <v>1135869.8</v>
      </c>
      <c r="N5" s="42">
        <f t="shared" ref="N5:N14" si="3">(5-0.8)*F5-40000</f>
        <v>1914272.6</v>
      </c>
      <c r="O5" s="42">
        <f t="shared" ref="O5:O14" si="4">(5-0.8)*G5-40000</f>
        <v>801869</v>
      </c>
      <c r="P5" s="42">
        <f t="shared" ref="P5:P14" si="5">(5-0.8)*H5-40000</f>
        <v>364539.8</v>
      </c>
      <c r="R5" s="9">
        <f t="shared" ref="R5:R14" si="6">K5+NPV(0.03, L5:P5)</f>
        <v>2841294.7119540814</v>
      </c>
      <c r="S5" s="12">
        <f t="shared" ref="S5:S14" si="7">IRR(K5:P5)</f>
        <v>0.50814378105569835</v>
      </c>
      <c r="U5">
        <f>IF(S5&gt;$V$2, 1, 0)</f>
        <v>1</v>
      </c>
      <c r="V5">
        <f>IF(S5&gt;0.35,1,0)</f>
        <v>1</v>
      </c>
      <c r="W5">
        <f>IF(R5&gt;2000000,1,0)</f>
        <v>1</v>
      </c>
      <c r="X5">
        <f>IF(AND(S5&gt;=0.1,S5&lt;=0.2),1,0)</f>
        <v>0</v>
      </c>
    </row>
    <row r="6" spans="2:24" x14ac:dyDescent="0.2">
      <c r="C6" s="40"/>
      <c r="D6" s="40">
        <v>263845</v>
      </c>
      <c r="E6" s="40">
        <v>272439</v>
      </c>
      <c r="F6" s="40">
        <v>2192</v>
      </c>
      <c r="G6" s="40">
        <v>199901</v>
      </c>
      <c r="H6" s="40">
        <v>0</v>
      </c>
      <c r="K6" s="42">
        <f t="shared" si="0"/>
        <v>-1800000</v>
      </c>
      <c r="L6" s="42">
        <f t="shared" si="1"/>
        <v>1068149</v>
      </c>
      <c r="M6" s="42">
        <f t="shared" si="2"/>
        <v>1104243.8</v>
      </c>
      <c r="N6" s="42">
        <f t="shared" si="3"/>
        <v>-30793.599999999999</v>
      </c>
      <c r="O6" s="42">
        <f t="shared" si="4"/>
        <v>799584.20000000007</v>
      </c>
      <c r="P6" s="42">
        <f t="shared" si="5"/>
        <v>-40000</v>
      </c>
      <c r="R6" s="9">
        <f t="shared" si="6"/>
        <v>925628.90048518544</v>
      </c>
      <c r="S6" s="12">
        <f t="shared" si="7"/>
        <v>0.27226025419104394</v>
      </c>
      <c r="U6">
        <f t="shared" ref="U6:U14" si="8">IF(S6&gt;$V$2, 1, 0)</f>
        <v>1</v>
      </c>
      <c r="V6">
        <f t="shared" ref="V6:V14" si="9">IF(S6&gt;0.35,1,0)</f>
        <v>0</v>
      </c>
      <c r="W6">
        <f t="shared" ref="W6:W14" si="10">IF(R6&gt;2000000,1,0)</f>
        <v>0</v>
      </c>
      <c r="X6">
        <f t="shared" ref="X6:X14" si="11">IF(AND(S6&gt;=0.1,S6&lt;=0.2),1,0)</f>
        <v>0</v>
      </c>
    </row>
    <row r="7" spans="2:24" x14ac:dyDescent="0.2">
      <c r="C7" s="40"/>
      <c r="D7" s="40">
        <v>27726</v>
      </c>
      <c r="E7" s="40">
        <v>334861</v>
      </c>
      <c r="F7" s="40">
        <v>82265</v>
      </c>
      <c r="G7" s="40">
        <v>199954</v>
      </c>
      <c r="H7" s="40">
        <v>64958</v>
      </c>
      <c r="K7" s="42">
        <f t="shared" si="0"/>
        <v>-1800000</v>
      </c>
      <c r="L7" s="42">
        <f t="shared" si="1"/>
        <v>76449.200000000012</v>
      </c>
      <c r="M7" s="42">
        <f t="shared" si="2"/>
        <v>1366416.2</v>
      </c>
      <c r="N7" s="42">
        <f t="shared" si="3"/>
        <v>305513</v>
      </c>
      <c r="O7" s="42">
        <f t="shared" si="4"/>
        <v>799806.8</v>
      </c>
      <c r="P7" s="42">
        <f t="shared" si="5"/>
        <v>232823.60000000003</v>
      </c>
      <c r="R7" s="9">
        <f t="shared" si="6"/>
        <v>753242.18354673497</v>
      </c>
      <c r="S7" s="12">
        <f t="shared" si="7"/>
        <v>0.16696430743106738</v>
      </c>
      <c r="U7">
        <f t="shared" si="8"/>
        <v>1</v>
      </c>
      <c r="V7">
        <f t="shared" si="9"/>
        <v>0</v>
      </c>
      <c r="W7">
        <f t="shared" si="10"/>
        <v>0</v>
      </c>
      <c r="X7">
        <f t="shared" si="11"/>
        <v>1</v>
      </c>
    </row>
    <row r="8" spans="2:24" x14ac:dyDescent="0.2">
      <c r="C8" s="40"/>
      <c r="D8" s="40">
        <v>293801</v>
      </c>
      <c r="E8" s="40">
        <v>210117</v>
      </c>
      <c r="F8" s="40">
        <v>275087</v>
      </c>
      <c r="G8" s="40">
        <v>199934</v>
      </c>
      <c r="H8" s="40">
        <v>0</v>
      </c>
      <c r="K8" s="42">
        <f t="shared" si="0"/>
        <v>-1800000</v>
      </c>
      <c r="L8" s="42">
        <f t="shared" si="1"/>
        <v>1193964.2</v>
      </c>
      <c r="M8" s="42">
        <f t="shared" si="2"/>
        <v>842491.4</v>
      </c>
      <c r="N8" s="42">
        <f t="shared" si="3"/>
        <v>1115365.4000000001</v>
      </c>
      <c r="O8" s="42">
        <f t="shared" si="4"/>
        <v>799722.8</v>
      </c>
      <c r="P8" s="42">
        <f t="shared" si="5"/>
        <v>-40000</v>
      </c>
      <c r="R8" s="9">
        <f t="shared" si="6"/>
        <v>1850073.8320982927</v>
      </c>
      <c r="S8" s="12">
        <f t="shared" si="7"/>
        <v>0.43526015507000304</v>
      </c>
      <c r="U8">
        <f t="shared" si="8"/>
        <v>1</v>
      </c>
      <c r="V8">
        <f t="shared" si="9"/>
        <v>1</v>
      </c>
      <c r="W8">
        <f t="shared" si="10"/>
        <v>0</v>
      </c>
      <c r="X8">
        <f t="shared" si="11"/>
        <v>0</v>
      </c>
    </row>
    <row r="9" spans="2:24" x14ac:dyDescent="0.2">
      <c r="C9" s="40"/>
      <c r="D9" s="40">
        <v>297319</v>
      </c>
      <c r="E9" s="40">
        <v>242569</v>
      </c>
      <c r="F9" s="40">
        <v>464097</v>
      </c>
      <c r="G9" s="40">
        <v>200598</v>
      </c>
      <c r="H9" s="40">
        <v>141285</v>
      </c>
      <c r="K9" s="42">
        <f t="shared" si="0"/>
        <v>-1800000</v>
      </c>
      <c r="L9" s="42">
        <f t="shared" si="1"/>
        <v>1208739.8</v>
      </c>
      <c r="M9" s="42">
        <f t="shared" si="2"/>
        <v>978789.8</v>
      </c>
      <c r="N9" s="42">
        <f t="shared" si="3"/>
        <v>1909207.4000000001</v>
      </c>
      <c r="O9" s="42">
        <f t="shared" si="4"/>
        <v>802511.60000000009</v>
      </c>
      <c r="P9" s="42">
        <f t="shared" si="5"/>
        <v>553397</v>
      </c>
      <c r="R9" s="9">
        <f t="shared" si="6"/>
        <v>3233718.5517288838</v>
      </c>
      <c r="S9" s="12">
        <f t="shared" si="7"/>
        <v>0.59100740487247494</v>
      </c>
      <c r="U9">
        <f t="shared" si="8"/>
        <v>1</v>
      </c>
      <c r="V9">
        <f t="shared" si="9"/>
        <v>1</v>
      </c>
      <c r="W9">
        <f t="shared" si="10"/>
        <v>1</v>
      </c>
      <c r="X9">
        <f t="shared" si="11"/>
        <v>0</v>
      </c>
    </row>
    <row r="10" spans="2:24" x14ac:dyDescent="0.2">
      <c r="C10" s="40"/>
      <c r="D10" s="40">
        <v>36012</v>
      </c>
      <c r="E10" s="40">
        <v>296235</v>
      </c>
      <c r="F10" s="40">
        <v>484943</v>
      </c>
      <c r="G10" s="40">
        <v>199842</v>
      </c>
      <c r="H10" s="40">
        <v>0</v>
      </c>
      <c r="K10" s="42">
        <f t="shared" si="0"/>
        <v>-1800000</v>
      </c>
      <c r="L10" s="42">
        <f t="shared" si="1"/>
        <v>111250.4</v>
      </c>
      <c r="M10" s="42">
        <f t="shared" si="2"/>
        <v>1204187</v>
      </c>
      <c r="N10" s="42">
        <f t="shared" si="3"/>
        <v>1996760.6</v>
      </c>
      <c r="O10" s="42">
        <f t="shared" si="4"/>
        <v>799336.4</v>
      </c>
      <c r="P10" s="42">
        <f t="shared" si="5"/>
        <v>-40000</v>
      </c>
      <c r="R10" s="9">
        <f t="shared" si="6"/>
        <v>1946086.3328866251</v>
      </c>
      <c r="S10" s="12">
        <f t="shared" si="7"/>
        <v>0.34617343581065518</v>
      </c>
      <c r="U10">
        <f t="shared" si="8"/>
        <v>1</v>
      </c>
      <c r="V10">
        <f t="shared" si="9"/>
        <v>0</v>
      </c>
      <c r="W10">
        <f t="shared" si="10"/>
        <v>0</v>
      </c>
      <c r="X10">
        <f t="shared" si="11"/>
        <v>0</v>
      </c>
    </row>
    <row r="11" spans="2:24" x14ac:dyDescent="0.2">
      <c r="C11" s="40"/>
      <c r="D11" s="40">
        <v>78138</v>
      </c>
      <c r="E11" s="40">
        <v>308996</v>
      </c>
      <c r="F11" s="40">
        <v>491647</v>
      </c>
      <c r="G11" s="40">
        <v>199218</v>
      </c>
      <c r="H11" s="40">
        <v>127187</v>
      </c>
      <c r="K11" s="42">
        <f t="shared" si="0"/>
        <v>-1800000</v>
      </c>
      <c r="L11" s="42">
        <f t="shared" si="1"/>
        <v>288179.60000000003</v>
      </c>
      <c r="M11" s="42">
        <f t="shared" si="2"/>
        <v>1257783.2</v>
      </c>
      <c r="N11" s="42">
        <f t="shared" si="3"/>
        <v>2024917.4000000001</v>
      </c>
      <c r="O11" s="42">
        <f t="shared" si="4"/>
        <v>796715.60000000009</v>
      </c>
      <c r="P11" s="42">
        <f t="shared" si="5"/>
        <v>494185.4</v>
      </c>
      <c r="R11" s="9">
        <f t="shared" si="6"/>
        <v>2652613.7464305032</v>
      </c>
      <c r="S11" s="12">
        <f t="shared" si="7"/>
        <v>0.42462099370744011</v>
      </c>
      <c r="U11">
        <f t="shared" si="8"/>
        <v>1</v>
      </c>
      <c r="V11">
        <f t="shared" si="9"/>
        <v>1</v>
      </c>
      <c r="W11">
        <f t="shared" si="10"/>
        <v>1</v>
      </c>
      <c r="X11">
        <f t="shared" si="11"/>
        <v>0</v>
      </c>
    </row>
    <row r="12" spans="2:24" x14ac:dyDescent="0.2">
      <c r="C12" s="40"/>
      <c r="D12" s="40">
        <v>61767</v>
      </c>
      <c r="E12" s="40">
        <v>269747</v>
      </c>
      <c r="F12" s="40">
        <v>23989</v>
      </c>
      <c r="G12" s="40">
        <v>199771</v>
      </c>
      <c r="H12" s="40">
        <v>0</v>
      </c>
      <c r="K12" s="42">
        <f t="shared" si="0"/>
        <v>-1800000</v>
      </c>
      <c r="L12" s="42">
        <f t="shared" si="1"/>
        <v>219421.40000000002</v>
      </c>
      <c r="M12" s="42">
        <f t="shared" si="2"/>
        <v>1092937.4000000001</v>
      </c>
      <c r="N12" s="42">
        <f t="shared" si="3"/>
        <v>60753.8</v>
      </c>
      <c r="O12" s="42">
        <f t="shared" si="4"/>
        <v>799038.20000000007</v>
      </c>
      <c r="P12" s="42">
        <f t="shared" si="5"/>
        <v>-40000</v>
      </c>
      <c r="R12" s="9">
        <f t="shared" si="6"/>
        <v>174257.88107468421</v>
      </c>
      <c r="S12" s="12">
        <f t="shared" si="7"/>
        <v>6.774141594409544E-2</v>
      </c>
      <c r="U12">
        <f t="shared" si="8"/>
        <v>1</v>
      </c>
      <c r="V12">
        <f t="shared" si="9"/>
        <v>0</v>
      </c>
      <c r="W12">
        <f t="shared" si="10"/>
        <v>0</v>
      </c>
      <c r="X12">
        <f t="shared" si="11"/>
        <v>0</v>
      </c>
    </row>
    <row r="13" spans="2:24" x14ac:dyDescent="0.2">
      <c r="C13" s="40"/>
      <c r="D13" s="40">
        <v>346503</v>
      </c>
      <c r="E13" s="40">
        <v>172903</v>
      </c>
      <c r="F13" s="40">
        <v>41218</v>
      </c>
      <c r="G13" s="40">
        <v>200827</v>
      </c>
      <c r="H13" s="40">
        <v>80270</v>
      </c>
      <c r="K13" s="42">
        <f t="shared" si="0"/>
        <v>-1800000</v>
      </c>
      <c r="L13" s="42">
        <f t="shared" si="1"/>
        <v>1415312.6</v>
      </c>
      <c r="M13" s="42">
        <f t="shared" si="2"/>
        <v>686192.6</v>
      </c>
      <c r="N13" s="42">
        <f t="shared" si="3"/>
        <v>133115.6</v>
      </c>
      <c r="O13" s="42">
        <f t="shared" si="4"/>
        <v>803473.4</v>
      </c>
      <c r="P13" s="42">
        <f t="shared" si="5"/>
        <v>297134</v>
      </c>
      <c r="R13" s="9">
        <f t="shared" si="6"/>
        <v>1312897.9794042534</v>
      </c>
      <c r="S13" s="12">
        <f t="shared" si="7"/>
        <v>0.34472492127848442</v>
      </c>
      <c r="U13">
        <f>IF(S13&gt;$V$2, 1, 0)</f>
        <v>1</v>
      </c>
      <c r="V13">
        <f t="shared" si="9"/>
        <v>0</v>
      </c>
      <c r="W13">
        <f t="shared" si="10"/>
        <v>0</v>
      </c>
      <c r="X13">
        <f t="shared" si="11"/>
        <v>0</v>
      </c>
    </row>
    <row r="14" spans="2:24" x14ac:dyDescent="0.2">
      <c r="C14" s="40"/>
      <c r="D14" s="40">
        <v>149681</v>
      </c>
      <c r="E14" s="40">
        <v>205417</v>
      </c>
      <c r="F14" s="40">
        <v>441224</v>
      </c>
      <c r="G14" s="40">
        <v>199658</v>
      </c>
      <c r="H14" s="40">
        <v>0</v>
      </c>
      <c r="K14" s="42">
        <f t="shared" si="0"/>
        <v>-1800000</v>
      </c>
      <c r="L14" s="42">
        <f t="shared" si="1"/>
        <v>588660.20000000007</v>
      </c>
      <c r="M14" s="42">
        <f t="shared" si="2"/>
        <v>822751.4</v>
      </c>
      <c r="N14" s="42">
        <f t="shared" si="3"/>
        <v>1813140.8</v>
      </c>
      <c r="O14" s="42">
        <f t="shared" si="4"/>
        <v>798563.60000000009</v>
      </c>
      <c r="P14" s="42">
        <f t="shared" si="5"/>
        <v>-40000</v>
      </c>
      <c r="R14" s="9">
        <f t="shared" si="6"/>
        <v>1881326.6056700964</v>
      </c>
      <c r="S14" s="12">
        <f t="shared" si="7"/>
        <v>0.3673147160314163</v>
      </c>
      <c r="U14">
        <f t="shared" si="8"/>
        <v>1</v>
      </c>
      <c r="V14">
        <f t="shared" si="9"/>
        <v>1</v>
      </c>
      <c r="W14">
        <f t="shared" si="10"/>
        <v>0</v>
      </c>
      <c r="X14">
        <f t="shared" si="11"/>
        <v>0</v>
      </c>
    </row>
    <row r="16" spans="2:24" x14ac:dyDescent="0.2">
      <c r="Q16" s="11">
        <f>AVERAGE(U5:U14)</f>
        <v>1</v>
      </c>
    </row>
    <row r="18" spans="17:17" x14ac:dyDescent="0.2">
      <c r="Q18" s="11">
        <f>AVERAGE(V5:V14)</f>
        <v>0.5</v>
      </c>
    </row>
    <row r="20" spans="17:17" x14ac:dyDescent="0.2">
      <c r="Q20" s="11">
        <f>AVERAGE(W5:W14)</f>
        <v>0.3</v>
      </c>
    </row>
    <row r="22" spans="17:17" x14ac:dyDescent="0.2">
      <c r="Q22" s="11">
        <f>AVERAGE(X5:X14)</f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Lozoya Morales</dc:creator>
  <cp:lastModifiedBy>Diego Lozoya Morales</cp:lastModifiedBy>
  <dcterms:created xsi:type="dcterms:W3CDTF">2025-08-22T02:12:00Z</dcterms:created>
  <dcterms:modified xsi:type="dcterms:W3CDTF">2025-08-30T03:49:46Z</dcterms:modified>
</cp:coreProperties>
</file>