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wnloads\"/>
    </mc:Choice>
  </mc:AlternateContent>
  <xr:revisionPtr revIDLastSave="0" documentId="13_ncr:1_{4DBB95CD-A0A4-42BA-95CC-C5C2EABFE88D}" xr6:coauthVersionLast="47" xr6:coauthVersionMax="47" xr10:uidLastSave="{00000000-0000-0000-0000-000000000000}"/>
  <bookViews>
    <workbookView xWindow="-108" yWindow="-108" windowWidth="23256" windowHeight="12456" xr2:uid="{F8F1D542-DD96-4341-98E1-7B75639FF99D}"/>
  </bookViews>
  <sheets>
    <sheet name="TCO" sheetId="1" r:id="rId1"/>
    <sheet name="Tabela" sheetId="2" state="hidden" r:id="rId2"/>
    <sheet name="ROI e Break Even" sheetId="6" r:id="rId3"/>
  </sheets>
  <externalReferences>
    <externalReference r:id="rId4"/>
  </externalReferences>
  <definedNames>
    <definedName name="aluno_bom">'ROI e Break Even'!$C$6</definedName>
    <definedName name="aluno_ótimo">'ROI e Break Even'!$C$5</definedName>
    <definedName name="aluno_ruim">'ROI e Break Even'!$C$7</definedName>
    <definedName name="CustoMensalDesenvolvimento">TCO!$E$3</definedName>
    <definedName name="CustoMensalEquipamentosEManutencao">TCO!$E$22</definedName>
    <definedName name="CustoMensalInfraestruturaEFerramentas">TCO!$E$13</definedName>
    <definedName name="CustoMensalOperacionalEManutencao">TCO!$E$8</definedName>
    <definedName name="CustoMensalTreinamentoEImplementacao">TCO!$E$10</definedName>
    <definedName name="Mensalidade">'ROI e Break Even'!$C$3</definedName>
    <definedName name="roi_bom">'ROI e Break Even'!$D$6</definedName>
    <definedName name="roi_ótimo">'ROI e Break Even'!$D$5</definedName>
    <definedName name="roi_ruim">'ROI e Break Even'!$D$7</definedName>
    <definedName name="selic">'ROI e Break Even'!$D$8</definedName>
    <definedName name="Taxa">'ROI e Break Even'!$C$2</definedName>
    <definedName name="TCO">[1]TCO!$G$27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F7" i="1"/>
  <c r="F12" i="1" s="1"/>
  <c r="E3" i="1"/>
  <c r="D3" i="1"/>
  <c r="B3" i="1"/>
  <c r="E8" i="1"/>
  <c r="D8" i="1"/>
  <c r="C8" i="1"/>
  <c r="B8" i="1"/>
  <c r="F9" i="1"/>
  <c r="F8" i="1" s="1"/>
  <c r="D10" i="1"/>
  <c r="C10" i="1"/>
  <c r="B10" i="1"/>
  <c r="D22" i="1"/>
  <c r="C22" i="1"/>
  <c r="B22" i="1"/>
  <c r="A1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E8" i="6"/>
  <c r="D7" i="6"/>
  <c r="E7" i="6" s="1"/>
  <c r="D6" i="6"/>
  <c r="E6" i="6" s="1"/>
  <c r="D5" i="6"/>
  <c r="E5" i="6" s="1"/>
  <c r="E23" i="1"/>
  <c r="E24" i="1"/>
  <c r="E17" i="1"/>
  <c r="E16" i="1"/>
  <c r="E18" i="1"/>
  <c r="E19" i="1"/>
  <c r="E15" i="1"/>
  <c r="E20" i="1"/>
  <c r="E21" i="1"/>
  <c r="E14" i="1"/>
  <c r="D13" i="1" l="1"/>
  <c r="C13" i="1"/>
  <c r="F3" i="1"/>
  <c r="F23" i="1" s="1"/>
  <c r="E22" i="1"/>
  <c r="F24" i="1"/>
  <c r="F11" i="1"/>
  <c r="F10" i="1" s="1"/>
  <c r="E12" i="1"/>
  <c r="E10" i="1" s="1"/>
  <c r="E13" i="1" l="1"/>
  <c r="E25" i="1" s="1"/>
  <c r="F25" i="1" s="1"/>
  <c r="A25" i="1" s="1"/>
  <c r="F15" i="1"/>
  <c r="F16" i="1"/>
  <c r="F14" i="1"/>
  <c r="F17" i="1"/>
  <c r="F18" i="1"/>
  <c r="F19" i="1"/>
  <c r="F20" i="1"/>
  <c r="F21" i="1"/>
  <c r="F22" i="1"/>
  <c r="F13" i="1" l="1"/>
</calcChain>
</file>

<file path=xl/sharedStrings.xml><?xml version="1.0" encoding="utf-8"?>
<sst xmlns="http://schemas.openxmlformats.org/spreadsheetml/2006/main" count="64" uniqueCount="46">
  <si>
    <t>TCO</t>
  </si>
  <si>
    <t>Integrantes da equipe</t>
  </si>
  <si>
    <t>Média salarial horário da equipe</t>
  </si>
  <si>
    <t>Média de horas diárias trabalhadas</t>
  </si>
  <si>
    <t>Dias trabalhados</t>
  </si>
  <si>
    <t>Manutenção Preventiva e Corretiva futuras anual</t>
  </si>
  <si>
    <t>Treinamento dos Funcionários (1 semana)</t>
  </si>
  <si>
    <t>Suporte e Acompanhamento Pós-Implementação (1 mês)</t>
  </si>
  <si>
    <t>Mês</t>
  </si>
  <si>
    <t>Ano</t>
  </si>
  <si>
    <t>Item</t>
  </si>
  <si>
    <t>Quantidade</t>
  </si>
  <si>
    <t>Custo Unitário Mensal (R$)</t>
  </si>
  <si>
    <t>Armazenamento em Nuvem (Google Drive, OneDrive, etc.)</t>
  </si>
  <si>
    <t>E-mail Corporativo (Google Workspace/Office 365)</t>
  </si>
  <si>
    <t>Ferramenta de Comunicação (Slack/Discord)</t>
  </si>
  <si>
    <t>Serviço de Backup (AWS, Backblaze)</t>
  </si>
  <si>
    <t>Assinatura de VPN (Segurança)</t>
  </si>
  <si>
    <t>-</t>
  </si>
  <si>
    <t>Custo total Mensal (R$)</t>
  </si>
  <si>
    <t>Custo total do projeto</t>
  </si>
  <si>
    <t>Licenças GitHub Team mensal</t>
  </si>
  <si>
    <t>Licenças Gather Team mensal</t>
  </si>
  <si>
    <t>Licenças de Software de assinatura e visualizador de arquivos (ex: Adobe Suite, IDEs pagas)</t>
  </si>
  <si>
    <t>Equipamentos e Manutenção (Empresa)</t>
  </si>
  <si>
    <t xml:space="preserve">Aluguel de Notebook ou Amortização </t>
  </si>
  <si>
    <t xml:space="preserve">Manutenção e Atualizações de Hardware </t>
  </si>
  <si>
    <t>Treinamento e Implementação (Projeto)</t>
  </si>
  <si>
    <t>Infraestrutura e Ferramentas (Empresa)</t>
  </si>
  <si>
    <t>Cobrança:</t>
  </si>
  <si>
    <t>Mensalidade / aluno</t>
  </si>
  <si>
    <t>Mensalidade Média:</t>
  </si>
  <si>
    <t>Cenários</t>
  </si>
  <si>
    <t>Alunos</t>
  </si>
  <si>
    <t>ROI PROJETO a.m.</t>
  </si>
  <si>
    <t>Break Even</t>
  </si>
  <si>
    <t>Cenário Ótimo</t>
  </si>
  <si>
    <t>Cenário Bom</t>
  </si>
  <si>
    <t>Cenário Ruim</t>
  </si>
  <si>
    <t>Selic</t>
  </si>
  <si>
    <t>Cenário bom</t>
  </si>
  <si>
    <t>Cenário ruim</t>
  </si>
  <si>
    <t>Índice</t>
  </si>
  <si>
    <t>Desenvolvimento (Projeto)</t>
  </si>
  <si>
    <t>Operacionais e de Manutenção (Projeto)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</si>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</sst>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[&gt;=1]#0;[&lt;0]&quot;-&quot;#0;&quot;-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right" vertical="center"/>
    </xf>
    <xf numFmtId="164" fontId="0" fillId="0" borderId="0" xfId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2" fontId="0" fillId="0" borderId="10" xfId="2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0" fontId="0" fillId="0" borderId="1" xfId="2" applyNumberFormat="1" applyFont="1" applyBorder="1" applyAlignment="1">
      <alignment horizontal="center" vertical="center"/>
    </xf>
    <xf numFmtId="2" fontId="0" fillId="0" borderId="12" xfId="2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10" fontId="0" fillId="0" borderId="14" xfId="2" applyNumberFormat="1" applyFont="1" applyBorder="1" applyAlignment="1">
      <alignment horizontal="center" vertical="center"/>
    </xf>
    <xf numFmtId="2" fontId="0" fillId="0" borderId="15" xfId="2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164" fontId="4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6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/>
    <xf numFmtId="164" fontId="7" fillId="0" borderId="1" xfId="1" applyFont="1" applyBorder="1" applyAlignment="1">
      <alignment horizontal="left" vertical="center"/>
    </xf>
    <xf numFmtId="0" fontId="4" fillId="2" borderId="17" xfId="0" applyFont="1" applyFill="1" applyBorder="1" applyAlignment="1">
      <alignment vertical="center"/>
    </xf>
    <xf numFmtId="164" fontId="4" fillId="2" borderId="17" xfId="1" applyFont="1" applyFill="1" applyBorder="1" applyAlignment="1">
      <alignment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" fontId="7" fillId="0" borderId="1" xfId="1" applyNumberFormat="1" applyFont="1" applyBorder="1" applyAlignment="1">
      <alignment horizontal="right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4">
    <dxf>
      <font>
        <color rgb="FF9C0006"/>
      </font>
    </dxf>
    <dxf>
      <font>
        <color rgb="FF9C0006"/>
      </font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&quot;R$&quot;\ * #,##0.00_-;\-&quot;R$&quot;\ * #,##0.00_-;_-&quot;R$&quot;\ * &quot;-&quot;??_-;_-@_-"/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Tabela!$F$2</c:f>
              <c:strCache>
                <c:ptCount val="1"/>
                <c:pt idx="0">
                  <c:v>Cenário Ótimo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Tabela!$B$3:$B$112</c:f>
              <c:numCache>
                <c:formatCode>0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Tabela!$F$3:$F$112</c:f>
              <c:numCache>
                <c:formatCode>0.00</c:formatCode>
                <c:ptCount val="110"/>
                <c:pt idx="0">
                  <c:v>-0.96351055667107388</c:v>
                </c:pt>
                <c:pt idx="1">
                  <c:v>-0.92702111334214776</c:v>
                </c:pt>
                <c:pt idx="2">
                  <c:v>-0.89053167001322164</c:v>
                </c:pt>
                <c:pt idx="3">
                  <c:v>-0.85404222668429552</c:v>
                </c:pt>
                <c:pt idx="4">
                  <c:v>-0.81755278335536941</c:v>
                </c:pt>
                <c:pt idx="5">
                  <c:v>-0.78106334002644329</c:v>
                </c:pt>
                <c:pt idx="6">
                  <c:v>-0.74457389669751717</c:v>
                </c:pt>
                <c:pt idx="7">
                  <c:v>-0.70808445336859094</c:v>
                </c:pt>
                <c:pt idx="8">
                  <c:v>-0.67159501003966482</c:v>
                </c:pt>
                <c:pt idx="9">
                  <c:v>-0.6351055667107387</c:v>
                </c:pt>
                <c:pt idx="10">
                  <c:v>-0.59861612338181258</c:v>
                </c:pt>
                <c:pt idx="11">
                  <c:v>-0.56212668005288646</c:v>
                </c:pt>
                <c:pt idx="12">
                  <c:v>-0.52563723672396034</c:v>
                </c:pt>
                <c:pt idx="13">
                  <c:v>-0.48914779339503422</c:v>
                </c:pt>
                <c:pt idx="14">
                  <c:v>-0.45265835006610811</c:v>
                </c:pt>
                <c:pt idx="15">
                  <c:v>-0.41616890673718199</c:v>
                </c:pt>
                <c:pt idx="16">
                  <c:v>-0.37967946340825587</c:v>
                </c:pt>
                <c:pt idx="17">
                  <c:v>-0.34319002007932975</c:v>
                </c:pt>
                <c:pt idx="18">
                  <c:v>-0.30670057675040358</c:v>
                </c:pt>
                <c:pt idx="19">
                  <c:v>-0.27021113342147746</c:v>
                </c:pt>
                <c:pt idx="20">
                  <c:v>-0.23372169009255134</c:v>
                </c:pt>
                <c:pt idx="21">
                  <c:v>-0.19723224676362522</c:v>
                </c:pt>
                <c:pt idx="22">
                  <c:v>-0.1607428034346991</c:v>
                </c:pt>
                <c:pt idx="23">
                  <c:v>-0.12425336010577297</c:v>
                </c:pt>
                <c:pt idx="24">
                  <c:v>-8.7763916776846834E-2</c:v>
                </c:pt>
                <c:pt idx="25">
                  <c:v>-5.1274473447920708E-2</c:v>
                </c:pt>
                <c:pt idx="26">
                  <c:v>-1.4785030118994584E-2</c:v>
                </c:pt>
                <c:pt idx="27">
                  <c:v>2.1704413209931543E-2</c:v>
                </c:pt>
                <c:pt idx="28">
                  <c:v>5.8193856538857669E-2</c:v>
                </c:pt>
                <c:pt idx="29">
                  <c:v>9.4683299867783802E-2</c:v>
                </c:pt>
                <c:pt idx="30">
                  <c:v>0.13117274319670993</c:v>
                </c:pt>
                <c:pt idx="31">
                  <c:v>0.16766218652563605</c:v>
                </c:pt>
                <c:pt idx="32">
                  <c:v>0.20415162985456217</c:v>
                </c:pt>
                <c:pt idx="33">
                  <c:v>0.24064107318348829</c:v>
                </c:pt>
                <c:pt idx="34">
                  <c:v>0.27713051651241444</c:v>
                </c:pt>
                <c:pt idx="35">
                  <c:v>0.31361995984134056</c:v>
                </c:pt>
                <c:pt idx="36">
                  <c:v>0.35010940317026668</c:v>
                </c:pt>
                <c:pt idx="37">
                  <c:v>0.38659884649919279</c:v>
                </c:pt>
                <c:pt idx="38">
                  <c:v>0.42308828982811891</c:v>
                </c:pt>
                <c:pt idx="39">
                  <c:v>0.45957773315704509</c:v>
                </c:pt>
                <c:pt idx="40">
                  <c:v>0.49606717648597121</c:v>
                </c:pt>
                <c:pt idx="41">
                  <c:v>0.53255661981489733</c:v>
                </c:pt>
                <c:pt idx="42">
                  <c:v>0.56904606314382344</c:v>
                </c:pt>
                <c:pt idx="43">
                  <c:v>0.60553550647274956</c:v>
                </c:pt>
                <c:pt idx="44">
                  <c:v>0.64202494980167568</c:v>
                </c:pt>
                <c:pt idx="45">
                  <c:v>0.6785143931306018</c:v>
                </c:pt>
                <c:pt idx="46">
                  <c:v>0.71500383645952792</c:v>
                </c:pt>
                <c:pt idx="47">
                  <c:v>0.75149327978845404</c:v>
                </c:pt>
                <c:pt idx="48">
                  <c:v>0.78798272311738016</c:v>
                </c:pt>
                <c:pt idx="49">
                  <c:v>0.82447216644630628</c:v>
                </c:pt>
                <c:pt idx="50">
                  <c:v>0.86096160977523251</c:v>
                </c:pt>
                <c:pt idx="51">
                  <c:v>0.89745105310415862</c:v>
                </c:pt>
                <c:pt idx="52">
                  <c:v>0.93394049643308474</c:v>
                </c:pt>
                <c:pt idx="53">
                  <c:v>0.97042993976201086</c:v>
                </c:pt>
                <c:pt idx="54">
                  <c:v>1.0069193830909369</c:v>
                </c:pt>
                <c:pt idx="55">
                  <c:v>1.0434088264198631</c:v>
                </c:pt>
                <c:pt idx="56">
                  <c:v>1.0798982697487891</c:v>
                </c:pt>
                <c:pt idx="57">
                  <c:v>1.1163877130777153</c:v>
                </c:pt>
                <c:pt idx="58">
                  <c:v>1.1528771564066416</c:v>
                </c:pt>
                <c:pt idx="59">
                  <c:v>1.1893665997355676</c:v>
                </c:pt>
                <c:pt idx="60">
                  <c:v>1.2258560430644936</c:v>
                </c:pt>
                <c:pt idx="61">
                  <c:v>1.2623454863934198</c:v>
                </c:pt>
                <c:pt idx="62">
                  <c:v>1.2988349297223458</c:v>
                </c:pt>
                <c:pt idx="63">
                  <c:v>1.3353243730512721</c:v>
                </c:pt>
                <c:pt idx="64">
                  <c:v>1.3718138163801981</c:v>
                </c:pt>
                <c:pt idx="65">
                  <c:v>1.4083032597091243</c:v>
                </c:pt>
                <c:pt idx="66">
                  <c:v>1.4447927030380503</c:v>
                </c:pt>
                <c:pt idx="67">
                  <c:v>1.4812821463669765</c:v>
                </c:pt>
                <c:pt idx="68">
                  <c:v>1.5177715896959025</c:v>
                </c:pt>
                <c:pt idx="69">
                  <c:v>1.5542610330248288</c:v>
                </c:pt>
                <c:pt idx="70">
                  <c:v>1.5907504763537548</c:v>
                </c:pt>
                <c:pt idx="71">
                  <c:v>1.627239919682681</c:v>
                </c:pt>
                <c:pt idx="72">
                  <c:v>1.663729363011607</c:v>
                </c:pt>
                <c:pt idx="73">
                  <c:v>1.7002188063405332</c:v>
                </c:pt>
                <c:pt idx="74">
                  <c:v>1.7367082496694592</c:v>
                </c:pt>
                <c:pt idx="75">
                  <c:v>1.7731976929983855</c:v>
                </c:pt>
                <c:pt idx="76">
                  <c:v>1.8096871363273117</c:v>
                </c:pt>
                <c:pt idx="77">
                  <c:v>1.8461765796562377</c:v>
                </c:pt>
                <c:pt idx="78">
                  <c:v>1.8826660229851639</c:v>
                </c:pt>
                <c:pt idx="79">
                  <c:v>1.91915546631409</c:v>
                </c:pt>
                <c:pt idx="80">
                  <c:v>1.9556449096430162</c:v>
                </c:pt>
                <c:pt idx="81">
                  <c:v>1.9921343529719422</c:v>
                </c:pt>
                <c:pt idx="82">
                  <c:v>2.0286237963008684</c:v>
                </c:pt>
                <c:pt idx="83">
                  <c:v>2.0651132396297944</c:v>
                </c:pt>
                <c:pt idx="84">
                  <c:v>2.1016026829587204</c:v>
                </c:pt>
                <c:pt idx="85">
                  <c:v>2.1380921262876469</c:v>
                </c:pt>
                <c:pt idx="86">
                  <c:v>2.1745815696165729</c:v>
                </c:pt>
                <c:pt idx="87">
                  <c:v>2.2110710129454989</c:v>
                </c:pt>
                <c:pt idx="88">
                  <c:v>2.2475604562744249</c:v>
                </c:pt>
                <c:pt idx="89">
                  <c:v>2.2840498996033514</c:v>
                </c:pt>
                <c:pt idx="90">
                  <c:v>2.3205393429322774</c:v>
                </c:pt>
                <c:pt idx="91">
                  <c:v>2.3570287862612034</c:v>
                </c:pt>
                <c:pt idx="92">
                  <c:v>2.3935182295901298</c:v>
                </c:pt>
                <c:pt idx="93">
                  <c:v>2.4300076729190558</c:v>
                </c:pt>
                <c:pt idx="94">
                  <c:v>2.4664971162479818</c:v>
                </c:pt>
                <c:pt idx="95">
                  <c:v>2.5029865595769079</c:v>
                </c:pt>
                <c:pt idx="96">
                  <c:v>2.5394760029058343</c:v>
                </c:pt>
                <c:pt idx="97">
                  <c:v>2.5759654462347603</c:v>
                </c:pt>
                <c:pt idx="98">
                  <c:v>2.6124548895636863</c:v>
                </c:pt>
                <c:pt idx="99">
                  <c:v>2.6489443328926123</c:v>
                </c:pt>
                <c:pt idx="100">
                  <c:v>2.6854337762215388</c:v>
                </c:pt>
                <c:pt idx="101">
                  <c:v>2.7219232195504648</c:v>
                </c:pt>
                <c:pt idx="102">
                  <c:v>2.7584126628793908</c:v>
                </c:pt>
                <c:pt idx="103">
                  <c:v>2.7949021062083168</c:v>
                </c:pt>
                <c:pt idx="104">
                  <c:v>2.8313915495372433</c:v>
                </c:pt>
                <c:pt idx="105">
                  <c:v>2.8678809928661693</c:v>
                </c:pt>
                <c:pt idx="106">
                  <c:v>2.9043704361950953</c:v>
                </c:pt>
                <c:pt idx="107">
                  <c:v>2.9408598795240217</c:v>
                </c:pt>
                <c:pt idx="108">
                  <c:v>2.9773493228529477</c:v>
                </c:pt>
                <c:pt idx="109">
                  <c:v>3.0138387661818737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7E1-B2E8-1AD6AD8DC3CD}"/>
            </c:ext>
          </c:extLst>
        </c:ser>
        <c:ser>
          <c:idx val="1"/>
          <c:order val="1"/>
          <c:tx>
            <c:strRef>
              <c:f>Tabela!$G$2</c:f>
              <c:strCache>
                <c:ptCount val="1"/>
                <c:pt idx="0">
                  <c:v>Cenário bom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Tabela!$B$3:$B$112</c:f>
              <c:numCache>
                <c:formatCode>0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Tabela!$G$3:$G$112</c:f>
              <c:numCache>
                <c:formatCode>0.00</c:formatCode>
                <c:ptCount val="110"/>
                <c:pt idx="0">
                  <c:v>-0.98175527833553689</c:v>
                </c:pt>
                <c:pt idx="1">
                  <c:v>-0.96351055667107388</c:v>
                </c:pt>
                <c:pt idx="2">
                  <c:v>-0.94526583500661077</c:v>
                </c:pt>
                <c:pt idx="3">
                  <c:v>-0.92702111334214776</c:v>
                </c:pt>
                <c:pt idx="4">
                  <c:v>-0.90877639167768465</c:v>
                </c:pt>
                <c:pt idx="5">
                  <c:v>-0.89053167001322164</c:v>
                </c:pt>
                <c:pt idx="6">
                  <c:v>-0.87228694834875853</c:v>
                </c:pt>
                <c:pt idx="7">
                  <c:v>-0.85404222668429552</c:v>
                </c:pt>
                <c:pt idx="8">
                  <c:v>-0.83579750501983241</c:v>
                </c:pt>
                <c:pt idx="9">
                  <c:v>-0.81755278335536941</c:v>
                </c:pt>
                <c:pt idx="10">
                  <c:v>-0.79930806169090629</c:v>
                </c:pt>
                <c:pt idx="11">
                  <c:v>-0.78106334002644329</c:v>
                </c:pt>
                <c:pt idx="12">
                  <c:v>-0.76281861836198017</c:v>
                </c:pt>
                <c:pt idx="13">
                  <c:v>-0.74457389669751717</c:v>
                </c:pt>
                <c:pt idx="14">
                  <c:v>-0.72632917503305405</c:v>
                </c:pt>
                <c:pt idx="15">
                  <c:v>-0.70808445336859094</c:v>
                </c:pt>
                <c:pt idx="16">
                  <c:v>-0.68983973170412793</c:v>
                </c:pt>
                <c:pt idx="17">
                  <c:v>-0.67159501003966482</c:v>
                </c:pt>
                <c:pt idx="18">
                  <c:v>-0.65335028837520182</c:v>
                </c:pt>
                <c:pt idx="19">
                  <c:v>-0.6351055667107387</c:v>
                </c:pt>
                <c:pt idx="20">
                  <c:v>-0.6168608450462757</c:v>
                </c:pt>
                <c:pt idx="21">
                  <c:v>-0.59861612338181258</c:v>
                </c:pt>
                <c:pt idx="22">
                  <c:v>-0.58037140171734958</c:v>
                </c:pt>
                <c:pt idx="23">
                  <c:v>-0.56212668005288646</c:v>
                </c:pt>
                <c:pt idx="24">
                  <c:v>-0.54388195838842346</c:v>
                </c:pt>
                <c:pt idx="25">
                  <c:v>-0.52563723672396034</c:v>
                </c:pt>
                <c:pt idx="26">
                  <c:v>-0.50739251505949734</c:v>
                </c:pt>
                <c:pt idx="27">
                  <c:v>-0.48914779339503422</c:v>
                </c:pt>
                <c:pt idx="28">
                  <c:v>-0.47090307173057117</c:v>
                </c:pt>
                <c:pt idx="29">
                  <c:v>-0.45265835006610811</c:v>
                </c:pt>
                <c:pt idx="30">
                  <c:v>-0.43441362840164505</c:v>
                </c:pt>
                <c:pt idx="31">
                  <c:v>-0.41616890673718199</c:v>
                </c:pt>
                <c:pt idx="32">
                  <c:v>-0.39792418507271893</c:v>
                </c:pt>
                <c:pt idx="33">
                  <c:v>-0.37967946340825587</c:v>
                </c:pt>
                <c:pt idx="34">
                  <c:v>-0.36143474174379281</c:v>
                </c:pt>
                <c:pt idx="35">
                  <c:v>-0.34319002007932975</c:v>
                </c:pt>
                <c:pt idx="36">
                  <c:v>-0.32494529841486663</c:v>
                </c:pt>
                <c:pt idx="37">
                  <c:v>-0.30670057675040358</c:v>
                </c:pt>
                <c:pt idx="38">
                  <c:v>-0.28845585508594052</c:v>
                </c:pt>
                <c:pt idx="39">
                  <c:v>-0.27021113342147746</c:v>
                </c:pt>
                <c:pt idx="40">
                  <c:v>-0.2519664117570144</c:v>
                </c:pt>
                <c:pt idx="41">
                  <c:v>-0.23372169009255134</c:v>
                </c:pt>
                <c:pt idx="42">
                  <c:v>-0.21547696842808828</c:v>
                </c:pt>
                <c:pt idx="43">
                  <c:v>-0.19723224676362522</c:v>
                </c:pt>
                <c:pt idx="44">
                  <c:v>-0.17898752509916216</c:v>
                </c:pt>
                <c:pt idx="45">
                  <c:v>-0.1607428034346991</c:v>
                </c:pt>
                <c:pt idx="46">
                  <c:v>-0.14249808177023601</c:v>
                </c:pt>
                <c:pt idx="47">
                  <c:v>-0.12425336010577297</c:v>
                </c:pt>
                <c:pt idx="48">
                  <c:v>-0.10600863844130989</c:v>
                </c:pt>
                <c:pt idx="49">
                  <c:v>-8.7763916776846834E-2</c:v>
                </c:pt>
                <c:pt idx="50">
                  <c:v>-6.9519195112383775E-2</c:v>
                </c:pt>
                <c:pt idx="51">
                  <c:v>-5.1274473447920708E-2</c:v>
                </c:pt>
                <c:pt idx="52">
                  <c:v>-3.3029751783457649E-2</c:v>
                </c:pt>
                <c:pt idx="53">
                  <c:v>-1.4785030118994584E-2</c:v>
                </c:pt>
                <c:pt idx="54">
                  <c:v>3.4596915454684798E-3</c:v>
                </c:pt>
                <c:pt idx="55">
                  <c:v>2.1704413209931543E-2</c:v>
                </c:pt>
                <c:pt idx="56">
                  <c:v>3.994913487439461E-2</c:v>
                </c:pt>
                <c:pt idx="57">
                  <c:v>5.8193856538857669E-2</c:v>
                </c:pt>
                <c:pt idx="58">
                  <c:v>7.6438578203320728E-2</c:v>
                </c:pt>
                <c:pt idx="59">
                  <c:v>9.4683299867783802E-2</c:v>
                </c:pt>
                <c:pt idx="60">
                  <c:v>0.11292802153224686</c:v>
                </c:pt>
                <c:pt idx="61">
                  <c:v>0.13117274319670993</c:v>
                </c:pt>
                <c:pt idx="62">
                  <c:v>0.14941746486117299</c:v>
                </c:pt>
                <c:pt idx="63">
                  <c:v>0.16766218652563605</c:v>
                </c:pt>
                <c:pt idx="64">
                  <c:v>0.18590690819009911</c:v>
                </c:pt>
                <c:pt idx="65">
                  <c:v>0.20415162985456217</c:v>
                </c:pt>
                <c:pt idx="66">
                  <c:v>0.22239635151902523</c:v>
                </c:pt>
                <c:pt idx="67">
                  <c:v>0.24064107318348829</c:v>
                </c:pt>
                <c:pt idx="68">
                  <c:v>0.25888579484795138</c:v>
                </c:pt>
                <c:pt idx="69">
                  <c:v>0.27713051651241444</c:v>
                </c:pt>
                <c:pt idx="70">
                  <c:v>0.2953752381768775</c:v>
                </c:pt>
                <c:pt idx="71">
                  <c:v>0.31361995984134056</c:v>
                </c:pt>
                <c:pt idx="72">
                  <c:v>0.33186468150580362</c:v>
                </c:pt>
                <c:pt idx="73">
                  <c:v>0.35010940317026668</c:v>
                </c:pt>
                <c:pt idx="74">
                  <c:v>0.36835412483472973</c:v>
                </c:pt>
                <c:pt idx="75">
                  <c:v>0.38659884649919279</c:v>
                </c:pt>
                <c:pt idx="76">
                  <c:v>0.40484356816365585</c:v>
                </c:pt>
                <c:pt idx="77">
                  <c:v>0.42308828982811891</c:v>
                </c:pt>
                <c:pt idx="78">
                  <c:v>0.44133301149258197</c:v>
                </c:pt>
                <c:pt idx="79">
                  <c:v>0.45957773315704509</c:v>
                </c:pt>
                <c:pt idx="80">
                  <c:v>0.47782245482150815</c:v>
                </c:pt>
                <c:pt idx="81">
                  <c:v>0.49606717648597121</c:v>
                </c:pt>
                <c:pt idx="82">
                  <c:v>0.51431189815043421</c:v>
                </c:pt>
                <c:pt idx="83">
                  <c:v>0.53255661981489733</c:v>
                </c:pt>
                <c:pt idx="84">
                  <c:v>0.55080134147936033</c:v>
                </c:pt>
                <c:pt idx="85">
                  <c:v>0.56904606314382344</c:v>
                </c:pt>
                <c:pt idx="86">
                  <c:v>0.58729078480828656</c:v>
                </c:pt>
                <c:pt idx="87">
                  <c:v>0.60553550647274956</c:v>
                </c:pt>
                <c:pt idx="88">
                  <c:v>0.62378022813721268</c:v>
                </c:pt>
                <c:pt idx="89">
                  <c:v>0.64202494980167568</c:v>
                </c:pt>
                <c:pt idx="90">
                  <c:v>0.6602696714661388</c:v>
                </c:pt>
                <c:pt idx="91">
                  <c:v>0.6785143931306018</c:v>
                </c:pt>
                <c:pt idx="92">
                  <c:v>0.69675911479506492</c:v>
                </c:pt>
                <c:pt idx="93">
                  <c:v>0.71500383645952792</c:v>
                </c:pt>
                <c:pt idx="94">
                  <c:v>0.73324855812399103</c:v>
                </c:pt>
                <c:pt idx="95">
                  <c:v>0.75149327978845404</c:v>
                </c:pt>
                <c:pt idx="96">
                  <c:v>0.76973800145291715</c:v>
                </c:pt>
                <c:pt idx="97">
                  <c:v>0.78798272311738016</c:v>
                </c:pt>
                <c:pt idx="98">
                  <c:v>0.80622744478184327</c:v>
                </c:pt>
                <c:pt idx="99">
                  <c:v>0.82447216644630628</c:v>
                </c:pt>
                <c:pt idx="100">
                  <c:v>0.84271688811076939</c:v>
                </c:pt>
                <c:pt idx="101">
                  <c:v>0.86096160977523251</c:v>
                </c:pt>
                <c:pt idx="102">
                  <c:v>0.87920633143969551</c:v>
                </c:pt>
                <c:pt idx="103">
                  <c:v>0.89745105310415862</c:v>
                </c:pt>
                <c:pt idx="104">
                  <c:v>0.91569577476862163</c:v>
                </c:pt>
                <c:pt idx="105">
                  <c:v>0.93394049643308474</c:v>
                </c:pt>
                <c:pt idx="106">
                  <c:v>0.95218521809754775</c:v>
                </c:pt>
                <c:pt idx="107">
                  <c:v>0.97042993976201086</c:v>
                </c:pt>
                <c:pt idx="108">
                  <c:v>0.98867466142647387</c:v>
                </c:pt>
                <c:pt idx="109">
                  <c:v>1.0069193830909369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D-47E1-B2E8-1AD6AD8DC3CD}"/>
            </c:ext>
          </c:extLst>
        </c:ser>
        <c:ser>
          <c:idx val="2"/>
          <c:order val="2"/>
          <c:tx>
            <c:strRef>
              <c:f>Tabela!$H$2</c:f>
              <c:strCache>
                <c:ptCount val="1"/>
                <c:pt idx="0">
                  <c:v>Cenário ruim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Tabela!$B$3:$B$112</c:f>
              <c:numCache>
                <c:formatCode>0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Tabela!$H$3:$H$112</c:f>
              <c:numCache>
                <c:formatCode>0.00</c:formatCode>
                <c:ptCount val="110"/>
                <c:pt idx="0">
                  <c:v>-0.9908776391677685</c:v>
                </c:pt>
                <c:pt idx="1">
                  <c:v>-0.98175527833553689</c:v>
                </c:pt>
                <c:pt idx="2">
                  <c:v>-0.97263291750330538</c:v>
                </c:pt>
                <c:pt idx="3">
                  <c:v>-0.96351055667107388</c:v>
                </c:pt>
                <c:pt idx="4">
                  <c:v>-0.95438819583884238</c:v>
                </c:pt>
                <c:pt idx="5">
                  <c:v>-0.94526583500661077</c:v>
                </c:pt>
                <c:pt idx="6">
                  <c:v>-0.93614347417437926</c:v>
                </c:pt>
                <c:pt idx="7">
                  <c:v>-0.92702111334214776</c:v>
                </c:pt>
                <c:pt idx="8">
                  <c:v>-0.91789875250991626</c:v>
                </c:pt>
                <c:pt idx="9">
                  <c:v>-0.90877639167768465</c:v>
                </c:pt>
                <c:pt idx="10">
                  <c:v>-0.89965403084545315</c:v>
                </c:pt>
                <c:pt idx="11">
                  <c:v>-0.89053167001322164</c:v>
                </c:pt>
                <c:pt idx="12">
                  <c:v>-0.88140930918099014</c:v>
                </c:pt>
                <c:pt idx="13">
                  <c:v>-0.87228694834875853</c:v>
                </c:pt>
                <c:pt idx="14">
                  <c:v>-0.86316458751652703</c:v>
                </c:pt>
                <c:pt idx="15">
                  <c:v>-0.85404222668429552</c:v>
                </c:pt>
                <c:pt idx="16">
                  <c:v>-0.84491986585206391</c:v>
                </c:pt>
                <c:pt idx="17">
                  <c:v>-0.83579750501983241</c:v>
                </c:pt>
                <c:pt idx="18">
                  <c:v>-0.82667514418760091</c:v>
                </c:pt>
                <c:pt idx="19">
                  <c:v>-0.81755278335536941</c:v>
                </c:pt>
                <c:pt idx="20">
                  <c:v>-0.80843042252313779</c:v>
                </c:pt>
                <c:pt idx="21">
                  <c:v>-0.79930806169090629</c:v>
                </c:pt>
                <c:pt idx="22">
                  <c:v>-0.79018570085867479</c:v>
                </c:pt>
                <c:pt idx="23">
                  <c:v>-0.78106334002644329</c:v>
                </c:pt>
                <c:pt idx="24">
                  <c:v>-0.77194097919421167</c:v>
                </c:pt>
                <c:pt idx="25">
                  <c:v>-0.76281861836198017</c:v>
                </c:pt>
                <c:pt idx="26">
                  <c:v>-0.75369625752974867</c:v>
                </c:pt>
                <c:pt idx="27">
                  <c:v>-0.74457389669751717</c:v>
                </c:pt>
                <c:pt idx="28">
                  <c:v>-0.73545153586528556</c:v>
                </c:pt>
                <c:pt idx="29">
                  <c:v>-0.72632917503305405</c:v>
                </c:pt>
                <c:pt idx="30">
                  <c:v>-0.71720681420082255</c:v>
                </c:pt>
                <c:pt idx="31">
                  <c:v>-0.70808445336859094</c:v>
                </c:pt>
                <c:pt idx="32">
                  <c:v>-0.69896209253635944</c:v>
                </c:pt>
                <c:pt idx="33">
                  <c:v>-0.68983973170412793</c:v>
                </c:pt>
                <c:pt idx="34">
                  <c:v>-0.68071737087189643</c:v>
                </c:pt>
                <c:pt idx="35">
                  <c:v>-0.67159501003966482</c:v>
                </c:pt>
                <c:pt idx="36">
                  <c:v>-0.66247264920743332</c:v>
                </c:pt>
                <c:pt idx="37">
                  <c:v>-0.65335028837520182</c:v>
                </c:pt>
                <c:pt idx="38">
                  <c:v>-0.64422792754297031</c:v>
                </c:pt>
                <c:pt idx="39">
                  <c:v>-0.6351055667107387</c:v>
                </c:pt>
                <c:pt idx="40">
                  <c:v>-0.6259832058785072</c:v>
                </c:pt>
                <c:pt idx="41">
                  <c:v>-0.6168608450462757</c:v>
                </c:pt>
                <c:pt idx="42">
                  <c:v>-0.60773848421404419</c:v>
                </c:pt>
                <c:pt idx="43">
                  <c:v>-0.59861612338181258</c:v>
                </c:pt>
                <c:pt idx="44">
                  <c:v>-0.58949376254958108</c:v>
                </c:pt>
                <c:pt idx="45">
                  <c:v>-0.58037140171734958</c:v>
                </c:pt>
                <c:pt idx="46">
                  <c:v>-0.57124904088511796</c:v>
                </c:pt>
                <c:pt idx="47">
                  <c:v>-0.56212668005288646</c:v>
                </c:pt>
                <c:pt idx="48">
                  <c:v>-0.55300431922065496</c:v>
                </c:pt>
                <c:pt idx="49">
                  <c:v>-0.54388195838842346</c:v>
                </c:pt>
                <c:pt idx="50">
                  <c:v>-0.53475959755619185</c:v>
                </c:pt>
                <c:pt idx="51">
                  <c:v>-0.52563723672396034</c:v>
                </c:pt>
                <c:pt idx="52">
                  <c:v>-0.51651487589172884</c:v>
                </c:pt>
                <c:pt idx="53">
                  <c:v>-0.50739251505949734</c:v>
                </c:pt>
                <c:pt idx="54">
                  <c:v>-0.49827015422726578</c:v>
                </c:pt>
                <c:pt idx="55">
                  <c:v>-0.48914779339503422</c:v>
                </c:pt>
                <c:pt idx="56">
                  <c:v>-0.48002543256280272</c:v>
                </c:pt>
                <c:pt idx="57">
                  <c:v>-0.47090307173057117</c:v>
                </c:pt>
                <c:pt idx="58">
                  <c:v>-0.46178071089833961</c:v>
                </c:pt>
                <c:pt idx="59">
                  <c:v>-0.45265835006610811</c:v>
                </c:pt>
                <c:pt idx="60">
                  <c:v>-0.44353598923387655</c:v>
                </c:pt>
                <c:pt idx="61">
                  <c:v>-0.43441362840164505</c:v>
                </c:pt>
                <c:pt idx="62">
                  <c:v>-0.42529126756941349</c:v>
                </c:pt>
                <c:pt idx="63">
                  <c:v>-0.41616890673718199</c:v>
                </c:pt>
                <c:pt idx="64">
                  <c:v>-0.40704654590495043</c:v>
                </c:pt>
                <c:pt idx="65">
                  <c:v>-0.39792418507271893</c:v>
                </c:pt>
                <c:pt idx="66">
                  <c:v>-0.38880182424048737</c:v>
                </c:pt>
                <c:pt idx="67">
                  <c:v>-0.37967946340825587</c:v>
                </c:pt>
                <c:pt idx="68">
                  <c:v>-0.37055710257602431</c:v>
                </c:pt>
                <c:pt idx="69">
                  <c:v>-0.36143474174379281</c:v>
                </c:pt>
                <c:pt idx="70">
                  <c:v>-0.35231238091156125</c:v>
                </c:pt>
                <c:pt idx="71">
                  <c:v>-0.34319002007932975</c:v>
                </c:pt>
                <c:pt idx="72">
                  <c:v>-0.33406765924709819</c:v>
                </c:pt>
                <c:pt idx="73">
                  <c:v>-0.32494529841486663</c:v>
                </c:pt>
                <c:pt idx="74">
                  <c:v>-0.31582293758263513</c:v>
                </c:pt>
                <c:pt idx="75">
                  <c:v>-0.30670057675040358</c:v>
                </c:pt>
                <c:pt idx="76">
                  <c:v>-0.29757821591817207</c:v>
                </c:pt>
                <c:pt idx="77">
                  <c:v>-0.28845585508594052</c:v>
                </c:pt>
                <c:pt idx="78">
                  <c:v>-0.27933349425370901</c:v>
                </c:pt>
                <c:pt idx="79">
                  <c:v>-0.27021113342147746</c:v>
                </c:pt>
                <c:pt idx="80">
                  <c:v>-0.26108877258924595</c:v>
                </c:pt>
                <c:pt idx="81">
                  <c:v>-0.2519664117570144</c:v>
                </c:pt>
                <c:pt idx="82">
                  <c:v>-0.24284405092478287</c:v>
                </c:pt>
                <c:pt idx="83">
                  <c:v>-0.23372169009255134</c:v>
                </c:pt>
                <c:pt idx="84">
                  <c:v>-0.22459932926031981</c:v>
                </c:pt>
                <c:pt idx="85">
                  <c:v>-0.21547696842808828</c:v>
                </c:pt>
                <c:pt idx="86">
                  <c:v>-0.20635460759585675</c:v>
                </c:pt>
                <c:pt idx="87">
                  <c:v>-0.19723224676362522</c:v>
                </c:pt>
                <c:pt idx="88">
                  <c:v>-0.18810988593139369</c:v>
                </c:pt>
                <c:pt idx="89">
                  <c:v>-0.17898752509916216</c:v>
                </c:pt>
                <c:pt idx="90">
                  <c:v>-0.16986516426693063</c:v>
                </c:pt>
                <c:pt idx="91">
                  <c:v>-0.1607428034346991</c:v>
                </c:pt>
                <c:pt idx="92">
                  <c:v>-0.15162044260246757</c:v>
                </c:pt>
                <c:pt idx="93">
                  <c:v>-0.14249808177023601</c:v>
                </c:pt>
                <c:pt idx="94">
                  <c:v>-0.13337572093800448</c:v>
                </c:pt>
                <c:pt idx="95">
                  <c:v>-0.12425336010577297</c:v>
                </c:pt>
                <c:pt idx="96">
                  <c:v>-0.11513099927354144</c:v>
                </c:pt>
                <c:pt idx="97">
                  <c:v>-0.10600863844130989</c:v>
                </c:pt>
                <c:pt idx="98">
                  <c:v>-9.6886277609078364E-2</c:v>
                </c:pt>
                <c:pt idx="99">
                  <c:v>-8.7763916776846834E-2</c:v>
                </c:pt>
                <c:pt idx="100">
                  <c:v>-7.8641555944615305E-2</c:v>
                </c:pt>
                <c:pt idx="101">
                  <c:v>-6.9519195112383775E-2</c:v>
                </c:pt>
                <c:pt idx="102">
                  <c:v>-6.0396834280152245E-2</c:v>
                </c:pt>
                <c:pt idx="103">
                  <c:v>-5.1274473447920708E-2</c:v>
                </c:pt>
                <c:pt idx="104">
                  <c:v>-4.2152112615689179E-2</c:v>
                </c:pt>
                <c:pt idx="105">
                  <c:v>-3.3029751783457649E-2</c:v>
                </c:pt>
                <c:pt idx="106">
                  <c:v>-2.3907390951226116E-2</c:v>
                </c:pt>
                <c:pt idx="107">
                  <c:v>-1.4785030118994584E-2</c:v>
                </c:pt>
                <c:pt idx="108">
                  <c:v>-5.6626692867630521E-3</c:v>
                </c:pt>
                <c:pt idx="109">
                  <c:v>3.4596915454684798E-3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D-47E1-B2E8-1AD6AD8DC3CD}"/>
            </c:ext>
          </c:extLst>
        </c:ser>
        <c:ser>
          <c:idx val="3"/>
          <c:order val="3"/>
          <c:tx>
            <c:strRef>
              <c:f>Tabela!$I$2</c:f>
              <c:strCache>
                <c:ptCount val="1"/>
                <c:pt idx="0">
                  <c:v>Selic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Tabela!$I$3:$I$112</c:f>
              <c:numCache>
                <c:formatCode>0.00</c:formatCode>
                <c:ptCount val="110"/>
                <c:pt idx="0">
                  <c:v>-0.99080000000000001</c:v>
                </c:pt>
                <c:pt idx="1">
                  <c:v>-0.98160000000000003</c:v>
                </c:pt>
                <c:pt idx="2">
                  <c:v>-0.97240000000000004</c:v>
                </c:pt>
                <c:pt idx="3">
                  <c:v>-0.96320000000000006</c:v>
                </c:pt>
                <c:pt idx="4">
                  <c:v>-0.95399999999999996</c:v>
                </c:pt>
                <c:pt idx="5">
                  <c:v>-0.94479999999999997</c:v>
                </c:pt>
                <c:pt idx="6">
                  <c:v>-0.93559999999999999</c:v>
                </c:pt>
                <c:pt idx="7">
                  <c:v>-0.9264</c:v>
                </c:pt>
                <c:pt idx="8">
                  <c:v>-0.91720000000000002</c:v>
                </c:pt>
                <c:pt idx="9">
                  <c:v>-0.90800000000000003</c:v>
                </c:pt>
                <c:pt idx="10">
                  <c:v>-0.89880000000000004</c:v>
                </c:pt>
                <c:pt idx="11">
                  <c:v>-0.88960000000000006</c:v>
                </c:pt>
                <c:pt idx="12">
                  <c:v>-0.88040000000000007</c:v>
                </c:pt>
                <c:pt idx="13">
                  <c:v>-0.87119999999999997</c:v>
                </c:pt>
                <c:pt idx="14">
                  <c:v>-0.86199999999999999</c:v>
                </c:pt>
                <c:pt idx="15">
                  <c:v>-0.8528</c:v>
                </c:pt>
                <c:pt idx="16">
                  <c:v>-0.84360000000000002</c:v>
                </c:pt>
                <c:pt idx="17">
                  <c:v>-0.83440000000000003</c:v>
                </c:pt>
                <c:pt idx="18">
                  <c:v>-0.82520000000000004</c:v>
                </c:pt>
                <c:pt idx="19">
                  <c:v>-0.81600000000000006</c:v>
                </c:pt>
                <c:pt idx="20">
                  <c:v>-0.80679999999999996</c:v>
                </c:pt>
                <c:pt idx="21">
                  <c:v>-0.79759999999999998</c:v>
                </c:pt>
                <c:pt idx="22">
                  <c:v>-0.78839999999999999</c:v>
                </c:pt>
                <c:pt idx="23">
                  <c:v>-0.7792</c:v>
                </c:pt>
                <c:pt idx="24">
                  <c:v>-0.77</c:v>
                </c:pt>
                <c:pt idx="25">
                  <c:v>-0.76080000000000003</c:v>
                </c:pt>
                <c:pt idx="26">
                  <c:v>-0.75160000000000005</c:v>
                </c:pt>
                <c:pt idx="27">
                  <c:v>-0.74240000000000006</c:v>
                </c:pt>
                <c:pt idx="28">
                  <c:v>-0.73320000000000007</c:v>
                </c:pt>
                <c:pt idx="29">
                  <c:v>-0.72400000000000009</c:v>
                </c:pt>
                <c:pt idx="30">
                  <c:v>-0.71479999999999999</c:v>
                </c:pt>
                <c:pt idx="31">
                  <c:v>-0.7056</c:v>
                </c:pt>
                <c:pt idx="32">
                  <c:v>-0.69640000000000002</c:v>
                </c:pt>
                <c:pt idx="33">
                  <c:v>-0.68720000000000003</c:v>
                </c:pt>
                <c:pt idx="34">
                  <c:v>-0.67800000000000005</c:v>
                </c:pt>
                <c:pt idx="35">
                  <c:v>-0.66880000000000006</c:v>
                </c:pt>
                <c:pt idx="36">
                  <c:v>-0.65959999999999996</c:v>
                </c:pt>
                <c:pt idx="37">
                  <c:v>-0.65039999999999998</c:v>
                </c:pt>
                <c:pt idx="38">
                  <c:v>-0.64119999999999999</c:v>
                </c:pt>
                <c:pt idx="39">
                  <c:v>-0.63200000000000001</c:v>
                </c:pt>
                <c:pt idx="40">
                  <c:v>-0.62280000000000002</c:v>
                </c:pt>
                <c:pt idx="41">
                  <c:v>-0.61360000000000003</c:v>
                </c:pt>
                <c:pt idx="42">
                  <c:v>-0.60440000000000005</c:v>
                </c:pt>
                <c:pt idx="43">
                  <c:v>-0.59520000000000006</c:v>
                </c:pt>
                <c:pt idx="44">
                  <c:v>-0.58599999999999997</c:v>
                </c:pt>
                <c:pt idx="45">
                  <c:v>-0.57679999999999998</c:v>
                </c:pt>
                <c:pt idx="46">
                  <c:v>-0.56759999999999999</c:v>
                </c:pt>
                <c:pt idx="47">
                  <c:v>-0.55840000000000001</c:v>
                </c:pt>
                <c:pt idx="48">
                  <c:v>-0.54920000000000002</c:v>
                </c:pt>
                <c:pt idx="49">
                  <c:v>-0.54</c:v>
                </c:pt>
                <c:pt idx="50">
                  <c:v>-0.53080000000000005</c:v>
                </c:pt>
                <c:pt idx="51">
                  <c:v>-0.52160000000000006</c:v>
                </c:pt>
                <c:pt idx="52">
                  <c:v>-0.51240000000000008</c:v>
                </c:pt>
                <c:pt idx="53">
                  <c:v>-0.50319999999999998</c:v>
                </c:pt>
                <c:pt idx="54">
                  <c:v>-0.49400000000000005</c:v>
                </c:pt>
                <c:pt idx="55">
                  <c:v>-0.48480000000000006</c:v>
                </c:pt>
                <c:pt idx="56">
                  <c:v>-0.47560000000000008</c:v>
                </c:pt>
                <c:pt idx="57">
                  <c:v>-0.46640000000000004</c:v>
                </c:pt>
                <c:pt idx="58">
                  <c:v>-0.45720000000000005</c:v>
                </c:pt>
                <c:pt idx="59">
                  <c:v>-0.44800000000000006</c:v>
                </c:pt>
                <c:pt idx="60">
                  <c:v>-0.43880000000000008</c:v>
                </c:pt>
                <c:pt idx="61">
                  <c:v>-0.42959999999999998</c:v>
                </c:pt>
                <c:pt idx="62">
                  <c:v>-0.42040000000000005</c:v>
                </c:pt>
                <c:pt idx="63">
                  <c:v>-0.41120000000000007</c:v>
                </c:pt>
                <c:pt idx="64">
                  <c:v>-0.40199999999999997</c:v>
                </c:pt>
                <c:pt idx="65">
                  <c:v>-0.39279999999999998</c:v>
                </c:pt>
                <c:pt idx="66">
                  <c:v>-0.3836</c:v>
                </c:pt>
                <c:pt idx="67">
                  <c:v>-0.37440000000000007</c:v>
                </c:pt>
                <c:pt idx="68">
                  <c:v>-0.36520000000000008</c:v>
                </c:pt>
                <c:pt idx="69">
                  <c:v>-0.35600000000000009</c:v>
                </c:pt>
                <c:pt idx="70">
                  <c:v>-0.34680000000000011</c:v>
                </c:pt>
                <c:pt idx="71">
                  <c:v>-0.33760000000000012</c:v>
                </c:pt>
                <c:pt idx="72">
                  <c:v>-0.32839999999999997</c:v>
                </c:pt>
                <c:pt idx="73">
                  <c:v>-0.31919999999999998</c:v>
                </c:pt>
                <c:pt idx="74">
                  <c:v>-0.31</c:v>
                </c:pt>
                <c:pt idx="75">
                  <c:v>-0.30080000000000001</c:v>
                </c:pt>
                <c:pt idx="76">
                  <c:v>-0.29160000000000003</c:v>
                </c:pt>
                <c:pt idx="77">
                  <c:v>-0.2824000000000001</c:v>
                </c:pt>
                <c:pt idx="78">
                  <c:v>-0.27320000000000011</c:v>
                </c:pt>
                <c:pt idx="79">
                  <c:v>-0.26400000000000012</c:v>
                </c:pt>
                <c:pt idx="80">
                  <c:v>-0.25480000000000014</c:v>
                </c:pt>
                <c:pt idx="81">
                  <c:v>-0.24560000000000001</c:v>
                </c:pt>
                <c:pt idx="82">
                  <c:v>-0.23640000000000003</c:v>
                </c:pt>
                <c:pt idx="83">
                  <c:v>-0.22720000000000004</c:v>
                </c:pt>
                <c:pt idx="84">
                  <c:v>-0.21800000000000005</c:v>
                </c:pt>
                <c:pt idx="85">
                  <c:v>-0.20880000000000007</c:v>
                </c:pt>
                <c:pt idx="86">
                  <c:v>-0.19960000000000008</c:v>
                </c:pt>
                <c:pt idx="87">
                  <c:v>-0.1904000000000001</c:v>
                </c:pt>
                <c:pt idx="88">
                  <c:v>-0.18120000000000011</c:v>
                </c:pt>
                <c:pt idx="89">
                  <c:v>-0.17199999999999999</c:v>
                </c:pt>
                <c:pt idx="90">
                  <c:v>-0.1628</c:v>
                </c:pt>
                <c:pt idx="91">
                  <c:v>-0.15360000000000004</c:v>
                </c:pt>
                <c:pt idx="92">
                  <c:v>-0.14440000000000006</c:v>
                </c:pt>
                <c:pt idx="93">
                  <c:v>-0.13520000000000007</c:v>
                </c:pt>
                <c:pt idx="94">
                  <c:v>-0.12600000000000008</c:v>
                </c:pt>
                <c:pt idx="95">
                  <c:v>-0.1168000000000001</c:v>
                </c:pt>
                <c:pt idx="96">
                  <c:v>-0.10760000000000011</c:v>
                </c:pt>
                <c:pt idx="97">
                  <c:v>-9.8400000000000126E-2</c:v>
                </c:pt>
                <c:pt idx="98">
                  <c:v>-8.9200000000000015E-2</c:v>
                </c:pt>
                <c:pt idx="99">
                  <c:v>-8.0000000000000029E-2</c:v>
                </c:pt>
                <c:pt idx="100">
                  <c:v>-7.0800000000000043E-2</c:v>
                </c:pt>
                <c:pt idx="101">
                  <c:v>-6.1600000000000057E-2</c:v>
                </c:pt>
                <c:pt idx="102">
                  <c:v>-5.2400000000000078E-2</c:v>
                </c:pt>
                <c:pt idx="103">
                  <c:v>-4.3200000000000092E-2</c:v>
                </c:pt>
                <c:pt idx="104">
                  <c:v>-3.4000000000000107E-2</c:v>
                </c:pt>
                <c:pt idx="105">
                  <c:v>-2.4800000000000124E-2</c:v>
                </c:pt>
                <c:pt idx="106">
                  <c:v>-1.5600000000000008E-2</c:v>
                </c:pt>
                <c:pt idx="107">
                  <c:v>-6.4000000000000237E-3</c:v>
                </c:pt>
                <c:pt idx="108">
                  <c:v>2.7999999999999605E-3</c:v>
                </c:pt>
                <c:pt idx="109">
                  <c:v>1.1999999999999945E-2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056D-47E1-B2E8-1AD6AD8D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57440"/>
        <c:axId val="376544232"/>
      </c:lineChart>
      <c:catAx>
        <c:axId val="1366574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544232"/>
        <c:crosses val="autoZero"/>
        <c:auto val="1"/>
        <c:lblAlgn val="ctr"/>
        <c:lblOffset val="100"/>
        <c:noMultiLvlLbl val="0"/>
      </c:catAx>
      <c:valAx>
        <c:axId val="37654423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1062958</xdr:colOff>
      <xdr:row>0</xdr:row>
      <xdr:rowOff>0</xdr:rowOff>
    </xdr:from>
    <xdr:to>
      <xdr:col>1</xdr:col>
      <xdr:colOff>2209160</xdr:colOff>
      <xdr:row>1</xdr:row>
      <xdr:rowOff>14599</xdr:rowOff>
    </xdr:to>
    <xdr:pic>
      <xdr:nvPicPr>
        <xdr:cNvPr id="3" name="Imagem 2" descr="logo senai(1) | Desenvolve Itapevi">
          <a:extLst>
            <a:ext uri="{FF2B5EF4-FFF2-40B4-BE49-F238E27FC236}">
              <a16:creationId xmlns:a16="http://schemas.microsoft.com/office/drawing/2014/main" id="{D741E4AC-1736-1E18-16C3-53E44F0D1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83" b="31397"/>
        <a:stretch/>
      </xdr:blipFill>
      <xdr:spPr bwMode="auto">
        <a:xfrm>
          <a:off x="4066134" y="0"/>
          <a:ext cx="1146202" cy="379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9</xdr:row>
      <xdr:rowOff>22860</xdr:rowOff>
    </xdr:from>
    <xdr:to>
      <xdr:col>20</xdr:col>
      <xdr:colOff>464820</xdr:colOff>
      <xdr:row>36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DFDE7D-CA87-6913-4E9F-FD3F49962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Faculdade\ADS\GitHub\3Sem\PI\Financeiro2.xlsx" TargetMode="External"/><Relationship Id="rId1" Type="http://schemas.openxmlformats.org/officeDocument/2006/relationships/externalLinkPath" Target="file:///D:\Downloads\Faculdade\ADS\GitHub\3Sem\PI\Financeir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O"/>
      <sheetName val="ROI e Break Even"/>
    </sheetNames>
    <sheetDataSet>
      <sheetData sheetId="0">
        <row r="27">
          <cell r="G27">
            <v>109620.74603174602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07588-2141-44B5-AB83-6375D7C8BBFD}" name="ROI" displayName="ROI" ref="B2:I112" totalsRowShown="0" headerRowDxfId="13" dataDxfId="11" headerRowBorderDxfId="12" tableBorderDxfId="10">
  <tableColumns count="8">
    <tableColumn id="8" xr3:uid="{D1C14912-2F46-49BA-B174-2D4E6F797ACC}" name="Índice" dataDxfId="9"/>
    <tableColumn id="1" xr3:uid="{2A0F9102-BB9C-4EB1-BA40-6E9F1B6302CF}" name="Ano" dataDxfId="8"/>
    <tableColumn id="2" xr3:uid="{961C9619-80D4-4D3E-AA04-AB8505F79F5F}" name="Mês" dataDxfId="7"/>
    <tableColumn id="6" xr3:uid="{E0D18A1C-5B43-4660-AE79-FA08D58A94B9}" name="TCO" dataDxfId="6" dataCellStyle="Moeda"/>
    <tableColumn id="3" xr3:uid="{1497BD93-D27E-406E-86C7-1006E1323C6E}" name="Cenário Ótimo" dataDxfId="5">
      <calculatedColumnFormula>(((aluno_ótimo*Mensalidade*Taxa)*ROI[[#This Row],[Índice]])-TCO)/TCO</calculatedColumnFormula>
    </tableColumn>
    <tableColumn id="4" xr3:uid="{6942C67F-771B-4553-B9FB-AEC3999E2BDC}" name="Cenário bom" dataDxfId="4">
      <calculatedColumnFormula>(((aluno_bom*Mensalidade*Taxa)*ROI[[#This Row],[Índice]])-TCO)/TCO</calculatedColumnFormula>
    </tableColumn>
    <tableColumn id="5" xr3:uid="{E7A6D741-29E2-4FE7-A51B-3CAF14B51E5E}" name="Cenário ruim" dataDxfId="3">
      <calculatedColumnFormula>(((aluno_ruim*Mensalidade*Taxa)*ROI[[#This Row],[Índice]])-TCO)/TCO</calculatedColumnFormula>
    </tableColumn>
    <tableColumn id="9" xr3:uid="{A3753430-FB12-4841-9731-EB5B9226EEA1}" name="Selic" dataDxfId="2">
      <calculatedColumnFormula>((selic*TCO*ROI[[#This Row],[Índice]])-TCO)/TCO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EC1F-DE5B-49C4-96AA-20DC9BB21F4A}">
  <dimension ref="A1:I25"/>
  <sheetViews>
    <sheetView showGridLines="0" tabSelected="1" topLeftCell="A30" zoomScale="94" zoomScaleNormal="96" workbookViewId="0">
      <selection activeCell="B12" sqref="B12"/>
    </sheetView>
  </sheetViews>
  <sheetFormatPr defaultColWidth="8.88671875" defaultRowHeight="14.4" outlineLevelRow="1" x14ac:dyDescent="0.3"/>
  <cols>
    <col min="1" max="1" width="45.88671875" style="1" bestFit="1" customWidth="1"/>
    <col min="2" max="2" width="56.44140625" style="1" bestFit="1" customWidth="1"/>
    <col min="3" max="3" width="14" style="1" bestFit="1" customWidth="1"/>
    <col min="4" max="4" width="30.77734375" style="1" bestFit="1" customWidth="1"/>
    <col min="5" max="5" width="26.88671875" style="1" bestFit="1" customWidth="1"/>
    <col min="6" max="6" width="25.21875" style="1" bestFit="1" customWidth="1"/>
    <col min="7" max="7" width="3.77734375" style="1" customWidth="1"/>
    <col min="8" max="16384" width="8.88671875" style="1"/>
  </cols>
  <sheetData>
    <row r="1" spans="1:9" ht="28.8" x14ac:dyDescent="0.3">
      <c r="A1" s="54" t="str">
        <f ca="1">"TCO - " &amp; TEXT(TODAY(),"DD/MM/YY")</f>
        <v>TCO - 15/11/24</v>
      </c>
      <c r="B1" s="55"/>
      <c r="C1" s="55"/>
      <c r="D1" s="55"/>
      <c r="E1" s="55"/>
      <c r="F1" s="56"/>
    </row>
    <row r="2" spans="1:9" s="42" customFormat="1" ht="18" x14ac:dyDescent="0.3">
      <c r="A2" s="50" t="s">
        <v>45</v>
      </c>
      <c r="B2" s="49" t="s">
        <v>10</v>
      </c>
      <c r="C2" s="49" t="s">
        <v>11</v>
      </c>
      <c r="D2" s="49" t="s">
        <v>12</v>
      </c>
      <c r="E2" s="49" t="s">
        <v>19</v>
      </c>
      <c r="F2" s="51" t="s">
        <v>20</v>
      </c>
    </row>
    <row r="3" spans="1:9" ht="18" x14ac:dyDescent="0.3">
      <c r="A3" s="50" t="s">
        <v>43</v>
      </c>
      <c r="B3" s="47" t="str">
        <f>"Quantidade de itens: " &amp;COUNTA(B4:B7)</f>
        <v>Quantidade de itens: 4</v>
      </c>
      <c r="C3" s="52">
        <v>2</v>
      </c>
      <c r="D3" s="48">
        <f t="shared" ref="D3:F3" si="0">SUM(D4:D7)</f>
        <v>0</v>
      </c>
      <c r="E3" s="48">
        <f t="shared" si="0"/>
        <v>0</v>
      </c>
      <c r="F3" s="48">
        <f t="shared" si="0"/>
        <v>105.22222222222223</v>
      </c>
      <c r="I3"/>
    </row>
    <row r="4" spans="1:9" ht="15.6" outlineLevel="1" x14ac:dyDescent="0.3">
      <c r="A4" s="43"/>
      <c r="B4" s="44" t="s">
        <v>4</v>
      </c>
      <c r="C4" s="52">
        <v>0</v>
      </c>
      <c r="D4" s="46" t="s">
        <v>18</v>
      </c>
      <c r="E4" s="46" t="s">
        <v>18</v>
      </c>
      <c r="F4" s="53">
        <v>65</v>
      </c>
      <c r="I4"/>
    </row>
    <row r="5" spans="1:9" ht="15.6" outlineLevel="1" x14ac:dyDescent="0.3">
      <c r="A5" s="45"/>
      <c r="B5" s="44" t="s">
        <v>3</v>
      </c>
      <c r="C5" s="52">
        <v>0</v>
      </c>
      <c r="D5" s="46" t="s">
        <v>18</v>
      </c>
      <c r="E5" s="46" t="s">
        <v>18</v>
      </c>
      <c r="F5" s="53">
        <v>8</v>
      </c>
    </row>
    <row r="6" spans="1:9" ht="15.6" outlineLevel="1" x14ac:dyDescent="0.3">
      <c r="A6" s="45"/>
      <c r="B6" s="44" t="s">
        <v>1</v>
      </c>
      <c r="C6" s="52">
        <v>0</v>
      </c>
      <c r="D6" s="46" t="s">
        <v>18</v>
      </c>
      <c r="E6" s="46" t="s">
        <v>18</v>
      </c>
      <c r="F6" s="53">
        <v>5</v>
      </c>
    </row>
    <row r="7" spans="1:9" ht="15.6" outlineLevel="1" x14ac:dyDescent="0.3">
      <c r="A7" s="45"/>
      <c r="B7" s="44" t="s">
        <v>2</v>
      </c>
      <c r="C7" s="52">
        <v>0</v>
      </c>
      <c r="D7" s="46" t="s">
        <v>18</v>
      </c>
      <c r="E7" s="46" t="s">
        <v>18</v>
      </c>
      <c r="F7" s="46">
        <f>(2800+2800+10000+2000+2000)/(30*24)</f>
        <v>27.222222222222221</v>
      </c>
    </row>
    <row r="8" spans="1:9" ht="18" x14ac:dyDescent="0.3">
      <c r="A8" s="50" t="s">
        <v>44</v>
      </c>
      <c r="B8" s="32" t="str">
        <f>"Quantidade de itens: " &amp;COUNTA(B9)</f>
        <v>Quantidade de itens: 1</v>
      </c>
      <c r="C8" s="52">
        <f>SUM(C9)</f>
        <v>0</v>
      </c>
      <c r="D8" s="33">
        <f t="shared" ref="D8:E8" si="1">SUM(D9)</f>
        <v>0</v>
      </c>
      <c r="E8" s="33">
        <f t="shared" si="1"/>
        <v>833</v>
      </c>
      <c r="F8" s="33">
        <f>SUM(F9)</f>
        <v>317.33333333333331</v>
      </c>
    </row>
    <row r="9" spans="1:9" ht="15.6" outlineLevel="1" x14ac:dyDescent="0.3">
      <c r="A9" s="36"/>
      <c r="B9" s="44" t="s">
        <v>5</v>
      </c>
      <c r="C9" s="52" t="s">
        <v>18</v>
      </c>
      <c r="D9" s="46" t="s">
        <v>18</v>
      </c>
      <c r="E9" s="46">
        <v>833</v>
      </c>
      <c r="F9" s="46">
        <f>F5/21*E9</f>
        <v>317.33333333333331</v>
      </c>
    </row>
    <row r="10" spans="1:9" ht="18" x14ac:dyDescent="0.3">
      <c r="A10" s="50" t="s">
        <v>27</v>
      </c>
      <c r="B10" s="32" t="str">
        <f>"Quantidade de itens: " &amp;COUNTA(B11:B12)</f>
        <v>Quantidade de itens: 2</v>
      </c>
      <c r="C10" s="52">
        <f>SUM(C11:C12)</f>
        <v>0</v>
      </c>
      <c r="D10" s="33">
        <f>SUM(D11:D12)</f>
        <v>0</v>
      </c>
      <c r="E10" s="33">
        <f>SUM(E11:E12)</f>
        <v>22866.666666666664</v>
      </c>
      <c r="F10" s="33">
        <f>SUM(F11:F12)</f>
        <v>28311.111111111109</v>
      </c>
    </row>
    <row r="11" spans="1:9" ht="15.6" outlineLevel="1" x14ac:dyDescent="0.3">
      <c r="A11" s="34"/>
      <c r="B11" s="44" t="s">
        <v>6</v>
      </c>
      <c r="C11" s="52" t="s">
        <v>18</v>
      </c>
      <c r="D11" s="46" t="s">
        <v>18</v>
      </c>
      <c r="E11" s="46" t="s">
        <v>18</v>
      </c>
      <c r="F11" s="46">
        <f>5*$F$5*$F$6*$F$7</f>
        <v>5444.4444444444443</v>
      </c>
    </row>
    <row r="12" spans="1:9" ht="15.6" outlineLevel="1" x14ac:dyDescent="0.3">
      <c r="A12" s="35"/>
      <c r="B12" s="44" t="s">
        <v>7</v>
      </c>
      <c r="C12" s="52" t="s">
        <v>18</v>
      </c>
      <c r="D12" s="46" t="s">
        <v>18</v>
      </c>
      <c r="E12" s="46">
        <f>21*$F$5*$F$6*$F$7</f>
        <v>22866.666666666664</v>
      </c>
      <c r="F12" s="46">
        <f>21*$F$5*$F$6*$F$7</f>
        <v>22866.666666666664</v>
      </c>
    </row>
    <row r="13" spans="1:9" ht="18" x14ac:dyDescent="0.3">
      <c r="A13" s="50" t="s">
        <v>28</v>
      </c>
      <c r="B13" s="32" t="str">
        <f>"Quantidade de itens: " &amp;COUNTA(B14:B21)</f>
        <v>Quantidade de itens: 8</v>
      </c>
      <c r="C13" s="52">
        <f>SUM(C14:C15)</f>
        <v>10</v>
      </c>
      <c r="D13" s="33">
        <f>SUM(D14:D22)</f>
        <v>628.92000000000007</v>
      </c>
      <c r="E13" s="33">
        <f>SUM(E14:E22)</f>
        <v>2569.6</v>
      </c>
      <c r="F13" s="33">
        <f>SUM(F14:F22)</f>
        <v>12875.191534391535</v>
      </c>
    </row>
    <row r="14" spans="1:9" ht="15.6" x14ac:dyDescent="0.3">
      <c r="A14" s="39"/>
      <c r="B14" s="44" t="s">
        <v>21</v>
      </c>
      <c r="C14" s="52">
        <v>5</v>
      </c>
      <c r="D14" s="46">
        <v>40</v>
      </c>
      <c r="E14" s="46">
        <f>D14*C14</f>
        <v>200</v>
      </c>
      <c r="F14" s="46">
        <f>$F$3/21*E14</f>
        <v>1002.1164021164022</v>
      </c>
    </row>
    <row r="15" spans="1:9" ht="15.6" x14ac:dyDescent="0.3">
      <c r="A15" s="35"/>
      <c r="B15" s="44" t="s">
        <v>13</v>
      </c>
      <c r="C15" s="52">
        <v>5</v>
      </c>
      <c r="D15" s="46">
        <v>30</v>
      </c>
      <c r="E15" s="46">
        <f t="shared" ref="E15:E21" si="2">D15*C15</f>
        <v>150</v>
      </c>
      <c r="F15" s="46">
        <f t="shared" ref="F15:F21" si="3">$F$3/21*E15</f>
        <v>751.58730158730168</v>
      </c>
    </row>
    <row r="16" spans="1:9" ht="15.6" x14ac:dyDescent="0.3">
      <c r="A16" s="35"/>
      <c r="B16" s="44" t="s">
        <v>17</v>
      </c>
      <c r="C16" s="52">
        <v>5</v>
      </c>
      <c r="D16" s="46">
        <v>20</v>
      </c>
      <c r="E16" s="46">
        <f t="shared" si="2"/>
        <v>100</v>
      </c>
      <c r="F16" s="46">
        <f t="shared" si="3"/>
        <v>501.05820105820112</v>
      </c>
    </row>
    <row r="17" spans="1:6" ht="15.6" x14ac:dyDescent="0.3">
      <c r="A17" s="35"/>
      <c r="B17" s="44" t="s">
        <v>15</v>
      </c>
      <c r="C17" s="52">
        <v>1</v>
      </c>
      <c r="D17" s="46">
        <v>50</v>
      </c>
      <c r="E17" s="46">
        <f t="shared" si="2"/>
        <v>50</v>
      </c>
      <c r="F17" s="46">
        <f t="shared" si="3"/>
        <v>250.52910052910056</v>
      </c>
    </row>
    <row r="18" spans="1:6" ht="15.6" x14ac:dyDescent="0.3">
      <c r="A18" s="35"/>
      <c r="B18" s="44" t="s">
        <v>16</v>
      </c>
      <c r="C18" s="52">
        <v>1</v>
      </c>
      <c r="D18" s="46">
        <v>100</v>
      </c>
      <c r="E18" s="46">
        <f t="shared" si="2"/>
        <v>100</v>
      </c>
      <c r="F18" s="46">
        <f t="shared" si="3"/>
        <v>501.05820105820112</v>
      </c>
    </row>
    <row r="19" spans="1:6" ht="15.6" x14ac:dyDescent="0.3">
      <c r="A19" s="35"/>
      <c r="B19" s="44" t="s">
        <v>23</v>
      </c>
      <c r="C19" s="52">
        <v>5</v>
      </c>
      <c r="D19" s="46">
        <v>50</v>
      </c>
      <c r="E19" s="46">
        <f t="shared" si="2"/>
        <v>250</v>
      </c>
      <c r="F19" s="46">
        <f t="shared" si="3"/>
        <v>1252.6455026455028</v>
      </c>
    </row>
    <row r="20" spans="1:6" ht="15.6" x14ac:dyDescent="0.3">
      <c r="A20" s="35"/>
      <c r="B20" s="44" t="s">
        <v>14</v>
      </c>
      <c r="C20" s="52">
        <v>6</v>
      </c>
      <c r="D20" s="46">
        <v>25</v>
      </c>
      <c r="E20" s="46">
        <f t="shared" si="2"/>
        <v>150</v>
      </c>
      <c r="F20" s="46">
        <f t="shared" si="3"/>
        <v>751.58730158730168</v>
      </c>
    </row>
    <row r="21" spans="1:6" ht="15.6" x14ac:dyDescent="0.3">
      <c r="A21" s="35"/>
      <c r="B21" s="44" t="s">
        <v>22</v>
      </c>
      <c r="C21" s="52">
        <v>5</v>
      </c>
      <c r="D21" s="46">
        <v>33.92</v>
      </c>
      <c r="E21" s="46">
        <f t="shared" si="2"/>
        <v>169.60000000000002</v>
      </c>
      <c r="F21" s="46">
        <f t="shared" si="3"/>
        <v>849.79470899470925</v>
      </c>
    </row>
    <row r="22" spans="1:6" ht="18" x14ac:dyDescent="0.3">
      <c r="A22" s="50" t="s">
        <v>24</v>
      </c>
      <c r="B22" s="32" t="str">
        <f>"Quantidade de itens: " &amp;COUNTA(B23:B24)</f>
        <v>Quantidade de itens: 2</v>
      </c>
      <c r="C22" s="52">
        <f>SUM(C23:C24)</f>
        <v>10</v>
      </c>
      <c r="D22" s="33">
        <f>SUM(D23:D24)</f>
        <v>280</v>
      </c>
      <c r="E22" s="33">
        <f>SUM(E23:E24)</f>
        <v>1400</v>
      </c>
      <c r="F22" s="33">
        <f>SUM(F23:F24)</f>
        <v>7014.8148148148157</v>
      </c>
    </row>
    <row r="23" spans="1:6" ht="15.6" outlineLevel="1" x14ac:dyDescent="0.3">
      <c r="A23" s="40"/>
      <c r="B23" s="44" t="s">
        <v>25</v>
      </c>
      <c r="C23" s="52">
        <v>5</v>
      </c>
      <c r="D23" s="46">
        <v>250</v>
      </c>
      <c r="E23" s="46">
        <f>D23*C23</f>
        <v>1250</v>
      </c>
      <c r="F23" s="46">
        <f>$F$3/21*E23</f>
        <v>6263.2275132275136</v>
      </c>
    </row>
    <row r="24" spans="1:6" ht="15.6" outlineLevel="1" x14ac:dyDescent="0.3">
      <c r="A24" s="35"/>
      <c r="B24" s="44" t="s">
        <v>26</v>
      </c>
      <c r="C24" s="52">
        <v>5</v>
      </c>
      <c r="D24" s="46">
        <v>30</v>
      </c>
      <c r="E24" s="46">
        <f>D24*C24</f>
        <v>150</v>
      </c>
      <c r="F24" s="46">
        <f>$F$3/21*E24</f>
        <v>751.58730158730168</v>
      </c>
    </row>
    <row r="25" spans="1:6" ht="18" x14ac:dyDescent="0.3">
      <c r="A25" s="50" t="str">
        <f>"Total Geral: " &amp; TEXT(ROUNDUP(F25,2),"R$ #,##0.00")</f>
        <v>Total Geral: R$ 138639,13000</v>
      </c>
      <c r="B25" s="37" t="s">
        <v>18</v>
      </c>
      <c r="C25" s="37"/>
      <c r="D25" s="38"/>
      <c r="E25" s="41">
        <f>CustoMensalEquipamentosEManutencao+CustoMensalInfraestruturaEFerramentas+CustoMensalTreinamentoEImplementacao+CustoMensalOperacionalEManutencao+CustoMensalDesenvolvimento</f>
        <v>27669.266666666663</v>
      </c>
      <c r="F25" s="38">
        <f>$F$3/21*E25</f>
        <v>138639.12980599646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BFA2-4275-4D26-AA50-B2947AEB4EB0}">
  <dimension ref="B1:I113"/>
  <sheetViews>
    <sheetView showGridLines="0" workbookViewId="0">
      <selection activeCell="H3" sqref="H3"/>
    </sheetView>
  </sheetViews>
  <sheetFormatPr defaultColWidth="8.88671875" defaultRowHeight="14.4" x14ac:dyDescent="0.3"/>
  <cols>
    <col min="1" max="1" width="1" style="1" customWidth="1"/>
    <col min="2" max="2" width="6.109375" style="1" bestFit="1" customWidth="1"/>
    <col min="3" max="3" width="5" style="1" bestFit="1" customWidth="1"/>
    <col min="4" max="4" width="4.5546875" style="1" bestFit="1" customWidth="1"/>
    <col min="5" max="5" width="14.109375" style="1" bestFit="1" customWidth="1"/>
    <col min="6" max="6" width="13.21875" style="1" bestFit="1" customWidth="1"/>
    <col min="7" max="8" width="11.77734375" style="1" bestFit="1" customWidth="1"/>
    <col min="9" max="9" width="7.109375" style="1" bestFit="1" customWidth="1"/>
    <col min="10" max="16384" width="8.88671875" style="1"/>
  </cols>
  <sheetData>
    <row r="1" spans="2:9" ht="4.8" customHeight="1" thickBot="1" x14ac:dyDescent="0.35"/>
    <row r="2" spans="2:9" s="2" customFormat="1" ht="15" thickBot="1" x14ac:dyDescent="0.35">
      <c r="B2" s="31" t="s">
        <v>42</v>
      </c>
      <c r="C2" s="3" t="s">
        <v>9</v>
      </c>
      <c r="D2" s="3" t="s">
        <v>8</v>
      </c>
      <c r="E2" s="3" t="s">
        <v>0</v>
      </c>
      <c r="F2" s="26" t="s">
        <v>36</v>
      </c>
      <c r="G2" s="26" t="s">
        <v>40</v>
      </c>
      <c r="H2" s="26" t="s">
        <v>41</v>
      </c>
      <c r="I2" s="4" t="s">
        <v>39</v>
      </c>
    </row>
    <row r="3" spans="2:9" x14ac:dyDescent="0.3">
      <c r="B3" s="29">
        <v>1</v>
      </c>
      <c r="C3" s="27">
        <v>2024</v>
      </c>
      <c r="D3" s="7">
        <v>1</v>
      </c>
      <c r="E3" s="28">
        <v>109620.74603174602</v>
      </c>
      <c r="F3" s="30">
        <f>(((aluno_ótimo*Mensalidade*Taxa)*ROI[[#This Row],[Índice]])-TCO)/TCO</f>
        <v>-0.96351055667107388</v>
      </c>
      <c r="G3" s="30">
        <f>(((aluno_bom*Mensalidade*Taxa)*ROI[[#This Row],[Índice]])-TCO)/TCO</f>
        <v>-0.98175527833553689</v>
      </c>
      <c r="H3" s="30">
        <f>(((aluno_ruim*Mensalidade*Taxa)*ROI[[#This Row],[Índice]])-TCO)/TCO</f>
        <v>-0.9908776391677685</v>
      </c>
      <c r="I3" s="30">
        <f>((selic*TCO*ROI[[#This Row],[Índice]])-TCO)/TCO</f>
        <v>-0.99080000000000001</v>
      </c>
    </row>
    <row r="4" spans="2:9" x14ac:dyDescent="0.3">
      <c r="B4" s="29">
        <v>2</v>
      </c>
      <c r="C4" s="27">
        <v>2024</v>
      </c>
      <c r="D4" s="7">
        <v>2</v>
      </c>
      <c r="E4" s="28">
        <v>109620.74603174602</v>
      </c>
      <c r="F4" s="30">
        <f>(((aluno_ótimo*Mensalidade*Taxa)*ROI[[#This Row],[Índice]])-TCO)/TCO</f>
        <v>-0.92702111334214776</v>
      </c>
      <c r="G4" s="30">
        <f>(((aluno_bom*Mensalidade*Taxa)*ROI[[#This Row],[Índice]])-TCO)/TCO</f>
        <v>-0.96351055667107388</v>
      </c>
      <c r="H4" s="30">
        <f>(((aluno_ruim*Mensalidade*Taxa)*ROI[[#This Row],[Índice]])-TCO)/TCO</f>
        <v>-0.98175527833553689</v>
      </c>
      <c r="I4" s="30">
        <f>((selic*TCO*ROI[[#This Row],[Índice]])-TCO)/TCO</f>
        <v>-0.98160000000000003</v>
      </c>
    </row>
    <row r="5" spans="2:9" x14ac:dyDescent="0.3">
      <c r="B5" s="29">
        <v>3</v>
      </c>
      <c r="C5" s="27">
        <v>2024</v>
      </c>
      <c r="D5" s="7">
        <v>3</v>
      </c>
      <c r="E5" s="28">
        <v>109620.74603174602</v>
      </c>
      <c r="F5" s="30">
        <f>(((aluno_ótimo*Mensalidade*Taxa)*ROI[[#This Row],[Índice]])-TCO)/TCO</f>
        <v>-0.89053167001322164</v>
      </c>
      <c r="G5" s="30">
        <f>(((aluno_bom*Mensalidade*Taxa)*ROI[[#This Row],[Índice]])-TCO)/TCO</f>
        <v>-0.94526583500661077</v>
      </c>
      <c r="H5" s="30">
        <f>(((aluno_ruim*Mensalidade*Taxa)*ROI[[#This Row],[Índice]])-TCO)/TCO</f>
        <v>-0.97263291750330538</v>
      </c>
      <c r="I5" s="30">
        <f>((selic*TCO*ROI[[#This Row],[Índice]])-TCO)/TCO</f>
        <v>-0.97240000000000004</v>
      </c>
    </row>
    <row r="6" spans="2:9" x14ac:dyDescent="0.3">
      <c r="B6" s="29">
        <v>4</v>
      </c>
      <c r="C6" s="27">
        <v>2024</v>
      </c>
      <c r="D6" s="7">
        <v>4</v>
      </c>
      <c r="E6" s="28">
        <v>109620.74603174602</v>
      </c>
      <c r="F6" s="30">
        <f>(((aluno_ótimo*Mensalidade*Taxa)*ROI[[#This Row],[Índice]])-TCO)/TCO</f>
        <v>-0.85404222668429552</v>
      </c>
      <c r="G6" s="30">
        <f>(((aluno_bom*Mensalidade*Taxa)*ROI[[#This Row],[Índice]])-TCO)/TCO</f>
        <v>-0.92702111334214776</v>
      </c>
      <c r="H6" s="30">
        <f>(((aluno_ruim*Mensalidade*Taxa)*ROI[[#This Row],[Índice]])-TCO)/TCO</f>
        <v>-0.96351055667107388</v>
      </c>
      <c r="I6" s="30">
        <f>((selic*TCO*ROI[[#This Row],[Índice]])-TCO)/TCO</f>
        <v>-0.96320000000000006</v>
      </c>
    </row>
    <row r="7" spans="2:9" x14ac:dyDescent="0.3">
      <c r="B7" s="29">
        <v>5</v>
      </c>
      <c r="C7" s="27">
        <v>2024</v>
      </c>
      <c r="D7" s="7">
        <v>5</v>
      </c>
      <c r="E7" s="28">
        <v>109620.74603174602</v>
      </c>
      <c r="F7" s="30">
        <f>(((aluno_ótimo*Mensalidade*Taxa)*ROI[[#This Row],[Índice]])-TCO)/TCO</f>
        <v>-0.81755278335536941</v>
      </c>
      <c r="G7" s="30">
        <f>(((aluno_bom*Mensalidade*Taxa)*ROI[[#This Row],[Índice]])-TCO)/TCO</f>
        <v>-0.90877639167768465</v>
      </c>
      <c r="H7" s="30">
        <f>(((aluno_ruim*Mensalidade*Taxa)*ROI[[#This Row],[Índice]])-TCO)/TCO</f>
        <v>-0.95438819583884238</v>
      </c>
      <c r="I7" s="30">
        <f>((selic*TCO*ROI[[#This Row],[Índice]])-TCO)/TCO</f>
        <v>-0.95399999999999996</v>
      </c>
    </row>
    <row r="8" spans="2:9" x14ac:dyDescent="0.3">
      <c r="B8" s="29">
        <v>6</v>
      </c>
      <c r="C8" s="27">
        <v>2024</v>
      </c>
      <c r="D8" s="7">
        <v>6</v>
      </c>
      <c r="E8" s="28">
        <v>109620.74603174602</v>
      </c>
      <c r="F8" s="30">
        <f>(((aluno_ótimo*Mensalidade*Taxa)*ROI[[#This Row],[Índice]])-TCO)/TCO</f>
        <v>-0.78106334002644329</v>
      </c>
      <c r="G8" s="30">
        <f>(((aluno_bom*Mensalidade*Taxa)*ROI[[#This Row],[Índice]])-TCO)/TCO</f>
        <v>-0.89053167001322164</v>
      </c>
      <c r="H8" s="30">
        <f>(((aluno_ruim*Mensalidade*Taxa)*ROI[[#This Row],[Índice]])-TCO)/TCO</f>
        <v>-0.94526583500661077</v>
      </c>
      <c r="I8" s="30">
        <f>((selic*TCO*ROI[[#This Row],[Índice]])-TCO)/TCO</f>
        <v>-0.94479999999999997</v>
      </c>
    </row>
    <row r="9" spans="2:9" x14ac:dyDescent="0.3">
      <c r="B9" s="29">
        <v>7</v>
      </c>
      <c r="C9" s="27">
        <v>2024</v>
      </c>
      <c r="D9" s="7">
        <v>7</v>
      </c>
      <c r="E9" s="28">
        <v>109620.74603174602</v>
      </c>
      <c r="F9" s="30">
        <f>(((aluno_ótimo*Mensalidade*Taxa)*ROI[[#This Row],[Índice]])-TCO)/TCO</f>
        <v>-0.74457389669751717</v>
      </c>
      <c r="G9" s="30">
        <f>(((aluno_bom*Mensalidade*Taxa)*ROI[[#This Row],[Índice]])-TCO)/TCO</f>
        <v>-0.87228694834875853</v>
      </c>
      <c r="H9" s="30">
        <f>(((aluno_ruim*Mensalidade*Taxa)*ROI[[#This Row],[Índice]])-TCO)/TCO</f>
        <v>-0.93614347417437926</v>
      </c>
      <c r="I9" s="30">
        <f>((selic*TCO*ROI[[#This Row],[Índice]])-TCO)/TCO</f>
        <v>-0.93559999999999999</v>
      </c>
    </row>
    <row r="10" spans="2:9" x14ac:dyDescent="0.3">
      <c r="B10" s="29">
        <v>8</v>
      </c>
      <c r="C10" s="27">
        <v>2024</v>
      </c>
      <c r="D10" s="7">
        <v>8</v>
      </c>
      <c r="E10" s="28">
        <v>109620.74603174602</v>
      </c>
      <c r="F10" s="30">
        <f>(((aluno_ótimo*Mensalidade*Taxa)*ROI[[#This Row],[Índice]])-TCO)/TCO</f>
        <v>-0.70808445336859094</v>
      </c>
      <c r="G10" s="30">
        <f>(((aluno_bom*Mensalidade*Taxa)*ROI[[#This Row],[Índice]])-TCO)/TCO</f>
        <v>-0.85404222668429552</v>
      </c>
      <c r="H10" s="30">
        <f>(((aluno_ruim*Mensalidade*Taxa)*ROI[[#This Row],[Índice]])-TCO)/TCO</f>
        <v>-0.92702111334214776</v>
      </c>
      <c r="I10" s="30">
        <f>((selic*TCO*ROI[[#This Row],[Índice]])-TCO)/TCO</f>
        <v>-0.9264</v>
      </c>
    </row>
    <row r="11" spans="2:9" x14ac:dyDescent="0.3">
      <c r="B11" s="29">
        <v>9</v>
      </c>
      <c r="C11" s="27">
        <v>2024</v>
      </c>
      <c r="D11" s="7">
        <v>9</v>
      </c>
      <c r="E11" s="28">
        <v>109620.74603174602</v>
      </c>
      <c r="F11" s="30">
        <f>(((aluno_ótimo*Mensalidade*Taxa)*ROI[[#This Row],[Índice]])-TCO)/TCO</f>
        <v>-0.67159501003966482</v>
      </c>
      <c r="G11" s="30">
        <f>(((aluno_bom*Mensalidade*Taxa)*ROI[[#This Row],[Índice]])-TCO)/TCO</f>
        <v>-0.83579750501983241</v>
      </c>
      <c r="H11" s="30">
        <f>(((aluno_ruim*Mensalidade*Taxa)*ROI[[#This Row],[Índice]])-TCO)/TCO</f>
        <v>-0.91789875250991626</v>
      </c>
      <c r="I11" s="30">
        <f>((selic*TCO*ROI[[#This Row],[Índice]])-TCO)/TCO</f>
        <v>-0.91720000000000002</v>
      </c>
    </row>
    <row r="12" spans="2:9" x14ac:dyDescent="0.3">
      <c r="B12" s="29">
        <v>10</v>
      </c>
      <c r="C12" s="27">
        <v>2024</v>
      </c>
      <c r="D12" s="7">
        <v>10</v>
      </c>
      <c r="E12" s="28">
        <v>109620.74603174602</v>
      </c>
      <c r="F12" s="30">
        <f>(((aluno_ótimo*Mensalidade*Taxa)*ROI[[#This Row],[Índice]])-TCO)/TCO</f>
        <v>-0.6351055667107387</v>
      </c>
      <c r="G12" s="30">
        <f>(((aluno_bom*Mensalidade*Taxa)*ROI[[#This Row],[Índice]])-TCO)/TCO</f>
        <v>-0.81755278335536941</v>
      </c>
      <c r="H12" s="30">
        <f>(((aluno_ruim*Mensalidade*Taxa)*ROI[[#This Row],[Índice]])-TCO)/TCO</f>
        <v>-0.90877639167768465</v>
      </c>
      <c r="I12" s="30">
        <f>((selic*TCO*ROI[[#This Row],[Índice]])-TCO)/TCO</f>
        <v>-0.90800000000000003</v>
      </c>
    </row>
    <row r="13" spans="2:9" x14ac:dyDescent="0.3">
      <c r="B13" s="29">
        <v>11</v>
      </c>
      <c r="C13" s="27">
        <v>2024</v>
      </c>
      <c r="D13" s="7">
        <v>11</v>
      </c>
      <c r="E13" s="28">
        <v>109620.74603174602</v>
      </c>
      <c r="F13" s="30">
        <f>(((aluno_ótimo*Mensalidade*Taxa)*ROI[[#This Row],[Índice]])-TCO)/TCO</f>
        <v>-0.59861612338181258</v>
      </c>
      <c r="G13" s="30">
        <f>(((aluno_bom*Mensalidade*Taxa)*ROI[[#This Row],[Índice]])-TCO)/TCO</f>
        <v>-0.79930806169090629</v>
      </c>
      <c r="H13" s="30">
        <f>(((aluno_ruim*Mensalidade*Taxa)*ROI[[#This Row],[Índice]])-TCO)/TCO</f>
        <v>-0.89965403084545315</v>
      </c>
      <c r="I13" s="30">
        <f>((selic*TCO*ROI[[#This Row],[Índice]])-TCO)/TCO</f>
        <v>-0.89880000000000004</v>
      </c>
    </row>
    <row r="14" spans="2:9" x14ac:dyDescent="0.3">
      <c r="B14" s="29">
        <v>12</v>
      </c>
      <c r="C14" s="27">
        <v>2024</v>
      </c>
      <c r="D14" s="7">
        <v>12</v>
      </c>
      <c r="E14" s="28">
        <v>109620.74603174602</v>
      </c>
      <c r="F14" s="30">
        <f>(((aluno_ótimo*Mensalidade*Taxa)*ROI[[#This Row],[Índice]])-TCO)/TCO</f>
        <v>-0.56212668005288646</v>
      </c>
      <c r="G14" s="30">
        <f>(((aluno_bom*Mensalidade*Taxa)*ROI[[#This Row],[Índice]])-TCO)/TCO</f>
        <v>-0.78106334002644329</v>
      </c>
      <c r="H14" s="30">
        <f>(((aluno_ruim*Mensalidade*Taxa)*ROI[[#This Row],[Índice]])-TCO)/TCO</f>
        <v>-0.89053167001322164</v>
      </c>
      <c r="I14" s="30">
        <f>((selic*TCO*ROI[[#This Row],[Índice]])-TCO)/TCO</f>
        <v>-0.88960000000000006</v>
      </c>
    </row>
    <row r="15" spans="2:9" x14ac:dyDescent="0.3">
      <c r="B15" s="29">
        <v>13</v>
      </c>
      <c r="C15" s="27">
        <v>2025</v>
      </c>
      <c r="D15" s="7">
        <v>1</v>
      </c>
      <c r="E15" s="28">
        <v>109620.74603174602</v>
      </c>
      <c r="F15" s="30">
        <f>(((aluno_ótimo*Mensalidade*Taxa)*ROI[[#This Row],[Índice]])-TCO)/TCO</f>
        <v>-0.52563723672396034</v>
      </c>
      <c r="G15" s="30">
        <f>(((aluno_bom*Mensalidade*Taxa)*ROI[[#This Row],[Índice]])-TCO)/TCO</f>
        <v>-0.76281861836198017</v>
      </c>
      <c r="H15" s="30">
        <f>(((aluno_ruim*Mensalidade*Taxa)*ROI[[#This Row],[Índice]])-TCO)/TCO</f>
        <v>-0.88140930918099014</v>
      </c>
      <c r="I15" s="30">
        <f>((selic*TCO*ROI[[#This Row],[Índice]])-TCO)/TCO</f>
        <v>-0.88040000000000007</v>
      </c>
    </row>
    <row r="16" spans="2:9" x14ac:dyDescent="0.3">
      <c r="B16" s="29">
        <v>14</v>
      </c>
      <c r="C16" s="27">
        <v>2025</v>
      </c>
      <c r="D16" s="7">
        <v>2</v>
      </c>
      <c r="E16" s="28">
        <v>109620.74603174602</v>
      </c>
      <c r="F16" s="30">
        <f>(((aluno_ótimo*Mensalidade*Taxa)*ROI[[#This Row],[Índice]])-TCO)/TCO</f>
        <v>-0.48914779339503422</v>
      </c>
      <c r="G16" s="30">
        <f>(((aluno_bom*Mensalidade*Taxa)*ROI[[#This Row],[Índice]])-TCO)/TCO</f>
        <v>-0.74457389669751717</v>
      </c>
      <c r="H16" s="30">
        <f>(((aluno_ruim*Mensalidade*Taxa)*ROI[[#This Row],[Índice]])-TCO)/TCO</f>
        <v>-0.87228694834875853</v>
      </c>
      <c r="I16" s="30">
        <f>((selic*TCO*ROI[[#This Row],[Índice]])-TCO)/TCO</f>
        <v>-0.87119999999999997</v>
      </c>
    </row>
    <row r="17" spans="2:9" x14ac:dyDescent="0.3">
      <c r="B17" s="29">
        <v>15</v>
      </c>
      <c r="C17" s="27">
        <v>2025</v>
      </c>
      <c r="D17" s="7">
        <v>3</v>
      </c>
      <c r="E17" s="28">
        <v>109620.74603174602</v>
      </c>
      <c r="F17" s="30">
        <f>(((aluno_ótimo*Mensalidade*Taxa)*ROI[[#This Row],[Índice]])-TCO)/TCO</f>
        <v>-0.45265835006610811</v>
      </c>
      <c r="G17" s="30">
        <f>(((aluno_bom*Mensalidade*Taxa)*ROI[[#This Row],[Índice]])-TCO)/TCO</f>
        <v>-0.72632917503305405</v>
      </c>
      <c r="H17" s="30">
        <f>(((aluno_ruim*Mensalidade*Taxa)*ROI[[#This Row],[Índice]])-TCO)/TCO</f>
        <v>-0.86316458751652703</v>
      </c>
      <c r="I17" s="30">
        <f>((selic*TCO*ROI[[#This Row],[Índice]])-TCO)/TCO</f>
        <v>-0.86199999999999999</v>
      </c>
    </row>
    <row r="18" spans="2:9" x14ac:dyDescent="0.3">
      <c r="B18" s="29">
        <v>16</v>
      </c>
      <c r="C18" s="27">
        <v>2025</v>
      </c>
      <c r="D18" s="7">
        <v>4</v>
      </c>
      <c r="E18" s="28">
        <v>109620.74603174602</v>
      </c>
      <c r="F18" s="30">
        <f>(((aluno_ótimo*Mensalidade*Taxa)*ROI[[#This Row],[Índice]])-TCO)/TCO</f>
        <v>-0.41616890673718199</v>
      </c>
      <c r="G18" s="30">
        <f>(((aluno_bom*Mensalidade*Taxa)*ROI[[#This Row],[Índice]])-TCO)/TCO</f>
        <v>-0.70808445336859094</v>
      </c>
      <c r="H18" s="30">
        <f>(((aluno_ruim*Mensalidade*Taxa)*ROI[[#This Row],[Índice]])-TCO)/TCO</f>
        <v>-0.85404222668429552</v>
      </c>
      <c r="I18" s="30">
        <f>((selic*TCO*ROI[[#This Row],[Índice]])-TCO)/TCO</f>
        <v>-0.8528</v>
      </c>
    </row>
    <row r="19" spans="2:9" x14ac:dyDescent="0.3">
      <c r="B19" s="29">
        <v>17</v>
      </c>
      <c r="C19" s="27">
        <v>2025</v>
      </c>
      <c r="D19" s="7">
        <v>5</v>
      </c>
      <c r="E19" s="28">
        <v>109620.74603174602</v>
      </c>
      <c r="F19" s="30">
        <f>(((aluno_ótimo*Mensalidade*Taxa)*ROI[[#This Row],[Índice]])-TCO)/TCO</f>
        <v>-0.37967946340825587</v>
      </c>
      <c r="G19" s="30">
        <f>(((aluno_bom*Mensalidade*Taxa)*ROI[[#This Row],[Índice]])-TCO)/TCO</f>
        <v>-0.68983973170412793</v>
      </c>
      <c r="H19" s="30">
        <f>(((aluno_ruim*Mensalidade*Taxa)*ROI[[#This Row],[Índice]])-TCO)/TCO</f>
        <v>-0.84491986585206391</v>
      </c>
      <c r="I19" s="30">
        <f>((selic*TCO*ROI[[#This Row],[Índice]])-TCO)/TCO</f>
        <v>-0.84360000000000002</v>
      </c>
    </row>
    <row r="20" spans="2:9" x14ac:dyDescent="0.3">
      <c r="B20" s="29">
        <v>18</v>
      </c>
      <c r="C20" s="27">
        <v>2025</v>
      </c>
      <c r="D20" s="7">
        <v>6</v>
      </c>
      <c r="E20" s="28">
        <v>109620.74603174602</v>
      </c>
      <c r="F20" s="30">
        <f>(((aluno_ótimo*Mensalidade*Taxa)*ROI[[#This Row],[Índice]])-TCO)/TCO</f>
        <v>-0.34319002007932975</v>
      </c>
      <c r="G20" s="30">
        <f>(((aluno_bom*Mensalidade*Taxa)*ROI[[#This Row],[Índice]])-TCO)/TCO</f>
        <v>-0.67159501003966482</v>
      </c>
      <c r="H20" s="30">
        <f>(((aluno_ruim*Mensalidade*Taxa)*ROI[[#This Row],[Índice]])-TCO)/TCO</f>
        <v>-0.83579750501983241</v>
      </c>
      <c r="I20" s="30">
        <f>((selic*TCO*ROI[[#This Row],[Índice]])-TCO)/TCO</f>
        <v>-0.83440000000000003</v>
      </c>
    </row>
    <row r="21" spans="2:9" x14ac:dyDescent="0.3">
      <c r="B21" s="29">
        <v>19</v>
      </c>
      <c r="C21" s="27">
        <v>2025</v>
      </c>
      <c r="D21" s="7">
        <v>7</v>
      </c>
      <c r="E21" s="28">
        <v>109620.74603174602</v>
      </c>
      <c r="F21" s="30">
        <f>(((aluno_ótimo*Mensalidade*Taxa)*ROI[[#This Row],[Índice]])-TCO)/TCO</f>
        <v>-0.30670057675040358</v>
      </c>
      <c r="G21" s="30">
        <f>(((aluno_bom*Mensalidade*Taxa)*ROI[[#This Row],[Índice]])-TCO)/TCO</f>
        <v>-0.65335028837520182</v>
      </c>
      <c r="H21" s="30">
        <f>(((aluno_ruim*Mensalidade*Taxa)*ROI[[#This Row],[Índice]])-TCO)/TCO</f>
        <v>-0.82667514418760091</v>
      </c>
      <c r="I21" s="30">
        <f>((selic*TCO*ROI[[#This Row],[Índice]])-TCO)/TCO</f>
        <v>-0.82520000000000004</v>
      </c>
    </row>
    <row r="22" spans="2:9" x14ac:dyDescent="0.3">
      <c r="B22" s="29">
        <v>20</v>
      </c>
      <c r="C22" s="27">
        <v>2025</v>
      </c>
      <c r="D22" s="7">
        <v>8</v>
      </c>
      <c r="E22" s="28">
        <v>109620.74603174602</v>
      </c>
      <c r="F22" s="30">
        <f>(((aluno_ótimo*Mensalidade*Taxa)*ROI[[#This Row],[Índice]])-TCO)/TCO</f>
        <v>-0.27021113342147746</v>
      </c>
      <c r="G22" s="30">
        <f>(((aluno_bom*Mensalidade*Taxa)*ROI[[#This Row],[Índice]])-TCO)/TCO</f>
        <v>-0.6351055667107387</v>
      </c>
      <c r="H22" s="30">
        <f>(((aluno_ruim*Mensalidade*Taxa)*ROI[[#This Row],[Índice]])-TCO)/TCO</f>
        <v>-0.81755278335536941</v>
      </c>
      <c r="I22" s="30">
        <f>((selic*TCO*ROI[[#This Row],[Índice]])-TCO)/TCO</f>
        <v>-0.81600000000000006</v>
      </c>
    </row>
    <row r="23" spans="2:9" x14ac:dyDescent="0.3">
      <c r="B23" s="29">
        <v>21</v>
      </c>
      <c r="C23" s="27">
        <v>2025</v>
      </c>
      <c r="D23" s="7">
        <v>9</v>
      </c>
      <c r="E23" s="28">
        <v>109620.74603174602</v>
      </c>
      <c r="F23" s="30">
        <f>(((aluno_ótimo*Mensalidade*Taxa)*ROI[[#This Row],[Índice]])-TCO)/TCO</f>
        <v>-0.23372169009255134</v>
      </c>
      <c r="G23" s="30">
        <f>(((aluno_bom*Mensalidade*Taxa)*ROI[[#This Row],[Índice]])-TCO)/TCO</f>
        <v>-0.6168608450462757</v>
      </c>
      <c r="H23" s="30">
        <f>(((aluno_ruim*Mensalidade*Taxa)*ROI[[#This Row],[Índice]])-TCO)/TCO</f>
        <v>-0.80843042252313779</v>
      </c>
      <c r="I23" s="30">
        <f>((selic*TCO*ROI[[#This Row],[Índice]])-TCO)/TCO</f>
        <v>-0.80679999999999996</v>
      </c>
    </row>
    <row r="24" spans="2:9" x14ac:dyDescent="0.3">
      <c r="B24" s="29">
        <v>22</v>
      </c>
      <c r="C24" s="27">
        <v>2025</v>
      </c>
      <c r="D24" s="7">
        <v>10</v>
      </c>
      <c r="E24" s="28">
        <v>109620.74603174602</v>
      </c>
      <c r="F24" s="30">
        <f>(((aluno_ótimo*Mensalidade*Taxa)*ROI[[#This Row],[Índice]])-TCO)/TCO</f>
        <v>-0.19723224676362522</v>
      </c>
      <c r="G24" s="30">
        <f>(((aluno_bom*Mensalidade*Taxa)*ROI[[#This Row],[Índice]])-TCO)/TCO</f>
        <v>-0.59861612338181258</v>
      </c>
      <c r="H24" s="30">
        <f>(((aluno_ruim*Mensalidade*Taxa)*ROI[[#This Row],[Índice]])-TCO)/TCO</f>
        <v>-0.79930806169090629</v>
      </c>
      <c r="I24" s="30">
        <f>((selic*TCO*ROI[[#This Row],[Índice]])-TCO)/TCO</f>
        <v>-0.79759999999999998</v>
      </c>
    </row>
    <row r="25" spans="2:9" x14ac:dyDescent="0.3">
      <c r="B25" s="29">
        <v>23</v>
      </c>
      <c r="C25" s="27">
        <v>2025</v>
      </c>
      <c r="D25" s="7">
        <v>11</v>
      </c>
      <c r="E25" s="28">
        <v>109620.74603174602</v>
      </c>
      <c r="F25" s="30">
        <f>(((aluno_ótimo*Mensalidade*Taxa)*ROI[[#This Row],[Índice]])-TCO)/TCO</f>
        <v>-0.1607428034346991</v>
      </c>
      <c r="G25" s="30">
        <f>(((aluno_bom*Mensalidade*Taxa)*ROI[[#This Row],[Índice]])-TCO)/TCO</f>
        <v>-0.58037140171734958</v>
      </c>
      <c r="H25" s="30">
        <f>(((aluno_ruim*Mensalidade*Taxa)*ROI[[#This Row],[Índice]])-TCO)/TCO</f>
        <v>-0.79018570085867479</v>
      </c>
      <c r="I25" s="30">
        <f>((selic*TCO*ROI[[#This Row],[Índice]])-TCO)/TCO</f>
        <v>-0.78839999999999999</v>
      </c>
    </row>
    <row r="26" spans="2:9" x14ac:dyDescent="0.3">
      <c r="B26" s="29">
        <v>24</v>
      </c>
      <c r="C26" s="27">
        <v>2025</v>
      </c>
      <c r="D26" s="7">
        <v>12</v>
      </c>
      <c r="E26" s="28">
        <v>109620.74603174602</v>
      </c>
      <c r="F26" s="30">
        <f>(((aluno_ótimo*Mensalidade*Taxa)*ROI[[#This Row],[Índice]])-TCO)/TCO</f>
        <v>-0.12425336010577297</v>
      </c>
      <c r="G26" s="30">
        <f>(((aluno_bom*Mensalidade*Taxa)*ROI[[#This Row],[Índice]])-TCO)/TCO</f>
        <v>-0.56212668005288646</v>
      </c>
      <c r="H26" s="30">
        <f>(((aluno_ruim*Mensalidade*Taxa)*ROI[[#This Row],[Índice]])-TCO)/TCO</f>
        <v>-0.78106334002644329</v>
      </c>
      <c r="I26" s="30">
        <f>((selic*TCO*ROI[[#This Row],[Índice]])-TCO)/TCO</f>
        <v>-0.7792</v>
      </c>
    </row>
    <row r="27" spans="2:9" x14ac:dyDescent="0.3">
      <c r="B27" s="29">
        <v>25</v>
      </c>
      <c r="C27" s="27">
        <v>2026</v>
      </c>
      <c r="D27" s="7">
        <v>1</v>
      </c>
      <c r="E27" s="28">
        <v>109620.74603174602</v>
      </c>
      <c r="F27" s="30">
        <f>(((aluno_ótimo*Mensalidade*Taxa)*ROI[[#This Row],[Índice]])-TCO)/TCO</f>
        <v>-8.7763916776846834E-2</v>
      </c>
      <c r="G27" s="30">
        <f>(((aluno_bom*Mensalidade*Taxa)*ROI[[#This Row],[Índice]])-TCO)/TCO</f>
        <v>-0.54388195838842346</v>
      </c>
      <c r="H27" s="30">
        <f>(((aluno_ruim*Mensalidade*Taxa)*ROI[[#This Row],[Índice]])-TCO)/TCO</f>
        <v>-0.77194097919421167</v>
      </c>
      <c r="I27" s="30">
        <f>((selic*TCO*ROI[[#This Row],[Índice]])-TCO)/TCO</f>
        <v>-0.77</v>
      </c>
    </row>
    <row r="28" spans="2:9" x14ac:dyDescent="0.3">
      <c r="B28" s="29">
        <v>26</v>
      </c>
      <c r="C28" s="27">
        <v>2026</v>
      </c>
      <c r="D28" s="7">
        <v>2</v>
      </c>
      <c r="E28" s="28">
        <v>109620.74603174602</v>
      </c>
      <c r="F28" s="30">
        <f>(((aluno_ótimo*Mensalidade*Taxa)*ROI[[#This Row],[Índice]])-TCO)/TCO</f>
        <v>-5.1274473447920708E-2</v>
      </c>
      <c r="G28" s="30">
        <f>(((aluno_bom*Mensalidade*Taxa)*ROI[[#This Row],[Índice]])-TCO)/TCO</f>
        <v>-0.52563723672396034</v>
      </c>
      <c r="H28" s="30">
        <f>(((aluno_ruim*Mensalidade*Taxa)*ROI[[#This Row],[Índice]])-TCO)/TCO</f>
        <v>-0.76281861836198017</v>
      </c>
      <c r="I28" s="30">
        <f>((selic*TCO*ROI[[#This Row],[Índice]])-TCO)/TCO</f>
        <v>-0.76080000000000003</v>
      </c>
    </row>
    <row r="29" spans="2:9" x14ac:dyDescent="0.3">
      <c r="B29" s="29">
        <v>27</v>
      </c>
      <c r="C29" s="27">
        <v>2026</v>
      </c>
      <c r="D29" s="7">
        <v>3</v>
      </c>
      <c r="E29" s="28">
        <v>109620.74603174602</v>
      </c>
      <c r="F29" s="30">
        <f>(((aluno_ótimo*Mensalidade*Taxa)*ROI[[#This Row],[Índice]])-TCO)/TCO</f>
        <v>-1.4785030118994584E-2</v>
      </c>
      <c r="G29" s="30">
        <f>(((aluno_bom*Mensalidade*Taxa)*ROI[[#This Row],[Índice]])-TCO)/TCO</f>
        <v>-0.50739251505949734</v>
      </c>
      <c r="H29" s="30">
        <f>(((aluno_ruim*Mensalidade*Taxa)*ROI[[#This Row],[Índice]])-TCO)/TCO</f>
        <v>-0.75369625752974867</v>
      </c>
      <c r="I29" s="30">
        <f>((selic*TCO*ROI[[#This Row],[Índice]])-TCO)/TCO</f>
        <v>-0.75160000000000005</v>
      </c>
    </row>
    <row r="30" spans="2:9" x14ac:dyDescent="0.3">
      <c r="B30" s="29">
        <v>28</v>
      </c>
      <c r="C30" s="27">
        <v>2026</v>
      </c>
      <c r="D30" s="7">
        <v>4</v>
      </c>
      <c r="E30" s="28">
        <v>109620.74603174602</v>
      </c>
      <c r="F30" s="30">
        <f>(((aluno_ótimo*Mensalidade*Taxa)*ROI[[#This Row],[Índice]])-TCO)/TCO</f>
        <v>2.1704413209931543E-2</v>
      </c>
      <c r="G30" s="30">
        <f>(((aluno_bom*Mensalidade*Taxa)*ROI[[#This Row],[Índice]])-TCO)/TCO</f>
        <v>-0.48914779339503422</v>
      </c>
      <c r="H30" s="30">
        <f>(((aluno_ruim*Mensalidade*Taxa)*ROI[[#This Row],[Índice]])-TCO)/TCO</f>
        <v>-0.74457389669751717</v>
      </c>
      <c r="I30" s="30">
        <f>((selic*TCO*ROI[[#This Row],[Índice]])-TCO)/TCO</f>
        <v>-0.74240000000000006</v>
      </c>
    </row>
    <row r="31" spans="2:9" x14ac:dyDescent="0.3">
      <c r="B31" s="29">
        <v>29</v>
      </c>
      <c r="C31" s="27">
        <v>2026</v>
      </c>
      <c r="D31" s="7">
        <v>5</v>
      </c>
      <c r="E31" s="28">
        <v>109620.74603174602</v>
      </c>
      <c r="F31" s="30">
        <f>(((aluno_ótimo*Mensalidade*Taxa)*ROI[[#This Row],[Índice]])-TCO)/TCO</f>
        <v>5.8193856538857669E-2</v>
      </c>
      <c r="G31" s="30">
        <f>(((aluno_bom*Mensalidade*Taxa)*ROI[[#This Row],[Índice]])-TCO)/TCO</f>
        <v>-0.47090307173057117</v>
      </c>
      <c r="H31" s="30">
        <f>(((aluno_ruim*Mensalidade*Taxa)*ROI[[#This Row],[Índice]])-TCO)/TCO</f>
        <v>-0.73545153586528556</v>
      </c>
      <c r="I31" s="30">
        <f>((selic*TCO*ROI[[#This Row],[Índice]])-TCO)/TCO</f>
        <v>-0.73320000000000007</v>
      </c>
    </row>
    <row r="32" spans="2:9" x14ac:dyDescent="0.3">
      <c r="B32" s="29">
        <v>30</v>
      </c>
      <c r="C32" s="27">
        <v>2026</v>
      </c>
      <c r="D32" s="7">
        <v>6</v>
      </c>
      <c r="E32" s="28">
        <v>109620.74603174602</v>
      </c>
      <c r="F32" s="30">
        <f>(((aluno_ótimo*Mensalidade*Taxa)*ROI[[#This Row],[Índice]])-TCO)/TCO</f>
        <v>9.4683299867783802E-2</v>
      </c>
      <c r="G32" s="30">
        <f>(((aluno_bom*Mensalidade*Taxa)*ROI[[#This Row],[Índice]])-TCO)/TCO</f>
        <v>-0.45265835006610811</v>
      </c>
      <c r="H32" s="30">
        <f>(((aluno_ruim*Mensalidade*Taxa)*ROI[[#This Row],[Índice]])-TCO)/TCO</f>
        <v>-0.72632917503305405</v>
      </c>
      <c r="I32" s="30">
        <f>((selic*TCO*ROI[[#This Row],[Índice]])-TCO)/TCO</f>
        <v>-0.72400000000000009</v>
      </c>
    </row>
    <row r="33" spans="2:9" x14ac:dyDescent="0.3">
      <c r="B33" s="29">
        <v>31</v>
      </c>
      <c r="C33" s="27">
        <v>2026</v>
      </c>
      <c r="D33" s="7">
        <v>7</v>
      </c>
      <c r="E33" s="28">
        <v>109620.74603174602</v>
      </c>
      <c r="F33" s="30">
        <f>(((aluno_ótimo*Mensalidade*Taxa)*ROI[[#This Row],[Índice]])-TCO)/TCO</f>
        <v>0.13117274319670993</v>
      </c>
      <c r="G33" s="30">
        <f>(((aluno_bom*Mensalidade*Taxa)*ROI[[#This Row],[Índice]])-TCO)/TCO</f>
        <v>-0.43441362840164505</v>
      </c>
      <c r="H33" s="30">
        <f>(((aluno_ruim*Mensalidade*Taxa)*ROI[[#This Row],[Índice]])-TCO)/TCO</f>
        <v>-0.71720681420082255</v>
      </c>
      <c r="I33" s="30">
        <f>((selic*TCO*ROI[[#This Row],[Índice]])-TCO)/TCO</f>
        <v>-0.71479999999999999</v>
      </c>
    </row>
    <row r="34" spans="2:9" x14ac:dyDescent="0.3">
      <c r="B34" s="29">
        <v>32</v>
      </c>
      <c r="C34" s="27">
        <v>2026</v>
      </c>
      <c r="D34" s="7">
        <v>8</v>
      </c>
      <c r="E34" s="28">
        <v>109620.74603174602</v>
      </c>
      <c r="F34" s="30">
        <f>(((aluno_ótimo*Mensalidade*Taxa)*ROI[[#This Row],[Índice]])-TCO)/TCO</f>
        <v>0.16766218652563605</v>
      </c>
      <c r="G34" s="30">
        <f>(((aluno_bom*Mensalidade*Taxa)*ROI[[#This Row],[Índice]])-TCO)/TCO</f>
        <v>-0.41616890673718199</v>
      </c>
      <c r="H34" s="30">
        <f>(((aluno_ruim*Mensalidade*Taxa)*ROI[[#This Row],[Índice]])-TCO)/TCO</f>
        <v>-0.70808445336859094</v>
      </c>
      <c r="I34" s="30">
        <f>((selic*TCO*ROI[[#This Row],[Índice]])-TCO)/TCO</f>
        <v>-0.7056</v>
      </c>
    </row>
    <row r="35" spans="2:9" x14ac:dyDescent="0.3">
      <c r="B35" s="29">
        <v>33</v>
      </c>
      <c r="C35" s="27">
        <v>2026</v>
      </c>
      <c r="D35" s="7">
        <v>9</v>
      </c>
      <c r="E35" s="28">
        <v>109620.74603174602</v>
      </c>
      <c r="F35" s="30">
        <f>(((aluno_ótimo*Mensalidade*Taxa)*ROI[[#This Row],[Índice]])-TCO)/TCO</f>
        <v>0.20415162985456217</v>
      </c>
      <c r="G35" s="30">
        <f>(((aluno_bom*Mensalidade*Taxa)*ROI[[#This Row],[Índice]])-TCO)/TCO</f>
        <v>-0.39792418507271893</v>
      </c>
      <c r="H35" s="30">
        <f>(((aluno_ruim*Mensalidade*Taxa)*ROI[[#This Row],[Índice]])-TCO)/TCO</f>
        <v>-0.69896209253635944</v>
      </c>
      <c r="I35" s="30">
        <f>((selic*TCO*ROI[[#This Row],[Índice]])-TCO)/TCO</f>
        <v>-0.69640000000000002</v>
      </c>
    </row>
    <row r="36" spans="2:9" x14ac:dyDescent="0.3">
      <c r="B36" s="29">
        <v>34</v>
      </c>
      <c r="C36" s="27">
        <v>2026</v>
      </c>
      <c r="D36" s="7">
        <v>10</v>
      </c>
      <c r="E36" s="28">
        <v>109620.74603174602</v>
      </c>
      <c r="F36" s="30">
        <f>(((aluno_ótimo*Mensalidade*Taxa)*ROI[[#This Row],[Índice]])-TCO)/TCO</f>
        <v>0.24064107318348829</v>
      </c>
      <c r="G36" s="30">
        <f>(((aluno_bom*Mensalidade*Taxa)*ROI[[#This Row],[Índice]])-TCO)/TCO</f>
        <v>-0.37967946340825587</v>
      </c>
      <c r="H36" s="30">
        <f>(((aluno_ruim*Mensalidade*Taxa)*ROI[[#This Row],[Índice]])-TCO)/TCO</f>
        <v>-0.68983973170412793</v>
      </c>
      <c r="I36" s="30">
        <f>((selic*TCO*ROI[[#This Row],[Índice]])-TCO)/TCO</f>
        <v>-0.68720000000000003</v>
      </c>
    </row>
    <row r="37" spans="2:9" x14ac:dyDescent="0.3">
      <c r="B37" s="29">
        <v>35</v>
      </c>
      <c r="C37" s="27">
        <v>2026</v>
      </c>
      <c r="D37" s="7">
        <v>11</v>
      </c>
      <c r="E37" s="28">
        <v>109620.74603174602</v>
      </c>
      <c r="F37" s="30">
        <f>(((aluno_ótimo*Mensalidade*Taxa)*ROI[[#This Row],[Índice]])-TCO)/TCO</f>
        <v>0.27713051651241444</v>
      </c>
      <c r="G37" s="30">
        <f>(((aluno_bom*Mensalidade*Taxa)*ROI[[#This Row],[Índice]])-TCO)/TCO</f>
        <v>-0.36143474174379281</v>
      </c>
      <c r="H37" s="30">
        <f>(((aluno_ruim*Mensalidade*Taxa)*ROI[[#This Row],[Índice]])-TCO)/TCO</f>
        <v>-0.68071737087189643</v>
      </c>
      <c r="I37" s="30">
        <f>((selic*TCO*ROI[[#This Row],[Índice]])-TCO)/TCO</f>
        <v>-0.67800000000000005</v>
      </c>
    </row>
    <row r="38" spans="2:9" x14ac:dyDescent="0.3">
      <c r="B38" s="29">
        <v>36</v>
      </c>
      <c r="C38" s="27">
        <v>2026</v>
      </c>
      <c r="D38" s="7">
        <v>12</v>
      </c>
      <c r="E38" s="28">
        <v>109620.74603174602</v>
      </c>
      <c r="F38" s="30">
        <f>(((aluno_ótimo*Mensalidade*Taxa)*ROI[[#This Row],[Índice]])-TCO)/TCO</f>
        <v>0.31361995984134056</v>
      </c>
      <c r="G38" s="30">
        <f>(((aluno_bom*Mensalidade*Taxa)*ROI[[#This Row],[Índice]])-TCO)/TCO</f>
        <v>-0.34319002007932975</v>
      </c>
      <c r="H38" s="30">
        <f>(((aluno_ruim*Mensalidade*Taxa)*ROI[[#This Row],[Índice]])-TCO)/TCO</f>
        <v>-0.67159501003966482</v>
      </c>
      <c r="I38" s="30">
        <f>((selic*TCO*ROI[[#This Row],[Índice]])-TCO)/TCO</f>
        <v>-0.66880000000000006</v>
      </c>
    </row>
    <row r="39" spans="2:9" x14ac:dyDescent="0.3">
      <c r="B39" s="29">
        <v>37</v>
      </c>
      <c r="C39" s="27">
        <v>2027</v>
      </c>
      <c r="D39" s="7">
        <v>1</v>
      </c>
      <c r="E39" s="28">
        <v>109620.74603174602</v>
      </c>
      <c r="F39" s="30">
        <f>(((aluno_ótimo*Mensalidade*Taxa)*ROI[[#This Row],[Índice]])-TCO)/TCO</f>
        <v>0.35010940317026668</v>
      </c>
      <c r="G39" s="30">
        <f>(((aluno_bom*Mensalidade*Taxa)*ROI[[#This Row],[Índice]])-TCO)/TCO</f>
        <v>-0.32494529841486663</v>
      </c>
      <c r="H39" s="30">
        <f>(((aluno_ruim*Mensalidade*Taxa)*ROI[[#This Row],[Índice]])-TCO)/TCO</f>
        <v>-0.66247264920743332</v>
      </c>
      <c r="I39" s="30">
        <f>((selic*TCO*ROI[[#This Row],[Índice]])-TCO)/TCO</f>
        <v>-0.65959999999999996</v>
      </c>
    </row>
    <row r="40" spans="2:9" x14ac:dyDescent="0.3">
      <c r="B40" s="29">
        <v>38</v>
      </c>
      <c r="C40" s="27">
        <v>2027</v>
      </c>
      <c r="D40" s="7">
        <v>2</v>
      </c>
      <c r="E40" s="28">
        <v>109620.74603174602</v>
      </c>
      <c r="F40" s="30">
        <f>(((aluno_ótimo*Mensalidade*Taxa)*ROI[[#This Row],[Índice]])-TCO)/TCO</f>
        <v>0.38659884649919279</v>
      </c>
      <c r="G40" s="30">
        <f>(((aluno_bom*Mensalidade*Taxa)*ROI[[#This Row],[Índice]])-TCO)/TCO</f>
        <v>-0.30670057675040358</v>
      </c>
      <c r="H40" s="30">
        <f>(((aluno_ruim*Mensalidade*Taxa)*ROI[[#This Row],[Índice]])-TCO)/TCO</f>
        <v>-0.65335028837520182</v>
      </c>
      <c r="I40" s="30">
        <f>((selic*TCO*ROI[[#This Row],[Índice]])-TCO)/TCO</f>
        <v>-0.65039999999999998</v>
      </c>
    </row>
    <row r="41" spans="2:9" x14ac:dyDescent="0.3">
      <c r="B41" s="29">
        <v>39</v>
      </c>
      <c r="C41" s="27">
        <v>2027</v>
      </c>
      <c r="D41" s="7">
        <v>3</v>
      </c>
      <c r="E41" s="28">
        <v>109620.74603174602</v>
      </c>
      <c r="F41" s="30">
        <f>(((aluno_ótimo*Mensalidade*Taxa)*ROI[[#This Row],[Índice]])-TCO)/TCO</f>
        <v>0.42308828982811891</v>
      </c>
      <c r="G41" s="30">
        <f>(((aluno_bom*Mensalidade*Taxa)*ROI[[#This Row],[Índice]])-TCO)/TCO</f>
        <v>-0.28845585508594052</v>
      </c>
      <c r="H41" s="30">
        <f>(((aluno_ruim*Mensalidade*Taxa)*ROI[[#This Row],[Índice]])-TCO)/TCO</f>
        <v>-0.64422792754297031</v>
      </c>
      <c r="I41" s="30">
        <f>((selic*TCO*ROI[[#This Row],[Índice]])-TCO)/TCO</f>
        <v>-0.64119999999999999</v>
      </c>
    </row>
    <row r="42" spans="2:9" x14ac:dyDescent="0.3">
      <c r="B42" s="29">
        <v>40</v>
      </c>
      <c r="C42" s="27">
        <v>2027</v>
      </c>
      <c r="D42" s="7">
        <v>4</v>
      </c>
      <c r="E42" s="28">
        <v>109620.74603174602</v>
      </c>
      <c r="F42" s="30">
        <f>(((aluno_ótimo*Mensalidade*Taxa)*ROI[[#This Row],[Índice]])-TCO)/TCO</f>
        <v>0.45957773315704509</v>
      </c>
      <c r="G42" s="30">
        <f>(((aluno_bom*Mensalidade*Taxa)*ROI[[#This Row],[Índice]])-TCO)/TCO</f>
        <v>-0.27021113342147746</v>
      </c>
      <c r="H42" s="30">
        <f>(((aluno_ruim*Mensalidade*Taxa)*ROI[[#This Row],[Índice]])-TCO)/TCO</f>
        <v>-0.6351055667107387</v>
      </c>
      <c r="I42" s="30">
        <f>((selic*TCO*ROI[[#This Row],[Índice]])-TCO)/TCO</f>
        <v>-0.63200000000000001</v>
      </c>
    </row>
    <row r="43" spans="2:9" x14ac:dyDescent="0.3">
      <c r="B43" s="29">
        <v>41</v>
      </c>
      <c r="C43" s="27">
        <v>2027</v>
      </c>
      <c r="D43" s="7">
        <v>5</v>
      </c>
      <c r="E43" s="28">
        <v>109620.74603174602</v>
      </c>
      <c r="F43" s="30">
        <f>(((aluno_ótimo*Mensalidade*Taxa)*ROI[[#This Row],[Índice]])-TCO)/TCO</f>
        <v>0.49606717648597121</v>
      </c>
      <c r="G43" s="30">
        <f>(((aluno_bom*Mensalidade*Taxa)*ROI[[#This Row],[Índice]])-TCO)/TCO</f>
        <v>-0.2519664117570144</v>
      </c>
      <c r="H43" s="30">
        <f>(((aluno_ruim*Mensalidade*Taxa)*ROI[[#This Row],[Índice]])-TCO)/TCO</f>
        <v>-0.6259832058785072</v>
      </c>
      <c r="I43" s="30">
        <f>((selic*TCO*ROI[[#This Row],[Índice]])-TCO)/TCO</f>
        <v>-0.62280000000000002</v>
      </c>
    </row>
    <row r="44" spans="2:9" x14ac:dyDescent="0.3">
      <c r="B44" s="29">
        <v>42</v>
      </c>
      <c r="C44" s="27">
        <v>2027</v>
      </c>
      <c r="D44" s="7">
        <v>6</v>
      </c>
      <c r="E44" s="28">
        <v>109620.74603174602</v>
      </c>
      <c r="F44" s="30">
        <f>(((aluno_ótimo*Mensalidade*Taxa)*ROI[[#This Row],[Índice]])-TCO)/TCO</f>
        <v>0.53255661981489733</v>
      </c>
      <c r="G44" s="30">
        <f>(((aluno_bom*Mensalidade*Taxa)*ROI[[#This Row],[Índice]])-TCO)/TCO</f>
        <v>-0.23372169009255134</v>
      </c>
      <c r="H44" s="30">
        <f>(((aluno_ruim*Mensalidade*Taxa)*ROI[[#This Row],[Índice]])-TCO)/TCO</f>
        <v>-0.6168608450462757</v>
      </c>
      <c r="I44" s="30">
        <f>((selic*TCO*ROI[[#This Row],[Índice]])-TCO)/TCO</f>
        <v>-0.61360000000000003</v>
      </c>
    </row>
    <row r="45" spans="2:9" x14ac:dyDescent="0.3">
      <c r="B45" s="29">
        <v>43</v>
      </c>
      <c r="C45" s="27">
        <v>2027</v>
      </c>
      <c r="D45" s="7">
        <v>7</v>
      </c>
      <c r="E45" s="28">
        <v>109620.74603174602</v>
      </c>
      <c r="F45" s="30">
        <f>(((aluno_ótimo*Mensalidade*Taxa)*ROI[[#This Row],[Índice]])-TCO)/TCO</f>
        <v>0.56904606314382344</v>
      </c>
      <c r="G45" s="30">
        <f>(((aluno_bom*Mensalidade*Taxa)*ROI[[#This Row],[Índice]])-TCO)/TCO</f>
        <v>-0.21547696842808828</v>
      </c>
      <c r="H45" s="30">
        <f>(((aluno_ruim*Mensalidade*Taxa)*ROI[[#This Row],[Índice]])-TCO)/TCO</f>
        <v>-0.60773848421404419</v>
      </c>
      <c r="I45" s="30">
        <f>((selic*TCO*ROI[[#This Row],[Índice]])-TCO)/TCO</f>
        <v>-0.60440000000000005</v>
      </c>
    </row>
    <row r="46" spans="2:9" x14ac:dyDescent="0.3">
      <c r="B46" s="29">
        <v>44</v>
      </c>
      <c r="C46" s="27">
        <v>2027</v>
      </c>
      <c r="D46" s="7">
        <v>8</v>
      </c>
      <c r="E46" s="28">
        <v>109620.74603174602</v>
      </c>
      <c r="F46" s="30">
        <f>(((aluno_ótimo*Mensalidade*Taxa)*ROI[[#This Row],[Índice]])-TCO)/TCO</f>
        <v>0.60553550647274956</v>
      </c>
      <c r="G46" s="30">
        <f>(((aluno_bom*Mensalidade*Taxa)*ROI[[#This Row],[Índice]])-TCO)/TCO</f>
        <v>-0.19723224676362522</v>
      </c>
      <c r="H46" s="30">
        <f>(((aluno_ruim*Mensalidade*Taxa)*ROI[[#This Row],[Índice]])-TCO)/TCO</f>
        <v>-0.59861612338181258</v>
      </c>
      <c r="I46" s="30">
        <f>((selic*TCO*ROI[[#This Row],[Índice]])-TCO)/TCO</f>
        <v>-0.59520000000000006</v>
      </c>
    </row>
    <row r="47" spans="2:9" x14ac:dyDescent="0.3">
      <c r="B47" s="29">
        <v>45</v>
      </c>
      <c r="C47" s="27">
        <v>2027</v>
      </c>
      <c r="D47" s="7">
        <v>9</v>
      </c>
      <c r="E47" s="28">
        <v>109620.74603174602</v>
      </c>
      <c r="F47" s="30">
        <f>(((aluno_ótimo*Mensalidade*Taxa)*ROI[[#This Row],[Índice]])-TCO)/TCO</f>
        <v>0.64202494980167568</v>
      </c>
      <c r="G47" s="30">
        <f>(((aluno_bom*Mensalidade*Taxa)*ROI[[#This Row],[Índice]])-TCO)/TCO</f>
        <v>-0.17898752509916216</v>
      </c>
      <c r="H47" s="30">
        <f>(((aluno_ruim*Mensalidade*Taxa)*ROI[[#This Row],[Índice]])-TCO)/TCO</f>
        <v>-0.58949376254958108</v>
      </c>
      <c r="I47" s="30">
        <f>((selic*TCO*ROI[[#This Row],[Índice]])-TCO)/TCO</f>
        <v>-0.58599999999999997</v>
      </c>
    </row>
    <row r="48" spans="2:9" x14ac:dyDescent="0.3">
      <c r="B48" s="29">
        <v>46</v>
      </c>
      <c r="C48" s="27">
        <v>2027</v>
      </c>
      <c r="D48" s="7">
        <v>10</v>
      </c>
      <c r="E48" s="28">
        <v>109620.74603174602</v>
      </c>
      <c r="F48" s="30">
        <f>(((aluno_ótimo*Mensalidade*Taxa)*ROI[[#This Row],[Índice]])-TCO)/TCO</f>
        <v>0.6785143931306018</v>
      </c>
      <c r="G48" s="30">
        <f>(((aluno_bom*Mensalidade*Taxa)*ROI[[#This Row],[Índice]])-TCO)/TCO</f>
        <v>-0.1607428034346991</v>
      </c>
      <c r="H48" s="30">
        <f>(((aluno_ruim*Mensalidade*Taxa)*ROI[[#This Row],[Índice]])-TCO)/TCO</f>
        <v>-0.58037140171734958</v>
      </c>
      <c r="I48" s="30">
        <f>((selic*TCO*ROI[[#This Row],[Índice]])-TCO)/TCO</f>
        <v>-0.57679999999999998</v>
      </c>
    </row>
    <row r="49" spans="2:9" x14ac:dyDescent="0.3">
      <c r="B49" s="29">
        <v>47</v>
      </c>
      <c r="C49" s="27">
        <v>2027</v>
      </c>
      <c r="D49" s="7">
        <v>11</v>
      </c>
      <c r="E49" s="28">
        <v>109620.74603174602</v>
      </c>
      <c r="F49" s="30">
        <f>(((aluno_ótimo*Mensalidade*Taxa)*ROI[[#This Row],[Índice]])-TCO)/TCO</f>
        <v>0.71500383645952792</v>
      </c>
      <c r="G49" s="30">
        <f>(((aluno_bom*Mensalidade*Taxa)*ROI[[#This Row],[Índice]])-TCO)/TCO</f>
        <v>-0.14249808177023601</v>
      </c>
      <c r="H49" s="30">
        <f>(((aluno_ruim*Mensalidade*Taxa)*ROI[[#This Row],[Índice]])-TCO)/TCO</f>
        <v>-0.57124904088511796</v>
      </c>
      <c r="I49" s="30">
        <f>((selic*TCO*ROI[[#This Row],[Índice]])-TCO)/TCO</f>
        <v>-0.56759999999999999</v>
      </c>
    </row>
    <row r="50" spans="2:9" x14ac:dyDescent="0.3">
      <c r="B50" s="29">
        <v>48</v>
      </c>
      <c r="C50" s="27">
        <v>2027</v>
      </c>
      <c r="D50" s="7">
        <v>12</v>
      </c>
      <c r="E50" s="28">
        <v>109620.74603174602</v>
      </c>
      <c r="F50" s="30">
        <f>(((aluno_ótimo*Mensalidade*Taxa)*ROI[[#This Row],[Índice]])-TCO)/TCO</f>
        <v>0.75149327978845404</v>
      </c>
      <c r="G50" s="30">
        <f>(((aluno_bom*Mensalidade*Taxa)*ROI[[#This Row],[Índice]])-TCO)/TCO</f>
        <v>-0.12425336010577297</v>
      </c>
      <c r="H50" s="30">
        <f>(((aluno_ruim*Mensalidade*Taxa)*ROI[[#This Row],[Índice]])-TCO)/TCO</f>
        <v>-0.56212668005288646</v>
      </c>
      <c r="I50" s="30">
        <f>((selic*TCO*ROI[[#This Row],[Índice]])-TCO)/TCO</f>
        <v>-0.55840000000000001</v>
      </c>
    </row>
    <row r="51" spans="2:9" x14ac:dyDescent="0.3">
      <c r="B51" s="29">
        <v>49</v>
      </c>
      <c r="C51" s="27">
        <v>2028</v>
      </c>
      <c r="D51" s="7">
        <v>1</v>
      </c>
      <c r="E51" s="28">
        <v>109620.74603174602</v>
      </c>
      <c r="F51" s="30">
        <f>(((aluno_ótimo*Mensalidade*Taxa)*ROI[[#This Row],[Índice]])-TCO)/TCO</f>
        <v>0.78798272311738016</v>
      </c>
      <c r="G51" s="30">
        <f>(((aluno_bom*Mensalidade*Taxa)*ROI[[#This Row],[Índice]])-TCO)/TCO</f>
        <v>-0.10600863844130989</v>
      </c>
      <c r="H51" s="30">
        <f>(((aluno_ruim*Mensalidade*Taxa)*ROI[[#This Row],[Índice]])-TCO)/TCO</f>
        <v>-0.55300431922065496</v>
      </c>
      <c r="I51" s="30">
        <f>((selic*TCO*ROI[[#This Row],[Índice]])-TCO)/TCO</f>
        <v>-0.54920000000000002</v>
      </c>
    </row>
    <row r="52" spans="2:9" x14ac:dyDescent="0.3">
      <c r="B52" s="29">
        <v>50</v>
      </c>
      <c r="C52" s="27">
        <v>2028</v>
      </c>
      <c r="D52" s="7">
        <v>2</v>
      </c>
      <c r="E52" s="28">
        <v>109620.74603174602</v>
      </c>
      <c r="F52" s="30">
        <f>(((aluno_ótimo*Mensalidade*Taxa)*ROI[[#This Row],[Índice]])-TCO)/TCO</f>
        <v>0.82447216644630628</v>
      </c>
      <c r="G52" s="30">
        <f>(((aluno_bom*Mensalidade*Taxa)*ROI[[#This Row],[Índice]])-TCO)/TCO</f>
        <v>-8.7763916776846834E-2</v>
      </c>
      <c r="H52" s="30">
        <f>(((aluno_ruim*Mensalidade*Taxa)*ROI[[#This Row],[Índice]])-TCO)/TCO</f>
        <v>-0.54388195838842346</v>
      </c>
      <c r="I52" s="30">
        <f>((selic*TCO*ROI[[#This Row],[Índice]])-TCO)/TCO</f>
        <v>-0.54</v>
      </c>
    </row>
    <row r="53" spans="2:9" x14ac:dyDescent="0.3">
      <c r="B53" s="29">
        <v>51</v>
      </c>
      <c r="C53" s="27">
        <v>2028</v>
      </c>
      <c r="D53" s="7">
        <v>3</v>
      </c>
      <c r="E53" s="28">
        <v>109620.74603174602</v>
      </c>
      <c r="F53" s="30">
        <f>(((aluno_ótimo*Mensalidade*Taxa)*ROI[[#This Row],[Índice]])-TCO)/TCO</f>
        <v>0.86096160977523251</v>
      </c>
      <c r="G53" s="30">
        <f>(((aluno_bom*Mensalidade*Taxa)*ROI[[#This Row],[Índice]])-TCO)/TCO</f>
        <v>-6.9519195112383775E-2</v>
      </c>
      <c r="H53" s="30">
        <f>(((aluno_ruim*Mensalidade*Taxa)*ROI[[#This Row],[Índice]])-TCO)/TCO</f>
        <v>-0.53475959755619185</v>
      </c>
      <c r="I53" s="30">
        <f>((selic*TCO*ROI[[#This Row],[Índice]])-TCO)/TCO</f>
        <v>-0.53080000000000005</v>
      </c>
    </row>
    <row r="54" spans="2:9" x14ac:dyDescent="0.3">
      <c r="B54" s="29">
        <v>52</v>
      </c>
      <c r="C54" s="27">
        <v>2028</v>
      </c>
      <c r="D54" s="7">
        <v>4</v>
      </c>
      <c r="E54" s="28">
        <v>109620.74603174602</v>
      </c>
      <c r="F54" s="30">
        <f>(((aluno_ótimo*Mensalidade*Taxa)*ROI[[#This Row],[Índice]])-TCO)/TCO</f>
        <v>0.89745105310415862</v>
      </c>
      <c r="G54" s="30">
        <f>(((aluno_bom*Mensalidade*Taxa)*ROI[[#This Row],[Índice]])-TCO)/TCO</f>
        <v>-5.1274473447920708E-2</v>
      </c>
      <c r="H54" s="30">
        <f>(((aluno_ruim*Mensalidade*Taxa)*ROI[[#This Row],[Índice]])-TCO)/TCO</f>
        <v>-0.52563723672396034</v>
      </c>
      <c r="I54" s="30">
        <f>((selic*TCO*ROI[[#This Row],[Índice]])-TCO)/TCO</f>
        <v>-0.52160000000000006</v>
      </c>
    </row>
    <row r="55" spans="2:9" x14ac:dyDescent="0.3">
      <c r="B55" s="29">
        <v>53</v>
      </c>
      <c r="C55" s="27">
        <v>2028</v>
      </c>
      <c r="D55" s="7">
        <v>5</v>
      </c>
      <c r="E55" s="28">
        <v>109620.74603174602</v>
      </c>
      <c r="F55" s="30">
        <f>(((aluno_ótimo*Mensalidade*Taxa)*ROI[[#This Row],[Índice]])-TCO)/TCO</f>
        <v>0.93394049643308474</v>
      </c>
      <c r="G55" s="30">
        <f>(((aluno_bom*Mensalidade*Taxa)*ROI[[#This Row],[Índice]])-TCO)/TCO</f>
        <v>-3.3029751783457649E-2</v>
      </c>
      <c r="H55" s="30">
        <f>(((aluno_ruim*Mensalidade*Taxa)*ROI[[#This Row],[Índice]])-TCO)/TCO</f>
        <v>-0.51651487589172884</v>
      </c>
      <c r="I55" s="30">
        <f>((selic*TCO*ROI[[#This Row],[Índice]])-TCO)/TCO</f>
        <v>-0.51240000000000008</v>
      </c>
    </row>
    <row r="56" spans="2:9" x14ac:dyDescent="0.3">
      <c r="B56" s="29">
        <v>54</v>
      </c>
      <c r="C56" s="27">
        <v>2028</v>
      </c>
      <c r="D56" s="7">
        <v>6</v>
      </c>
      <c r="E56" s="28">
        <v>109620.74603174602</v>
      </c>
      <c r="F56" s="30">
        <f>(((aluno_ótimo*Mensalidade*Taxa)*ROI[[#This Row],[Índice]])-TCO)/TCO</f>
        <v>0.97042993976201086</v>
      </c>
      <c r="G56" s="30">
        <f>(((aluno_bom*Mensalidade*Taxa)*ROI[[#This Row],[Índice]])-TCO)/TCO</f>
        <v>-1.4785030118994584E-2</v>
      </c>
      <c r="H56" s="30">
        <f>(((aluno_ruim*Mensalidade*Taxa)*ROI[[#This Row],[Índice]])-TCO)/TCO</f>
        <v>-0.50739251505949734</v>
      </c>
      <c r="I56" s="30">
        <f>((selic*TCO*ROI[[#This Row],[Índice]])-TCO)/TCO</f>
        <v>-0.50319999999999998</v>
      </c>
    </row>
    <row r="57" spans="2:9" x14ac:dyDescent="0.3">
      <c r="B57" s="29">
        <v>55</v>
      </c>
      <c r="C57" s="27">
        <v>2028</v>
      </c>
      <c r="D57" s="7">
        <v>7</v>
      </c>
      <c r="E57" s="28">
        <v>109620.74603174602</v>
      </c>
      <c r="F57" s="30">
        <f>(((aluno_ótimo*Mensalidade*Taxa)*ROI[[#This Row],[Índice]])-TCO)/TCO</f>
        <v>1.0069193830909369</v>
      </c>
      <c r="G57" s="30">
        <f>(((aluno_bom*Mensalidade*Taxa)*ROI[[#This Row],[Índice]])-TCO)/TCO</f>
        <v>3.4596915454684798E-3</v>
      </c>
      <c r="H57" s="30">
        <f>(((aluno_ruim*Mensalidade*Taxa)*ROI[[#This Row],[Índice]])-TCO)/TCO</f>
        <v>-0.49827015422726578</v>
      </c>
      <c r="I57" s="30">
        <f>((selic*TCO*ROI[[#This Row],[Índice]])-TCO)/TCO</f>
        <v>-0.49400000000000005</v>
      </c>
    </row>
    <row r="58" spans="2:9" x14ac:dyDescent="0.3">
      <c r="B58" s="29">
        <v>56</v>
      </c>
      <c r="C58" s="27">
        <v>2028</v>
      </c>
      <c r="D58" s="7">
        <v>8</v>
      </c>
      <c r="E58" s="28">
        <v>109620.74603174602</v>
      </c>
      <c r="F58" s="30">
        <f>(((aluno_ótimo*Mensalidade*Taxa)*ROI[[#This Row],[Índice]])-TCO)/TCO</f>
        <v>1.0434088264198631</v>
      </c>
      <c r="G58" s="30">
        <f>(((aluno_bom*Mensalidade*Taxa)*ROI[[#This Row],[Índice]])-TCO)/TCO</f>
        <v>2.1704413209931543E-2</v>
      </c>
      <c r="H58" s="30">
        <f>(((aluno_ruim*Mensalidade*Taxa)*ROI[[#This Row],[Índice]])-TCO)/TCO</f>
        <v>-0.48914779339503422</v>
      </c>
      <c r="I58" s="30">
        <f>((selic*TCO*ROI[[#This Row],[Índice]])-TCO)/TCO</f>
        <v>-0.48480000000000006</v>
      </c>
    </row>
    <row r="59" spans="2:9" x14ac:dyDescent="0.3">
      <c r="B59" s="29">
        <v>57</v>
      </c>
      <c r="C59" s="27">
        <v>2028</v>
      </c>
      <c r="D59" s="7">
        <v>9</v>
      </c>
      <c r="E59" s="28">
        <v>109620.74603174602</v>
      </c>
      <c r="F59" s="30">
        <f>(((aluno_ótimo*Mensalidade*Taxa)*ROI[[#This Row],[Índice]])-TCO)/TCO</f>
        <v>1.0798982697487891</v>
      </c>
      <c r="G59" s="30">
        <f>(((aluno_bom*Mensalidade*Taxa)*ROI[[#This Row],[Índice]])-TCO)/TCO</f>
        <v>3.994913487439461E-2</v>
      </c>
      <c r="H59" s="30">
        <f>(((aluno_ruim*Mensalidade*Taxa)*ROI[[#This Row],[Índice]])-TCO)/TCO</f>
        <v>-0.48002543256280272</v>
      </c>
      <c r="I59" s="30">
        <f>((selic*TCO*ROI[[#This Row],[Índice]])-TCO)/TCO</f>
        <v>-0.47560000000000008</v>
      </c>
    </row>
    <row r="60" spans="2:9" x14ac:dyDescent="0.3">
      <c r="B60" s="29">
        <v>58</v>
      </c>
      <c r="C60" s="27">
        <v>2028</v>
      </c>
      <c r="D60" s="7">
        <v>10</v>
      </c>
      <c r="E60" s="28">
        <v>109620.74603174602</v>
      </c>
      <c r="F60" s="30">
        <f>(((aluno_ótimo*Mensalidade*Taxa)*ROI[[#This Row],[Índice]])-TCO)/TCO</f>
        <v>1.1163877130777153</v>
      </c>
      <c r="G60" s="30">
        <f>(((aluno_bom*Mensalidade*Taxa)*ROI[[#This Row],[Índice]])-TCO)/TCO</f>
        <v>5.8193856538857669E-2</v>
      </c>
      <c r="H60" s="30">
        <f>(((aluno_ruim*Mensalidade*Taxa)*ROI[[#This Row],[Índice]])-TCO)/TCO</f>
        <v>-0.47090307173057117</v>
      </c>
      <c r="I60" s="30">
        <f>((selic*TCO*ROI[[#This Row],[Índice]])-TCO)/TCO</f>
        <v>-0.46640000000000004</v>
      </c>
    </row>
    <row r="61" spans="2:9" x14ac:dyDescent="0.3">
      <c r="B61" s="29">
        <v>59</v>
      </c>
      <c r="C61" s="27">
        <v>2028</v>
      </c>
      <c r="D61" s="7">
        <v>11</v>
      </c>
      <c r="E61" s="28">
        <v>109620.74603174602</v>
      </c>
      <c r="F61" s="30">
        <f>(((aluno_ótimo*Mensalidade*Taxa)*ROI[[#This Row],[Índice]])-TCO)/TCO</f>
        <v>1.1528771564066416</v>
      </c>
      <c r="G61" s="30">
        <f>(((aluno_bom*Mensalidade*Taxa)*ROI[[#This Row],[Índice]])-TCO)/TCO</f>
        <v>7.6438578203320728E-2</v>
      </c>
      <c r="H61" s="30">
        <f>(((aluno_ruim*Mensalidade*Taxa)*ROI[[#This Row],[Índice]])-TCO)/TCO</f>
        <v>-0.46178071089833961</v>
      </c>
      <c r="I61" s="30">
        <f>((selic*TCO*ROI[[#This Row],[Índice]])-TCO)/TCO</f>
        <v>-0.45720000000000005</v>
      </c>
    </row>
    <row r="62" spans="2:9" x14ac:dyDescent="0.3">
      <c r="B62" s="29">
        <v>60</v>
      </c>
      <c r="C62" s="27">
        <v>2028</v>
      </c>
      <c r="D62" s="7">
        <v>12</v>
      </c>
      <c r="E62" s="28">
        <v>109620.74603174602</v>
      </c>
      <c r="F62" s="30">
        <f>(((aluno_ótimo*Mensalidade*Taxa)*ROI[[#This Row],[Índice]])-TCO)/TCO</f>
        <v>1.1893665997355676</v>
      </c>
      <c r="G62" s="30">
        <f>(((aluno_bom*Mensalidade*Taxa)*ROI[[#This Row],[Índice]])-TCO)/TCO</f>
        <v>9.4683299867783802E-2</v>
      </c>
      <c r="H62" s="30">
        <f>(((aluno_ruim*Mensalidade*Taxa)*ROI[[#This Row],[Índice]])-TCO)/TCO</f>
        <v>-0.45265835006610811</v>
      </c>
      <c r="I62" s="30">
        <f>((selic*TCO*ROI[[#This Row],[Índice]])-TCO)/TCO</f>
        <v>-0.44800000000000006</v>
      </c>
    </row>
    <row r="63" spans="2:9" x14ac:dyDescent="0.3">
      <c r="B63" s="29">
        <v>61</v>
      </c>
      <c r="C63" s="27">
        <v>2029</v>
      </c>
      <c r="D63" s="7">
        <v>1</v>
      </c>
      <c r="E63" s="28">
        <v>109620.74603174602</v>
      </c>
      <c r="F63" s="30">
        <f>(((aluno_ótimo*Mensalidade*Taxa)*ROI[[#This Row],[Índice]])-TCO)/TCO</f>
        <v>1.2258560430644936</v>
      </c>
      <c r="G63" s="30">
        <f>(((aluno_bom*Mensalidade*Taxa)*ROI[[#This Row],[Índice]])-TCO)/TCO</f>
        <v>0.11292802153224686</v>
      </c>
      <c r="H63" s="30">
        <f>(((aluno_ruim*Mensalidade*Taxa)*ROI[[#This Row],[Índice]])-TCO)/TCO</f>
        <v>-0.44353598923387655</v>
      </c>
      <c r="I63" s="30">
        <f>((selic*TCO*ROI[[#This Row],[Índice]])-TCO)/TCO</f>
        <v>-0.43880000000000008</v>
      </c>
    </row>
    <row r="64" spans="2:9" x14ac:dyDescent="0.3">
      <c r="B64" s="29">
        <v>62</v>
      </c>
      <c r="C64" s="27">
        <v>2029</v>
      </c>
      <c r="D64" s="7">
        <v>2</v>
      </c>
      <c r="E64" s="28">
        <v>109620.74603174602</v>
      </c>
      <c r="F64" s="30">
        <f>(((aluno_ótimo*Mensalidade*Taxa)*ROI[[#This Row],[Índice]])-TCO)/TCO</f>
        <v>1.2623454863934198</v>
      </c>
      <c r="G64" s="30">
        <f>(((aluno_bom*Mensalidade*Taxa)*ROI[[#This Row],[Índice]])-TCO)/TCO</f>
        <v>0.13117274319670993</v>
      </c>
      <c r="H64" s="30">
        <f>(((aluno_ruim*Mensalidade*Taxa)*ROI[[#This Row],[Índice]])-TCO)/TCO</f>
        <v>-0.43441362840164505</v>
      </c>
      <c r="I64" s="30">
        <f>((selic*TCO*ROI[[#This Row],[Índice]])-TCO)/TCO</f>
        <v>-0.42959999999999998</v>
      </c>
    </row>
    <row r="65" spans="2:9" x14ac:dyDescent="0.3">
      <c r="B65" s="29">
        <v>63</v>
      </c>
      <c r="C65" s="27">
        <v>2029</v>
      </c>
      <c r="D65" s="7">
        <v>3</v>
      </c>
      <c r="E65" s="28">
        <v>109620.74603174602</v>
      </c>
      <c r="F65" s="30">
        <f>(((aluno_ótimo*Mensalidade*Taxa)*ROI[[#This Row],[Índice]])-TCO)/TCO</f>
        <v>1.2988349297223458</v>
      </c>
      <c r="G65" s="30">
        <f>(((aluno_bom*Mensalidade*Taxa)*ROI[[#This Row],[Índice]])-TCO)/TCO</f>
        <v>0.14941746486117299</v>
      </c>
      <c r="H65" s="30">
        <f>(((aluno_ruim*Mensalidade*Taxa)*ROI[[#This Row],[Índice]])-TCO)/TCO</f>
        <v>-0.42529126756941349</v>
      </c>
      <c r="I65" s="30">
        <f>((selic*TCO*ROI[[#This Row],[Índice]])-TCO)/TCO</f>
        <v>-0.42040000000000005</v>
      </c>
    </row>
    <row r="66" spans="2:9" x14ac:dyDescent="0.3">
      <c r="B66" s="29">
        <v>64</v>
      </c>
      <c r="C66" s="27">
        <v>2029</v>
      </c>
      <c r="D66" s="7">
        <v>4</v>
      </c>
      <c r="E66" s="28">
        <v>109620.74603174602</v>
      </c>
      <c r="F66" s="30">
        <f>(((aluno_ótimo*Mensalidade*Taxa)*ROI[[#This Row],[Índice]])-TCO)/TCO</f>
        <v>1.3353243730512721</v>
      </c>
      <c r="G66" s="30">
        <f>(((aluno_bom*Mensalidade*Taxa)*ROI[[#This Row],[Índice]])-TCO)/TCO</f>
        <v>0.16766218652563605</v>
      </c>
      <c r="H66" s="30">
        <f>(((aluno_ruim*Mensalidade*Taxa)*ROI[[#This Row],[Índice]])-TCO)/TCO</f>
        <v>-0.41616890673718199</v>
      </c>
      <c r="I66" s="30">
        <f>((selic*TCO*ROI[[#This Row],[Índice]])-TCO)/TCO</f>
        <v>-0.41120000000000007</v>
      </c>
    </row>
    <row r="67" spans="2:9" x14ac:dyDescent="0.3">
      <c r="B67" s="29">
        <v>65</v>
      </c>
      <c r="C67" s="27">
        <v>2029</v>
      </c>
      <c r="D67" s="7">
        <v>5</v>
      </c>
      <c r="E67" s="28">
        <v>109620.74603174602</v>
      </c>
      <c r="F67" s="30">
        <f>(((aluno_ótimo*Mensalidade*Taxa)*ROI[[#This Row],[Índice]])-TCO)/TCO</f>
        <v>1.3718138163801981</v>
      </c>
      <c r="G67" s="30">
        <f>(((aluno_bom*Mensalidade*Taxa)*ROI[[#This Row],[Índice]])-TCO)/TCO</f>
        <v>0.18590690819009911</v>
      </c>
      <c r="H67" s="30">
        <f>(((aluno_ruim*Mensalidade*Taxa)*ROI[[#This Row],[Índice]])-TCO)/TCO</f>
        <v>-0.40704654590495043</v>
      </c>
      <c r="I67" s="30">
        <f>((selic*TCO*ROI[[#This Row],[Índice]])-TCO)/TCO</f>
        <v>-0.40199999999999997</v>
      </c>
    </row>
    <row r="68" spans="2:9" x14ac:dyDescent="0.3">
      <c r="B68" s="29">
        <v>66</v>
      </c>
      <c r="C68" s="27">
        <v>2029</v>
      </c>
      <c r="D68" s="7">
        <v>6</v>
      </c>
      <c r="E68" s="28">
        <v>109620.74603174602</v>
      </c>
      <c r="F68" s="30">
        <f>(((aluno_ótimo*Mensalidade*Taxa)*ROI[[#This Row],[Índice]])-TCO)/TCO</f>
        <v>1.4083032597091243</v>
      </c>
      <c r="G68" s="30">
        <f>(((aluno_bom*Mensalidade*Taxa)*ROI[[#This Row],[Índice]])-TCO)/TCO</f>
        <v>0.20415162985456217</v>
      </c>
      <c r="H68" s="30">
        <f>(((aluno_ruim*Mensalidade*Taxa)*ROI[[#This Row],[Índice]])-TCO)/TCO</f>
        <v>-0.39792418507271893</v>
      </c>
      <c r="I68" s="30">
        <f>((selic*TCO*ROI[[#This Row],[Índice]])-TCO)/TCO</f>
        <v>-0.39279999999999998</v>
      </c>
    </row>
    <row r="69" spans="2:9" x14ac:dyDescent="0.3">
      <c r="B69" s="29">
        <v>67</v>
      </c>
      <c r="C69" s="27">
        <v>2029</v>
      </c>
      <c r="D69" s="7">
        <v>7</v>
      </c>
      <c r="E69" s="28">
        <v>109620.74603174602</v>
      </c>
      <c r="F69" s="30">
        <f>(((aluno_ótimo*Mensalidade*Taxa)*ROI[[#This Row],[Índice]])-TCO)/TCO</f>
        <v>1.4447927030380503</v>
      </c>
      <c r="G69" s="30">
        <f>(((aluno_bom*Mensalidade*Taxa)*ROI[[#This Row],[Índice]])-TCO)/TCO</f>
        <v>0.22239635151902523</v>
      </c>
      <c r="H69" s="30">
        <f>(((aluno_ruim*Mensalidade*Taxa)*ROI[[#This Row],[Índice]])-TCO)/TCO</f>
        <v>-0.38880182424048737</v>
      </c>
      <c r="I69" s="30">
        <f>((selic*TCO*ROI[[#This Row],[Índice]])-TCO)/TCO</f>
        <v>-0.3836</v>
      </c>
    </row>
    <row r="70" spans="2:9" x14ac:dyDescent="0.3">
      <c r="B70" s="29">
        <v>68</v>
      </c>
      <c r="C70" s="27">
        <v>2029</v>
      </c>
      <c r="D70" s="7">
        <v>8</v>
      </c>
      <c r="E70" s="28">
        <v>109620.74603174602</v>
      </c>
      <c r="F70" s="30">
        <f>(((aluno_ótimo*Mensalidade*Taxa)*ROI[[#This Row],[Índice]])-TCO)/TCO</f>
        <v>1.4812821463669765</v>
      </c>
      <c r="G70" s="30">
        <f>(((aluno_bom*Mensalidade*Taxa)*ROI[[#This Row],[Índice]])-TCO)/TCO</f>
        <v>0.24064107318348829</v>
      </c>
      <c r="H70" s="30">
        <f>(((aluno_ruim*Mensalidade*Taxa)*ROI[[#This Row],[Índice]])-TCO)/TCO</f>
        <v>-0.37967946340825587</v>
      </c>
      <c r="I70" s="30">
        <f>((selic*TCO*ROI[[#This Row],[Índice]])-TCO)/TCO</f>
        <v>-0.37440000000000007</v>
      </c>
    </row>
    <row r="71" spans="2:9" x14ac:dyDescent="0.3">
      <c r="B71" s="29">
        <v>69</v>
      </c>
      <c r="C71" s="27">
        <v>2029</v>
      </c>
      <c r="D71" s="7">
        <v>9</v>
      </c>
      <c r="E71" s="28">
        <v>109620.74603174602</v>
      </c>
      <c r="F71" s="30">
        <f>(((aluno_ótimo*Mensalidade*Taxa)*ROI[[#This Row],[Índice]])-TCO)/TCO</f>
        <v>1.5177715896959025</v>
      </c>
      <c r="G71" s="30">
        <f>(((aluno_bom*Mensalidade*Taxa)*ROI[[#This Row],[Índice]])-TCO)/TCO</f>
        <v>0.25888579484795138</v>
      </c>
      <c r="H71" s="30">
        <f>(((aluno_ruim*Mensalidade*Taxa)*ROI[[#This Row],[Índice]])-TCO)/TCO</f>
        <v>-0.37055710257602431</v>
      </c>
      <c r="I71" s="30">
        <f>((selic*TCO*ROI[[#This Row],[Índice]])-TCO)/TCO</f>
        <v>-0.36520000000000008</v>
      </c>
    </row>
    <row r="72" spans="2:9" x14ac:dyDescent="0.3">
      <c r="B72" s="29">
        <v>70</v>
      </c>
      <c r="C72" s="27">
        <v>2029</v>
      </c>
      <c r="D72" s="7">
        <v>10</v>
      </c>
      <c r="E72" s="28">
        <v>109620.74603174602</v>
      </c>
      <c r="F72" s="30">
        <f>(((aluno_ótimo*Mensalidade*Taxa)*ROI[[#This Row],[Índice]])-TCO)/TCO</f>
        <v>1.5542610330248288</v>
      </c>
      <c r="G72" s="30">
        <f>(((aluno_bom*Mensalidade*Taxa)*ROI[[#This Row],[Índice]])-TCO)/TCO</f>
        <v>0.27713051651241444</v>
      </c>
      <c r="H72" s="30">
        <f>(((aluno_ruim*Mensalidade*Taxa)*ROI[[#This Row],[Índice]])-TCO)/TCO</f>
        <v>-0.36143474174379281</v>
      </c>
      <c r="I72" s="30">
        <f>((selic*TCO*ROI[[#This Row],[Índice]])-TCO)/TCO</f>
        <v>-0.35600000000000009</v>
      </c>
    </row>
    <row r="73" spans="2:9" x14ac:dyDescent="0.3">
      <c r="B73" s="29">
        <v>71</v>
      </c>
      <c r="C73" s="27">
        <v>2029</v>
      </c>
      <c r="D73" s="7">
        <v>11</v>
      </c>
      <c r="E73" s="28">
        <v>109620.74603174602</v>
      </c>
      <c r="F73" s="30">
        <f>(((aluno_ótimo*Mensalidade*Taxa)*ROI[[#This Row],[Índice]])-TCO)/TCO</f>
        <v>1.5907504763537548</v>
      </c>
      <c r="G73" s="30">
        <f>(((aluno_bom*Mensalidade*Taxa)*ROI[[#This Row],[Índice]])-TCO)/TCO</f>
        <v>0.2953752381768775</v>
      </c>
      <c r="H73" s="30">
        <f>(((aluno_ruim*Mensalidade*Taxa)*ROI[[#This Row],[Índice]])-TCO)/TCO</f>
        <v>-0.35231238091156125</v>
      </c>
      <c r="I73" s="30">
        <f>((selic*TCO*ROI[[#This Row],[Índice]])-TCO)/TCO</f>
        <v>-0.34680000000000011</v>
      </c>
    </row>
    <row r="74" spans="2:9" x14ac:dyDescent="0.3">
      <c r="B74" s="29">
        <v>72</v>
      </c>
      <c r="C74" s="27">
        <v>2029</v>
      </c>
      <c r="D74" s="7">
        <v>12</v>
      </c>
      <c r="E74" s="28">
        <v>109620.74603174602</v>
      </c>
      <c r="F74" s="30">
        <f>(((aluno_ótimo*Mensalidade*Taxa)*ROI[[#This Row],[Índice]])-TCO)/TCO</f>
        <v>1.627239919682681</v>
      </c>
      <c r="G74" s="30">
        <f>(((aluno_bom*Mensalidade*Taxa)*ROI[[#This Row],[Índice]])-TCO)/TCO</f>
        <v>0.31361995984134056</v>
      </c>
      <c r="H74" s="30">
        <f>(((aluno_ruim*Mensalidade*Taxa)*ROI[[#This Row],[Índice]])-TCO)/TCO</f>
        <v>-0.34319002007932975</v>
      </c>
      <c r="I74" s="30">
        <f>((selic*TCO*ROI[[#This Row],[Índice]])-TCO)/TCO</f>
        <v>-0.33760000000000012</v>
      </c>
    </row>
    <row r="75" spans="2:9" x14ac:dyDescent="0.3">
      <c r="B75" s="29">
        <v>73</v>
      </c>
      <c r="C75" s="27">
        <v>2030</v>
      </c>
      <c r="D75" s="7">
        <v>1</v>
      </c>
      <c r="E75" s="28">
        <v>109620.74603174602</v>
      </c>
      <c r="F75" s="30">
        <f>(((aluno_ótimo*Mensalidade*Taxa)*ROI[[#This Row],[Índice]])-TCO)/TCO</f>
        <v>1.663729363011607</v>
      </c>
      <c r="G75" s="30">
        <f>(((aluno_bom*Mensalidade*Taxa)*ROI[[#This Row],[Índice]])-TCO)/TCO</f>
        <v>0.33186468150580362</v>
      </c>
      <c r="H75" s="30">
        <f>(((aluno_ruim*Mensalidade*Taxa)*ROI[[#This Row],[Índice]])-TCO)/TCO</f>
        <v>-0.33406765924709819</v>
      </c>
      <c r="I75" s="30">
        <f>((selic*TCO*ROI[[#This Row],[Índice]])-TCO)/TCO</f>
        <v>-0.32839999999999997</v>
      </c>
    </row>
    <row r="76" spans="2:9" x14ac:dyDescent="0.3">
      <c r="B76" s="29">
        <v>74</v>
      </c>
      <c r="C76" s="27">
        <v>2030</v>
      </c>
      <c r="D76" s="7">
        <v>2</v>
      </c>
      <c r="E76" s="28">
        <v>109620.74603174602</v>
      </c>
      <c r="F76" s="30">
        <f>(((aluno_ótimo*Mensalidade*Taxa)*ROI[[#This Row],[Índice]])-TCO)/TCO</f>
        <v>1.7002188063405332</v>
      </c>
      <c r="G76" s="30">
        <f>(((aluno_bom*Mensalidade*Taxa)*ROI[[#This Row],[Índice]])-TCO)/TCO</f>
        <v>0.35010940317026668</v>
      </c>
      <c r="H76" s="30">
        <f>(((aluno_ruim*Mensalidade*Taxa)*ROI[[#This Row],[Índice]])-TCO)/TCO</f>
        <v>-0.32494529841486663</v>
      </c>
      <c r="I76" s="30">
        <f>((selic*TCO*ROI[[#This Row],[Índice]])-TCO)/TCO</f>
        <v>-0.31919999999999998</v>
      </c>
    </row>
    <row r="77" spans="2:9" x14ac:dyDescent="0.3">
      <c r="B77" s="29">
        <v>75</v>
      </c>
      <c r="C77" s="27">
        <v>2030</v>
      </c>
      <c r="D77" s="7">
        <v>3</v>
      </c>
      <c r="E77" s="28">
        <v>109620.74603174602</v>
      </c>
      <c r="F77" s="30">
        <f>(((aluno_ótimo*Mensalidade*Taxa)*ROI[[#This Row],[Índice]])-TCO)/TCO</f>
        <v>1.7367082496694592</v>
      </c>
      <c r="G77" s="30">
        <f>(((aluno_bom*Mensalidade*Taxa)*ROI[[#This Row],[Índice]])-TCO)/TCO</f>
        <v>0.36835412483472973</v>
      </c>
      <c r="H77" s="30">
        <f>(((aluno_ruim*Mensalidade*Taxa)*ROI[[#This Row],[Índice]])-TCO)/TCO</f>
        <v>-0.31582293758263513</v>
      </c>
      <c r="I77" s="30">
        <f>((selic*TCO*ROI[[#This Row],[Índice]])-TCO)/TCO</f>
        <v>-0.31</v>
      </c>
    </row>
    <row r="78" spans="2:9" x14ac:dyDescent="0.3">
      <c r="B78" s="29">
        <v>76</v>
      </c>
      <c r="C78" s="27">
        <v>2030</v>
      </c>
      <c r="D78" s="7">
        <v>4</v>
      </c>
      <c r="E78" s="28">
        <v>109620.74603174602</v>
      </c>
      <c r="F78" s="30">
        <f>(((aluno_ótimo*Mensalidade*Taxa)*ROI[[#This Row],[Índice]])-TCO)/TCO</f>
        <v>1.7731976929983855</v>
      </c>
      <c r="G78" s="30">
        <f>(((aluno_bom*Mensalidade*Taxa)*ROI[[#This Row],[Índice]])-TCO)/TCO</f>
        <v>0.38659884649919279</v>
      </c>
      <c r="H78" s="30">
        <f>(((aluno_ruim*Mensalidade*Taxa)*ROI[[#This Row],[Índice]])-TCO)/TCO</f>
        <v>-0.30670057675040358</v>
      </c>
      <c r="I78" s="30">
        <f>((selic*TCO*ROI[[#This Row],[Índice]])-TCO)/TCO</f>
        <v>-0.30080000000000001</v>
      </c>
    </row>
    <row r="79" spans="2:9" x14ac:dyDescent="0.3">
      <c r="B79" s="29">
        <v>77</v>
      </c>
      <c r="C79" s="27">
        <v>2030</v>
      </c>
      <c r="D79" s="7">
        <v>5</v>
      </c>
      <c r="E79" s="28">
        <v>109620.74603174602</v>
      </c>
      <c r="F79" s="30">
        <f>(((aluno_ótimo*Mensalidade*Taxa)*ROI[[#This Row],[Índice]])-TCO)/TCO</f>
        <v>1.8096871363273117</v>
      </c>
      <c r="G79" s="30">
        <f>(((aluno_bom*Mensalidade*Taxa)*ROI[[#This Row],[Índice]])-TCO)/TCO</f>
        <v>0.40484356816365585</v>
      </c>
      <c r="H79" s="30">
        <f>(((aluno_ruim*Mensalidade*Taxa)*ROI[[#This Row],[Índice]])-TCO)/TCO</f>
        <v>-0.29757821591817207</v>
      </c>
      <c r="I79" s="30">
        <f>((selic*TCO*ROI[[#This Row],[Índice]])-TCO)/TCO</f>
        <v>-0.29160000000000003</v>
      </c>
    </row>
    <row r="80" spans="2:9" x14ac:dyDescent="0.3">
      <c r="B80" s="29">
        <v>78</v>
      </c>
      <c r="C80" s="27">
        <v>2030</v>
      </c>
      <c r="D80" s="7">
        <v>6</v>
      </c>
      <c r="E80" s="28">
        <v>109620.74603174602</v>
      </c>
      <c r="F80" s="30">
        <f>(((aluno_ótimo*Mensalidade*Taxa)*ROI[[#This Row],[Índice]])-TCO)/TCO</f>
        <v>1.8461765796562377</v>
      </c>
      <c r="G80" s="30">
        <f>(((aluno_bom*Mensalidade*Taxa)*ROI[[#This Row],[Índice]])-TCO)/TCO</f>
        <v>0.42308828982811891</v>
      </c>
      <c r="H80" s="30">
        <f>(((aluno_ruim*Mensalidade*Taxa)*ROI[[#This Row],[Índice]])-TCO)/TCO</f>
        <v>-0.28845585508594052</v>
      </c>
      <c r="I80" s="30">
        <f>((selic*TCO*ROI[[#This Row],[Índice]])-TCO)/TCO</f>
        <v>-0.2824000000000001</v>
      </c>
    </row>
    <row r="81" spans="2:9" x14ac:dyDescent="0.3">
      <c r="B81" s="29">
        <v>79</v>
      </c>
      <c r="C81" s="27">
        <v>2030</v>
      </c>
      <c r="D81" s="7">
        <v>7</v>
      </c>
      <c r="E81" s="28">
        <v>109620.74603174602</v>
      </c>
      <c r="F81" s="30">
        <f>(((aluno_ótimo*Mensalidade*Taxa)*ROI[[#This Row],[Índice]])-TCO)/TCO</f>
        <v>1.8826660229851639</v>
      </c>
      <c r="G81" s="30">
        <f>(((aluno_bom*Mensalidade*Taxa)*ROI[[#This Row],[Índice]])-TCO)/TCO</f>
        <v>0.44133301149258197</v>
      </c>
      <c r="H81" s="30">
        <f>(((aluno_ruim*Mensalidade*Taxa)*ROI[[#This Row],[Índice]])-TCO)/TCO</f>
        <v>-0.27933349425370901</v>
      </c>
      <c r="I81" s="30">
        <f>((selic*TCO*ROI[[#This Row],[Índice]])-TCO)/TCO</f>
        <v>-0.27320000000000011</v>
      </c>
    </row>
    <row r="82" spans="2:9" x14ac:dyDescent="0.3">
      <c r="B82" s="29">
        <v>80</v>
      </c>
      <c r="C82" s="27">
        <v>2030</v>
      </c>
      <c r="D82" s="7">
        <v>8</v>
      </c>
      <c r="E82" s="28">
        <v>109620.74603174602</v>
      </c>
      <c r="F82" s="30">
        <f>(((aluno_ótimo*Mensalidade*Taxa)*ROI[[#This Row],[Índice]])-TCO)/TCO</f>
        <v>1.91915546631409</v>
      </c>
      <c r="G82" s="30">
        <f>(((aluno_bom*Mensalidade*Taxa)*ROI[[#This Row],[Índice]])-TCO)/TCO</f>
        <v>0.45957773315704509</v>
      </c>
      <c r="H82" s="30">
        <f>(((aluno_ruim*Mensalidade*Taxa)*ROI[[#This Row],[Índice]])-TCO)/TCO</f>
        <v>-0.27021113342147746</v>
      </c>
      <c r="I82" s="30">
        <f>((selic*TCO*ROI[[#This Row],[Índice]])-TCO)/TCO</f>
        <v>-0.26400000000000012</v>
      </c>
    </row>
    <row r="83" spans="2:9" x14ac:dyDescent="0.3">
      <c r="B83" s="29">
        <v>81</v>
      </c>
      <c r="C83" s="27">
        <v>2030</v>
      </c>
      <c r="D83" s="7">
        <v>9</v>
      </c>
      <c r="E83" s="28">
        <v>109620.74603174602</v>
      </c>
      <c r="F83" s="30">
        <f>(((aluno_ótimo*Mensalidade*Taxa)*ROI[[#This Row],[Índice]])-TCO)/TCO</f>
        <v>1.9556449096430162</v>
      </c>
      <c r="G83" s="30">
        <f>(((aluno_bom*Mensalidade*Taxa)*ROI[[#This Row],[Índice]])-TCO)/TCO</f>
        <v>0.47782245482150815</v>
      </c>
      <c r="H83" s="30">
        <f>(((aluno_ruim*Mensalidade*Taxa)*ROI[[#This Row],[Índice]])-TCO)/TCO</f>
        <v>-0.26108877258924595</v>
      </c>
      <c r="I83" s="30">
        <f>((selic*TCO*ROI[[#This Row],[Índice]])-TCO)/TCO</f>
        <v>-0.25480000000000014</v>
      </c>
    </row>
    <row r="84" spans="2:9" x14ac:dyDescent="0.3">
      <c r="B84" s="29">
        <v>82</v>
      </c>
      <c r="C84" s="27">
        <v>2030</v>
      </c>
      <c r="D84" s="7">
        <v>10</v>
      </c>
      <c r="E84" s="28">
        <v>109620.74603174602</v>
      </c>
      <c r="F84" s="30">
        <f>(((aluno_ótimo*Mensalidade*Taxa)*ROI[[#This Row],[Índice]])-TCO)/TCO</f>
        <v>1.9921343529719422</v>
      </c>
      <c r="G84" s="30">
        <f>(((aluno_bom*Mensalidade*Taxa)*ROI[[#This Row],[Índice]])-TCO)/TCO</f>
        <v>0.49606717648597121</v>
      </c>
      <c r="H84" s="30">
        <f>(((aluno_ruim*Mensalidade*Taxa)*ROI[[#This Row],[Índice]])-TCO)/TCO</f>
        <v>-0.2519664117570144</v>
      </c>
      <c r="I84" s="30">
        <f>((selic*TCO*ROI[[#This Row],[Índice]])-TCO)/TCO</f>
        <v>-0.24560000000000001</v>
      </c>
    </row>
    <row r="85" spans="2:9" x14ac:dyDescent="0.3">
      <c r="B85" s="29">
        <v>83</v>
      </c>
      <c r="C85" s="27">
        <v>2030</v>
      </c>
      <c r="D85" s="7">
        <v>11</v>
      </c>
      <c r="E85" s="28">
        <v>109620.74603174602</v>
      </c>
      <c r="F85" s="30">
        <f>(((aluno_ótimo*Mensalidade*Taxa)*ROI[[#This Row],[Índice]])-TCO)/TCO</f>
        <v>2.0286237963008684</v>
      </c>
      <c r="G85" s="30">
        <f>(((aluno_bom*Mensalidade*Taxa)*ROI[[#This Row],[Índice]])-TCO)/TCO</f>
        <v>0.51431189815043421</v>
      </c>
      <c r="H85" s="30">
        <f>(((aluno_ruim*Mensalidade*Taxa)*ROI[[#This Row],[Índice]])-TCO)/TCO</f>
        <v>-0.24284405092478287</v>
      </c>
      <c r="I85" s="30">
        <f>((selic*TCO*ROI[[#This Row],[Índice]])-TCO)/TCO</f>
        <v>-0.23640000000000003</v>
      </c>
    </row>
    <row r="86" spans="2:9" x14ac:dyDescent="0.3">
      <c r="B86" s="29">
        <v>84</v>
      </c>
      <c r="C86" s="27">
        <v>2030</v>
      </c>
      <c r="D86" s="7">
        <v>12</v>
      </c>
      <c r="E86" s="28">
        <v>109620.74603174602</v>
      </c>
      <c r="F86" s="30">
        <f>(((aluno_ótimo*Mensalidade*Taxa)*ROI[[#This Row],[Índice]])-TCO)/TCO</f>
        <v>2.0651132396297944</v>
      </c>
      <c r="G86" s="30">
        <f>(((aluno_bom*Mensalidade*Taxa)*ROI[[#This Row],[Índice]])-TCO)/TCO</f>
        <v>0.53255661981489733</v>
      </c>
      <c r="H86" s="30">
        <f>(((aluno_ruim*Mensalidade*Taxa)*ROI[[#This Row],[Índice]])-TCO)/TCO</f>
        <v>-0.23372169009255134</v>
      </c>
      <c r="I86" s="30">
        <f>((selic*TCO*ROI[[#This Row],[Índice]])-TCO)/TCO</f>
        <v>-0.22720000000000004</v>
      </c>
    </row>
    <row r="87" spans="2:9" x14ac:dyDescent="0.3">
      <c r="B87" s="29">
        <v>85</v>
      </c>
      <c r="C87" s="27">
        <v>2031</v>
      </c>
      <c r="D87" s="7">
        <v>1</v>
      </c>
      <c r="E87" s="28">
        <v>109620.74603174602</v>
      </c>
      <c r="F87" s="30">
        <f>(((aluno_ótimo*Mensalidade*Taxa)*ROI[[#This Row],[Índice]])-TCO)/TCO</f>
        <v>2.1016026829587204</v>
      </c>
      <c r="G87" s="30">
        <f>(((aluno_bom*Mensalidade*Taxa)*ROI[[#This Row],[Índice]])-TCO)/TCO</f>
        <v>0.55080134147936033</v>
      </c>
      <c r="H87" s="30">
        <f>(((aluno_ruim*Mensalidade*Taxa)*ROI[[#This Row],[Índice]])-TCO)/TCO</f>
        <v>-0.22459932926031981</v>
      </c>
      <c r="I87" s="30">
        <f>((selic*TCO*ROI[[#This Row],[Índice]])-TCO)/TCO</f>
        <v>-0.21800000000000005</v>
      </c>
    </row>
    <row r="88" spans="2:9" x14ac:dyDescent="0.3">
      <c r="B88" s="29">
        <v>86</v>
      </c>
      <c r="C88" s="27">
        <v>2031</v>
      </c>
      <c r="D88" s="7">
        <v>2</v>
      </c>
      <c r="E88" s="28">
        <v>109620.74603174602</v>
      </c>
      <c r="F88" s="30">
        <f>(((aluno_ótimo*Mensalidade*Taxa)*ROI[[#This Row],[Índice]])-TCO)/TCO</f>
        <v>2.1380921262876469</v>
      </c>
      <c r="G88" s="30">
        <f>(((aluno_bom*Mensalidade*Taxa)*ROI[[#This Row],[Índice]])-TCO)/TCO</f>
        <v>0.56904606314382344</v>
      </c>
      <c r="H88" s="30">
        <f>(((aluno_ruim*Mensalidade*Taxa)*ROI[[#This Row],[Índice]])-TCO)/TCO</f>
        <v>-0.21547696842808828</v>
      </c>
      <c r="I88" s="30">
        <f>((selic*TCO*ROI[[#This Row],[Índice]])-TCO)/TCO</f>
        <v>-0.20880000000000007</v>
      </c>
    </row>
    <row r="89" spans="2:9" x14ac:dyDescent="0.3">
      <c r="B89" s="29">
        <v>87</v>
      </c>
      <c r="C89" s="27">
        <v>2031</v>
      </c>
      <c r="D89" s="7">
        <v>3</v>
      </c>
      <c r="E89" s="28">
        <v>109620.74603174602</v>
      </c>
      <c r="F89" s="30">
        <f>(((aluno_ótimo*Mensalidade*Taxa)*ROI[[#This Row],[Índice]])-TCO)/TCO</f>
        <v>2.1745815696165729</v>
      </c>
      <c r="G89" s="30">
        <f>(((aluno_bom*Mensalidade*Taxa)*ROI[[#This Row],[Índice]])-TCO)/TCO</f>
        <v>0.58729078480828656</v>
      </c>
      <c r="H89" s="30">
        <f>(((aluno_ruim*Mensalidade*Taxa)*ROI[[#This Row],[Índice]])-TCO)/TCO</f>
        <v>-0.20635460759585675</v>
      </c>
      <c r="I89" s="30">
        <f>((selic*TCO*ROI[[#This Row],[Índice]])-TCO)/TCO</f>
        <v>-0.19960000000000008</v>
      </c>
    </row>
    <row r="90" spans="2:9" x14ac:dyDescent="0.3">
      <c r="B90" s="29">
        <v>88</v>
      </c>
      <c r="C90" s="27">
        <v>2031</v>
      </c>
      <c r="D90" s="7">
        <v>4</v>
      </c>
      <c r="E90" s="28">
        <v>109620.74603174602</v>
      </c>
      <c r="F90" s="30">
        <f>(((aluno_ótimo*Mensalidade*Taxa)*ROI[[#This Row],[Índice]])-TCO)/TCO</f>
        <v>2.2110710129454989</v>
      </c>
      <c r="G90" s="30">
        <f>(((aluno_bom*Mensalidade*Taxa)*ROI[[#This Row],[Índice]])-TCO)/TCO</f>
        <v>0.60553550647274956</v>
      </c>
      <c r="H90" s="30">
        <f>(((aluno_ruim*Mensalidade*Taxa)*ROI[[#This Row],[Índice]])-TCO)/TCO</f>
        <v>-0.19723224676362522</v>
      </c>
      <c r="I90" s="30">
        <f>((selic*TCO*ROI[[#This Row],[Índice]])-TCO)/TCO</f>
        <v>-0.1904000000000001</v>
      </c>
    </row>
    <row r="91" spans="2:9" x14ac:dyDescent="0.3">
      <c r="B91" s="29">
        <v>89</v>
      </c>
      <c r="C91" s="27">
        <v>2031</v>
      </c>
      <c r="D91" s="7">
        <v>5</v>
      </c>
      <c r="E91" s="28">
        <v>109620.74603174602</v>
      </c>
      <c r="F91" s="30">
        <f>(((aluno_ótimo*Mensalidade*Taxa)*ROI[[#This Row],[Índice]])-TCO)/TCO</f>
        <v>2.2475604562744249</v>
      </c>
      <c r="G91" s="30">
        <f>(((aluno_bom*Mensalidade*Taxa)*ROI[[#This Row],[Índice]])-TCO)/TCO</f>
        <v>0.62378022813721268</v>
      </c>
      <c r="H91" s="30">
        <f>(((aluno_ruim*Mensalidade*Taxa)*ROI[[#This Row],[Índice]])-TCO)/TCO</f>
        <v>-0.18810988593139369</v>
      </c>
      <c r="I91" s="30">
        <f>((selic*TCO*ROI[[#This Row],[Índice]])-TCO)/TCO</f>
        <v>-0.18120000000000011</v>
      </c>
    </row>
    <row r="92" spans="2:9" x14ac:dyDescent="0.3">
      <c r="B92" s="29">
        <v>90</v>
      </c>
      <c r="C92" s="27">
        <v>2031</v>
      </c>
      <c r="D92" s="7">
        <v>6</v>
      </c>
      <c r="E92" s="28">
        <v>109620.74603174602</v>
      </c>
      <c r="F92" s="30">
        <f>(((aluno_ótimo*Mensalidade*Taxa)*ROI[[#This Row],[Índice]])-TCO)/TCO</f>
        <v>2.2840498996033514</v>
      </c>
      <c r="G92" s="30">
        <f>(((aluno_bom*Mensalidade*Taxa)*ROI[[#This Row],[Índice]])-TCO)/TCO</f>
        <v>0.64202494980167568</v>
      </c>
      <c r="H92" s="30">
        <f>(((aluno_ruim*Mensalidade*Taxa)*ROI[[#This Row],[Índice]])-TCO)/TCO</f>
        <v>-0.17898752509916216</v>
      </c>
      <c r="I92" s="30">
        <f>((selic*TCO*ROI[[#This Row],[Índice]])-TCO)/TCO</f>
        <v>-0.17199999999999999</v>
      </c>
    </row>
    <row r="93" spans="2:9" x14ac:dyDescent="0.3">
      <c r="B93" s="29">
        <v>91</v>
      </c>
      <c r="C93" s="27">
        <v>2031</v>
      </c>
      <c r="D93" s="7">
        <v>7</v>
      </c>
      <c r="E93" s="28">
        <v>109620.74603174602</v>
      </c>
      <c r="F93" s="30">
        <f>(((aluno_ótimo*Mensalidade*Taxa)*ROI[[#This Row],[Índice]])-TCO)/TCO</f>
        <v>2.3205393429322774</v>
      </c>
      <c r="G93" s="30">
        <f>(((aluno_bom*Mensalidade*Taxa)*ROI[[#This Row],[Índice]])-TCO)/TCO</f>
        <v>0.6602696714661388</v>
      </c>
      <c r="H93" s="30">
        <f>(((aluno_ruim*Mensalidade*Taxa)*ROI[[#This Row],[Índice]])-TCO)/TCO</f>
        <v>-0.16986516426693063</v>
      </c>
      <c r="I93" s="30">
        <f>((selic*TCO*ROI[[#This Row],[Índice]])-TCO)/TCO</f>
        <v>-0.1628</v>
      </c>
    </row>
    <row r="94" spans="2:9" x14ac:dyDescent="0.3">
      <c r="B94" s="29">
        <v>92</v>
      </c>
      <c r="C94" s="27">
        <v>2031</v>
      </c>
      <c r="D94" s="7">
        <v>8</v>
      </c>
      <c r="E94" s="28">
        <v>109620.74603174602</v>
      </c>
      <c r="F94" s="30">
        <f>(((aluno_ótimo*Mensalidade*Taxa)*ROI[[#This Row],[Índice]])-TCO)/TCO</f>
        <v>2.3570287862612034</v>
      </c>
      <c r="G94" s="30">
        <f>(((aluno_bom*Mensalidade*Taxa)*ROI[[#This Row],[Índice]])-TCO)/TCO</f>
        <v>0.6785143931306018</v>
      </c>
      <c r="H94" s="30">
        <f>(((aluno_ruim*Mensalidade*Taxa)*ROI[[#This Row],[Índice]])-TCO)/TCO</f>
        <v>-0.1607428034346991</v>
      </c>
      <c r="I94" s="30">
        <f>((selic*TCO*ROI[[#This Row],[Índice]])-TCO)/TCO</f>
        <v>-0.15360000000000004</v>
      </c>
    </row>
    <row r="95" spans="2:9" x14ac:dyDescent="0.3">
      <c r="B95" s="29">
        <v>93</v>
      </c>
      <c r="C95" s="27">
        <v>2031</v>
      </c>
      <c r="D95" s="7">
        <v>9</v>
      </c>
      <c r="E95" s="28">
        <v>109620.74603174602</v>
      </c>
      <c r="F95" s="30">
        <f>(((aluno_ótimo*Mensalidade*Taxa)*ROI[[#This Row],[Índice]])-TCO)/TCO</f>
        <v>2.3935182295901298</v>
      </c>
      <c r="G95" s="30">
        <f>(((aluno_bom*Mensalidade*Taxa)*ROI[[#This Row],[Índice]])-TCO)/TCO</f>
        <v>0.69675911479506492</v>
      </c>
      <c r="H95" s="30">
        <f>(((aluno_ruim*Mensalidade*Taxa)*ROI[[#This Row],[Índice]])-TCO)/TCO</f>
        <v>-0.15162044260246757</v>
      </c>
      <c r="I95" s="30">
        <f>((selic*TCO*ROI[[#This Row],[Índice]])-TCO)/TCO</f>
        <v>-0.14440000000000006</v>
      </c>
    </row>
    <row r="96" spans="2:9" x14ac:dyDescent="0.3">
      <c r="B96" s="29">
        <v>94</v>
      </c>
      <c r="C96" s="27">
        <v>2031</v>
      </c>
      <c r="D96" s="7">
        <v>10</v>
      </c>
      <c r="E96" s="28">
        <v>109620.74603174602</v>
      </c>
      <c r="F96" s="30">
        <f>(((aluno_ótimo*Mensalidade*Taxa)*ROI[[#This Row],[Índice]])-TCO)/TCO</f>
        <v>2.4300076729190558</v>
      </c>
      <c r="G96" s="30">
        <f>(((aluno_bom*Mensalidade*Taxa)*ROI[[#This Row],[Índice]])-TCO)/TCO</f>
        <v>0.71500383645952792</v>
      </c>
      <c r="H96" s="30">
        <f>(((aluno_ruim*Mensalidade*Taxa)*ROI[[#This Row],[Índice]])-TCO)/TCO</f>
        <v>-0.14249808177023601</v>
      </c>
      <c r="I96" s="30">
        <f>((selic*TCO*ROI[[#This Row],[Índice]])-TCO)/TCO</f>
        <v>-0.13520000000000007</v>
      </c>
    </row>
    <row r="97" spans="2:9" x14ac:dyDescent="0.3">
      <c r="B97" s="29">
        <v>95</v>
      </c>
      <c r="C97" s="27">
        <v>2031</v>
      </c>
      <c r="D97" s="7">
        <v>11</v>
      </c>
      <c r="E97" s="28">
        <v>109620.74603174602</v>
      </c>
      <c r="F97" s="30">
        <f>(((aluno_ótimo*Mensalidade*Taxa)*ROI[[#This Row],[Índice]])-TCO)/TCO</f>
        <v>2.4664971162479818</v>
      </c>
      <c r="G97" s="30">
        <f>(((aluno_bom*Mensalidade*Taxa)*ROI[[#This Row],[Índice]])-TCO)/TCO</f>
        <v>0.73324855812399103</v>
      </c>
      <c r="H97" s="30">
        <f>(((aluno_ruim*Mensalidade*Taxa)*ROI[[#This Row],[Índice]])-TCO)/TCO</f>
        <v>-0.13337572093800448</v>
      </c>
      <c r="I97" s="30">
        <f>((selic*TCO*ROI[[#This Row],[Índice]])-TCO)/TCO</f>
        <v>-0.12600000000000008</v>
      </c>
    </row>
    <row r="98" spans="2:9" x14ac:dyDescent="0.3">
      <c r="B98" s="29">
        <v>96</v>
      </c>
      <c r="C98" s="27">
        <v>2031</v>
      </c>
      <c r="D98" s="7">
        <v>12</v>
      </c>
      <c r="E98" s="28">
        <v>109620.74603174602</v>
      </c>
      <c r="F98" s="30">
        <f>(((aluno_ótimo*Mensalidade*Taxa)*ROI[[#This Row],[Índice]])-TCO)/TCO</f>
        <v>2.5029865595769079</v>
      </c>
      <c r="G98" s="30">
        <f>(((aluno_bom*Mensalidade*Taxa)*ROI[[#This Row],[Índice]])-TCO)/TCO</f>
        <v>0.75149327978845404</v>
      </c>
      <c r="H98" s="30">
        <f>(((aluno_ruim*Mensalidade*Taxa)*ROI[[#This Row],[Índice]])-TCO)/TCO</f>
        <v>-0.12425336010577297</v>
      </c>
      <c r="I98" s="30">
        <f>((selic*TCO*ROI[[#This Row],[Índice]])-TCO)/TCO</f>
        <v>-0.1168000000000001</v>
      </c>
    </row>
    <row r="99" spans="2:9" x14ac:dyDescent="0.3">
      <c r="B99" s="29">
        <v>97</v>
      </c>
      <c r="C99" s="27">
        <v>2032</v>
      </c>
      <c r="D99" s="7">
        <v>1</v>
      </c>
      <c r="E99" s="28">
        <v>109620.74603174602</v>
      </c>
      <c r="F99" s="30">
        <f>(((aluno_ótimo*Mensalidade*Taxa)*ROI[[#This Row],[Índice]])-TCO)/TCO</f>
        <v>2.5394760029058343</v>
      </c>
      <c r="G99" s="30">
        <f>(((aluno_bom*Mensalidade*Taxa)*ROI[[#This Row],[Índice]])-TCO)/TCO</f>
        <v>0.76973800145291715</v>
      </c>
      <c r="H99" s="30">
        <f>(((aluno_ruim*Mensalidade*Taxa)*ROI[[#This Row],[Índice]])-TCO)/TCO</f>
        <v>-0.11513099927354144</v>
      </c>
      <c r="I99" s="30">
        <f>((selic*TCO*ROI[[#This Row],[Índice]])-TCO)/TCO</f>
        <v>-0.10760000000000011</v>
      </c>
    </row>
    <row r="100" spans="2:9" x14ac:dyDescent="0.3">
      <c r="B100" s="29">
        <v>98</v>
      </c>
      <c r="C100" s="27">
        <v>2032</v>
      </c>
      <c r="D100" s="7">
        <v>2</v>
      </c>
      <c r="E100" s="28">
        <v>109620.74603174602</v>
      </c>
      <c r="F100" s="30">
        <f>(((aluno_ótimo*Mensalidade*Taxa)*ROI[[#This Row],[Índice]])-TCO)/TCO</f>
        <v>2.5759654462347603</v>
      </c>
      <c r="G100" s="30">
        <f>(((aluno_bom*Mensalidade*Taxa)*ROI[[#This Row],[Índice]])-TCO)/TCO</f>
        <v>0.78798272311738016</v>
      </c>
      <c r="H100" s="30">
        <f>(((aluno_ruim*Mensalidade*Taxa)*ROI[[#This Row],[Índice]])-TCO)/TCO</f>
        <v>-0.10600863844130989</v>
      </c>
      <c r="I100" s="30">
        <f>((selic*TCO*ROI[[#This Row],[Índice]])-TCO)/TCO</f>
        <v>-9.8400000000000126E-2</v>
      </c>
    </row>
    <row r="101" spans="2:9" x14ac:dyDescent="0.3">
      <c r="B101" s="29">
        <v>99</v>
      </c>
      <c r="C101" s="27">
        <v>2032</v>
      </c>
      <c r="D101" s="7">
        <v>3</v>
      </c>
      <c r="E101" s="28">
        <v>109620.74603174602</v>
      </c>
      <c r="F101" s="30">
        <f>(((aluno_ótimo*Mensalidade*Taxa)*ROI[[#This Row],[Índice]])-TCO)/TCO</f>
        <v>2.6124548895636863</v>
      </c>
      <c r="G101" s="30">
        <f>(((aluno_bom*Mensalidade*Taxa)*ROI[[#This Row],[Índice]])-TCO)/TCO</f>
        <v>0.80622744478184327</v>
      </c>
      <c r="H101" s="30">
        <f>(((aluno_ruim*Mensalidade*Taxa)*ROI[[#This Row],[Índice]])-TCO)/TCO</f>
        <v>-9.6886277609078364E-2</v>
      </c>
      <c r="I101" s="30">
        <f>((selic*TCO*ROI[[#This Row],[Índice]])-TCO)/TCO</f>
        <v>-8.9200000000000015E-2</v>
      </c>
    </row>
    <row r="102" spans="2:9" x14ac:dyDescent="0.3">
      <c r="B102" s="29">
        <v>100</v>
      </c>
      <c r="C102" s="27">
        <v>2032</v>
      </c>
      <c r="D102" s="7">
        <v>4</v>
      </c>
      <c r="E102" s="28">
        <v>109620.74603174602</v>
      </c>
      <c r="F102" s="30">
        <f>(((aluno_ótimo*Mensalidade*Taxa)*ROI[[#This Row],[Índice]])-TCO)/TCO</f>
        <v>2.6489443328926123</v>
      </c>
      <c r="G102" s="30">
        <f>(((aluno_bom*Mensalidade*Taxa)*ROI[[#This Row],[Índice]])-TCO)/TCO</f>
        <v>0.82447216644630628</v>
      </c>
      <c r="H102" s="30">
        <f>(((aluno_ruim*Mensalidade*Taxa)*ROI[[#This Row],[Índice]])-TCO)/TCO</f>
        <v>-8.7763916776846834E-2</v>
      </c>
      <c r="I102" s="30">
        <f>((selic*TCO*ROI[[#This Row],[Índice]])-TCO)/TCO</f>
        <v>-8.0000000000000029E-2</v>
      </c>
    </row>
    <row r="103" spans="2:9" x14ac:dyDescent="0.3">
      <c r="B103" s="29">
        <v>101</v>
      </c>
      <c r="C103" s="27">
        <v>2032</v>
      </c>
      <c r="D103" s="7">
        <v>5</v>
      </c>
      <c r="E103" s="28">
        <v>109620.74603174602</v>
      </c>
      <c r="F103" s="30">
        <f>(((aluno_ótimo*Mensalidade*Taxa)*ROI[[#This Row],[Índice]])-TCO)/TCO</f>
        <v>2.6854337762215388</v>
      </c>
      <c r="G103" s="30">
        <f>(((aluno_bom*Mensalidade*Taxa)*ROI[[#This Row],[Índice]])-TCO)/TCO</f>
        <v>0.84271688811076939</v>
      </c>
      <c r="H103" s="30">
        <f>(((aluno_ruim*Mensalidade*Taxa)*ROI[[#This Row],[Índice]])-TCO)/TCO</f>
        <v>-7.8641555944615305E-2</v>
      </c>
      <c r="I103" s="30">
        <f>((selic*TCO*ROI[[#This Row],[Índice]])-TCO)/TCO</f>
        <v>-7.0800000000000043E-2</v>
      </c>
    </row>
    <row r="104" spans="2:9" x14ac:dyDescent="0.3">
      <c r="B104" s="29">
        <v>102</v>
      </c>
      <c r="C104" s="27">
        <v>2032</v>
      </c>
      <c r="D104" s="7">
        <v>6</v>
      </c>
      <c r="E104" s="28">
        <v>109620.74603174602</v>
      </c>
      <c r="F104" s="30">
        <f>(((aluno_ótimo*Mensalidade*Taxa)*ROI[[#This Row],[Índice]])-TCO)/TCO</f>
        <v>2.7219232195504648</v>
      </c>
      <c r="G104" s="30">
        <f>(((aluno_bom*Mensalidade*Taxa)*ROI[[#This Row],[Índice]])-TCO)/TCO</f>
        <v>0.86096160977523251</v>
      </c>
      <c r="H104" s="30">
        <f>(((aluno_ruim*Mensalidade*Taxa)*ROI[[#This Row],[Índice]])-TCO)/TCO</f>
        <v>-6.9519195112383775E-2</v>
      </c>
      <c r="I104" s="30">
        <f>((selic*TCO*ROI[[#This Row],[Índice]])-TCO)/TCO</f>
        <v>-6.1600000000000057E-2</v>
      </c>
    </row>
    <row r="105" spans="2:9" x14ac:dyDescent="0.3">
      <c r="B105" s="29">
        <v>103</v>
      </c>
      <c r="C105" s="27">
        <v>2032</v>
      </c>
      <c r="D105" s="7">
        <v>7</v>
      </c>
      <c r="E105" s="28">
        <v>109620.74603174602</v>
      </c>
      <c r="F105" s="30">
        <f>(((aluno_ótimo*Mensalidade*Taxa)*ROI[[#This Row],[Índice]])-TCO)/TCO</f>
        <v>2.7584126628793908</v>
      </c>
      <c r="G105" s="30">
        <f>(((aluno_bom*Mensalidade*Taxa)*ROI[[#This Row],[Índice]])-TCO)/TCO</f>
        <v>0.87920633143969551</v>
      </c>
      <c r="H105" s="30">
        <f>(((aluno_ruim*Mensalidade*Taxa)*ROI[[#This Row],[Índice]])-TCO)/TCO</f>
        <v>-6.0396834280152245E-2</v>
      </c>
      <c r="I105" s="30">
        <f>((selic*TCO*ROI[[#This Row],[Índice]])-TCO)/TCO</f>
        <v>-5.2400000000000078E-2</v>
      </c>
    </row>
    <row r="106" spans="2:9" x14ac:dyDescent="0.3">
      <c r="B106" s="29">
        <v>104</v>
      </c>
      <c r="C106" s="27">
        <v>2032</v>
      </c>
      <c r="D106" s="7">
        <v>8</v>
      </c>
      <c r="E106" s="28">
        <v>109620.74603174602</v>
      </c>
      <c r="F106" s="30">
        <f>(((aluno_ótimo*Mensalidade*Taxa)*ROI[[#This Row],[Índice]])-TCO)/TCO</f>
        <v>2.7949021062083168</v>
      </c>
      <c r="G106" s="30">
        <f>(((aluno_bom*Mensalidade*Taxa)*ROI[[#This Row],[Índice]])-TCO)/TCO</f>
        <v>0.89745105310415862</v>
      </c>
      <c r="H106" s="30">
        <f>(((aluno_ruim*Mensalidade*Taxa)*ROI[[#This Row],[Índice]])-TCO)/TCO</f>
        <v>-5.1274473447920708E-2</v>
      </c>
      <c r="I106" s="30">
        <f>((selic*TCO*ROI[[#This Row],[Índice]])-TCO)/TCO</f>
        <v>-4.3200000000000092E-2</v>
      </c>
    </row>
    <row r="107" spans="2:9" x14ac:dyDescent="0.3">
      <c r="B107" s="29">
        <v>105</v>
      </c>
      <c r="C107" s="27">
        <v>2032</v>
      </c>
      <c r="D107" s="7">
        <v>9</v>
      </c>
      <c r="E107" s="28">
        <v>109620.74603174602</v>
      </c>
      <c r="F107" s="30">
        <f>(((aluno_ótimo*Mensalidade*Taxa)*ROI[[#This Row],[Índice]])-TCO)/TCO</f>
        <v>2.8313915495372433</v>
      </c>
      <c r="G107" s="30">
        <f>(((aluno_bom*Mensalidade*Taxa)*ROI[[#This Row],[Índice]])-TCO)/TCO</f>
        <v>0.91569577476862163</v>
      </c>
      <c r="H107" s="30">
        <f>(((aluno_ruim*Mensalidade*Taxa)*ROI[[#This Row],[Índice]])-TCO)/TCO</f>
        <v>-4.2152112615689179E-2</v>
      </c>
      <c r="I107" s="30">
        <f>((selic*TCO*ROI[[#This Row],[Índice]])-TCO)/TCO</f>
        <v>-3.4000000000000107E-2</v>
      </c>
    </row>
    <row r="108" spans="2:9" x14ac:dyDescent="0.3">
      <c r="B108" s="29">
        <v>106</v>
      </c>
      <c r="C108" s="27">
        <v>2032</v>
      </c>
      <c r="D108" s="7">
        <v>10</v>
      </c>
      <c r="E108" s="28">
        <v>109620.74603174602</v>
      </c>
      <c r="F108" s="30">
        <f>(((aluno_ótimo*Mensalidade*Taxa)*ROI[[#This Row],[Índice]])-TCO)/TCO</f>
        <v>2.8678809928661693</v>
      </c>
      <c r="G108" s="30">
        <f>(((aluno_bom*Mensalidade*Taxa)*ROI[[#This Row],[Índice]])-TCO)/TCO</f>
        <v>0.93394049643308474</v>
      </c>
      <c r="H108" s="30">
        <f>(((aluno_ruim*Mensalidade*Taxa)*ROI[[#This Row],[Índice]])-TCO)/TCO</f>
        <v>-3.3029751783457649E-2</v>
      </c>
      <c r="I108" s="30">
        <f>((selic*TCO*ROI[[#This Row],[Índice]])-TCO)/TCO</f>
        <v>-2.4800000000000124E-2</v>
      </c>
    </row>
    <row r="109" spans="2:9" x14ac:dyDescent="0.3">
      <c r="B109" s="29">
        <v>107</v>
      </c>
      <c r="C109" s="27">
        <v>2032</v>
      </c>
      <c r="D109" s="7">
        <v>11</v>
      </c>
      <c r="E109" s="28">
        <v>109620.74603174602</v>
      </c>
      <c r="F109" s="30">
        <f>(((aluno_ótimo*Mensalidade*Taxa)*ROI[[#This Row],[Índice]])-TCO)/TCO</f>
        <v>2.9043704361950953</v>
      </c>
      <c r="G109" s="30">
        <f>(((aluno_bom*Mensalidade*Taxa)*ROI[[#This Row],[Índice]])-TCO)/TCO</f>
        <v>0.95218521809754775</v>
      </c>
      <c r="H109" s="30">
        <f>(((aluno_ruim*Mensalidade*Taxa)*ROI[[#This Row],[Índice]])-TCO)/TCO</f>
        <v>-2.3907390951226116E-2</v>
      </c>
      <c r="I109" s="30">
        <f>((selic*TCO*ROI[[#This Row],[Índice]])-TCO)/TCO</f>
        <v>-1.5600000000000008E-2</v>
      </c>
    </row>
    <row r="110" spans="2:9" x14ac:dyDescent="0.3">
      <c r="B110" s="29">
        <v>108</v>
      </c>
      <c r="C110" s="27">
        <v>2032</v>
      </c>
      <c r="D110" s="7">
        <v>12</v>
      </c>
      <c r="E110" s="28">
        <v>109620.74603174602</v>
      </c>
      <c r="F110" s="30">
        <f>(((aluno_ótimo*Mensalidade*Taxa)*ROI[[#This Row],[Índice]])-TCO)/TCO</f>
        <v>2.9408598795240217</v>
      </c>
      <c r="G110" s="30">
        <f>(((aluno_bom*Mensalidade*Taxa)*ROI[[#This Row],[Índice]])-TCO)/TCO</f>
        <v>0.97042993976201086</v>
      </c>
      <c r="H110" s="30">
        <f>(((aluno_ruim*Mensalidade*Taxa)*ROI[[#This Row],[Índice]])-TCO)/TCO</f>
        <v>-1.4785030118994584E-2</v>
      </c>
      <c r="I110" s="30">
        <f>((selic*TCO*ROI[[#This Row],[Índice]])-TCO)/TCO</f>
        <v>-6.4000000000000237E-3</v>
      </c>
    </row>
    <row r="111" spans="2:9" x14ac:dyDescent="0.3">
      <c r="B111" s="29">
        <v>109</v>
      </c>
      <c r="C111" s="27">
        <v>2033</v>
      </c>
      <c r="D111" s="7">
        <v>1</v>
      </c>
      <c r="E111" s="28">
        <v>109620.74603174602</v>
      </c>
      <c r="F111" s="30">
        <f>(((aluno_ótimo*Mensalidade*Taxa)*ROI[[#This Row],[Índice]])-TCO)/TCO</f>
        <v>2.9773493228529477</v>
      </c>
      <c r="G111" s="30">
        <f>(((aluno_bom*Mensalidade*Taxa)*ROI[[#This Row],[Índice]])-TCO)/TCO</f>
        <v>0.98867466142647387</v>
      </c>
      <c r="H111" s="30">
        <f>(((aluno_ruim*Mensalidade*Taxa)*ROI[[#This Row],[Índice]])-TCO)/TCO</f>
        <v>-5.6626692867630521E-3</v>
      </c>
      <c r="I111" s="30">
        <f>((selic*TCO*ROI[[#This Row],[Índice]])-TCO)/TCO</f>
        <v>2.7999999999999605E-3</v>
      </c>
    </row>
    <row r="112" spans="2:9" x14ac:dyDescent="0.3">
      <c r="B112" s="29">
        <v>110</v>
      </c>
      <c r="C112" s="27">
        <v>2033</v>
      </c>
      <c r="D112" s="7">
        <v>2</v>
      </c>
      <c r="E112" s="28">
        <v>109620.74603174602</v>
      </c>
      <c r="F112" s="30">
        <f>(((aluno_ótimo*Mensalidade*Taxa)*ROI[[#This Row],[Índice]])-TCO)/TCO</f>
        <v>3.0138387661818737</v>
      </c>
      <c r="G112" s="30">
        <f>(((aluno_bom*Mensalidade*Taxa)*ROI[[#This Row],[Índice]])-TCO)/TCO</f>
        <v>1.0069193830909369</v>
      </c>
      <c r="H112" s="30">
        <f>(((aluno_ruim*Mensalidade*Taxa)*ROI[[#This Row],[Índice]])-TCO)/TCO</f>
        <v>3.4596915454684798E-3</v>
      </c>
      <c r="I112" s="30">
        <f>((selic*TCO*ROI[[#This Row],[Índice]])-TCO)/TCO</f>
        <v>1.1999999999999945E-2</v>
      </c>
    </row>
    <row r="113" spans="7:7" x14ac:dyDescent="0.3">
      <c r="G113" s="8"/>
    </row>
  </sheetData>
  <conditionalFormatting sqref="F3:H112 G113">
    <cfRule type="cellIs" dxfId="1" priority="5" operator="lessThan">
      <formula>0</formula>
    </cfRule>
  </conditionalFormatting>
  <conditionalFormatting sqref="I3:I112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87B3-1FC5-4BC9-9473-E5E877DA259F}">
  <dimension ref="B1:E8"/>
  <sheetViews>
    <sheetView showGridLines="0" workbookViewId="0">
      <selection activeCell="G8" sqref="G8"/>
    </sheetView>
  </sheetViews>
  <sheetFormatPr defaultColWidth="8.88671875" defaultRowHeight="14.4" x14ac:dyDescent="0.3"/>
  <cols>
    <col min="1" max="1" width="1.109375" style="1" customWidth="1"/>
    <col min="2" max="2" width="18.33203125" style="1" bestFit="1" customWidth="1"/>
    <col min="3" max="3" width="10.33203125" style="9" bestFit="1" customWidth="1"/>
    <col min="4" max="4" width="18.5546875" style="1" bestFit="1" customWidth="1"/>
    <col min="5" max="5" width="15.88671875" style="1" bestFit="1" customWidth="1"/>
    <col min="6" max="14" width="8.88671875" style="1"/>
    <col min="15" max="15" width="5.6640625" style="1" bestFit="1" customWidth="1"/>
    <col min="16" max="16384" width="8.88671875" style="1"/>
  </cols>
  <sheetData>
    <row r="1" spans="2:5" ht="6" customHeight="1" x14ac:dyDescent="0.3"/>
    <row r="2" spans="2:5" x14ac:dyDescent="0.3">
      <c r="B2" s="5" t="s">
        <v>29</v>
      </c>
      <c r="C2" s="10">
        <v>0.1</v>
      </c>
      <c r="D2" s="7" t="s">
        <v>30</v>
      </c>
    </row>
    <row r="3" spans="2:5" ht="15" thickBot="1" x14ac:dyDescent="0.35">
      <c r="B3" s="5" t="s">
        <v>31</v>
      </c>
      <c r="C3" s="11">
        <v>200</v>
      </c>
    </row>
    <row r="4" spans="2:5" ht="15" thickBot="1" x14ac:dyDescent="0.35">
      <c r="B4" s="12" t="s">
        <v>32</v>
      </c>
      <c r="C4" s="13" t="s">
        <v>33</v>
      </c>
      <c r="D4" s="13" t="s">
        <v>34</v>
      </c>
      <c r="E4" s="14" t="s">
        <v>35</v>
      </c>
    </row>
    <row r="5" spans="2:5" x14ac:dyDescent="0.3">
      <c r="B5" s="15" t="s">
        <v>36</v>
      </c>
      <c r="C5" s="16">
        <v>200</v>
      </c>
      <c r="D5" s="17">
        <f>1-((TCO-(aluno_ótimo*Mensalidade*Taxa))/TCO)</f>
        <v>3.6489443328926119E-2</v>
      </c>
      <c r="E5" s="18" t="str">
        <f>ROUNDDOWN((1/roi_ótimo)/12,0)&amp;" anos e "&amp;ROUNDUP(MOD(1/roi_ótimo,12),0)&amp;" meses"</f>
        <v>2 anos e 4 meses</v>
      </c>
    </row>
    <row r="6" spans="2:5" ht="14.4" customHeight="1" x14ac:dyDescent="0.3">
      <c r="B6" s="19" t="s">
        <v>37</v>
      </c>
      <c r="C6" s="6">
        <v>100</v>
      </c>
      <c r="D6" s="20">
        <f>1-((TCO-(aluno_bom*Mensalidade*Taxa))/TCO)</f>
        <v>1.8244721664463115E-2</v>
      </c>
      <c r="E6" s="21" t="str">
        <f>ROUNDDOWN((1/roi_bom)/12,0)&amp;" anos e "&amp;ROUNDUP(MOD(1/roi_bom,12),0)&amp;" meses"</f>
        <v>4 anos e 7 meses</v>
      </c>
    </row>
    <row r="7" spans="2:5" x14ac:dyDescent="0.3">
      <c r="B7" s="19" t="s">
        <v>38</v>
      </c>
      <c r="C7" s="6">
        <v>50</v>
      </c>
      <c r="D7" s="20">
        <f>1-((TCO-(aluno_ruim*Mensalidade*Taxa))/TCO)</f>
        <v>9.122360832231502E-3</v>
      </c>
      <c r="E7" s="21" t="str">
        <f>ROUNDDOWN((1/roi_ruim)/12,0)&amp;" anos e "&amp;ROUNDUP(MOD(1/roi_ruim,12),0)&amp;" meses"</f>
        <v>9 anos e 2 meses</v>
      </c>
    </row>
    <row r="8" spans="2:5" ht="15" thickBot="1" x14ac:dyDescent="0.35">
      <c r="B8" s="22" t="s">
        <v>39</v>
      </c>
      <c r="C8" s="23" t="s">
        <v>18</v>
      </c>
      <c r="D8" s="24">
        <v>9.1999999999999998E-3</v>
      </c>
      <c r="E8" s="25" t="str">
        <f>ROUNDDOWN((1/selic)/12,0)&amp;" anos e "&amp;ROUNDUP(MOD(1/selic,12),0)&amp;" meses"</f>
        <v>9 anos e 1 meses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14</vt:i4>
      </vt:variant>
    </vt:vector>
  </HeadingPairs>
  <TitlesOfParts>
    <vt:vector size="17" baseType="lpstr">
      <vt:lpstr>TCO</vt:lpstr>
      <vt:lpstr>Tabela</vt:lpstr>
      <vt:lpstr>ROI e Break Even</vt:lpstr>
      <vt:lpstr>aluno_bom</vt:lpstr>
      <vt:lpstr>aluno_ótimo</vt:lpstr>
      <vt:lpstr>aluno_ruim</vt:lpstr>
      <vt:lpstr>CustoMensalDesenvolvimento</vt:lpstr>
      <vt:lpstr>CustoMensalEquipamentosEManutencao</vt:lpstr>
      <vt:lpstr>CustoMensalInfraestruturaEFerramentas</vt:lpstr>
      <vt:lpstr>CustoMensalOperacionalEManutencao</vt:lpstr>
      <vt:lpstr>CustoMensalTreinamentoEImplementacao</vt:lpstr>
      <vt:lpstr>Mensalidade</vt:lpstr>
      <vt:lpstr>roi_bom</vt:lpstr>
      <vt:lpstr>roi_ótimo</vt:lpstr>
      <vt:lpstr>roi_ruim</vt:lpstr>
      <vt:lpstr>selic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Vieira Nunes</dc:creator>
  <cp:lastModifiedBy>Eloides Alves Aguiar</cp:lastModifiedBy>
  <dcterms:created xsi:type="dcterms:W3CDTF">2024-11-02T19:10:25Z</dcterms:created>
  <dcterms:modified xsi:type="dcterms:W3CDTF">2024-11-15T21:20:51Z</dcterms:modified>
</cp:coreProperties>
</file>