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carlos.dias\ADS\Estatística\Laboratório\"/>
    </mc:Choice>
  </mc:AlternateContent>
  <bookViews>
    <workbookView xWindow="0" yWindow="0" windowWidth="15360" windowHeight="7665"/>
  </bookViews>
  <sheets>
    <sheet name="Planilha1" sheetId="1" r:id="rId1"/>
    <sheet name="Planilh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2" l="1"/>
  <c r="I3" i="2"/>
  <c r="I4" i="2"/>
  <c r="I5" i="2"/>
  <c r="I6" i="2"/>
  <c r="I7" i="2"/>
  <c r="I8" i="2"/>
  <c r="I2" i="2"/>
  <c r="H3" i="2"/>
  <c r="H4" i="2"/>
  <c r="H5" i="2"/>
  <c r="H6" i="2"/>
  <c r="H7" i="2"/>
  <c r="H8" i="2"/>
  <c r="H2" i="2"/>
  <c r="G3" i="2"/>
  <c r="G4" i="2"/>
  <c r="G5" i="2"/>
  <c r="G6" i="2"/>
  <c r="G7" i="2"/>
  <c r="G8" i="2"/>
  <c r="G2" i="2"/>
  <c r="F11" i="2"/>
  <c r="F3" i="2"/>
  <c r="F4" i="2"/>
  <c r="F5" i="2"/>
  <c r="F6" i="2"/>
  <c r="F7" i="2"/>
  <c r="F8" i="2"/>
  <c r="F2" i="2"/>
  <c r="A3" i="2"/>
  <c r="A4" i="2"/>
  <c r="A5" i="2"/>
  <c r="A6" i="2"/>
  <c r="A7" i="2"/>
  <c r="A8" i="2"/>
  <c r="A2" i="2"/>
  <c r="E17" i="1"/>
  <c r="C17" i="1"/>
  <c r="G16" i="1" s="1"/>
  <c r="D15" i="1"/>
  <c r="G21" i="1"/>
  <c r="D19" i="1"/>
  <c r="D18" i="1"/>
  <c r="J18" i="1"/>
  <c r="I4" i="1"/>
  <c r="L17" i="1"/>
  <c r="J17" i="1" s="1"/>
  <c r="F6" i="1"/>
  <c r="F7" i="1" s="1"/>
  <c r="F5" i="1"/>
  <c r="D21" i="1"/>
  <c r="D20" i="1"/>
  <c r="G20" i="1" s="1"/>
  <c r="L21" i="1"/>
  <c r="L20" i="1"/>
  <c r="L19" i="1"/>
  <c r="L18" i="1"/>
  <c r="K9" i="1"/>
  <c r="I9" i="1" s="1"/>
  <c r="G18" i="1" l="1"/>
  <c r="F8" i="1"/>
  <c r="J19" i="1"/>
  <c r="F9" i="1" l="1"/>
  <c r="G15" i="1"/>
  <c r="J20" i="1"/>
  <c r="F10" i="1" l="1"/>
  <c r="F11" i="1" s="1"/>
  <c r="G19" i="1"/>
  <c r="J21" i="1"/>
</calcChain>
</file>

<file path=xl/sharedStrings.xml><?xml version="1.0" encoding="utf-8"?>
<sst xmlns="http://schemas.openxmlformats.org/spreadsheetml/2006/main" count="46" uniqueCount="31">
  <si>
    <t>Classe</t>
  </si>
  <si>
    <t>Frequência</t>
  </si>
  <si>
    <t>--------</t>
  </si>
  <si>
    <t>Média</t>
  </si>
  <si>
    <t>Mediana</t>
  </si>
  <si>
    <t>Moda</t>
  </si>
  <si>
    <t>Desvio Padrão</t>
  </si>
  <si>
    <t>Q1</t>
  </si>
  <si>
    <t>Q3</t>
  </si>
  <si>
    <t>P10</t>
  </si>
  <si>
    <t>P90</t>
  </si>
  <si>
    <t>P05</t>
  </si>
  <si>
    <t>P84</t>
  </si>
  <si>
    <t>P67</t>
  </si>
  <si>
    <t>P34</t>
  </si>
  <si>
    <t>P16</t>
  </si>
  <si>
    <t>P12</t>
  </si>
  <si>
    <t>Lx</t>
  </si>
  <si>
    <t>--------43</t>
  </si>
  <si>
    <t>Lx=</t>
  </si>
  <si>
    <t>Acumulada</t>
  </si>
  <si>
    <t>h</t>
  </si>
  <si>
    <t>C. Modal</t>
  </si>
  <si>
    <t>44--35</t>
  </si>
  <si>
    <t>Delta1=</t>
  </si>
  <si>
    <t>Delta2=</t>
  </si>
  <si>
    <t>Ponto Médio</t>
  </si>
  <si>
    <t>x^*f</t>
  </si>
  <si>
    <t>x^-xm</t>
  </si>
  <si>
    <t>(x^-xm)^2</t>
  </si>
  <si>
    <t>(x^-xm)^2*f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</si>
</sst>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quotePrefix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0" xfId="0" applyBorder="1"/>
    <xf numFmtId="0" fontId="0" fillId="0" borderId="2" xfId="0" applyFill="1" applyBorder="1"/>
    <xf numFmtId="0" fontId="0" fillId="0" borderId="4" xfId="0" applyFill="1" applyBorder="1"/>
    <xf numFmtId="0" fontId="0" fillId="0" borderId="12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2" borderId="10" xfId="0" applyFill="1" applyBorder="1"/>
    <xf numFmtId="0" fontId="0" fillId="0" borderId="7" xfId="0" applyBorder="1"/>
    <xf numFmtId="0" fontId="0" fillId="0" borderId="9" xfId="0" applyBorder="1"/>
    <xf numFmtId="0" fontId="0" fillId="0" borderId="0" xfId="0" quotePrefix="1"/>
    <xf numFmtId="164" fontId="0" fillId="0" borderId="0" xfId="0" applyNumberFormat="1"/>
    <xf numFmtId="2" fontId="0" fillId="2" borderId="10" xfId="0" applyNumberFormat="1" applyFill="1" applyBorder="1"/>
    <xf numFmtId="2" fontId="0" fillId="2" borderId="11" xfId="0" applyNumberFormat="1" applyFill="1" applyBorder="1"/>
    <xf numFmtId="2" fontId="0" fillId="2" borderId="12" xfId="0" applyNumberFormat="1" applyFill="1" applyBorder="1"/>
    <xf numFmtId="164" fontId="0" fillId="2" borderId="11" xfId="0" applyNumberFormat="1" applyFill="1" applyBorder="1"/>
    <xf numFmtId="2" fontId="0" fillId="0" borderId="10" xfId="0" applyNumberForma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showGridLines="0" tabSelected="1" topLeftCell="B4" zoomScale="115" zoomScaleNormal="115" workbookViewId="0">
      <selection activeCell="G11" sqref="G11"/>
    </sheetView>
  </sheetViews>
  <sheetFormatPr defaultRowHeight="15" x14ac:dyDescent="0.25"/>
  <cols>
    <col min="2" max="2" width="6.7109375" customWidth="1"/>
    <col min="3" max="3" width="6.7109375" bestFit="1" customWidth="1"/>
    <col min="4" max="4" width="7.85546875" bestFit="1" customWidth="1"/>
    <col min="5" max="5" width="10.85546875" bestFit="1" customWidth="1"/>
    <col min="6" max="6" width="13.7109375" bestFit="1" customWidth="1"/>
    <col min="7" max="7" width="16.28515625" bestFit="1" customWidth="1"/>
    <col min="10" max="10" width="8.5703125" customWidth="1"/>
  </cols>
  <sheetData>
    <row r="1" spans="1:13" x14ac:dyDescent="0.25">
      <c r="A1" s="3"/>
    </row>
    <row r="2" spans="1:13" x14ac:dyDescent="0.25">
      <c r="A2" s="3"/>
    </row>
    <row r="3" spans="1:13" x14ac:dyDescent="0.25">
      <c r="A3" s="3"/>
    </row>
    <row r="4" spans="1:13" x14ac:dyDescent="0.25">
      <c r="A4" s="3"/>
      <c r="F4" t="s">
        <v>20</v>
      </c>
      <c r="H4" t="s">
        <v>21</v>
      </c>
      <c r="I4">
        <f>Planilha2!B3-Planilha2!B2</f>
        <v>12</v>
      </c>
    </row>
    <row r="5" spans="1:13" x14ac:dyDescent="0.25">
      <c r="A5" s="3"/>
      <c r="F5">
        <f>5</f>
        <v>5</v>
      </c>
    </row>
    <row r="6" spans="1:13" x14ac:dyDescent="0.25">
      <c r="A6" s="3"/>
      <c r="F6">
        <f>Planilha2!E3+F5</f>
        <v>15</v>
      </c>
    </row>
    <row r="7" spans="1:13" x14ac:dyDescent="0.25">
      <c r="A7" s="3"/>
      <c r="F7">
        <f>Planilha2!E4+F6</f>
        <v>27</v>
      </c>
    </row>
    <row r="8" spans="1:13" ht="15.75" thickBot="1" x14ac:dyDescent="0.3">
      <c r="A8" s="3"/>
      <c r="F8">
        <f>Planilha2!E5+F7</f>
        <v>62</v>
      </c>
    </row>
    <row r="9" spans="1:13" ht="15.75" thickBot="1" x14ac:dyDescent="0.3">
      <c r="F9">
        <f>Planilha2!E6+F8</f>
        <v>94</v>
      </c>
      <c r="H9" s="24" t="s">
        <v>16</v>
      </c>
      <c r="I9" s="25">
        <f>L9+12*(K9-SUM(Planilha2!E2:E3))/Planilha2!E4</f>
        <v>33.200000000000003</v>
      </c>
      <c r="J9" t="s">
        <v>17</v>
      </c>
      <c r="K9">
        <f>0.12*SUM(Planilha2!E2:E8)</f>
        <v>16.2</v>
      </c>
      <c r="L9">
        <v>32</v>
      </c>
      <c r="M9" s="26" t="s">
        <v>18</v>
      </c>
    </row>
    <row r="10" spans="1:13" x14ac:dyDescent="0.25">
      <c r="F10">
        <f>Planilha2!E7+F9</f>
        <v>122</v>
      </c>
    </row>
    <row r="11" spans="1:13" x14ac:dyDescent="0.25">
      <c r="F11">
        <f>Planilha2!E8+F10</f>
        <v>135</v>
      </c>
    </row>
    <row r="13" spans="1:13" ht="15.75" thickBot="1" x14ac:dyDescent="0.3"/>
    <row r="14" spans="1:13" x14ac:dyDescent="0.25">
      <c r="C14" s="13"/>
      <c r="F14" s="1" t="s">
        <v>3</v>
      </c>
      <c r="G14" s="17"/>
    </row>
    <row r="15" spans="1:13" x14ac:dyDescent="0.25">
      <c r="C15" t="s">
        <v>19</v>
      </c>
      <c r="D15">
        <f>135/2</f>
        <v>67.5</v>
      </c>
      <c r="F15" s="2" t="s">
        <v>4</v>
      </c>
      <c r="G15" s="32">
        <f>56+12*(D15-F8)/Planilha2!E6</f>
        <v>58.0625</v>
      </c>
    </row>
    <row r="16" spans="1:13" ht="15.75" thickBot="1" x14ac:dyDescent="0.3">
      <c r="C16" t="s">
        <v>22</v>
      </c>
      <c r="D16" t="s">
        <v>23</v>
      </c>
      <c r="F16" s="2" t="s">
        <v>5</v>
      </c>
      <c r="G16" s="32">
        <f>Planilha2!B5+12*C17/(C17+E17)</f>
        <v>54.615384615384613</v>
      </c>
    </row>
    <row r="17" spans="2:12" x14ac:dyDescent="0.25">
      <c r="B17" t="s">
        <v>24</v>
      </c>
      <c r="C17">
        <f>Planilha2!E5-Planilha2!E4</f>
        <v>23</v>
      </c>
      <c r="D17" t="s">
        <v>25</v>
      </c>
      <c r="E17">
        <f>Planilha2!E5-Planilha2!E6</f>
        <v>3</v>
      </c>
      <c r="F17" s="2" t="s">
        <v>6</v>
      </c>
      <c r="G17" s="14"/>
      <c r="I17" s="20" t="s">
        <v>11</v>
      </c>
      <c r="J17" s="30">
        <f>20+12*(L17-Planilha2!E2)/Planilha2!E3</f>
        <v>22.1</v>
      </c>
      <c r="K17" t="s">
        <v>19</v>
      </c>
      <c r="L17">
        <f>0.05*135</f>
        <v>6.75</v>
      </c>
    </row>
    <row r="18" spans="2:12" x14ac:dyDescent="0.25">
      <c r="C18" t="s">
        <v>19</v>
      </c>
      <c r="D18">
        <f>135/4</f>
        <v>33.75</v>
      </c>
      <c r="F18" s="15" t="s">
        <v>7</v>
      </c>
      <c r="G18" s="28">
        <f>44+12*(D18-F7)/Planilha2!E5</f>
        <v>46.314285714285717</v>
      </c>
      <c r="I18" s="21" t="s">
        <v>15</v>
      </c>
      <c r="J18" s="28">
        <f>32+12*(21.6-15)/12</f>
        <v>38.6</v>
      </c>
      <c r="K18" t="s">
        <v>19</v>
      </c>
      <c r="L18">
        <f>0.16*SUM(Planilha2!$E$2:$E$8)</f>
        <v>21.6</v>
      </c>
    </row>
    <row r="19" spans="2:12" x14ac:dyDescent="0.25">
      <c r="C19" t="s">
        <v>19</v>
      </c>
      <c r="D19">
        <f>135*3/4</f>
        <v>101.25</v>
      </c>
      <c r="F19" s="15" t="s">
        <v>8</v>
      </c>
      <c r="G19" s="28">
        <f>Planilha2!B7+12*(D19-F9)/Planilha2!E7</f>
        <v>71.107142857142861</v>
      </c>
      <c r="I19" s="21" t="s">
        <v>14</v>
      </c>
      <c r="J19" s="23">
        <f>Planilha2!B5+12*(L19-F7)/Planilha2!E5</f>
        <v>50.480000000000004</v>
      </c>
      <c r="K19" t="s">
        <v>19</v>
      </c>
      <c r="L19">
        <f>0.34*SUM(Planilha2!$E$2:$E$8)</f>
        <v>45.900000000000006</v>
      </c>
    </row>
    <row r="20" spans="2:12" x14ac:dyDescent="0.25">
      <c r="C20" t="s">
        <v>19</v>
      </c>
      <c r="D20" s="27">
        <f>0.1*SUM(Planilha2!E2:E8)</f>
        <v>13.5</v>
      </c>
      <c r="F20" s="15" t="s">
        <v>9</v>
      </c>
      <c r="G20" s="23">
        <f>20+12*(D20-5)/10</f>
        <v>30.2</v>
      </c>
      <c r="I20" s="21" t="s">
        <v>13</v>
      </c>
      <c r="J20" s="28">
        <f>Planilha2!B6+12*(L20-F8)/Planilha2!E6</f>
        <v>66.668750000000003</v>
      </c>
      <c r="K20" t="s">
        <v>19</v>
      </c>
      <c r="L20">
        <f>0.67*SUM(Planilha2!$E$2:$E$8)</f>
        <v>90.45</v>
      </c>
    </row>
    <row r="21" spans="2:12" ht="15.75" thickBot="1" x14ac:dyDescent="0.3">
      <c r="C21" t="s">
        <v>19</v>
      </c>
      <c r="D21" s="27">
        <f>0.9*135</f>
        <v>121.5</v>
      </c>
      <c r="F21" s="16" t="s">
        <v>10</v>
      </c>
      <c r="G21" s="31">
        <f>68+12*(121.5-94)/28</f>
        <v>79.785714285714292</v>
      </c>
      <c r="I21" s="22" t="s">
        <v>12</v>
      </c>
      <c r="J21" s="29">
        <f>Planilha2!B7+12*(L21-F9)/Planilha2!E7</f>
        <v>76.314285714285717</v>
      </c>
      <c r="K21" t="s">
        <v>19</v>
      </c>
      <c r="L21">
        <f>0.84*SUM(Planilha2!$E$2:$E$8)</f>
        <v>113.39999999999999</v>
      </c>
    </row>
    <row r="23" spans="2:12" x14ac:dyDescent="0.25">
      <c r="E23" s="3"/>
      <c r="F23" s="3"/>
      <c r="G23" s="3"/>
    </row>
    <row r="24" spans="2:12" x14ac:dyDescent="0.25">
      <c r="E24" s="3"/>
      <c r="F24" s="3"/>
      <c r="G24" s="3"/>
    </row>
  </sheetData>
  <sortState ref="I17:I21">
    <sortCondition ref="I17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I12" sqref="I12"/>
    </sheetView>
  </sheetViews>
  <sheetFormatPr defaultRowHeight="15" x14ac:dyDescent="0.25"/>
  <cols>
    <col min="1" max="1" width="12.42578125" bestFit="1" customWidth="1"/>
    <col min="4" max="4" width="7.5703125" customWidth="1"/>
    <col min="5" max="5" width="13" customWidth="1"/>
    <col min="9" max="9" width="9.85546875" bestFit="1" customWidth="1"/>
  </cols>
  <sheetData>
    <row r="1" spans="1:9" ht="15.75" thickBot="1" x14ac:dyDescent="0.3">
      <c r="A1" t="s">
        <v>26</v>
      </c>
      <c r="B1" s="18" t="s">
        <v>0</v>
      </c>
      <c r="C1" s="19"/>
      <c r="D1" s="19"/>
      <c r="E1" s="12" t="s">
        <v>1</v>
      </c>
      <c r="F1" t="s">
        <v>27</v>
      </c>
      <c r="G1" t="s">
        <v>28</v>
      </c>
      <c r="H1" t="s">
        <v>29</v>
      </c>
      <c r="I1" t="s">
        <v>30</v>
      </c>
    </row>
    <row r="2" spans="1:9" x14ac:dyDescent="0.25">
      <c r="A2" s="33">
        <f>(B2+D2)/2</f>
        <v>13.5</v>
      </c>
      <c r="B2" s="10">
        <v>8</v>
      </c>
      <c r="C2" s="5" t="s">
        <v>2</v>
      </c>
      <c r="D2" s="4">
        <v>19</v>
      </c>
      <c r="E2" s="6">
        <v>5</v>
      </c>
      <c r="F2">
        <f>A2*E2</f>
        <v>67.5</v>
      </c>
      <c r="G2">
        <f>A2-$F$11</f>
        <v>-43.111111111111114</v>
      </c>
      <c r="H2">
        <f>G2^2</f>
        <v>1858.5679012345681</v>
      </c>
      <c r="I2">
        <f>H2*E2</f>
        <v>9292.8395061728406</v>
      </c>
    </row>
    <row r="3" spans="1:9" x14ac:dyDescent="0.25">
      <c r="A3" s="33">
        <f t="shared" ref="A3:A8" si="0">(B3+D3)/2</f>
        <v>25.5</v>
      </c>
      <c r="B3" s="10">
        <v>20</v>
      </c>
      <c r="C3" s="5" t="s">
        <v>2</v>
      </c>
      <c r="D3" s="4">
        <v>31</v>
      </c>
      <c r="E3" s="6">
        <v>10</v>
      </c>
      <c r="F3">
        <f t="shared" ref="F3:F8" si="1">A3*E3</f>
        <v>255</v>
      </c>
      <c r="G3">
        <f t="shared" ref="G3:G8" si="2">A3-$F$11</f>
        <v>-31.111111111111114</v>
      </c>
      <c r="H3">
        <f t="shared" ref="H3:H8" si="3">G3^2</f>
        <v>967.90123456790138</v>
      </c>
      <c r="I3">
        <f t="shared" ref="I3:I8" si="4">H3*E3</f>
        <v>9679.0123456790134</v>
      </c>
    </row>
    <row r="4" spans="1:9" x14ac:dyDescent="0.25">
      <c r="A4" s="33">
        <f t="shared" si="0"/>
        <v>37.5</v>
      </c>
      <c r="B4" s="10">
        <v>32</v>
      </c>
      <c r="C4" s="5" t="s">
        <v>2</v>
      </c>
      <c r="D4" s="4">
        <v>43</v>
      </c>
      <c r="E4" s="6">
        <v>12</v>
      </c>
      <c r="F4">
        <f t="shared" si="1"/>
        <v>450</v>
      </c>
      <c r="G4">
        <f t="shared" si="2"/>
        <v>-19.111111111111114</v>
      </c>
      <c r="H4">
        <f t="shared" si="3"/>
        <v>365.2345679012347</v>
      </c>
      <c r="I4">
        <f t="shared" si="4"/>
        <v>4382.8148148148166</v>
      </c>
    </row>
    <row r="5" spans="1:9" x14ac:dyDescent="0.25">
      <c r="A5" s="33">
        <f t="shared" si="0"/>
        <v>49.5</v>
      </c>
      <c r="B5" s="10">
        <v>44</v>
      </c>
      <c r="C5" s="5" t="s">
        <v>2</v>
      </c>
      <c r="D5" s="4">
        <v>55</v>
      </c>
      <c r="E5" s="6">
        <v>35</v>
      </c>
      <c r="F5">
        <f t="shared" si="1"/>
        <v>1732.5</v>
      </c>
      <c r="G5">
        <f t="shared" si="2"/>
        <v>-7.1111111111111143</v>
      </c>
      <c r="H5">
        <f t="shared" si="3"/>
        <v>50.567901234567948</v>
      </c>
      <c r="I5">
        <f t="shared" si="4"/>
        <v>1769.8765432098783</v>
      </c>
    </row>
    <row r="6" spans="1:9" x14ac:dyDescent="0.25">
      <c r="A6" s="33">
        <f t="shared" si="0"/>
        <v>61.5</v>
      </c>
      <c r="B6" s="10">
        <v>56</v>
      </c>
      <c r="C6" s="5" t="s">
        <v>2</v>
      </c>
      <c r="D6" s="4">
        <v>67</v>
      </c>
      <c r="E6" s="6">
        <v>32</v>
      </c>
      <c r="F6">
        <f t="shared" si="1"/>
        <v>1968</v>
      </c>
      <c r="G6">
        <f t="shared" si="2"/>
        <v>4.8888888888888857</v>
      </c>
      <c r="H6">
        <f t="shared" si="3"/>
        <v>23.901234567901202</v>
      </c>
      <c r="I6">
        <f t="shared" si="4"/>
        <v>764.83950617283847</v>
      </c>
    </row>
    <row r="7" spans="1:9" x14ac:dyDescent="0.25">
      <c r="A7" s="33">
        <f t="shared" si="0"/>
        <v>73.5</v>
      </c>
      <c r="B7" s="10">
        <v>68</v>
      </c>
      <c r="C7" s="5" t="s">
        <v>2</v>
      </c>
      <c r="D7" s="4">
        <v>79</v>
      </c>
      <c r="E7" s="6">
        <v>28</v>
      </c>
      <c r="F7">
        <f t="shared" si="1"/>
        <v>2058</v>
      </c>
      <c r="G7">
        <f t="shared" si="2"/>
        <v>16.888888888888886</v>
      </c>
      <c r="H7">
        <f t="shared" si="3"/>
        <v>285.23456790123447</v>
      </c>
      <c r="I7">
        <f t="shared" si="4"/>
        <v>7986.5679012345654</v>
      </c>
    </row>
    <row r="8" spans="1:9" ht="15.75" thickBot="1" x14ac:dyDescent="0.3">
      <c r="A8" s="33">
        <f t="shared" si="0"/>
        <v>85.5</v>
      </c>
      <c r="B8" s="11">
        <v>80</v>
      </c>
      <c r="C8" s="7" t="s">
        <v>2</v>
      </c>
      <c r="D8" s="8">
        <v>91</v>
      </c>
      <c r="E8" s="9">
        <v>13</v>
      </c>
      <c r="F8">
        <f t="shared" si="1"/>
        <v>1111.5</v>
      </c>
      <c r="G8">
        <f t="shared" si="2"/>
        <v>28.888888888888886</v>
      </c>
      <c r="H8">
        <f t="shared" si="3"/>
        <v>834.56790123456767</v>
      </c>
      <c r="I8">
        <f t="shared" si="4"/>
        <v>10849.38271604938</v>
      </c>
    </row>
    <row r="11" spans="1:9" x14ac:dyDescent="0.25">
      <c r="F11">
        <f>SUM(F2:F8)/SUM(E2:E8)</f>
        <v>56.611111111111114</v>
      </c>
      <c r="I11">
        <f>SQRT(SUM(I2:I8)/(SUM(E2:E8)-1))</f>
        <v>18.269404595623989</v>
      </c>
    </row>
  </sheetData>
  <mergeCells count="1">
    <mergeCell ref="B1:D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>Fatec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Henrique Dias</dc:creator>
  <cp:lastModifiedBy>Carlos Henrique Dias</cp:lastModifiedBy>
  <dcterms:created xsi:type="dcterms:W3CDTF">2018-08-18T15:17:17Z</dcterms:created>
  <dcterms:modified xsi:type="dcterms:W3CDTF">2019-03-16T15:53:12Z</dcterms:modified>
</cp:coreProperties>
</file>