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21075" windowHeight="8250" tabRatio="680"/>
  </bookViews>
  <sheets>
    <sheet name="2014" sheetId="14" r:id="rId1"/>
    <sheet name="Roth vs. TSP" sheetId="2" r:id="rId2"/>
  </sheets>
  <calcPr calcId="145621"/>
</workbook>
</file>

<file path=xl/calcChain.xml><?xml version="1.0" encoding="utf-8"?>
<calcChain xmlns="http://schemas.openxmlformats.org/spreadsheetml/2006/main">
  <c r="S8" i="14" l="1"/>
  <c r="S9" i="14"/>
  <c r="S14" i="14"/>
  <c r="S11" i="14"/>
  <c r="S29" i="14"/>
  <c r="O34" i="14" l="1"/>
  <c r="O33" i="14"/>
  <c r="V26" i="14" l="1"/>
  <c r="V27" i="14" s="1"/>
  <c r="S32" i="14" s="1"/>
  <c r="V33" i="14"/>
  <c r="V28" i="14" l="1"/>
  <c r="S10" i="14"/>
  <c r="V37" i="14"/>
  <c r="S45" i="14" l="1"/>
  <c r="S17" i="14"/>
  <c r="V10" i="14"/>
  <c r="V12" i="14"/>
  <c r="Y33" i="14"/>
  <c r="S40" i="14" l="1"/>
  <c r="S13" i="14"/>
  <c r="I31" i="14" l="1"/>
  <c r="I30" i="14"/>
  <c r="I29" i="14"/>
  <c r="G29" i="14"/>
  <c r="G30" i="14" s="1"/>
  <c r="G31" i="14" s="1"/>
  <c r="S28" i="14"/>
  <c r="I28" i="14"/>
  <c r="I23" i="14"/>
  <c r="I22" i="14"/>
  <c r="I21" i="14"/>
  <c r="I20" i="14"/>
  <c r="I19" i="14"/>
  <c r="G19" i="14"/>
  <c r="G20" i="14" s="1"/>
  <c r="G21" i="14" s="1"/>
  <c r="G22" i="14" s="1"/>
  <c r="G23" i="14" s="1"/>
  <c r="I18" i="14"/>
  <c r="I14" i="14"/>
  <c r="I13" i="14"/>
  <c r="G13" i="14"/>
  <c r="G14" i="14" s="1"/>
  <c r="Y13" i="14"/>
  <c r="AD13" i="14" s="1"/>
  <c r="I12" i="14"/>
  <c r="G12" i="14"/>
  <c r="I11" i="14"/>
  <c r="G11" i="14"/>
  <c r="I10" i="14"/>
  <c r="V38" i="14" l="1"/>
  <c r="V31" i="14"/>
  <c r="V32" i="14" s="1"/>
  <c r="Y32" i="14" s="1"/>
  <c r="Y12" i="14"/>
  <c r="AD12" i="14" s="1"/>
  <c r="V39" i="14" l="1"/>
  <c r="V41" i="14" s="1"/>
  <c r="V40" i="14"/>
  <c r="S16" i="14"/>
  <c r="Y10" i="14"/>
  <c r="AD10" i="14" s="1"/>
  <c r="Y31" i="14"/>
  <c r="AD33" i="14"/>
  <c r="Y34" i="14"/>
  <c r="AD34" i="14" s="1"/>
  <c r="V11" i="14" l="1"/>
  <c r="Y11" i="14" s="1"/>
  <c r="AD11" i="14" s="1"/>
  <c r="AD31" i="14"/>
  <c r="AD32" i="14"/>
  <c r="Z36" i="14" l="1"/>
  <c r="B3" i="2" l="1"/>
  <c r="B4" i="2" l="1"/>
  <c r="B5" i="2" l="1"/>
  <c r="F4" i="2" s="1"/>
  <c r="E5" i="2" s="1"/>
  <c r="F5" i="2" l="1"/>
  <c r="E6" i="2" l="1"/>
  <c r="F6" i="2" s="1"/>
  <c r="J4" i="2" l="1"/>
  <c r="I5" i="2" s="1"/>
  <c r="J5" i="2" s="1"/>
  <c r="I6" i="2" s="1"/>
  <c r="J6" i="2" s="1"/>
  <c r="I7" i="2" s="1"/>
  <c r="J7" i="2" s="1"/>
  <c r="I8" i="2" s="1"/>
  <c r="J8" i="2" s="1"/>
  <c r="I9" i="2" s="1"/>
  <c r="J9" i="2" s="1"/>
  <c r="B8" i="2"/>
  <c r="E7" i="2"/>
  <c r="F7" i="2" s="1"/>
  <c r="E8" i="2" l="1"/>
  <c r="F8" i="2" s="1"/>
  <c r="I10" i="2"/>
  <c r="J10" i="2" s="1"/>
  <c r="E9" i="2" l="1"/>
  <c r="F9" i="2" s="1"/>
  <c r="E10" i="2" s="1"/>
  <c r="F10" i="2" s="1"/>
  <c r="I11" i="2"/>
  <c r="J11" i="2" s="1"/>
  <c r="E11" i="2" l="1"/>
  <c r="F11" i="2" s="1"/>
  <c r="E12" i="2" s="1"/>
  <c r="F12" i="2" s="1"/>
  <c r="I12" i="2"/>
  <c r="J12" i="2" s="1"/>
  <c r="I13" i="2" l="1"/>
  <c r="J13" i="2" s="1"/>
  <c r="E13" i="2"/>
  <c r="F13" i="2" s="1"/>
  <c r="I14" i="2" l="1"/>
  <c r="J14" i="2" s="1"/>
  <c r="E14" i="2"/>
  <c r="F14" i="2" s="1"/>
  <c r="I15" i="2" l="1"/>
  <c r="J15" i="2" s="1"/>
  <c r="E15" i="2"/>
  <c r="F15" i="2" s="1"/>
  <c r="I16" i="2" l="1"/>
  <c r="J16" i="2" s="1"/>
  <c r="E16" i="2"/>
  <c r="F16" i="2" s="1"/>
  <c r="I17" i="2" l="1"/>
  <c r="J17" i="2" s="1"/>
  <c r="E17" i="2"/>
  <c r="F17" i="2" s="1"/>
  <c r="E18" i="2" l="1"/>
  <c r="F18" i="2" s="1"/>
  <c r="I18" i="2"/>
  <c r="J18" i="2" s="1"/>
  <c r="E19" i="2" l="1"/>
  <c r="F19" i="2" s="1"/>
  <c r="E20" i="2" s="1"/>
  <c r="F20" i="2" s="1"/>
  <c r="I19" i="2"/>
  <c r="J19" i="2" s="1"/>
  <c r="E21" i="2" l="1"/>
  <c r="F21" i="2" s="1"/>
  <c r="E22" i="2" s="1"/>
  <c r="F22" i="2" s="1"/>
  <c r="I20" i="2"/>
  <c r="J20" i="2" s="1"/>
  <c r="E23" i="2" l="1"/>
  <c r="F23" i="2" s="1"/>
  <c r="I21" i="2"/>
  <c r="J21" i="2" s="1"/>
  <c r="E24" i="2" l="1"/>
  <c r="F24" i="2" s="1"/>
  <c r="E25" i="2" s="1"/>
  <c r="F25" i="2" s="1"/>
  <c r="I22" i="2"/>
  <c r="J22" i="2" s="1"/>
  <c r="E26" i="2" l="1"/>
  <c r="F26" i="2" s="1"/>
  <c r="E27" i="2" s="1"/>
  <c r="F27" i="2" s="1"/>
  <c r="E28" i="2" s="1"/>
  <c r="F28" i="2" s="1"/>
  <c r="I23" i="2"/>
  <c r="J23" i="2" s="1"/>
  <c r="E29" i="2" l="1"/>
  <c r="F29" i="2" s="1"/>
  <c r="I24" i="2"/>
  <c r="J24" i="2" s="1"/>
  <c r="E30" i="2" l="1"/>
  <c r="F30" i="2" s="1"/>
  <c r="E31" i="2" s="1"/>
  <c r="F31" i="2" s="1"/>
  <c r="I25" i="2"/>
  <c r="J25" i="2" s="1"/>
  <c r="E32" i="2" l="1"/>
  <c r="F32" i="2" s="1"/>
  <c r="I26" i="2"/>
  <c r="J26" i="2" s="1"/>
  <c r="E33" i="2" l="1"/>
  <c r="F33" i="2" s="1"/>
  <c r="E34" i="2" s="1"/>
  <c r="F34" i="2" s="1"/>
  <c r="F36" i="2" s="1"/>
  <c r="I27" i="2"/>
  <c r="J27" i="2" s="1"/>
  <c r="F37" i="2" l="1"/>
  <c r="B12" i="2" s="1"/>
  <c r="I28" i="2"/>
  <c r="J28" i="2" s="1"/>
  <c r="I29" i="2" l="1"/>
  <c r="J29" i="2" s="1"/>
  <c r="I30" i="2" l="1"/>
  <c r="J30" i="2" s="1"/>
  <c r="I31" i="2" l="1"/>
  <c r="J31" i="2" s="1"/>
  <c r="I32" i="2" l="1"/>
  <c r="J32" i="2" s="1"/>
  <c r="I33" i="2" l="1"/>
  <c r="J33" i="2" s="1"/>
  <c r="I34" i="2" l="1"/>
  <c r="J34" i="2" s="1"/>
  <c r="J35" i="2" s="1"/>
  <c r="J36" i="2" l="1"/>
  <c r="J37" i="2" s="1"/>
  <c r="B13" i="2" l="1"/>
  <c r="B14" i="2" s="1"/>
</calcChain>
</file>

<file path=xl/comments1.xml><?xml version="1.0" encoding="utf-8"?>
<comments xmlns="http://schemas.openxmlformats.org/spreadsheetml/2006/main">
  <authors>
    <author>MCM4</author>
    <author>DSS1</author>
  </authors>
  <commentList>
    <comment ref="E5" authorId="0">
      <text>
        <r>
          <rPr>
            <sz val="8"/>
            <color indexed="81"/>
            <rFont val="Tahoma"/>
            <family val="2"/>
          </rPr>
          <t xml:space="preserve"> - Adjust as appropriate
</t>
        </r>
      </text>
    </comment>
    <comment ref="Q27" authorId="0">
      <text>
        <r>
          <rPr>
            <sz val="8"/>
            <color indexed="81"/>
            <rFont val="Tahoma"/>
            <family val="2"/>
          </rPr>
          <t xml:space="preserve"> - Deductions can be taken for unreimbursable expenses on an amount in excess of 7.5% of your AGI </t>
        </r>
      </text>
    </comment>
    <comment ref="E33" authorId="0">
      <text>
        <r>
          <rPr>
            <sz val="8"/>
            <color indexed="81"/>
            <rFont val="Tahoma"/>
            <family val="2"/>
          </rPr>
          <t xml:space="preserve"> - Wages above $117,000 are not taxable</t>
        </r>
      </text>
    </comment>
    <comment ref="E34" authorId="0">
      <text>
        <r>
          <rPr>
            <sz val="8"/>
            <color indexed="81"/>
            <rFont val="Tahoma"/>
            <family val="2"/>
          </rPr>
          <t xml:space="preserve"> - No limit on taxable wages</t>
        </r>
      </text>
    </comment>
    <comment ref="Q36" authorId="0">
      <text>
        <r>
          <rPr>
            <sz val="8"/>
            <color indexed="81"/>
            <rFont val="Tahoma"/>
            <family val="2"/>
          </rPr>
          <t xml:space="preserve"> - Cash gifts, Property donated, and expenses you've incurred while volunteering
Note: Save all receipts</t>
        </r>
      </text>
    </comment>
    <comment ref="Q37" authorId="0">
      <text>
        <r>
          <rPr>
            <sz val="8"/>
            <color indexed="81"/>
            <rFont val="Tahoma"/>
            <family val="2"/>
          </rPr>
          <t xml:space="preserve"> - Calculated loss must be in excess of 10% of AGI
Note: Typical losses include vandalism, storm damage / flood damage, and even the bankruptcy of others</t>
        </r>
      </text>
    </comment>
    <comment ref="Q38" authorId="0">
      <text>
        <r>
          <rPr>
            <sz val="8"/>
            <color indexed="81"/>
            <rFont val="Tahoma"/>
            <family val="2"/>
          </rPr>
          <t xml:space="preserve"> - Unreimbursed expenses in excess of 2% of AGI can be deducted</t>
        </r>
      </text>
    </comment>
    <comment ref="Q39" authorId="0">
      <text>
        <r>
          <rPr>
            <sz val="8"/>
            <color indexed="81"/>
            <rFont val="Tahoma"/>
            <family val="2"/>
          </rPr>
          <t xml:space="preserve"> - Read 'IRS Publication 529' to determine if other expenses may apply</t>
        </r>
      </text>
    </comment>
    <comment ref="E40" authorId="1">
      <text>
        <r>
          <rPr>
            <b/>
            <sz val="9"/>
            <color indexed="81"/>
            <rFont val="Tahoma"/>
            <family val="2"/>
          </rPr>
          <t>Per MW507</t>
        </r>
      </text>
    </comment>
    <comment ref="Q44" authorId="1">
      <text>
        <r>
          <rPr>
            <b/>
            <sz val="9"/>
            <color indexed="81"/>
            <rFont val="Tahoma"/>
            <family val="2"/>
          </rPr>
          <t>Per MW507</t>
        </r>
      </text>
    </comment>
    <comment ref="Q45" authorId="1">
      <text>
        <r>
          <rPr>
            <b/>
            <sz val="9"/>
            <color indexed="81"/>
            <rFont val="Tahoma"/>
            <family val="2"/>
          </rPr>
          <t>Based on the Federal AGI and filing status</t>
        </r>
      </text>
    </comment>
  </commentList>
</comments>
</file>

<file path=xl/sharedStrings.xml><?xml version="1.0" encoding="utf-8"?>
<sst xmlns="http://schemas.openxmlformats.org/spreadsheetml/2006/main" count="157" uniqueCount="99">
  <si>
    <t>Tax Brackets</t>
  </si>
  <si>
    <t>Tax Rate</t>
  </si>
  <si>
    <t>Federal Standard Deduction</t>
  </si>
  <si>
    <t>Social Security Tax</t>
  </si>
  <si>
    <t>Medicare Tax</t>
  </si>
  <si>
    <t>Medicare</t>
  </si>
  <si>
    <t>Yearly Contributions</t>
  </si>
  <si>
    <t>5% Matching</t>
  </si>
  <si>
    <t>Total Savings</t>
  </si>
  <si>
    <t>Federal</t>
  </si>
  <si>
    <t>Savings Account</t>
  </si>
  <si>
    <t>Roth IRA Contributions</t>
  </si>
  <si>
    <t>Years</t>
  </si>
  <si>
    <t>Interest Earned</t>
  </si>
  <si>
    <t>Account Total</t>
  </si>
  <si>
    <t>Roth IRA</t>
  </si>
  <si>
    <t>Thrift Savings Plan</t>
  </si>
  <si>
    <t>Assumed Growth Rate</t>
  </si>
  <si>
    <t>Total</t>
  </si>
  <si>
    <t>Tax</t>
  </si>
  <si>
    <t>Yearly Income</t>
  </si>
  <si>
    <t>Notes</t>
  </si>
  <si>
    <t>Withdrawls from a Roth IRA are not taxed after 59.5 years of age</t>
  </si>
  <si>
    <t>A flat 25% tax on TSP withdrawls is assumed in these calculations due to their complexity. Withdrawls are subject to the progressive tax system used by the state and federal government. In addition the IRS implements a yearly required minimum distribution from the account starting at 70.5 years of age.</t>
  </si>
  <si>
    <t>Yearly Roth IRA Income</t>
  </si>
  <si>
    <t>Yearly TSP Income</t>
  </si>
  <si>
    <t>Total Yearly Retirement Income</t>
  </si>
  <si>
    <t>Growth of the account will continue after withdrawls have begun. This spreadsheet is based on the idea that growth will not continue.</t>
  </si>
  <si>
    <t>Assumed Years of Withdrawl</t>
  </si>
  <si>
    <t>State - Maryland</t>
  </si>
  <si>
    <t>State - Virginia</t>
  </si>
  <si>
    <t>OASDI</t>
  </si>
  <si>
    <t>Deductions</t>
  </si>
  <si>
    <t>Taxable Interest</t>
  </si>
  <si>
    <t>Capital Gains/Losses</t>
  </si>
  <si>
    <t>Dividends</t>
  </si>
  <si>
    <t>Other</t>
  </si>
  <si>
    <t>Health Benefits</t>
  </si>
  <si>
    <t>Student Loan Interest</t>
  </si>
  <si>
    <t>OASDI &amp; Medicare</t>
  </si>
  <si>
    <t xml:space="preserve">State Income </t>
  </si>
  <si>
    <t xml:space="preserve">Federal Income </t>
  </si>
  <si>
    <t>Calculated</t>
  </si>
  <si>
    <t>Federal Income</t>
  </si>
  <si>
    <t>State Income</t>
  </si>
  <si>
    <t>% of the wages over:</t>
  </si>
  <si>
    <t>Min</t>
  </si>
  <si>
    <t>Max</t>
  </si>
  <si>
    <t>∞</t>
  </si>
  <si>
    <t>Federal Personal Exemption</t>
  </si>
  <si>
    <t>Deductions + Credits</t>
  </si>
  <si>
    <t>Credits</t>
  </si>
  <si>
    <t>Withheld + Credits</t>
  </si>
  <si>
    <t>Amount</t>
  </si>
  <si>
    <t>Montgomery County Local Tax</t>
  </si>
  <si>
    <t>Standard Deduction Path</t>
  </si>
  <si>
    <t>Itemized Deductions Path</t>
  </si>
  <si>
    <r>
      <t xml:space="preserve">Gross Income </t>
    </r>
    <r>
      <rPr>
        <b/>
        <i/>
        <u/>
        <sz val="11"/>
        <color theme="1"/>
        <rFont val="Calibri"/>
        <family val="2"/>
        <scheme val="minor"/>
      </rPr>
      <t>(Self)</t>
    </r>
  </si>
  <si>
    <t>Wages, Salary, Tips</t>
  </si>
  <si>
    <t>Medical &amp; Dental Expenses</t>
  </si>
  <si>
    <t>Taxes</t>
  </si>
  <si>
    <t xml:space="preserve">  - State &amp; Local Income</t>
  </si>
  <si>
    <t xml:space="preserve">  - Personal Property</t>
  </si>
  <si>
    <t xml:space="preserve">  - Mortgage</t>
  </si>
  <si>
    <t>Gifts to Charity</t>
  </si>
  <si>
    <t>Casualty &amp; Theft</t>
  </si>
  <si>
    <t>Job Expenses</t>
  </si>
  <si>
    <t>Miscellaneous Expenses</t>
  </si>
  <si>
    <t>MD State Standard Deduction</t>
  </si>
  <si>
    <t>MD State Exemptions</t>
  </si>
  <si>
    <r>
      <t xml:space="preserve">Gross Income </t>
    </r>
    <r>
      <rPr>
        <b/>
        <i/>
        <u/>
        <sz val="11"/>
        <color theme="1"/>
        <rFont val="Calibri"/>
        <family val="2"/>
        <scheme val="minor"/>
      </rPr>
      <t>(Connie)</t>
    </r>
  </si>
  <si>
    <t>MD Tax Refund</t>
  </si>
  <si>
    <t>Roth Conversion</t>
  </si>
  <si>
    <t>MD Two-Income Subtraction</t>
  </si>
  <si>
    <t>Exemptions</t>
  </si>
  <si>
    <t>Single</t>
  </si>
  <si>
    <t>Joint</t>
  </si>
  <si>
    <t>Taxable Income</t>
  </si>
  <si>
    <t>Refund</t>
  </si>
  <si>
    <t>Taxes (Married Filing Jointly)</t>
  </si>
  <si>
    <t>Deductible Portion of Student Loan Interest</t>
  </si>
  <si>
    <t xml:space="preserve">  - Student Loan Interest</t>
  </si>
  <si>
    <t>Interest (Deductible Total)</t>
  </si>
  <si>
    <t xml:space="preserve">  - Real Estate</t>
  </si>
  <si>
    <t>FSA/HSA</t>
  </si>
  <si>
    <t>TSP/401k Pre-Tax</t>
  </si>
  <si>
    <t>AGI</t>
  </si>
  <si>
    <t>Final AGI</t>
  </si>
  <si>
    <t>MAGI (Student Loan)</t>
  </si>
  <si>
    <t>Effective Tax Rate</t>
  </si>
  <si>
    <t>Itemized Deductions</t>
  </si>
  <si>
    <t>Itemtizable Deductions</t>
  </si>
  <si>
    <t>Standard Deduction</t>
  </si>
  <si>
    <t>Total Deductions</t>
  </si>
  <si>
    <t>Increase in Deductions</t>
  </si>
  <si>
    <t>Savings by Itemizing</t>
  </si>
  <si>
    <t>AMT</t>
  </si>
  <si>
    <t>Exemption</t>
  </si>
  <si>
    <t>Note: I'm planning on adding the Alternative Minimum Tax Comparison at some point, but ignore this for now.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</si>
</sst>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Red]&quot;$&quot;#,##0.00"/>
    <numFmt numFmtId="165" formatCode="&quot;$&quot;#,##0.00"/>
  </numFmts>
  <fonts count="18"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b/>
      <u/>
      <sz val="11"/>
      <color theme="1"/>
      <name val="Calibri"/>
      <family val="2"/>
      <scheme val="minor"/>
    </font>
    <font>
      <i/>
      <u/>
      <sz val="9"/>
      <color theme="1"/>
      <name val="Calibri"/>
      <family val="2"/>
      <scheme val="minor"/>
    </font>
    <font>
      <sz val="8"/>
      <color indexed="81"/>
      <name val="Tahoma"/>
      <family val="2"/>
    </font>
    <font>
      <b/>
      <u/>
      <sz val="12"/>
      <color theme="1"/>
      <name val="Calibri"/>
      <family val="2"/>
      <scheme val="minor"/>
    </font>
    <font>
      <i/>
      <u/>
      <sz val="10"/>
      <color theme="1"/>
      <name val="Calibri"/>
      <family val="2"/>
      <scheme val="minor"/>
    </font>
    <font>
      <i/>
      <sz val="10"/>
      <color theme="1"/>
      <name val="Calibri"/>
      <family val="2"/>
      <scheme val="minor"/>
    </font>
    <font>
      <sz val="12"/>
      <color rgb="FF000000"/>
      <name val="Arial"/>
      <family val="2"/>
    </font>
    <font>
      <sz val="11"/>
      <name val="Calibri"/>
      <family val="2"/>
      <scheme val="minor"/>
    </font>
    <font>
      <b/>
      <sz val="11"/>
      <color rgb="FF3F3F3F"/>
      <name val="Calibri"/>
      <family val="2"/>
      <scheme val="minor"/>
    </font>
    <font>
      <b/>
      <i/>
      <u/>
      <sz val="11"/>
      <color theme="1"/>
      <name val="Calibri"/>
      <family val="2"/>
      <scheme val="minor"/>
    </font>
    <font>
      <b/>
      <u/>
      <sz val="9"/>
      <color theme="1"/>
      <name val="Calibri"/>
      <family val="2"/>
      <scheme val="minor"/>
    </font>
    <font>
      <sz val="11"/>
      <color theme="0" tint="-0.499984740745262"/>
      <name val="Calibri"/>
      <family val="2"/>
      <scheme val="minor"/>
    </font>
    <font>
      <sz val="11"/>
      <color theme="1"/>
      <name val="Calibri"/>
      <family val="2"/>
      <scheme val="minor"/>
    </font>
    <font>
      <b/>
      <sz val="9"/>
      <color indexed="81"/>
      <name val="Tahoma"/>
      <family val="2"/>
    </font>
  </fonts>
  <fills count="7">
    <fill>
      <patternFill patternType="none"/>
    </fill>
    <fill>
      <patternFill patternType="gray125"/>
    </fill>
    <fill>
      <patternFill patternType="solid">
        <fgColor theme="0" tint="-0.34998626667073579"/>
        <bgColor indexed="64"/>
      </patternFill>
    </fill>
    <fill>
      <patternFill patternType="solid">
        <fgColor rgb="FFFFFF99"/>
        <bgColor indexed="64"/>
      </patternFill>
    </fill>
    <fill>
      <patternFill patternType="solid">
        <fgColor theme="0" tint="-0.499984740745262"/>
        <bgColor indexed="64"/>
      </patternFill>
    </fill>
    <fill>
      <patternFill patternType="solid">
        <fgColor rgb="FFF2F2F2"/>
      </patternFill>
    </fill>
    <fill>
      <patternFill patternType="solid">
        <fgColor theme="0"/>
        <bgColor indexed="64"/>
      </patternFill>
    </fill>
  </fills>
  <borders count="7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style="thin">
        <color auto="1"/>
      </top>
      <bottom/>
      <diagonal/>
    </border>
    <border>
      <left style="thin">
        <color auto="1"/>
      </left>
      <right style="thick">
        <color auto="1"/>
      </right>
      <top style="thin">
        <color auto="1"/>
      </top>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ck">
        <color auto="1"/>
      </top>
      <bottom style="thin">
        <color auto="1"/>
      </bottom>
      <diagonal/>
    </border>
    <border>
      <left/>
      <right style="thin">
        <color auto="1"/>
      </right>
      <top/>
      <bottom style="thick">
        <color auto="1"/>
      </bottom>
      <diagonal/>
    </border>
    <border>
      <left/>
      <right/>
      <top/>
      <bottom style="thin">
        <color auto="1"/>
      </bottom>
      <diagonal/>
    </border>
    <border>
      <left style="thin">
        <color auto="1"/>
      </left>
      <right/>
      <top style="thick">
        <color auto="1"/>
      </top>
      <bottom style="thin">
        <color auto="1"/>
      </bottom>
      <diagonal/>
    </border>
    <border>
      <left style="thin">
        <color auto="1"/>
      </left>
      <right/>
      <top/>
      <bottom style="thick">
        <color auto="1"/>
      </bottom>
      <diagonal/>
    </border>
    <border>
      <left/>
      <right/>
      <top style="thick">
        <color auto="1"/>
      </top>
      <bottom/>
      <diagonal/>
    </border>
    <border>
      <left/>
      <right style="thick">
        <color auto="1"/>
      </right>
      <top style="thick">
        <color auto="1"/>
      </top>
      <bottom/>
      <diagonal/>
    </border>
    <border>
      <left style="thick">
        <color auto="1"/>
      </left>
      <right/>
      <top style="thin">
        <color auto="1"/>
      </top>
      <bottom/>
      <diagonal/>
    </border>
    <border>
      <left style="thick">
        <color auto="1"/>
      </left>
      <right/>
      <top/>
      <bottom/>
      <diagonal/>
    </border>
    <border>
      <left style="thick">
        <color auto="1"/>
      </left>
      <right/>
      <top/>
      <bottom style="thick">
        <color auto="1"/>
      </bottom>
      <diagonal/>
    </border>
    <border>
      <left style="thick">
        <color auto="1"/>
      </left>
      <right/>
      <top style="thick">
        <color auto="1"/>
      </top>
      <bottom/>
      <diagonal/>
    </border>
    <border>
      <left/>
      <right style="thick">
        <color auto="1"/>
      </right>
      <top style="thin">
        <color auto="1"/>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ck">
        <color auto="1"/>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top/>
      <bottom style="thin">
        <color auto="1"/>
      </bottom>
      <diagonal/>
    </border>
    <border>
      <left/>
      <right style="thin">
        <color auto="1"/>
      </right>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
      <left/>
      <right style="thick">
        <color auto="1"/>
      </right>
      <top style="thin">
        <color auto="1"/>
      </top>
      <bottom style="thick">
        <color auto="1"/>
      </bottom>
      <diagonal/>
    </border>
    <border>
      <left/>
      <right style="thick">
        <color auto="1"/>
      </right>
      <top style="thick">
        <color auto="1"/>
      </top>
      <bottom style="thick">
        <color auto="1"/>
      </bottom>
      <diagonal/>
    </border>
    <border>
      <left/>
      <right/>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auto="1"/>
      </left>
      <right style="thin">
        <color indexed="64"/>
      </right>
      <top style="thin">
        <color auto="1"/>
      </top>
      <bottom/>
      <diagonal/>
    </border>
    <border>
      <left style="medium">
        <color auto="1"/>
      </left>
      <right style="thin">
        <color auto="1"/>
      </right>
      <top/>
      <bottom style="thin">
        <color indexed="64"/>
      </bottom>
      <diagonal/>
    </border>
    <border>
      <left style="thin">
        <color auto="1"/>
      </left>
      <right style="medium">
        <color auto="1"/>
      </right>
      <top/>
      <bottom style="thin">
        <color indexed="64"/>
      </bottom>
      <diagonal/>
    </border>
  </borders>
  <cellStyleXfs count="4">
    <xf numFmtId="0" fontId="0" fillId="0" borderId="0"/>
    <xf numFmtId="0" fontId="12" fillId="5" borderId="61" applyNumberFormat="0" applyAlignment="0" applyProtection="0"/>
    <xf numFmtId="44" fontId="16" fillId="0" borderId="0" applyFont="0" applyFill="0" applyBorder="0" applyAlignment="0" applyProtection="0"/>
    <xf numFmtId="9" fontId="16" fillId="0" borderId="0" applyFont="0" applyFill="0" applyBorder="0" applyAlignment="0" applyProtection="0"/>
  </cellStyleXfs>
  <cellXfs count="204">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2" borderId="2" xfId="0" applyFill="1" applyBorder="1"/>
    <xf numFmtId="0" fontId="0" fillId="2" borderId="3" xfId="0" applyFill="1" applyBorder="1"/>
    <xf numFmtId="0" fontId="0" fillId="0" borderId="4" xfId="0" applyBorder="1"/>
    <xf numFmtId="0" fontId="0" fillId="0" borderId="7" xfId="0" applyBorder="1"/>
    <xf numFmtId="0" fontId="0" fillId="0" borderId="10" xfId="0" applyBorder="1"/>
    <xf numFmtId="0" fontId="0" fillId="0" borderId="12" xfId="0" applyBorder="1"/>
    <xf numFmtId="0" fontId="0" fillId="0" borderId="13" xfId="0" applyBorder="1"/>
    <xf numFmtId="0" fontId="1" fillId="0" borderId="0" xfId="0" applyFont="1"/>
    <xf numFmtId="165" fontId="0" fillId="0" borderId="0" xfId="0" applyNumberFormat="1"/>
    <xf numFmtId="0" fontId="1" fillId="2" borderId="3" xfId="0" applyFont="1" applyFill="1" applyBorder="1" applyAlignment="1">
      <alignment horizontal="center"/>
    </xf>
    <xf numFmtId="0" fontId="0" fillId="0" borderId="8" xfId="0" applyBorder="1"/>
    <xf numFmtId="165" fontId="0" fillId="0" borderId="9" xfId="0" applyNumberFormat="1" applyBorder="1"/>
    <xf numFmtId="165" fontId="0" fillId="0" borderId="8" xfId="0" applyNumberFormat="1" applyBorder="1"/>
    <xf numFmtId="165" fontId="0" fillId="0" borderId="11" xfId="0" applyNumberFormat="1" applyBorder="1"/>
    <xf numFmtId="165" fontId="0" fillId="0" borderId="12" xfId="0" applyNumberFormat="1"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9" fontId="0" fillId="3" borderId="8" xfId="0" applyNumberFormat="1" applyFill="1" applyBorder="1"/>
    <xf numFmtId="0" fontId="0" fillId="0" borderId="7" xfId="0" applyBorder="1" applyAlignment="1">
      <alignment horizontal="center"/>
    </xf>
    <xf numFmtId="0" fontId="0" fillId="0" borderId="10" xfId="0" applyBorder="1" applyAlignment="1">
      <alignment horizontal="center"/>
    </xf>
    <xf numFmtId="164" fontId="0" fillId="0" borderId="6" xfId="0" applyNumberFormat="1" applyBorder="1" applyProtection="1"/>
    <xf numFmtId="164" fontId="0" fillId="0" borderId="9" xfId="0" applyNumberFormat="1" applyBorder="1" applyProtection="1"/>
    <xf numFmtId="165" fontId="0" fillId="0" borderId="9" xfId="0" applyNumberFormat="1" applyFill="1" applyBorder="1" applyProtection="1"/>
    <xf numFmtId="164" fontId="0" fillId="0" borderId="14" xfId="0" applyNumberFormat="1" applyBorder="1" applyProtection="1"/>
    <xf numFmtId="0" fontId="0" fillId="3" borderId="8" xfId="0" applyNumberFormat="1" applyFill="1" applyBorder="1"/>
    <xf numFmtId="0" fontId="0" fillId="0" borderId="0" xfId="0" applyBorder="1"/>
    <xf numFmtId="0" fontId="0" fillId="0" borderId="0" xfId="0" applyFill="1"/>
    <xf numFmtId="0" fontId="0" fillId="0" borderId="18" xfId="0" applyBorder="1"/>
    <xf numFmtId="4" fontId="0" fillId="0" borderId="22" xfId="0" applyNumberFormat="1" applyBorder="1"/>
    <xf numFmtId="4" fontId="0" fillId="0" borderId="25" xfId="0" applyNumberFormat="1" applyBorder="1"/>
    <xf numFmtId="4" fontId="0" fillId="0" borderId="27" xfId="0" applyNumberFormat="1" applyBorder="1"/>
    <xf numFmtId="165" fontId="0" fillId="3" borderId="22" xfId="0" applyNumberFormat="1" applyFill="1" applyBorder="1"/>
    <xf numFmtId="165" fontId="0" fillId="3" borderId="25" xfId="0" applyNumberFormat="1" applyFill="1" applyBorder="1"/>
    <xf numFmtId="165" fontId="0" fillId="3" borderId="27" xfId="0" applyNumberFormat="1" applyFill="1" applyBorder="1"/>
    <xf numFmtId="165" fontId="0" fillId="3" borderId="25" xfId="0" applyNumberFormat="1" applyFont="1" applyFill="1" applyBorder="1" applyAlignment="1">
      <alignment horizontal="right"/>
    </xf>
    <xf numFmtId="0" fontId="0" fillId="4" borderId="0" xfId="0" applyFill="1"/>
    <xf numFmtId="165" fontId="0" fillId="0" borderId="34" xfId="0" applyNumberFormat="1" applyBorder="1" applyAlignment="1">
      <alignment vertical="center"/>
    </xf>
    <xf numFmtId="165" fontId="0" fillId="0" borderId="36" xfId="0" applyNumberFormat="1" applyBorder="1"/>
    <xf numFmtId="165" fontId="0" fillId="0" borderId="38" xfId="0" applyNumberFormat="1" applyBorder="1" applyAlignment="1">
      <alignment vertical="center"/>
    </xf>
    <xf numFmtId="10" fontId="3" fillId="0" borderId="43" xfId="0" applyNumberFormat="1" applyFont="1" applyBorder="1"/>
    <xf numFmtId="0" fontId="1" fillId="0" borderId="18" xfId="0" applyFont="1" applyBorder="1" applyAlignment="1">
      <alignment horizontal="center"/>
    </xf>
    <xf numFmtId="0" fontId="5" fillId="0" borderId="23" xfId="0" applyFont="1" applyBorder="1" applyAlignment="1">
      <alignment horizontal="left"/>
    </xf>
    <xf numFmtId="0" fontId="5" fillId="0" borderId="0" xfId="0" applyFont="1" applyBorder="1" applyAlignment="1">
      <alignment horizontal="left"/>
    </xf>
    <xf numFmtId="0" fontId="0" fillId="0" borderId="21" xfId="0" applyBorder="1"/>
    <xf numFmtId="4" fontId="0" fillId="0" borderId="50" xfId="0" applyNumberFormat="1" applyBorder="1"/>
    <xf numFmtId="0" fontId="0" fillId="0" borderId="46" xfId="0" applyBorder="1"/>
    <xf numFmtId="10" fontId="3" fillId="0" borderId="16" xfId="0" applyNumberFormat="1" applyFont="1" applyBorder="1"/>
    <xf numFmtId="165" fontId="3" fillId="0" borderId="18" xfId="0" applyNumberFormat="1" applyFont="1" applyBorder="1" applyAlignment="1">
      <alignment horizontal="right"/>
    </xf>
    <xf numFmtId="165" fontId="3" fillId="0" borderId="18" xfId="0" applyNumberFormat="1" applyFont="1" applyBorder="1"/>
    <xf numFmtId="165" fontId="3" fillId="0" borderId="25" xfId="0" applyNumberFormat="1" applyFont="1" applyBorder="1"/>
    <xf numFmtId="165" fontId="0" fillId="0" borderId="24" xfId="0" applyNumberFormat="1" applyBorder="1"/>
    <xf numFmtId="165" fontId="0" fillId="0" borderId="26" xfId="0" applyNumberFormat="1" applyBorder="1"/>
    <xf numFmtId="165" fontId="0" fillId="0" borderId="16" xfId="0" applyNumberFormat="1" applyBorder="1" applyAlignment="1"/>
    <xf numFmtId="165" fontId="0" fillId="3" borderId="22" xfId="0" applyNumberFormat="1" applyFill="1" applyBorder="1" applyAlignment="1"/>
    <xf numFmtId="165" fontId="3" fillId="0" borderId="0" xfId="0" applyNumberFormat="1" applyFont="1" applyFill="1" applyBorder="1" applyAlignment="1">
      <alignment horizontal="right"/>
    </xf>
    <xf numFmtId="165" fontId="3" fillId="0" borderId="0" xfId="0" applyNumberFormat="1" applyFont="1" applyFill="1" applyBorder="1"/>
    <xf numFmtId="165" fontId="3" fillId="3" borderId="23" xfId="0" applyNumberFormat="1" applyFont="1" applyFill="1" applyBorder="1" applyAlignment="1">
      <alignment horizontal="right"/>
    </xf>
    <xf numFmtId="165" fontId="3" fillId="3" borderId="0" xfId="0" applyNumberFormat="1" applyFont="1" applyFill="1" applyBorder="1" applyAlignment="1">
      <alignment horizontal="right"/>
    </xf>
    <xf numFmtId="165" fontId="3" fillId="3" borderId="51" xfId="0" applyNumberFormat="1" applyFont="1" applyFill="1" applyBorder="1" applyAlignment="1">
      <alignment horizontal="right"/>
    </xf>
    <xf numFmtId="165" fontId="3" fillId="3" borderId="41" xfId="0" applyNumberFormat="1" applyFont="1" applyFill="1" applyBorder="1" applyAlignment="1">
      <alignment horizontal="right"/>
    </xf>
    <xf numFmtId="9" fontId="3" fillId="3" borderId="18" xfId="0" applyNumberFormat="1" applyFont="1" applyFill="1" applyBorder="1" applyAlignment="1">
      <alignment horizontal="right"/>
    </xf>
    <xf numFmtId="165" fontId="3" fillId="3" borderId="23" xfId="0" applyNumberFormat="1" applyFont="1" applyFill="1" applyBorder="1"/>
    <xf numFmtId="165" fontId="3" fillId="3" borderId="0" xfId="0" applyNumberFormat="1" applyFont="1" applyFill="1" applyBorder="1"/>
    <xf numFmtId="165" fontId="3" fillId="3" borderId="51" xfId="0" applyNumberFormat="1" applyFont="1" applyFill="1" applyBorder="1"/>
    <xf numFmtId="10" fontId="3" fillId="3" borderId="18" xfId="0" applyNumberFormat="1" applyFont="1" applyFill="1" applyBorder="1"/>
    <xf numFmtId="10" fontId="3" fillId="3" borderId="18" xfId="0" applyNumberFormat="1" applyFont="1" applyFill="1" applyBorder="1" applyAlignment="1">
      <alignment horizontal="right"/>
    </xf>
    <xf numFmtId="10" fontId="3" fillId="3" borderId="20" xfId="0" applyNumberFormat="1" applyFont="1" applyFill="1" applyBorder="1" applyAlignment="1">
      <alignment horizontal="right"/>
    </xf>
    <xf numFmtId="0" fontId="10" fillId="3" borderId="0" xfId="0" applyFont="1" applyFill="1" applyAlignment="1">
      <alignment horizontal="center"/>
    </xf>
    <xf numFmtId="0" fontId="7" fillId="0" borderId="49" xfId="0" applyFont="1" applyFill="1" applyBorder="1" applyAlignment="1">
      <alignment horizontal="center"/>
    </xf>
    <xf numFmtId="0" fontId="4" fillId="0" borderId="0" xfId="0" applyFont="1" applyBorder="1" applyAlignment="1">
      <alignment horizontal="center"/>
    </xf>
    <xf numFmtId="165" fontId="0" fillId="0" borderId="25" xfId="0" applyNumberFormat="1" applyBorder="1"/>
    <xf numFmtId="165" fontId="0" fillId="0" borderId="27" xfId="0" applyNumberFormat="1" applyBorder="1"/>
    <xf numFmtId="0" fontId="8" fillId="0" borderId="56" xfId="0" applyFont="1" applyBorder="1" applyAlignment="1">
      <alignment horizontal="center"/>
    </xf>
    <xf numFmtId="165" fontId="3" fillId="0" borderId="47" xfId="0" applyNumberFormat="1" applyFont="1" applyFill="1" applyBorder="1"/>
    <xf numFmtId="10" fontId="3" fillId="0" borderId="0" xfId="0" applyNumberFormat="1" applyFont="1" applyFill="1" applyBorder="1" applyAlignment="1">
      <alignment horizontal="right"/>
    </xf>
    <xf numFmtId="165" fontId="3" fillId="0" borderId="57" xfId="0" applyNumberFormat="1" applyFont="1" applyFill="1" applyBorder="1"/>
    <xf numFmtId="10" fontId="3" fillId="3" borderId="8" xfId="0" applyNumberFormat="1" applyFont="1" applyFill="1" applyBorder="1" applyAlignment="1">
      <alignment horizontal="right"/>
    </xf>
    <xf numFmtId="165" fontId="3" fillId="0" borderId="56" xfId="0" applyNumberFormat="1" applyFont="1" applyFill="1" applyBorder="1"/>
    <xf numFmtId="0" fontId="0" fillId="0" borderId="53" xfId="0" applyNumberFormat="1" applyBorder="1"/>
    <xf numFmtId="0" fontId="0" fillId="0" borderId="54" xfId="0" applyNumberFormat="1" applyBorder="1"/>
    <xf numFmtId="4" fontId="0" fillId="0" borderId="55" xfId="0" applyNumberFormat="1" applyBorder="1"/>
    <xf numFmtId="165" fontId="11" fillId="0" borderId="24" xfId="0" applyNumberFormat="1" applyFont="1" applyBorder="1" applyAlignment="1"/>
    <xf numFmtId="0" fontId="0" fillId="0" borderId="54" xfId="0" applyBorder="1"/>
    <xf numFmtId="0" fontId="7" fillId="0" borderId="44" xfId="0" applyFont="1" applyFill="1" applyBorder="1" applyAlignment="1">
      <alignment horizontal="center"/>
    </xf>
    <xf numFmtId="0" fontId="7" fillId="0" borderId="45" xfId="0" applyFont="1" applyFill="1" applyBorder="1" applyAlignment="1">
      <alignment horizontal="center"/>
    </xf>
    <xf numFmtId="0" fontId="0" fillId="0" borderId="0" xfId="0" applyAlignment="1">
      <alignment vertical="top" wrapText="1"/>
    </xf>
    <xf numFmtId="165" fontId="0" fillId="3" borderId="66" xfId="0" applyNumberFormat="1" applyFill="1" applyBorder="1"/>
    <xf numFmtId="0" fontId="14" fillId="0" borderId="53" xfId="0" applyFont="1" applyBorder="1" applyAlignment="1">
      <alignment horizontal="center"/>
    </xf>
    <xf numFmtId="0" fontId="14" fillId="0" borderId="8" xfId="0" applyFont="1" applyBorder="1" applyAlignment="1">
      <alignment horizontal="center"/>
    </xf>
    <xf numFmtId="0" fontId="14" fillId="0" borderId="56" xfId="0" applyFont="1" applyBorder="1" applyAlignment="1">
      <alignment horizontal="center"/>
    </xf>
    <xf numFmtId="0" fontId="0" fillId="0" borderId="37" xfId="0" applyFont="1" applyBorder="1" applyAlignment="1">
      <alignment wrapText="1"/>
    </xf>
    <xf numFmtId="0" fontId="0" fillId="0" borderId="33" xfId="0" applyFont="1" applyBorder="1" applyAlignment="1">
      <alignment wrapText="1"/>
    </xf>
    <xf numFmtId="0" fontId="0" fillId="0" borderId="35" xfId="0" applyFont="1" applyBorder="1"/>
    <xf numFmtId="10" fontId="3" fillId="3" borderId="16" xfId="0" applyNumberFormat="1" applyFont="1" applyFill="1" applyBorder="1"/>
    <xf numFmtId="10" fontId="3" fillId="3" borderId="43" xfId="0" applyNumberFormat="1" applyFont="1" applyFill="1" applyBorder="1"/>
    <xf numFmtId="165" fontId="15" fillId="3" borderId="25" xfId="0" applyNumberFormat="1" applyFont="1" applyFill="1" applyBorder="1"/>
    <xf numFmtId="0" fontId="12" fillId="0" borderId="68" xfId="1" applyFill="1" applyBorder="1" applyAlignment="1">
      <alignment vertical="center"/>
    </xf>
    <xf numFmtId="165" fontId="0" fillId="3" borderId="57" xfId="0" applyNumberFormat="1" applyFill="1" applyBorder="1"/>
    <xf numFmtId="165" fontId="3" fillId="3" borderId="25" xfId="0" applyNumberFormat="1" applyFont="1" applyFill="1" applyBorder="1"/>
    <xf numFmtId="4" fontId="0" fillId="3" borderId="27" xfId="0" applyNumberFormat="1" applyFill="1" applyBorder="1"/>
    <xf numFmtId="10" fontId="3" fillId="0" borderId="43" xfId="0" applyNumberFormat="1" applyFont="1" applyFill="1" applyBorder="1"/>
    <xf numFmtId="10" fontId="3" fillId="0" borderId="44" xfId="0" applyNumberFormat="1" applyFont="1" applyFill="1" applyBorder="1" applyAlignment="1">
      <alignment horizontal="right"/>
    </xf>
    <xf numFmtId="0" fontId="0" fillId="0" borderId="72" xfId="0" applyBorder="1"/>
    <xf numFmtId="165" fontId="3" fillId="3" borderId="24" xfId="0" applyNumberFormat="1" applyFont="1" applyFill="1" applyBorder="1"/>
    <xf numFmtId="0" fontId="9" fillId="3" borderId="26" xfId="0" applyFont="1" applyFill="1" applyBorder="1" applyAlignment="1">
      <alignment horizontal="center"/>
    </xf>
    <xf numFmtId="165" fontId="0" fillId="0" borderId="74" xfId="0" applyNumberFormat="1" applyBorder="1" applyAlignment="1">
      <alignment vertical="center"/>
    </xf>
    <xf numFmtId="165" fontId="9" fillId="0" borderId="44" xfId="0" applyNumberFormat="1" applyFont="1" applyFill="1" applyBorder="1" applyAlignment="1">
      <alignment horizontal="left"/>
    </xf>
    <xf numFmtId="0" fontId="4" fillId="0" borderId="42" xfId="0" applyFont="1" applyBorder="1" applyAlignment="1">
      <alignment horizontal="center" vertical="center"/>
    </xf>
    <xf numFmtId="0" fontId="0" fillId="0" borderId="47" xfId="0" applyBorder="1" applyAlignment="1">
      <alignment horizontal="left"/>
    </xf>
    <xf numFmtId="0" fontId="0" fillId="0" borderId="19" xfId="0" applyBorder="1" applyAlignment="1">
      <alignment horizontal="left"/>
    </xf>
    <xf numFmtId="0" fontId="2" fillId="0" borderId="46" xfId="0" applyFont="1" applyBorder="1" applyAlignment="1">
      <alignment horizontal="left"/>
    </xf>
    <xf numFmtId="0" fontId="2" fillId="0" borderId="17" xfId="0" applyFont="1" applyBorder="1" applyAlignment="1">
      <alignment horizontal="left"/>
    </xf>
    <xf numFmtId="0" fontId="2" fillId="0" borderId="47" xfId="0" applyFont="1" applyBorder="1" applyAlignment="1">
      <alignment horizontal="left"/>
    </xf>
    <xf numFmtId="0" fontId="2" fillId="0" borderId="19" xfId="0" applyFont="1" applyBorder="1" applyAlignment="1">
      <alignment horizontal="left"/>
    </xf>
    <xf numFmtId="0" fontId="8" fillId="0" borderId="53" xfId="0" applyFont="1" applyBorder="1" applyAlignment="1">
      <alignment horizontal="center"/>
    </xf>
    <xf numFmtId="0" fontId="0" fillId="0" borderId="46" xfId="0" applyBorder="1" applyAlignment="1">
      <alignment horizontal="left"/>
    </xf>
    <xf numFmtId="0" fontId="0" fillId="0" borderId="17" xfId="0" applyBorder="1" applyAlignment="1">
      <alignment horizontal="left"/>
    </xf>
    <xf numFmtId="0" fontId="8" fillId="0" borderId="60" xfId="0" applyFont="1" applyBorder="1" applyAlignment="1">
      <alignment horizontal="center"/>
    </xf>
    <xf numFmtId="165" fontId="9" fillId="0" borderId="53" xfId="0" applyNumberFormat="1" applyFont="1" applyFill="1" applyBorder="1" applyAlignment="1">
      <alignment horizontal="left"/>
    </xf>
    <xf numFmtId="165" fontId="9" fillId="0" borderId="54" xfId="0" applyNumberFormat="1" applyFont="1" applyFill="1" applyBorder="1" applyAlignment="1">
      <alignment horizontal="left"/>
    </xf>
    <xf numFmtId="165" fontId="9" fillId="0" borderId="60" xfId="0" applyNumberFormat="1" applyFont="1" applyFill="1" applyBorder="1" applyAlignment="1">
      <alignment horizontal="left"/>
    </xf>
    <xf numFmtId="0" fontId="0" fillId="0" borderId="64" xfId="0" applyBorder="1" applyAlignment="1">
      <alignment horizontal="left"/>
    </xf>
    <xf numFmtId="0" fontId="0" fillId="0" borderId="65" xfId="0" applyBorder="1" applyAlignment="1">
      <alignment horizontal="left"/>
    </xf>
    <xf numFmtId="0" fontId="0" fillId="0" borderId="48" xfId="0" applyBorder="1" applyAlignment="1">
      <alignment horizontal="left"/>
    </xf>
    <xf numFmtId="0" fontId="0" fillId="0" borderId="40" xfId="0" applyBorder="1" applyAlignment="1">
      <alignment horizontal="left"/>
    </xf>
    <xf numFmtId="0" fontId="2" fillId="0" borderId="48" xfId="0" applyFont="1" applyBorder="1" applyAlignment="1">
      <alignment horizontal="left"/>
    </xf>
    <xf numFmtId="0" fontId="2" fillId="0" borderId="40" xfId="0" applyFont="1" applyBorder="1" applyAlignment="1">
      <alignment horizontal="left"/>
    </xf>
    <xf numFmtId="0" fontId="0" fillId="0" borderId="62" xfId="0" applyBorder="1" applyAlignment="1">
      <alignment horizontal="left"/>
    </xf>
    <xf numFmtId="0" fontId="0" fillId="0" borderId="63" xfId="0" applyBorder="1" applyAlignment="1">
      <alignment horizontal="left"/>
    </xf>
    <xf numFmtId="0" fontId="9" fillId="0" borderId="46" xfId="0" applyFont="1" applyBorder="1" applyAlignment="1">
      <alignment horizontal="left"/>
    </xf>
    <xf numFmtId="0" fontId="9" fillId="0" borderId="17" xfId="0" applyFont="1" applyBorder="1" applyAlignment="1">
      <alignment horizontal="left"/>
    </xf>
    <xf numFmtId="0" fontId="9" fillId="0" borderId="48" xfId="0" applyFont="1" applyBorder="1" applyAlignment="1">
      <alignment horizontal="left"/>
    </xf>
    <xf numFmtId="0" fontId="9" fillId="0" borderId="40" xfId="0" applyFont="1" applyBorder="1" applyAlignment="1">
      <alignment horizontal="left"/>
    </xf>
    <xf numFmtId="44" fontId="0" fillId="0" borderId="0" xfId="2" applyFont="1" applyAlignment="1">
      <alignment vertical="top" wrapText="1"/>
    </xf>
    <xf numFmtId="2" fontId="0" fillId="0" borderId="0" xfId="0" applyNumberFormat="1"/>
    <xf numFmtId="165" fontId="0" fillId="0" borderId="0" xfId="0" applyNumberFormat="1" applyAlignment="1">
      <alignment vertical="top" wrapText="1"/>
    </xf>
    <xf numFmtId="0" fontId="0" fillId="0" borderId="47" xfId="0" applyBorder="1" applyAlignment="1">
      <alignment horizontal="left"/>
    </xf>
    <xf numFmtId="0" fontId="0" fillId="0" borderId="19" xfId="0" applyBorder="1" applyAlignment="1">
      <alignment horizontal="left"/>
    </xf>
    <xf numFmtId="0" fontId="0" fillId="0" borderId="62" xfId="0" applyBorder="1" applyAlignment="1">
      <alignment horizontal="left"/>
    </xf>
    <xf numFmtId="0" fontId="0" fillId="0" borderId="63" xfId="0" applyBorder="1" applyAlignment="1">
      <alignment horizontal="left"/>
    </xf>
    <xf numFmtId="0" fontId="0" fillId="0" borderId="64" xfId="0" applyBorder="1" applyAlignment="1">
      <alignment horizontal="center"/>
    </xf>
    <xf numFmtId="0" fontId="0" fillId="0" borderId="65" xfId="0" applyBorder="1" applyAlignment="1">
      <alignment horizontal="center"/>
    </xf>
    <xf numFmtId="165" fontId="0" fillId="6" borderId="25" xfId="0" applyNumberFormat="1" applyFill="1" applyBorder="1"/>
    <xf numFmtId="165" fontId="0" fillId="6" borderId="25" xfId="0" applyNumberFormat="1" applyFont="1" applyFill="1" applyBorder="1" applyAlignment="1">
      <alignment horizontal="right"/>
    </xf>
    <xf numFmtId="0" fontId="0" fillId="0" borderId="33" xfId="0" applyFont="1" applyBorder="1" applyAlignment="1"/>
    <xf numFmtId="0" fontId="2" fillId="0" borderId="1" xfId="0" applyFont="1" applyFill="1" applyBorder="1" applyAlignment="1">
      <alignment horizontal="left"/>
    </xf>
    <xf numFmtId="0" fontId="0" fillId="0" borderId="2" xfId="0" applyBorder="1"/>
    <xf numFmtId="10" fontId="0" fillId="0" borderId="3" xfId="3" applyNumberFormat="1" applyFont="1" applyBorder="1"/>
    <xf numFmtId="0" fontId="0" fillId="0" borderId="37" xfId="0" applyFont="1" applyBorder="1" applyAlignment="1"/>
    <xf numFmtId="0" fontId="0" fillId="0" borderId="73" xfId="0" applyFont="1" applyBorder="1" applyAlignment="1"/>
    <xf numFmtId="0" fontId="2" fillId="0" borderId="35" xfId="0" applyFont="1" applyBorder="1"/>
    <xf numFmtId="0" fontId="0" fillId="0" borderId="0" xfId="0" applyNumberFormat="1"/>
    <xf numFmtId="10" fontId="0" fillId="0" borderId="0" xfId="3" applyNumberFormat="1" applyFont="1"/>
    <xf numFmtId="0" fontId="12" fillId="5" borderId="69" xfId="1" applyBorder="1" applyAlignment="1">
      <alignment horizontal="center" vertical="center"/>
    </xf>
    <xf numFmtId="0" fontId="12" fillId="5" borderId="70" xfId="1" applyBorder="1" applyAlignment="1">
      <alignment horizontal="center" vertical="center"/>
    </xf>
    <xf numFmtId="0" fontId="12" fillId="5" borderId="71" xfId="1" applyBorder="1" applyAlignment="1">
      <alignment horizontal="center" vertical="center"/>
    </xf>
    <xf numFmtId="0" fontId="7" fillId="3" borderId="28" xfId="0" applyFont="1" applyFill="1" applyBorder="1" applyAlignment="1">
      <alignment horizontal="center"/>
    </xf>
    <xf numFmtId="0" fontId="7" fillId="3" borderId="29" xfId="0" applyFont="1" applyFill="1" applyBorder="1" applyAlignment="1">
      <alignment horizontal="center"/>
    </xf>
    <xf numFmtId="0" fontId="7" fillId="3" borderId="67"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4" fillId="0" borderId="30" xfId="0" applyFont="1" applyBorder="1" applyAlignment="1">
      <alignment horizontal="center" vertical="center"/>
    </xf>
    <xf numFmtId="0" fontId="4" fillId="0" borderId="39" xfId="0" applyFont="1" applyBorder="1" applyAlignment="1">
      <alignment horizontal="center" vertical="center"/>
    </xf>
    <xf numFmtId="0" fontId="4" fillId="0" borderId="42" xfId="0" applyFont="1" applyBorder="1" applyAlignment="1">
      <alignment horizontal="center" vertical="center"/>
    </xf>
    <xf numFmtId="0" fontId="4" fillId="0" borderId="32" xfId="0" applyFont="1" applyBorder="1" applyAlignment="1">
      <alignment horizontal="center" vertical="center"/>
    </xf>
    <xf numFmtId="0" fontId="5" fillId="0" borderId="53" xfId="0" applyFont="1" applyBorder="1" applyAlignment="1">
      <alignment horizontal="center"/>
    </xf>
    <xf numFmtId="0" fontId="5" fillId="0" borderId="54" xfId="0" applyFont="1" applyBorder="1" applyAlignment="1">
      <alignment horizontal="center"/>
    </xf>
    <xf numFmtId="0" fontId="5" fillId="0" borderId="55" xfId="0" applyFont="1" applyBorder="1" applyAlignment="1">
      <alignment horizontal="center"/>
    </xf>
    <xf numFmtId="0" fontId="0" fillId="0" borderId="47" xfId="0" applyBorder="1" applyAlignment="1">
      <alignment horizontal="left"/>
    </xf>
    <xf numFmtId="0" fontId="0" fillId="0" borderId="19" xfId="0" applyBorder="1" applyAlignment="1">
      <alignment horizontal="left"/>
    </xf>
    <xf numFmtId="0" fontId="2" fillId="0" borderId="46" xfId="0" applyFont="1" applyBorder="1" applyAlignment="1">
      <alignment horizontal="left"/>
    </xf>
    <xf numFmtId="0" fontId="2" fillId="0" borderId="17" xfId="0" applyFont="1" applyBorder="1" applyAlignment="1">
      <alignment horizontal="left"/>
    </xf>
    <xf numFmtId="0" fontId="2" fillId="0" borderId="47" xfId="0" applyFont="1" applyBorder="1" applyAlignment="1">
      <alignment horizontal="left"/>
    </xf>
    <xf numFmtId="0" fontId="2" fillId="0" borderId="19" xfId="0" applyFont="1" applyBorder="1" applyAlignment="1">
      <alignment horizontal="left"/>
    </xf>
    <xf numFmtId="0" fontId="8" fillId="0" borderId="53" xfId="0" applyFont="1" applyBorder="1" applyAlignment="1">
      <alignment horizontal="center"/>
    </xf>
    <xf numFmtId="0" fontId="8" fillId="0" borderId="54" xfId="0" applyFont="1" applyBorder="1" applyAlignment="1">
      <alignment horizontal="center"/>
    </xf>
    <xf numFmtId="0" fontId="8" fillId="0" borderId="55" xfId="0" applyFont="1" applyBorder="1" applyAlignment="1">
      <alignment horizontal="center"/>
    </xf>
    <xf numFmtId="0" fontId="0" fillId="0" borderId="46" xfId="0" applyBorder="1" applyAlignment="1">
      <alignment horizontal="left"/>
    </xf>
    <xf numFmtId="0" fontId="0" fillId="0" borderId="17" xfId="0" applyBorder="1" applyAlignment="1">
      <alignment horizontal="left"/>
    </xf>
    <xf numFmtId="0" fontId="4" fillId="0" borderId="58" xfId="0" applyFont="1" applyBorder="1" applyAlignment="1">
      <alignment horizontal="center"/>
    </xf>
    <xf numFmtId="0" fontId="4" fillId="0" borderId="59" xfId="0" applyFont="1" applyBorder="1" applyAlignment="1">
      <alignment horizontal="center"/>
    </xf>
    <xf numFmtId="0" fontId="8" fillId="0" borderId="60" xfId="0" applyFont="1" applyBorder="1" applyAlignment="1">
      <alignment horizontal="center"/>
    </xf>
    <xf numFmtId="0" fontId="8" fillId="3" borderId="53" xfId="0" applyNumberFormat="1" applyFont="1" applyFill="1" applyBorder="1" applyAlignment="1">
      <alignment horizontal="center"/>
    </xf>
    <xf numFmtId="0" fontId="8" fillId="3" borderId="54" xfId="0" applyNumberFormat="1" applyFont="1" applyFill="1" applyBorder="1" applyAlignment="1">
      <alignment horizontal="center"/>
    </xf>
    <xf numFmtId="0" fontId="8" fillId="3" borderId="55" xfId="0" applyNumberFormat="1" applyFont="1" applyFill="1" applyBorder="1" applyAlignment="1">
      <alignment horizontal="center"/>
    </xf>
    <xf numFmtId="0" fontId="0" fillId="0" borderId="48" xfId="0" applyBorder="1" applyAlignment="1">
      <alignment horizontal="left"/>
    </xf>
    <xf numFmtId="0" fontId="0" fillId="0" borderId="40" xfId="0" applyBorder="1" applyAlignment="1">
      <alignment horizontal="left"/>
    </xf>
    <xf numFmtId="0" fontId="2" fillId="0" borderId="48" xfId="0" applyFont="1" applyBorder="1" applyAlignment="1">
      <alignment horizontal="left"/>
    </xf>
    <xf numFmtId="0" fontId="2" fillId="0" borderId="40" xfId="0" applyFont="1" applyBorder="1" applyAlignment="1">
      <alignment horizontal="left"/>
    </xf>
    <xf numFmtId="0" fontId="8" fillId="3" borderId="30" xfId="0" applyNumberFormat="1" applyFont="1" applyFill="1" applyBorder="1" applyAlignment="1">
      <alignment horizontal="center"/>
    </xf>
    <xf numFmtId="0" fontId="8" fillId="3" borderId="31" xfId="0" applyNumberFormat="1" applyFont="1" applyFill="1" applyBorder="1" applyAlignment="1">
      <alignment horizontal="center"/>
    </xf>
    <xf numFmtId="0" fontId="8" fillId="3" borderId="32" xfId="0" applyNumberFormat="1" applyFont="1" applyFill="1" applyBorder="1" applyAlignment="1">
      <alignment horizontal="center"/>
    </xf>
    <xf numFmtId="0" fontId="2" fillId="0" borderId="0" xfId="0" applyFont="1" applyAlignment="1">
      <alignment wrapText="1"/>
    </xf>
    <xf numFmtId="0" fontId="1" fillId="0" borderId="15" xfId="0" applyFont="1" applyBorder="1" applyAlignment="1">
      <alignment horizontal="center"/>
    </xf>
    <xf numFmtId="0" fontId="0" fillId="0" borderId="15" xfId="0" applyBorder="1" applyAlignment="1">
      <alignment horizontal="center"/>
    </xf>
    <xf numFmtId="0" fontId="1" fillId="0" borderId="0" xfId="0" applyFont="1" applyAlignment="1">
      <alignment horizontal="center"/>
    </xf>
    <xf numFmtId="0" fontId="0" fillId="0" borderId="0" xfId="0" applyAlignment="1">
      <alignment wrapText="1"/>
    </xf>
    <xf numFmtId="165" fontId="0" fillId="6" borderId="57" xfId="0" applyNumberFormat="1" applyFill="1" applyBorder="1"/>
    <xf numFmtId="165" fontId="0" fillId="6" borderId="52" xfId="0" applyNumberFormat="1" applyFill="1" applyBorder="1"/>
  </cellXfs>
  <cellStyles count="4">
    <cellStyle name="Currency" xfId="2" builtinId="4"/>
    <cellStyle name="Normal" xfId="0" builtinId="0"/>
    <cellStyle name="Output" xfId="1" builtinId="21"/>
    <cellStyle name="Percent" xfId="3" builtin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76203</xdr:colOff>
      <xdr:row>11</xdr:row>
      <xdr:rowOff>19052</xdr:rowOff>
    </xdr:from>
    <xdr:to>
      <xdr:col>15</xdr:col>
      <xdr:colOff>514351</xdr:colOff>
      <xdr:row>17</xdr:row>
      <xdr:rowOff>104775</xdr:rowOff>
    </xdr:to>
    <xdr:cxnSp macro="">
      <xdr:nvCxnSpPr>
        <xdr:cNvPr id="2" name="Straight Arrow Connector 1"/>
        <xdr:cNvCxnSpPr/>
      </xdr:nvCxnSpPr>
      <xdr:spPr>
        <a:xfrm rot="5400000" flipH="1" flipV="1">
          <a:off x="6038853" y="2447927"/>
          <a:ext cx="1276348" cy="438148"/>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76201</xdr:colOff>
      <xdr:row>17</xdr:row>
      <xdr:rowOff>95248</xdr:rowOff>
    </xdr:from>
    <xdr:to>
      <xdr:col>15</xdr:col>
      <xdr:colOff>523878</xdr:colOff>
      <xdr:row>27</xdr:row>
      <xdr:rowOff>152402</xdr:rowOff>
    </xdr:to>
    <xdr:cxnSp macro="">
      <xdr:nvCxnSpPr>
        <xdr:cNvPr id="3" name="Straight Arrow Connector 2"/>
        <xdr:cNvCxnSpPr/>
      </xdr:nvCxnSpPr>
      <xdr:spPr>
        <a:xfrm rot="16200000" flipH="1">
          <a:off x="5662613" y="4090986"/>
          <a:ext cx="2038354" cy="447677"/>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47625</xdr:colOff>
      <xdr:row>10</xdr:row>
      <xdr:rowOff>58742</xdr:rowOff>
    </xdr:from>
    <xdr:to>
      <xdr:col>19</xdr:col>
      <xdr:colOff>333375</xdr:colOff>
      <xdr:row>10</xdr:row>
      <xdr:rowOff>60330</xdr:rowOff>
    </xdr:to>
    <xdr:cxnSp macro="">
      <xdr:nvCxnSpPr>
        <xdr:cNvPr id="4" name="Straight Arrow Connector 3"/>
        <xdr:cNvCxnSpPr/>
      </xdr:nvCxnSpPr>
      <xdr:spPr>
        <a:xfrm>
          <a:off x="9658350" y="1878017"/>
          <a:ext cx="285750" cy="1588"/>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47625</xdr:colOff>
      <xdr:row>10</xdr:row>
      <xdr:rowOff>58742</xdr:rowOff>
    </xdr:from>
    <xdr:to>
      <xdr:col>22</xdr:col>
      <xdr:colOff>333375</xdr:colOff>
      <xdr:row>10</xdr:row>
      <xdr:rowOff>60330</xdr:rowOff>
    </xdr:to>
    <xdr:cxnSp macro="">
      <xdr:nvCxnSpPr>
        <xdr:cNvPr id="5" name="Straight Arrow Connector 4"/>
        <xdr:cNvCxnSpPr/>
      </xdr:nvCxnSpPr>
      <xdr:spPr>
        <a:xfrm>
          <a:off x="12011025" y="1878017"/>
          <a:ext cx="285750" cy="1588"/>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57150</xdr:colOff>
      <xdr:row>10</xdr:row>
      <xdr:rowOff>49217</xdr:rowOff>
    </xdr:from>
    <xdr:to>
      <xdr:col>26</xdr:col>
      <xdr:colOff>342900</xdr:colOff>
      <xdr:row>10</xdr:row>
      <xdr:rowOff>50805</xdr:rowOff>
    </xdr:to>
    <xdr:cxnSp macro="">
      <xdr:nvCxnSpPr>
        <xdr:cNvPr id="6" name="Straight Arrow Connector 5"/>
        <xdr:cNvCxnSpPr/>
      </xdr:nvCxnSpPr>
      <xdr:spPr>
        <a:xfrm>
          <a:off x="15106650" y="1868492"/>
          <a:ext cx="285750" cy="1588"/>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66675</xdr:colOff>
      <xdr:row>31</xdr:row>
      <xdr:rowOff>77792</xdr:rowOff>
    </xdr:from>
    <xdr:to>
      <xdr:col>19</xdr:col>
      <xdr:colOff>352425</xdr:colOff>
      <xdr:row>31</xdr:row>
      <xdr:rowOff>79380</xdr:rowOff>
    </xdr:to>
    <xdr:cxnSp macro="">
      <xdr:nvCxnSpPr>
        <xdr:cNvPr id="7" name="Straight Arrow Connector 6"/>
        <xdr:cNvCxnSpPr/>
      </xdr:nvCxnSpPr>
      <xdr:spPr>
        <a:xfrm>
          <a:off x="9677400" y="6078542"/>
          <a:ext cx="285750" cy="1588"/>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57150</xdr:colOff>
      <xdr:row>31</xdr:row>
      <xdr:rowOff>77792</xdr:rowOff>
    </xdr:from>
    <xdr:to>
      <xdr:col>22</xdr:col>
      <xdr:colOff>342900</xdr:colOff>
      <xdr:row>31</xdr:row>
      <xdr:rowOff>79380</xdr:rowOff>
    </xdr:to>
    <xdr:cxnSp macro="">
      <xdr:nvCxnSpPr>
        <xdr:cNvPr id="8" name="Straight Arrow Connector 7"/>
        <xdr:cNvCxnSpPr/>
      </xdr:nvCxnSpPr>
      <xdr:spPr>
        <a:xfrm>
          <a:off x="12020550" y="6078542"/>
          <a:ext cx="285750" cy="1588"/>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47625</xdr:colOff>
      <xdr:row>31</xdr:row>
      <xdr:rowOff>77792</xdr:rowOff>
    </xdr:from>
    <xdr:to>
      <xdr:col>26</xdr:col>
      <xdr:colOff>333375</xdr:colOff>
      <xdr:row>31</xdr:row>
      <xdr:rowOff>79380</xdr:rowOff>
    </xdr:to>
    <xdr:cxnSp macro="">
      <xdr:nvCxnSpPr>
        <xdr:cNvPr id="9" name="Straight Arrow Connector 8"/>
        <xdr:cNvCxnSpPr/>
      </xdr:nvCxnSpPr>
      <xdr:spPr>
        <a:xfrm>
          <a:off x="15097125" y="6078542"/>
          <a:ext cx="285750" cy="1588"/>
        </a:xfrm>
        <a:prstGeom prst="straightConnector1">
          <a:avLst/>
        </a:prstGeom>
        <a:ln>
          <a:tailEnd type="arrow"/>
        </a:ln>
        <a:effectLst>
          <a:outerShdw blurRad="50800" dist="38100" algn="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D56"/>
  <sheetViews>
    <sheetView tabSelected="1" zoomScale="90" zoomScaleNormal="90" workbookViewId="0">
      <selection activeCell="S10" sqref="S10"/>
    </sheetView>
  </sheetViews>
  <sheetFormatPr defaultRowHeight="15" x14ac:dyDescent="0.25"/>
  <cols>
    <col min="1" max="2" width="1.42578125" customWidth="1"/>
    <col min="3" max="3" width="2.140625" customWidth="1"/>
    <col min="4" max="4" width="1.42578125" customWidth="1"/>
    <col min="5" max="6" width="10.85546875" bestFit="1" customWidth="1"/>
    <col min="7" max="7" width="9.85546875" bestFit="1" customWidth="1"/>
    <col min="8" max="8" width="7.28515625" customWidth="1"/>
    <col min="9" max="9" width="12.85546875" customWidth="1"/>
    <col min="10" max="10" width="1.42578125" customWidth="1"/>
    <col min="11" max="11" width="2.140625" customWidth="1"/>
    <col min="12" max="12" width="1.42578125" customWidth="1"/>
    <col min="13" max="13" width="14.42578125" customWidth="1"/>
    <col min="14" max="14" width="6.42578125" customWidth="1"/>
    <col min="15" max="15" width="11.7109375" customWidth="1"/>
    <col min="16" max="16" width="8.7109375" customWidth="1"/>
    <col min="17" max="17" width="17.28515625" customWidth="1"/>
    <col min="18" max="18" width="9.140625" bestFit="1" customWidth="1"/>
    <col min="19" max="19" width="13.28515625" customWidth="1"/>
    <col min="20" max="20" width="5.7109375" customWidth="1"/>
    <col min="21" max="21" width="17.42578125" bestFit="1" customWidth="1"/>
    <col min="22" max="22" width="12.140625" customWidth="1"/>
    <col min="23" max="23" width="5.7109375" customWidth="1"/>
    <col min="24" max="24" width="15" bestFit="1" customWidth="1"/>
    <col min="25" max="25" width="10.7109375" customWidth="1"/>
    <col min="26" max="26" width="14.85546875" bestFit="1" customWidth="1"/>
    <col min="27" max="27" width="5.7109375" customWidth="1"/>
    <col min="28" max="28" width="8" customWidth="1"/>
    <col min="29" max="29" width="6.28515625" customWidth="1"/>
    <col min="30" max="30" width="11.28515625" customWidth="1"/>
  </cols>
  <sheetData>
    <row r="1" spans="3:30" ht="7.5" customHeight="1" x14ac:dyDescent="0.25"/>
    <row r="2" spans="3:30" ht="7.5" customHeight="1" x14ac:dyDescent="0.25"/>
    <row r="3" spans="3:30" x14ac:dyDescent="0.25">
      <c r="C3" s="39"/>
      <c r="D3" s="39"/>
      <c r="E3" s="39"/>
      <c r="F3" s="39"/>
      <c r="G3" s="39"/>
      <c r="H3" s="39"/>
      <c r="I3" s="39"/>
      <c r="J3" s="39"/>
      <c r="K3" s="39"/>
      <c r="R3" s="100"/>
      <c r="S3" s="100"/>
      <c r="T3" s="100"/>
      <c r="U3" s="100"/>
      <c r="V3" s="100"/>
      <c r="W3" s="100"/>
      <c r="X3" s="100"/>
      <c r="Y3" s="100"/>
      <c r="Z3" s="100"/>
      <c r="AA3" s="100"/>
      <c r="AB3" s="100"/>
      <c r="AC3" s="100"/>
      <c r="AD3" s="100"/>
    </row>
    <row r="4" spans="3:30" ht="15.75" thickBot="1" x14ac:dyDescent="0.3">
      <c r="C4" s="39"/>
      <c r="K4" s="39"/>
      <c r="Q4" s="157" t="s">
        <v>55</v>
      </c>
      <c r="R4" s="158"/>
      <c r="S4" s="158"/>
      <c r="T4" s="158"/>
      <c r="U4" s="158"/>
      <c r="V4" s="158"/>
      <c r="W4" s="158"/>
      <c r="X4" s="158"/>
      <c r="Y4" s="158"/>
      <c r="Z4" s="158"/>
      <c r="AA4" s="158"/>
      <c r="AB4" s="158"/>
      <c r="AC4" s="158"/>
      <c r="AD4" s="159"/>
    </row>
    <row r="5" spans="3:30" ht="17.25" thickTop="1" thickBot="1" x14ac:dyDescent="0.3">
      <c r="C5" s="39"/>
      <c r="D5" s="30"/>
      <c r="E5" s="160" t="s">
        <v>79</v>
      </c>
      <c r="F5" s="161"/>
      <c r="G5" s="161"/>
      <c r="H5" s="161"/>
      <c r="I5" s="162"/>
      <c r="J5" s="30"/>
      <c r="K5" s="39"/>
    </row>
    <row r="6" spans="3:30" ht="17.25" thickTop="1" thickBot="1" x14ac:dyDescent="0.3">
      <c r="C6" s="39"/>
      <c r="D6" s="30"/>
      <c r="E6" s="72"/>
      <c r="F6" s="87"/>
      <c r="G6" s="87"/>
      <c r="H6" s="87"/>
      <c r="I6" s="88"/>
      <c r="J6" s="30"/>
      <c r="K6" s="39"/>
      <c r="Q6" s="163" t="s">
        <v>50</v>
      </c>
      <c r="R6" s="164"/>
      <c r="S6" s="165"/>
    </row>
    <row r="7" spans="3:30" ht="16.5" thickTop="1" thickBot="1" x14ac:dyDescent="0.3">
      <c r="C7" s="39"/>
      <c r="D7" s="30"/>
      <c r="E7" s="166" t="s">
        <v>0</v>
      </c>
      <c r="F7" s="167"/>
      <c r="G7" s="111" t="s">
        <v>1</v>
      </c>
      <c r="H7" s="168" t="s">
        <v>45</v>
      </c>
      <c r="I7" s="169"/>
      <c r="J7" s="30"/>
      <c r="K7" s="39"/>
      <c r="Q7" s="170" t="s">
        <v>32</v>
      </c>
      <c r="R7" s="171"/>
      <c r="S7" s="172"/>
    </row>
    <row r="8" spans="3:30" ht="16.5" thickTop="1" thickBot="1" x14ac:dyDescent="0.3">
      <c r="C8" s="39"/>
      <c r="D8" s="30"/>
      <c r="E8" s="179" t="s">
        <v>9</v>
      </c>
      <c r="F8" s="180"/>
      <c r="G8" s="180"/>
      <c r="H8" s="180"/>
      <c r="I8" s="181"/>
      <c r="J8" s="30"/>
      <c r="K8" s="39"/>
      <c r="P8" s="30"/>
      <c r="Q8" s="182" t="s">
        <v>85</v>
      </c>
      <c r="R8" s="183"/>
      <c r="S8" s="35">
        <f>S41</f>
        <v>0</v>
      </c>
      <c r="X8" s="163" t="s">
        <v>19</v>
      </c>
      <c r="Y8" s="164"/>
      <c r="Z8" s="165"/>
      <c r="AB8" s="163" t="s">
        <v>78</v>
      </c>
      <c r="AC8" s="164"/>
      <c r="AD8" s="165"/>
    </row>
    <row r="9" spans="3:30" x14ac:dyDescent="0.25">
      <c r="C9" s="39"/>
      <c r="D9" s="30"/>
      <c r="E9" s="45" t="s">
        <v>46</v>
      </c>
      <c r="F9" s="46" t="s">
        <v>47</v>
      </c>
      <c r="G9" s="44"/>
      <c r="H9" s="44"/>
      <c r="I9" s="33"/>
      <c r="J9" s="30"/>
      <c r="K9" s="39"/>
      <c r="Q9" s="173" t="s">
        <v>37</v>
      </c>
      <c r="R9" s="174"/>
      <c r="S9" s="38">
        <f>S42</f>
        <v>0</v>
      </c>
      <c r="U9" s="184" t="s">
        <v>77</v>
      </c>
      <c r="V9" s="185"/>
      <c r="X9" s="91" t="s">
        <v>19</v>
      </c>
      <c r="Y9" s="92" t="s">
        <v>42</v>
      </c>
      <c r="Z9" s="93" t="s">
        <v>52</v>
      </c>
      <c r="AB9" s="179" t="s">
        <v>19</v>
      </c>
      <c r="AC9" s="186"/>
      <c r="AD9" s="76" t="s">
        <v>53</v>
      </c>
    </row>
    <row r="10" spans="3:30" x14ac:dyDescent="0.25">
      <c r="C10" s="39"/>
      <c r="D10" s="30"/>
      <c r="E10" s="60">
        <v>0</v>
      </c>
      <c r="F10" s="61">
        <v>18150</v>
      </c>
      <c r="G10" s="51">
        <v>0</v>
      </c>
      <c r="H10" s="64">
        <v>0.1</v>
      </c>
      <c r="I10" s="53">
        <f>E10</f>
        <v>0</v>
      </c>
      <c r="J10" s="30"/>
      <c r="K10" s="39"/>
      <c r="O10" s="11"/>
      <c r="Q10" s="173" t="s">
        <v>80</v>
      </c>
      <c r="R10" s="174"/>
      <c r="S10" s="147">
        <f>IF(V27&lt;130000,S34,IF(V27&lt;160000,S34*(1-(V27-130000)/30000),0))</f>
        <v>0</v>
      </c>
      <c r="U10" s="94" t="s">
        <v>41</v>
      </c>
      <c r="V10" s="42">
        <f>SUM(O16:O21,O24:O30) - SUM(S8:S10,S12:S14)</f>
        <v>79700</v>
      </c>
      <c r="X10" s="116" t="s">
        <v>43</v>
      </c>
      <c r="Y10" s="56">
        <f>IF(V10&lt;$F$10, $G$10 + V10*$H$10, IF(V10&lt;$F$11,$G$11 + (V10-$E$11)*$H$11, IF(V10&lt;$F$12,$G$12 + (V10-$E$12)*$H$12, IF(V10&lt;$F$13, $G$13 + (V10-$E$13)*$H$13, "Fail"))))</f>
        <v>11637.5</v>
      </c>
      <c r="Z10" s="57">
        <v>11637.5</v>
      </c>
      <c r="AB10" s="175" t="s">
        <v>43</v>
      </c>
      <c r="AC10" s="176"/>
      <c r="AD10" s="74">
        <f>Z10-Y10</f>
        <v>0</v>
      </c>
    </row>
    <row r="11" spans="3:30" x14ac:dyDescent="0.25">
      <c r="C11" s="39"/>
      <c r="D11" s="30"/>
      <c r="E11" s="60">
        <v>18150</v>
      </c>
      <c r="F11" s="61">
        <v>73800</v>
      </c>
      <c r="G11" s="51">
        <f>F10*H10</f>
        <v>1815</v>
      </c>
      <c r="H11" s="64">
        <v>0.15</v>
      </c>
      <c r="I11" s="53">
        <f t="shared" ref="I11:I13" si="0">E11</f>
        <v>18150</v>
      </c>
      <c r="J11" s="30"/>
      <c r="K11" s="39"/>
      <c r="Q11" s="173" t="s">
        <v>38</v>
      </c>
      <c r="R11" s="174"/>
      <c r="S11" s="36">
        <f>S34</f>
        <v>0</v>
      </c>
      <c r="U11" s="95" t="s">
        <v>40</v>
      </c>
      <c r="V11" s="40">
        <f>SUM(O16:O19,O21,O24:O27,O29:O30) - SUM(S8:S10,S14:S17)</f>
        <v>88400</v>
      </c>
      <c r="X11" s="116" t="s">
        <v>44</v>
      </c>
      <c r="Y11" s="85">
        <f>IF(V11&lt;$F$18, $G$18 + V11*$H$18, IF(V11&lt;$F$19, $G$19 + (V11-$E$19)*$H$19, IF(V11&lt;$F$20, $G$20 + (V11-$E$20)*$H$20, IF(V11&lt;$F$21, $G$21 + (V11-$E$21)*$H$21)))) + (V11*$H$24)</f>
        <v>6975.3</v>
      </c>
      <c r="Z11" s="36">
        <v>6975.3</v>
      </c>
      <c r="AB11" s="177" t="s">
        <v>44</v>
      </c>
      <c r="AC11" s="178"/>
      <c r="AD11" s="74">
        <f>Z11-Y11</f>
        <v>0</v>
      </c>
    </row>
    <row r="12" spans="3:30" ht="15.75" thickBot="1" x14ac:dyDescent="0.3">
      <c r="C12" s="39"/>
      <c r="D12" s="30"/>
      <c r="E12" s="60">
        <v>73800</v>
      </c>
      <c r="F12" s="61">
        <v>148850</v>
      </c>
      <c r="G12" s="51">
        <f>G11 + (F11-E11)*H11</f>
        <v>10162.5</v>
      </c>
      <c r="H12" s="64">
        <v>0.25</v>
      </c>
      <c r="I12" s="53">
        <f>E12</f>
        <v>73800</v>
      </c>
      <c r="J12" s="30"/>
      <c r="K12" s="39"/>
      <c r="O12" s="11"/>
      <c r="Q12" s="140" t="s">
        <v>2</v>
      </c>
      <c r="R12" s="141"/>
      <c r="S12" s="36">
        <v>12400</v>
      </c>
      <c r="U12" s="96" t="s">
        <v>39</v>
      </c>
      <c r="V12" s="41">
        <f>SUM(O16,O24) - SUM(S9,S14)</f>
        <v>100000</v>
      </c>
      <c r="X12" s="116" t="s">
        <v>31</v>
      </c>
      <c r="Y12" s="54">
        <f>V12*G33</f>
        <v>6200</v>
      </c>
      <c r="Z12" s="36">
        <v>6200</v>
      </c>
      <c r="AB12" s="177" t="s">
        <v>31</v>
      </c>
      <c r="AC12" s="178"/>
      <c r="AD12" s="74">
        <f>Z12-Y12</f>
        <v>0</v>
      </c>
    </row>
    <row r="13" spans="3:30" ht="15.75" thickBot="1" x14ac:dyDescent="0.3">
      <c r="C13" s="39"/>
      <c r="D13" s="30"/>
      <c r="E13" s="60">
        <v>148850</v>
      </c>
      <c r="F13" s="61">
        <v>226850</v>
      </c>
      <c r="G13" s="51">
        <f>G12 + (F12-E12)*H12</f>
        <v>28925</v>
      </c>
      <c r="H13" s="64">
        <v>0.28000000000000003</v>
      </c>
      <c r="I13" s="53">
        <f t="shared" si="0"/>
        <v>148850</v>
      </c>
      <c r="J13" s="30"/>
      <c r="K13" s="39"/>
      <c r="O13" s="11"/>
      <c r="Q13" s="140" t="s">
        <v>49</v>
      </c>
      <c r="R13" s="141"/>
      <c r="S13" s="36">
        <f>3950*2</f>
        <v>7900</v>
      </c>
      <c r="X13" s="129" t="s">
        <v>5</v>
      </c>
      <c r="Y13" s="55">
        <f>V12*G34</f>
        <v>1450</v>
      </c>
      <c r="Z13" s="37">
        <v>1450</v>
      </c>
      <c r="AB13" s="192" t="s">
        <v>5</v>
      </c>
      <c r="AC13" s="193"/>
      <c r="AD13" s="75">
        <f>Z13-Y13</f>
        <v>0</v>
      </c>
    </row>
    <row r="14" spans="3:30" ht="16.5" thickTop="1" thickBot="1" x14ac:dyDescent="0.3">
      <c r="C14" s="39"/>
      <c r="D14" s="30"/>
      <c r="E14" s="62">
        <v>226850</v>
      </c>
      <c r="F14" s="63">
        <v>405100</v>
      </c>
      <c r="G14" s="51">
        <f>G13 + (F13-E13)*H13</f>
        <v>50765</v>
      </c>
      <c r="H14" s="64">
        <v>0.33</v>
      </c>
      <c r="I14" s="53">
        <f>E14</f>
        <v>226850</v>
      </c>
      <c r="J14" s="30"/>
      <c r="K14" s="39"/>
      <c r="Q14" s="140" t="s">
        <v>84</v>
      </c>
      <c r="R14" s="141"/>
      <c r="S14" s="36">
        <f>S35</f>
        <v>0</v>
      </c>
    </row>
    <row r="15" spans="3:30" ht="15.75" thickTop="1" x14ac:dyDescent="0.25">
      <c r="C15" s="39"/>
      <c r="D15" s="30"/>
      <c r="E15" s="82"/>
      <c r="F15" s="83"/>
      <c r="G15" s="86"/>
      <c r="H15" s="86"/>
      <c r="I15" s="84"/>
      <c r="J15" s="30"/>
      <c r="K15" s="39"/>
      <c r="M15" s="163" t="s">
        <v>57</v>
      </c>
      <c r="N15" s="164"/>
      <c r="O15" s="165"/>
      <c r="Q15" s="140" t="s">
        <v>73</v>
      </c>
      <c r="R15" s="141"/>
      <c r="S15" s="36">
        <v>1200</v>
      </c>
      <c r="V15" s="11"/>
    </row>
    <row r="16" spans="3:30" x14ac:dyDescent="0.25">
      <c r="C16" s="39"/>
      <c r="D16" s="30"/>
      <c r="E16" s="187" t="s">
        <v>29</v>
      </c>
      <c r="F16" s="188"/>
      <c r="G16" s="188"/>
      <c r="H16" s="188"/>
      <c r="I16" s="189"/>
      <c r="J16" s="30"/>
      <c r="K16" s="39"/>
      <c r="M16" s="182" t="s">
        <v>58</v>
      </c>
      <c r="N16" s="183"/>
      <c r="O16" s="35">
        <v>50000</v>
      </c>
      <c r="Q16" s="140" t="s">
        <v>68</v>
      </c>
      <c r="R16" s="141"/>
      <c r="S16" s="36">
        <f>MAX(MIN(V10-O20-O28-S15,3000)*0.15,4000)</f>
        <v>4000</v>
      </c>
    </row>
    <row r="17" spans="3:30" x14ac:dyDescent="0.25">
      <c r="C17" s="39"/>
      <c r="D17" s="30"/>
      <c r="E17" s="45" t="s">
        <v>46</v>
      </c>
      <c r="F17" s="46" t="s">
        <v>47</v>
      </c>
      <c r="G17" s="31"/>
      <c r="H17" s="31"/>
      <c r="I17" s="33"/>
      <c r="J17" s="30"/>
      <c r="K17" s="39"/>
      <c r="M17" s="173" t="s">
        <v>33</v>
      </c>
      <c r="N17" s="174"/>
      <c r="O17" s="36">
        <v>0</v>
      </c>
      <c r="Q17" s="142" t="s">
        <v>69</v>
      </c>
      <c r="R17" s="143"/>
      <c r="S17" s="203">
        <f>IF(V28&gt;E47,I47,IF(V28&gt;E46,I46,IF(V28&gt;E45,I45,I44)))*2</f>
        <v>6400</v>
      </c>
    </row>
    <row r="18" spans="3:30" x14ac:dyDescent="0.25">
      <c r="C18" s="39"/>
      <c r="D18" s="30"/>
      <c r="E18" s="65">
        <v>0</v>
      </c>
      <c r="F18" s="66">
        <v>1000</v>
      </c>
      <c r="G18" s="51">
        <v>0</v>
      </c>
      <c r="H18" s="68">
        <v>0.02</v>
      </c>
      <c r="I18" s="53">
        <f>E18</f>
        <v>0</v>
      </c>
      <c r="J18" s="30"/>
      <c r="K18" s="39"/>
      <c r="M18" s="173" t="s">
        <v>35</v>
      </c>
      <c r="N18" s="174"/>
      <c r="O18" s="36">
        <v>0</v>
      </c>
      <c r="Q18" s="170" t="s">
        <v>51</v>
      </c>
      <c r="R18" s="171"/>
      <c r="S18" s="172"/>
    </row>
    <row r="19" spans="3:30" ht="15.75" thickBot="1" x14ac:dyDescent="0.3">
      <c r="C19" s="39"/>
      <c r="D19" s="30"/>
      <c r="E19" s="65">
        <v>1000</v>
      </c>
      <c r="F19" s="66">
        <v>2000</v>
      </c>
      <c r="G19" s="51">
        <f>F18*H18</f>
        <v>20</v>
      </c>
      <c r="H19" s="69">
        <v>0.03</v>
      </c>
      <c r="I19" s="53">
        <f t="shared" ref="I19:I23" si="1">E19</f>
        <v>1000</v>
      </c>
      <c r="J19" s="30"/>
      <c r="K19" s="39"/>
      <c r="M19" s="173" t="s">
        <v>34</v>
      </c>
      <c r="N19" s="174"/>
      <c r="O19" s="36">
        <v>0</v>
      </c>
      <c r="Q19" s="144"/>
      <c r="R19" s="145"/>
      <c r="S19" s="90">
        <v>0</v>
      </c>
    </row>
    <row r="20" spans="3:30" ht="15.75" thickTop="1" x14ac:dyDescent="0.25">
      <c r="C20" s="39"/>
      <c r="D20" s="30"/>
      <c r="E20" s="65">
        <v>2000</v>
      </c>
      <c r="F20" s="66">
        <v>3000</v>
      </c>
      <c r="G20" s="51">
        <f>G19 + (F19-E19)*H19</f>
        <v>50</v>
      </c>
      <c r="H20" s="69">
        <v>0.04</v>
      </c>
      <c r="I20" s="53">
        <f t="shared" si="1"/>
        <v>2000</v>
      </c>
      <c r="J20" s="30"/>
      <c r="K20" s="39"/>
      <c r="M20" s="173" t="s">
        <v>71</v>
      </c>
      <c r="N20" s="174"/>
      <c r="O20" s="36">
        <v>0</v>
      </c>
      <c r="P20" s="73"/>
    </row>
    <row r="21" spans="3:30" ht="15.75" thickBot="1" x14ac:dyDescent="0.3">
      <c r="C21" s="39"/>
      <c r="D21" s="30"/>
      <c r="E21" s="65">
        <v>3000</v>
      </c>
      <c r="F21" s="66">
        <v>150000</v>
      </c>
      <c r="G21" s="51">
        <f>G20 + (F20-E20)*H20</f>
        <v>90</v>
      </c>
      <c r="H21" s="69">
        <v>4.7500000000000001E-2</v>
      </c>
      <c r="I21" s="53">
        <f t="shared" si="1"/>
        <v>3000</v>
      </c>
      <c r="J21" s="30"/>
      <c r="K21" s="39"/>
      <c r="M21" s="190" t="s">
        <v>36</v>
      </c>
      <c r="N21" s="191"/>
      <c r="O21" s="37">
        <v>0</v>
      </c>
    </row>
    <row r="22" spans="3:30" ht="16.5" thickTop="1" thickBot="1" x14ac:dyDescent="0.3">
      <c r="C22" s="39"/>
      <c r="E22" s="65">
        <v>150000</v>
      </c>
      <c r="F22" s="66">
        <v>175000</v>
      </c>
      <c r="G22" s="51">
        <f>G21 + (F21-E21)*H21</f>
        <v>7072.5</v>
      </c>
      <c r="H22" s="69">
        <v>0.05</v>
      </c>
      <c r="I22" s="53">
        <f t="shared" si="1"/>
        <v>150000</v>
      </c>
      <c r="K22" s="39"/>
    </row>
    <row r="23" spans="3:30" ht="15.75" thickTop="1" x14ac:dyDescent="0.25">
      <c r="C23" s="39"/>
      <c r="E23" s="65">
        <v>175000</v>
      </c>
      <c r="F23" s="66">
        <v>225000</v>
      </c>
      <c r="G23" s="51">
        <f>G22 + (F22-E22)*H22</f>
        <v>8322.5</v>
      </c>
      <c r="H23" s="69">
        <v>5.2499999999999998E-2</v>
      </c>
      <c r="I23" s="53">
        <f t="shared" si="1"/>
        <v>175000</v>
      </c>
      <c r="K23" s="39"/>
      <c r="M23" s="163" t="s">
        <v>70</v>
      </c>
      <c r="N23" s="164"/>
      <c r="O23" s="165"/>
      <c r="Q23" s="157" t="s">
        <v>56</v>
      </c>
      <c r="R23" s="158"/>
      <c r="S23" s="158"/>
      <c r="T23" s="158"/>
      <c r="U23" s="158"/>
      <c r="V23" s="158"/>
      <c r="W23" s="158"/>
      <c r="X23" s="158"/>
      <c r="Y23" s="158"/>
      <c r="Z23" s="158"/>
      <c r="AA23" s="158"/>
      <c r="AB23" s="158"/>
      <c r="AC23" s="158"/>
      <c r="AD23" s="159"/>
    </row>
    <row r="24" spans="3:30" ht="15.75" thickBot="1" x14ac:dyDescent="0.3">
      <c r="C24" s="39"/>
      <c r="D24" s="30"/>
      <c r="E24" s="122" t="s">
        <v>54</v>
      </c>
      <c r="F24" s="123"/>
      <c r="G24" s="124"/>
      <c r="H24" s="80">
        <v>3.2000000000000001E-2</v>
      </c>
      <c r="I24" s="81"/>
      <c r="J24" s="30"/>
      <c r="K24" s="39"/>
      <c r="M24" s="119" t="s">
        <v>58</v>
      </c>
      <c r="N24" s="120"/>
      <c r="O24" s="35">
        <v>50000</v>
      </c>
    </row>
    <row r="25" spans="3:30" ht="15.75" thickTop="1" x14ac:dyDescent="0.25">
      <c r="C25" s="39"/>
      <c r="D25" s="30"/>
      <c r="E25" s="77"/>
      <c r="F25" s="59"/>
      <c r="G25" s="58"/>
      <c r="H25" s="78"/>
      <c r="I25" s="79"/>
      <c r="J25" s="30"/>
      <c r="K25" s="39"/>
      <c r="M25" s="112" t="s">
        <v>33</v>
      </c>
      <c r="N25" s="113"/>
      <c r="O25" s="36">
        <v>0</v>
      </c>
      <c r="Q25" s="163" t="s">
        <v>50</v>
      </c>
      <c r="R25" s="164"/>
      <c r="S25" s="165"/>
      <c r="U25" s="184" t="s">
        <v>86</v>
      </c>
      <c r="V25" s="185"/>
      <c r="X25" s="138"/>
      <c r="Y25" s="138"/>
    </row>
    <row r="26" spans="3:30" x14ac:dyDescent="0.25">
      <c r="C26" s="39"/>
      <c r="D26" s="30"/>
      <c r="E26" s="187" t="s">
        <v>30</v>
      </c>
      <c r="F26" s="188"/>
      <c r="G26" s="188"/>
      <c r="H26" s="188"/>
      <c r="I26" s="189"/>
      <c r="J26" s="30"/>
      <c r="K26" s="39"/>
      <c r="M26" s="112" t="s">
        <v>35</v>
      </c>
      <c r="N26" s="113"/>
      <c r="O26" s="36">
        <v>0</v>
      </c>
      <c r="P26" s="11"/>
      <c r="Q26" s="170" t="s">
        <v>32</v>
      </c>
      <c r="R26" s="171"/>
      <c r="S26" s="172"/>
      <c r="U26" s="94" t="s">
        <v>86</v>
      </c>
      <c r="V26" s="42">
        <f>SUM(O16:O19,O21,O24:O30)-SUM(S34,S41,S42)</f>
        <v>100000</v>
      </c>
      <c r="X26" s="11"/>
      <c r="Z26" s="11"/>
    </row>
    <row r="27" spans="3:30" x14ac:dyDescent="0.25">
      <c r="C27" s="39"/>
      <c r="D27" s="30"/>
      <c r="E27" s="45" t="s">
        <v>46</v>
      </c>
      <c r="F27" s="46" t="s">
        <v>47</v>
      </c>
      <c r="G27" s="31"/>
      <c r="H27" s="31"/>
      <c r="I27" s="33"/>
      <c r="J27" s="30"/>
      <c r="K27" s="39"/>
      <c r="M27" s="112" t="s">
        <v>34</v>
      </c>
      <c r="N27" s="113"/>
      <c r="O27" s="36">
        <v>0</v>
      </c>
      <c r="Q27" s="119" t="s">
        <v>59</v>
      </c>
      <c r="R27" s="120"/>
      <c r="S27" s="35">
        <v>0</v>
      </c>
      <c r="U27" s="148" t="s">
        <v>88</v>
      </c>
      <c r="V27" s="40">
        <f>V26+S34</f>
        <v>100000</v>
      </c>
      <c r="Y27" s="138"/>
    </row>
    <row r="28" spans="3:30" ht="15.75" thickBot="1" x14ac:dyDescent="0.3">
      <c r="C28" s="39"/>
      <c r="D28" s="30"/>
      <c r="E28" s="65">
        <v>0</v>
      </c>
      <c r="F28" s="66">
        <v>3000</v>
      </c>
      <c r="G28" s="52">
        <v>0</v>
      </c>
      <c r="H28" s="69">
        <v>0.02</v>
      </c>
      <c r="I28" s="53">
        <f t="shared" ref="I28:I31" si="2">E28</f>
        <v>0</v>
      </c>
      <c r="J28" s="30"/>
      <c r="K28" s="39"/>
      <c r="M28" s="112" t="s">
        <v>71</v>
      </c>
      <c r="N28" s="113"/>
      <c r="O28" s="36">
        <v>0</v>
      </c>
      <c r="P28" s="89"/>
      <c r="Q28" s="112" t="s">
        <v>60</v>
      </c>
      <c r="R28" s="113"/>
      <c r="S28" s="38">
        <f>SUM(S29:S31)</f>
        <v>6975.3</v>
      </c>
      <c r="U28" s="96" t="s">
        <v>87</v>
      </c>
      <c r="V28" s="41">
        <f>V27-(S32-S33)</f>
        <v>100000</v>
      </c>
    </row>
    <row r="29" spans="3:30" ht="16.5" thickTop="1" thickBot="1" x14ac:dyDescent="0.3">
      <c r="C29" s="39"/>
      <c r="D29" s="30"/>
      <c r="E29" s="65">
        <v>3000</v>
      </c>
      <c r="F29" s="66">
        <v>5000</v>
      </c>
      <c r="G29" s="51">
        <f>F28*H28</f>
        <v>60</v>
      </c>
      <c r="H29" s="69">
        <v>0.03</v>
      </c>
      <c r="I29" s="53">
        <f t="shared" si="2"/>
        <v>3000</v>
      </c>
      <c r="J29" s="30"/>
      <c r="K29" s="39"/>
      <c r="M29" s="112" t="s">
        <v>72</v>
      </c>
      <c r="N29" s="113"/>
      <c r="O29" s="36">
        <v>0</v>
      </c>
      <c r="P29" s="89"/>
      <c r="Q29" s="112" t="s">
        <v>61</v>
      </c>
      <c r="R29" s="113"/>
      <c r="S29" s="99">
        <f>Z32</f>
        <v>6975.3</v>
      </c>
      <c r="T29" s="29"/>
      <c r="V29" s="11"/>
      <c r="X29" s="163" t="s">
        <v>19</v>
      </c>
      <c r="Y29" s="164"/>
      <c r="Z29" s="165"/>
      <c r="AB29" s="163" t="s">
        <v>78</v>
      </c>
      <c r="AC29" s="164"/>
      <c r="AD29" s="165"/>
    </row>
    <row r="30" spans="3:30" ht="15.75" thickBot="1" x14ac:dyDescent="0.3">
      <c r="C30" s="39"/>
      <c r="D30" s="30"/>
      <c r="E30" s="65">
        <v>5000</v>
      </c>
      <c r="F30" s="66">
        <v>17000</v>
      </c>
      <c r="G30" s="51">
        <f>G29 + (F29-E29)*H29</f>
        <v>120</v>
      </c>
      <c r="H30" s="69">
        <v>0.05</v>
      </c>
      <c r="I30" s="53">
        <f t="shared" si="2"/>
        <v>5000</v>
      </c>
      <c r="J30" s="30"/>
      <c r="K30" s="39"/>
      <c r="M30" s="127" t="s">
        <v>36</v>
      </c>
      <c r="N30" s="128"/>
      <c r="O30" s="37">
        <v>0</v>
      </c>
      <c r="P30" s="89"/>
      <c r="Q30" s="112" t="s">
        <v>83</v>
      </c>
      <c r="R30" s="113"/>
      <c r="S30" s="99">
        <v>0</v>
      </c>
      <c r="U30" s="184" t="s">
        <v>77</v>
      </c>
      <c r="V30" s="185"/>
      <c r="X30" s="91" t="s">
        <v>19</v>
      </c>
      <c r="Y30" s="92" t="s">
        <v>42</v>
      </c>
      <c r="Z30" s="93" t="s">
        <v>52</v>
      </c>
      <c r="AB30" s="118" t="s">
        <v>19</v>
      </c>
      <c r="AC30" s="121"/>
      <c r="AD30" s="76" t="s">
        <v>53</v>
      </c>
    </row>
    <row r="31" spans="3:30" ht="16.5" thickTop="1" x14ac:dyDescent="0.25">
      <c r="C31" s="39"/>
      <c r="D31" s="30"/>
      <c r="E31" s="67">
        <v>17000</v>
      </c>
      <c r="F31" s="71" t="s">
        <v>48</v>
      </c>
      <c r="G31" s="51">
        <f>G30 + (F30-E30)*H30</f>
        <v>720</v>
      </c>
      <c r="H31" s="70">
        <v>0.06</v>
      </c>
      <c r="I31" s="53">
        <f t="shared" si="2"/>
        <v>17000</v>
      </c>
      <c r="J31" s="30"/>
      <c r="K31" s="39"/>
      <c r="O31" s="89"/>
      <c r="Q31" s="112" t="s">
        <v>62</v>
      </c>
      <c r="R31" s="113"/>
      <c r="S31" s="99">
        <v>0</v>
      </c>
      <c r="U31" s="94" t="s">
        <v>41</v>
      </c>
      <c r="V31" s="42">
        <f>SUM(O16:O21,O24:O30) - SUM(S27:S28,S32,S35:S42)</f>
        <v>85124.7</v>
      </c>
      <c r="X31" s="116" t="s">
        <v>43</v>
      </c>
      <c r="Y31" s="56">
        <f>IF(V31&lt;$F$10, $G$10 + V31*$H$10, IF(V31&lt;$F$11,$G$11 + (V31-$E$11)*$H$11, IF(V31&lt;$F$12,$G$12 + (V31-$E$12)*$H$12, IF(V31&lt;$F$13, $G$13 + (V31-$E$13)*$H$13, "Fail"))))</f>
        <v>12993.674999999999</v>
      </c>
      <c r="Z31" s="57">
        <v>11637.5</v>
      </c>
      <c r="AB31" s="114" t="s">
        <v>43</v>
      </c>
      <c r="AC31" s="115"/>
      <c r="AD31" s="74">
        <f>Z31-Y31</f>
        <v>-1356.1749999999993</v>
      </c>
    </row>
    <row r="32" spans="3:30" x14ac:dyDescent="0.25">
      <c r="C32" s="39"/>
      <c r="D32" s="30"/>
      <c r="E32" s="49"/>
      <c r="F32" s="47"/>
      <c r="G32" s="47"/>
      <c r="H32" s="47"/>
      <c r="I32" s="48"/>
      <c r="J32" s="30"/>
      <c r="K32" s="39"/>
      <c r="O32" s="89"/>
      <c r="P32" s="89"/>
      <c r="Q32" s="112" t="s">
        <v>82</v>
      </c>
      <c r="R32" s="113"/>
      <c r="S32" s="146">
        <f>S33+IF(V27&lt;130000,S34,IF(V27&lt;160000,S34*(1-(V27-130000)/30000),0))</f>
        <v>0</v>
      </c>
      <c r="T32" s="89"/>
      <c r="U32" s="95" t="s">
        <v>40</v>
      </c>
      <c r="V32" s="40">
        <f>V31+S29+S40-S43-S45-O20-O28</f>
        <v>92400</v>
      </c>
      <c r="X32" s="116" t="s">
        <v>44</v>
      </c>
      <c r="Y32" s="85">
        <f>IF(V32&lt;$F$18, $G$18 + V32*$H$18, IF(V32&lt;$F$19, $G$19 + (V32-$E$19)*$H$19, IF(V32&lt;$F$20, $G$20 + (V32-$E$20)*$H$20, IF(V32&lt;$F$21, $G$21 + (V32-$E$21)*$H$21,IF(V32&lt;$F$22, $G$22 + (V32-$E$22)*$H$22))))) + (V32*$H$24)</f>
        <v>7293.3</v>
      </c>
      <c r="Z32" s="36">
        <v>6975.3</v>
      </c>
      <c r="AB32" s="116" t="s">
        <v>44</v>
      </c>
      <c r="AC32" s="117"/>
      <c r="AD32" s="74">
        <f>Z32-Y32</f>
        <v>-318</v>
      </c>
    </row>
    <row r="33" spans="3:30" ht="15.75" thickBot="1" x14ac:dyDescent="0.3">
      <c r="C33" s="39"/>
      <c r="D33" s="30"/>
      <c r="E33" s="133" t="s">
        <v>3</v>
      </c>
      <c r="F33" s="134"/>
      <c r="G33" s="97">
        <v>6.2E-2</v>
      </c>
      <c r="H33" s="50"/>
      <c r="I33" s="32"/>
      <c r="J33" s="30"/>
      <c r="K33" s="39"/>
      <c r="O33" s="139">
        <f>2292.42*24</f>
        <v>55018.080000000002</v>
      </c>
      <c r="P33" s="89"/>
      <c r="Q33" s="112" t="s">
        <v>63</v>
      </c>
      <c r="R33" s="113"/>
      <c r="S33" s="99">
        <v>0</v>
      </c>
      <c r="T33" s="89"/>
      <c r="U33" s="96" t="s">
        <v>39</v>
      </c>
      <c r="V33" s="41">
        <f>SUM(O16,O24) - SUM(S42,S35)</f>
        <v>100000</v>
      </c>
      <c r="X33" s="116" t="s">
        <v>31</v>
      </c>
      <c r="Y33" s="54">
        <f>V33*G33</f>
        <v>6200</v>
      </c>
      <c r="Z33" s="36">
        <v>6200</v>
      </c>
      <c r="AB33" s="116" t="s">
        <v>31</v>
      </c>
      <c r="AC33" s="117"/>
      <c r="AD33" s="74">
        <f>Z33-Y33</f>
        <v>0</v>
      </c>
    </row>
    <row r="34" spans="3:30" ht="15.75" thickBot="1" x14ac:dyDescent="0.3">
      <c r="C34" s="39"/>
      <c r="D34" s="30"/>
      <c r="E34" s="135" t="s">
        <v>4</v>
      </c>
      <c r="F34" s="136"/>
      <c r="G34" s="98">
        <v>1.4499999999999999E-2</v>
      </c>
      <c r="H34" s="43"/>
      <c r="I34" s="34"/>
      <c r="J34" s="30"/>
      <c r="K34" s="39"/>
      <c r="O34" s="137">
        <f>4344.8*26*1.01</f>
        <v>114094.448</v>
      </c>
      <c r="P34" s="89"/>
      <c r="Q34" s="112" t="s">
        <v>81</v>
      </c>
      <c r="R34" s="113"/>
      <c r="S34" s="99">
        <v>0</v>
      </c>
      <c r="T34" s="89"/>
      <c r="X34" s="129" t="s">
        <v>5</v>
      </c>
      <c r="Y34" s="55">
        <f>V33*G34</f>
        <v>1450</v>
      </c>
      <c r="Z34" s="37">
        <v>1450</v>
      </c>
      <c r="AB34" s="129" t="s">
        <v>5</v>
      </c>
      <c r="AC34" s="130"/>
      <c r="AD34" s="75">
        <f>Z34-Y34</f>
        <v>0</v>
      </c>
    </row>
    <row r="35" spans="3:30" ht="16.5" thickTop="1" thickBot="1" x14ac:dyDescent="0.3">
      <c r="C35" s="39"/>
      <c r="D35" s="30"/>
      <c r="E35" s="30"/>
      <c r="F35" s="30"/>
      <c r="G35" s="30"/>
      <c r="H35" s="30"/>
      <c r="I35" s="30"/>
      <c r="J35" s="30"/>
      <c r="K35" s="39"/>
      <c r="O35" s="139"/>
      <c r="P35" s="89"/>
      <c r="Q35" s="112" t="s">
        <v>84</v>
      </c>
      <c r="R35" s="113"/>
      <c r="S35" s="36">
        <v>0</v>
      </c>
    </row>
    <row r="36" spans="3:30" ht="15.75" thickBot="1" x14ac:dyDescent="0.3">
      <c r="C36" s="39"/>
      <c r="D36" s="39"/>
      <c r="E36" s="39"/>
      <c r="F36" s="39"/>
      <c r="G36" s="39"/>
      <c r="H36" s="39"/>
      <c r="I36" s="39"/>
      <c r="J36" s="39"/>
      <c r="K36" s="39"/>
      <c r="P36" s="89"/>
      <c r="Q36" s="112" t="s">
        <v>64</v>
      </c>
      <c r="R36" s="113"/>
      <c r="S36" s="36">
        <v>0</v>
      </c>
      <c r="T36" s="89"/>
      <c r="U36" s="184" t="s">
        <v>90</v>
      </c>
      <c r="V36" s="185"/>
      <c r="X36" s="149" t="s">
        <v>89</v>
      </c>
      <c r="Y36" s="150"/>
      <c r="Z36" s="151">
        <f>SUM(Y31:Y34)/SUM(O16:O21,O24:O30)</f>
        <v>0.27936974999999997</v>
      </c>
    </row>
    <row r="37" spans="3:30" x14ac:dyDescent="0.25">
      <c r="P37" s="89"/>
      <c r="Q37" s="112" t="s">
        <v>65</v>
      </c>
      <c r="R37" s="113"/>
      <c r="S37" s="36">
        <v>0</v>
      </c>
      <c r="T37" s="89"/>
      <c r="U37" s="152" t="s">
        <v>92</v>
      </c>
      <c r="V37" s="42">
        <f>S12</f>
        <v>12400</v>
      </c>
      <c r="Z37" s="11"/>
    </row>
    <row r="38" spans="3:30" ht="15.75" thickBot="1" x14ac:dyDescent="0.3">
      <c r="P38" s="89"/>
      <c r="Q38" s="112" t="s">
        <v>66</v>
      </c>
      <c r="R38" s="113"/>
      <c r="S38" s="36">
        <v>0</v>
      </c>
      <c r="T38" s="89"/>
      <c r="U38" s="153" t="s">
        <v>91</v>
      </c>
      <c r="V38" s="109">
        <f>SUM(S27:S28,S33,S36:S39,S41)</f>
        <v>6975.3</v>
      </c>
    </row>
    <row r="39" spans="3:30" ht="17.25" thickTop="1" thickBot="1" x14ac:dyDescent="0.3">
      <c r="E39" s="160" t="s">
        <v>74</v>
      </c>
      <c r="F39" s="161"/>
      <c r="G39" s="161"/>
      <c r="H39" s="161"/>
      <c r="I39" s="162"/>
      <c r="P39" s="89"/>
      <c r="Q39" s="112" t="s">
        <v>67</v>
      </c>
      <c r="R39" s="113"/>
      <c r="S39" s="36">
        <v>0</v>
      </c>
      <c r="T39" s="89"/>
      <c r="U39" s="154" t="s">
        <v>94</v>
      </c>
      <c r="V39" s="41">
        <f>V38-V37</f>
        <v>-5424.7</v>
      </c>
    </row>
    <row r="40" spans="3:30" ht="16.5" thickTop="1" thickBot="1" x14ac:dyDescent="0.3">
      <c r="E40" s="194" t="s">
        <v>29</v>
      </c>
      <c r="F40" s="195"/>
      <c r="G40" s="195"/>
      <c r="H40" s="195"/>
      <c r="I40" s="196"/>
      <c r="P40" s="89"/>
      <c r="Q40" s="112" t="s">
        <v>49</v>
      </c>
      <c r="R40" s="113"/>
      <c r="S40" s="36">
        <f>3950*2</f>
        <v>7900</v>
      </c>
      <c r="T40" s="89"/>
      <c r="U40" s="96" t="s">
        <v>93</v>
      </c>
      <c r="V40" s="41">
        <f>V38+(S32-S33)+S35+S40+S42</f>
        <v>14875.3</v>
      </c>
    </row>
    <row r="41" spans="3:30" ht="15.75" thickBot="1" x14ac:dyDescent="0.3">
      <c r="E41" s="45" t="s">
        <v>46</v>
      </c>
      <c r="F41" s="46" t="s">
        <v>47</v>
      </c>
      <c r="G41" s="106" t="s">
        <v>75</v>
      </c>
      <c r="I41" s="33" t="s">
        <v>76</v>
      </c>
      <c r="P41" s="89"/>
      <c r="Q41" s="112" t="s">
        <v>85</v>
      </c>
      <c r="R41" s="113"/>
      <c r="S41" s="101">
        <v>0</v>
      </c>
      <c r="T41" s="89"/>
      <c r="U41" s="96" t="s">
        <v>95</v>
      </c>
      <c r="V41" s="41">
        <f>V39*(0.25+0.0475+0.032)</f>
        <v>-1787.4386500000001</v>
      </c>
      <c r="Z41" s="11"/>
    </row>
    <row r="42" spans="3:30" x14ac:dyDescent="0.25">
      <c r="E42" s="65">
        <v>0</v>
      </c>
      <c r="F42" s="66">
        <v>100000</v>
      </c>
      <c r="G42" s="107">
        <v>3200</v>
      </c>
      <c r="H42" s="30"/>
      <c r="I42" s="102">
        <v>3200</v>
      </c>
      <c r="P42" s="89"/>
      <c r="Q42" s="112" t="s">
        <v>37</v>
      </c>
      <c r="R42" s="113"/>
      <c r="S42" s="38">
        <v>0</v>
      </c>
      <c r="T42" s="89"/>
      <c r="U42" s="11"/>
      <c r="V42" s="11"/>
    </row>
    <row r="43" spans="3:30" x14ac:dyDescent="0.25">
      <c r="E43" s="65">
        <v>100000</v>
      </c>
      <c r="F43" s="66">
        <v>125000</v>
      </c>
      <c r="G43" s="107">
        <v>1600</v>
      </c>
      <c r="H43" s="78"/>
      <c r="I43" s="102">
        <v>3200</v>
      </c>
      <c r="Q43" s="112" t="s">
        <v>73</v>
      </c>
      <c r="R43" s="113"/>
      <c r="S43" s="36">
        <v>1200</v>
      </c>
      <c r="T43" s="89"/>
      <c r="U43" s="155"/>
      <c r="V43" s="156"/>
    </row>
    <row r="44" spans="3:30" x14ac:dyDescent="0.25">
      <c r="E44" s="65">
        <v>125000</v>
      </c>
      <c r="F44" s="66">
        <v>150000</v>
      </c>
      <c r="G44" s="107">
        <v>800</v>
      </c>
      <c r="H44" s="78"/>
      <c r="I44" s="102">
        <v>3200</v>
      </c>
      <c r="Q44" s="112" t="s">
        <v>68</v>
      </c>
      <c r="R44" s="113"/>
      <c r="S44" s="101">
        <v>4000</v>
      </c>
      <c r="T44" s="89"/>
    </row>
    <row r="45" spans="3:30" x14ac:dyDescent="0.25">
      <c r="E45" s="65">
        <v>150000</v>
      </c>
      <c r="F45" s="66">
        <v>175000</v>
      </c>
      <c r="G45" s="107">
        <v>0</v>
      </c>
      <c r="H45" s="78"/>
      <c r="I45" s="102">
        <v>1600</v>
      </c>
      <c r="Q45" s="131" t="s">
        <v>69</v>
      </c>
      <c r="R45" s="132"/>
      <c r="S45" s="202">
        <f>IF(V28&gt;E47,I47,IF(V28&gt;E46,I46,IF(V28&gt;E45,I45,I44)))*2</f>
        <v>6400</v>
      </c>
      <c r="T45" s="89"/>
      <c r="U45" s="11"/>
    </row>
    <row r="46" spans="3:30" x14ac:dyDescent="0.25">
      <c r="E46" s="65">
        <v>175000</v>
      </c>
      <c r="F46" s="66">
        <v>200000</v>
      </c>
      <c r="G46" s="107">
        <v>0</v>
      </c>
      <c r="H46" s="78"/>
      <c r="I46" s="102">
        <v>800</v>
      </c>
      <c r="Q46" s="170" t="s">
        <v>51</v>
      </c>
      <c r="R46" s="171"/>
      <c r="S46" s="172"/>
      <c r="T46" s="89"/>
    </row>
    <row r="47" spans="3:30" ht="15.75" thickBot="1" x14ac:dyDescent="0.3">
      <c r="E47" s="65">
        <v>200000</v>
      </c>
      <c r="F47" s="108" t="s">
        <v>48</v>
      </c>
      <c r="G47" s="98">
        <v>0</v>
      </c>
      <c r="H47" s="104"/>
      <c r="I47" s="103">
        <v>0</v>
      </c>
      <c r="Q47" s="125"/>
      <c r="R47" s="126"/>
      <c r="S47" s="90">
        <v>0</v>
      </c>
    </row>
    <row r="48" spans="3:30" ht="15.75" thickTop="1" x14ac:dyDescent="0.25">
      <c r="E48" s="110"/>
      <c r="F48" s="110"/>
      <c r="G48" s="110"/>
      <c r="H48" s="105"/>
      <c r="I48" s="59"/>
      <c r="J48" s="29"/>
    </row>
    <row r="49" spans="5:8" x14ac:dyDescent="0.25">
      <c r="G49" s="29"/>
      <c r="H49" s="29"/>
    </row>
    <row r="50" spans="5:8" x14ac:dyDescent="0.25">
      <c r="E50" t="s">
        <v>96</v>
      </c>
    </row>
    <row r="51" spans="5:8" x14ac:dyDescent="0.25">
      <c r="E51" t="s">
        <v>97</v>
      </c>
      <c r="F51">
        <v>82100</v>
      </c>
      <c r="G51" s="29"/>
    </row>
    <row r="52" spans="5:8" x14ac:dyDescent="0.25">
      <c r="E52" s="65">
        <v>0</v>
      </c>
      <c r="F52" s="66">
        <v>182500</v>
      </c>
      <c r="G52" s="51"/>
      <c r="H52" s="68">
        <v>0.26</v>
      </c>
    </row>
    <row r="53" spans="5:8" ht="15.75" x14ac:dyDescent="0.25">
      <c r="E53" s="67">
        <v>182500</v>
      </c>
      <c r="F53" s="71" t="s">
        <v>48</v>
      </c>
      <c r="G53" s="51"/>
      <c r="H53" s="70">
        <v>0.28000000000000003</v>
      </c>
    </row>
    <row r="56" spans="5:8" x14ac:dyDescent="0.25">
      <c r="E56" t="s">
        <v>98</v>
      </c>
    </row>
  </sheetData>
  <mergeCells count="41">
    <mergeCell ref="Q4:AD4"/>
    <mergeCell ref="E5:I5"/>
    <mergeCell ref="Q6:S6"/>
    <mergeCell ref="E7:F7"/>
    <mergeCell ref="H7:I7"/>
    <mergeCell ref="Q7:S7"/>
    <mergeCell ref="E8:I8"/>
    <mergeCell ref="Q8:R8"/>
    <mergeCell ref="X8:Z8"/>
    <mergeCell ref="AB8:AD8"/>
    <mergeCell ref="Q9:R9"/>
    <mergeCell ref="U9:V9"/>
    <mergeCell ref="AB9:AC9"/>
    <mergeCell ref="E16:I16"/>
    <mergeCell ref="M16:N16"/>
    <mergeCell ref="Q11:R11"/>
    <mergeCell ref="AB10:AC10"/>
    <mergeCell ref="AB11:AC11"/>
    <mergeCell ref="AB12:AC12"/>
    <mergeCell ref="Q10:R10"/>
    <mergeCell ref="M20:N20"/>
    <mergeCell ref="AB13:AC13"/>
    <mergeCell ref="M15:O15"/>
    <mergeCell ref="M17:N17"/>
    <mergeCell ref="M18:N18"/>
    <mergeCell ref="M19:N19"/>
    <mergeCell ref="Q18:S18"/>
    <mergeCell ref="E39:I39"/>
    <mergeCell ref="E40:I40"/>
    <mergeCell ref="M21:N21"/>
    <mergeCell ref="M23:O23"/>
    <mergeCell ref="Q23:AD23"/>
    <mergeCell ref="Q25:S25"/>
    <mergeCell ref="E26:I26"/>
    <mergeCell ref="Q26:S26"/>
    <mergeCell ref="U25:V25"/>
    <mergeCell ref="Q46:S46"/>
    <mergeCell ref="X29:Z29"/>
    <mergeCell ref="AB29:AD29"/>
    <mergeCell ref="U30:V30"/>
    <mergeCell ref="U36:V36"/>
  </mergeCells>
  <conditionalFormatting sqref="AD10:AD13 AD31:AD34">
    <cfRule type="colorScale" priority="1">
      <colorScale>
        <cfvo type="num" val="($AD$10:$AD$13)&lt;0"/>
        <cfvo type="num" val="0"/>
        <cfvo type="num" val="($AD$10:$AD$13)&gt;0"/>
        <color rgb="FFFF0000"/>
        <color theme="0"/>
        <color rgb="FF92D050"/>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activeCell="B29" sqref="B29"/>
    </sheetView>
  </sheetViews>
  <sheetFormatPr defaultRowHeight="15" x14ac:dyDescent="0.25"/>
  <cols>
    <col min="1" max="1" width="29.42578125" bestFit="1" customWidth="1"/>
    <col min="2" max="2" width="13" customWidth="1"/>
    <col min="4" max="4" width="5.85546875" bestFit="1" customWidth="1"/>
    <col min="5" max="5" width="15.7109375" customWidth="1"/>
    <col min="6" max="6" width="13.140625" bestFit="1" customWidth="1"/>
    <col min="7" max="7" width="3.7109375" customWidth="1"/>
    <col min="8" max="8" width="5.85546875" bestFit="1" customWidth="1"/>
    <col min="9" max="9" width="14.7109375" bestFit="1" customWidth="1"/>
    <col min="10" max="10" width="13.140625" bestFit="1" customWidth="1"/>
  </cols>
  <sheetData>
    <row r="1" spans="1:10" ht="15.75" thickBot="1" x14ac:dyDescent="0.3">
      <c r="A1" s="198" t="s">
        <v>10</v>
      </c>
      <c r="B1" s="199"/>
      <c r="D1" s="200" t="s">
        <v>15</v>
      </c>
      <c r="E1" s="200"/>
      <c r="F1" s="200"/>
      <c r="G1" s="10"/>
      <c r="H1" s="200" t="s">
        <v>16</v>
      </c>
      <c r="I1" s="200"/>
      <c r="J1" s="200"/>
    </row>
    <row r="2" spans="1:10" ht="5.25" customHeight="1" thickBot="1" x14ac:dyDescent="0.3">
      <c r="A2" s="3"/>
      <c r="B2" s="4"/>
      <c r="D2" s="1"/>
      <c r="E2" s="2"/>
      <c r="F2" s="12"/>
      <c r="G2" s="10"/>
      <c r="H2" s="1"/>
      <c r="I2" s="2"/>
      <c r="J2" s="12"/>
    </row>
    <row r="3" spans="1:10" x14ac:dyDescent="0.25">
      <c r="A3" s="5" t="s">
        <v>6</v>
      </c>
      <c r="B3" s="24" t="e">
        <f>#REF!*0 + 5000/0.75</f>
        <v>#REF!</v>
      </c>
      <c r="D3" s="18" t="s">
        <v>12</v>
      </c>
      <c r="E3" s="19" t="s">
        <v>13</v>
      </c>
      <c r="F3" s="20" t="s">
        <v>14</v>
      </c>
      <c r="H3" s="18" t="s">
        <v>12</v>
      </c>
      <c r="I3" s="19" t="s">
        <v>13</v>
      </c>
      <c r="J3" s="20" t="s">
        <v>14</v>
      </c>
    </row>
    <row r="4" spans="1:10" x14ac:dyDescent="0.25">
      <c r="A4" s="6" t="s">
        <v>7</v>
      </c>
      <c r="B4" s="25" t="e">
        <f>#REF!*0</f>
        <v>#REF!</v>
      </c>
      <c r="D4" s="22">
        <v>0</v>
      </c>
      <c r="E4" s="13">
        <v>0</v>
      </c>
      <c r="F4" s="14" t="e">
        <f>B5</f>
        <v>#REF!</v>
      </c>
      <c r="H4" s="22">
        <v>0</v>
      </c>
      <c r="I4" s="13">
        <v>0</v>
      </c>
      <c r="J4" s="14" t="e">
        <f>B3+B4</f>
        <v>#REF!</v>
      </c>
    </row>
    <row r="5" spans="1:10" x14ac:dyDescent="0.25">
      <c r="A5" s="6" t="s">
        <v>11</v>
      </c>
      <c r="B5" s="26" t="e">
        <f>#REF!</f>
        <v>#REF!</v>
      </c>
      <c r="D5" s="22">
        <v>1</v>
      </c>
      <c r="E5" s="15" t="e">
        <f>F4*$B$10</f>
        <v>#REF!</v>
      </c>
      <c r="F5" s="14" t="e">
        <f>F4+E5+$B$5</f>
        <v>#REF!</v>
      </c>
      <c r="H5" s="22">
        <v>1</v>
      </c>
      <c r="I5" s="15" t="e">
        <f>J4*$B$10</f>
        <v>#REF!</v>
      </c>
      <c r="J5" s="14" t="e">
        <f>J4+I5+$B$3+$B$4</f>
        <v>#REF!</v>
      </c>
    </row>
    <row r="6" spans="1:10" ht="15.75" thickBot="1" x14ac:dyDescent="0.3">
      <c r="A6" s="7"/>
      <c r="B6" s="8"/>
      <c r="D6" s="22">
        <v>2</v>
      </c>
      <c r="E6" s="15" t="e">
        <f t="shared" ref="E6:E34" si="0">F5*$B$10</f>
        <v>#REF!</v>
      </c>
      <c r="F6" s="14" t="e">
        <f t="shared" ref="F6:F18" si="1">F5+E6+$B$5</f>
        <v>#REF!</v>
      </c>
      <c r="H6" s="22">
        <v>2</v>
      </c>
      <c r="I6" s="15" t="e">
        <f t="shared" ref="I6:I34" si="2">J5*$B$10</f>
        <v>#REF!</v>
      </c>
      <c r="J6" s="14" t="e">
        <f t="shared" ref="J6:J34" si="3">J5+I6+$B$3+$B$4</f>
        <v>#REF!</v>
      </c>
    </row>
    <row r="7" spans="1:10" ht="15.75" thickBot="1" x14ac:dyDescent="0.3">
      <c r="A7" s="3"/>
      <c r="B7" s="4"/>
      <c r="D7" s="22">
        <v>3</v>
      </c>
      <c r="E7" s="15" t="e">
        <f t="shared" si="0"/>
        <v>#REF!</v>
      </c>
      <c r="F7" s="14" t="e">
        <f t="shared" si="1"/>
        <v>#REF!</v>
      </c>
      <c r="H7" s="22">
        <v>3</v>
      </c>
      <c r="I7" s="15" t="e">
        <f t="shared" si="2"/>
        <v>#REF!</v>
      </c>
      <c r="J7" s="14" t="e">
        <f t="shared" si="3"/>
        <v>#REF!</v>
      </c>
    </row>
    <row r="8" spans="1:10" ht="15.75" thickBot="1" x14ac:dyDescent="0.3">
      <c r="A8" s="9" t="s">
        <v>8</v>
      </c>
      <c r="B8" s="27" t="e">
        <f>SUM(B3:B5)</f>
        <v>#REF!</v>
      </c>
      <c r="D8" s="22">
        <v>4</v>
      </c>
      <c r="E8" s="15" t="e">
        <f t="shared" si="0"/>
        <v>#REF!</v>
      </c>
      <c r="F8" s="14" t="e">
        <f t="shared" si="1"/>
        <v>#REF!</v>
      </c>
      <c r="H8" s="22">
        <v>4</v>
      </c>
      <c r="I8" s="15" t="e">
        <f t="shared" si="2"/>
        <v>#REF!</v>
      </c>
      <c r="J8" s="14" t="e">
        <f t="shared" si="3"/>
        <v>#REF!</v>
      </c>
    </row>
    <row r="9" spans="1:10" x14ac:dyDescent="0.25">
      <c r="D9" s="22">
        <v>5</v>
      </c>
      <c r="E9" s="15" t="e">
        <f t="shared" si="0"/>
        <v>#REF!</v>
      </c>
      <c r="F9" s="14" t="e">
        <f t="shared" si="1"/>
        <v>#REF!</v>
      </c>
      <c r="H9" s="22">
        <v>5</v>
      </c>
      <c r="I9" s="15" t="e">
        <f t="shared" si="2"/>
        <v>#REF!</v>
      </c>
      <c r="J9" s="14" t="e">
        <f t="shared" si="3"/>
        <v>#REF!</v>
      </c>
    </row>
    <row r="10" spans="1:10" x14ac:dyDescent="0.25">
      <c r="A10" t="s">
        <v>17</v>
      </c>
      <c r="B10" s="21">
        <v>7.0000000000000007E-2</v>
      </c>
      <c r="D10" s="22">
        <v>6</v>
      </c>
      <c r="E10" s="15" t="e">
        <f t="shared" si="0"/>
        <v>#REF!</v>
      </c>
      <c r="F10" s="14" t="e">
        <f t="shared" si="1"/>
        <v>#REF!</v>
      </c>
      <c r="H10" s="22">
        <v>6</v>
      </c>
      <c r="I10" s="15" t="e">
        <f t="shared" si="2"/>
        <v>#REF!</v>
      </c>
      <c r="J10" s="14" t="e">
        <f t="shared" si="3"/>
        <v>#REF!</v>
      </c>
    </row>
    <row r="11" spans="1:10" x14ac:dyDescent="0.25">
      <c r="A11" t="s">
        <v>28</v>
      </c>
      <c r="B11" s="28">
        <v>1</v>
      </c>
      <c r="D11" s="22">
        <v>7</v>
      </c>
      <c r="E11" s="15" t="e">
        <f t="shared" si="0"/>
        <v>#REF!</v>
      </c>
      <c r="F11" s="14" t="e">
        <f t="shared" si="1"/>
        <v>#REF!</v>
      </c>
      <c r="H11" s="22">
        <v>7</v>
      </c>
      <c r="I11" s="15" t="e">
        <f t="shared" si="2"/>
        <v>#REF!</v>
      </c>
      <c r="J11" s="14" t="e">
        <f t="shared" si="3"/>
        <v>#REF!</v>
      </c>
    </row>
    <row r="12" spans="1:10" x14ac:dyDescent="0.25">
      <c r="A12" t="s">
        <v>24</v>
      </c>
      <c r="B12" s="15" t="e">
        <f>F37</f>
        <v>#REF!</v>
      </c>
      <c r="D12" s="22">
        <v>8</v>
      </c>
      <c r="E12" s="15" t="e">
        <f t="shared" si="0"/>
        <v>#REF!</v>
      </c>
      <c r="F12" s="14" t="e">
        <f t="shared" si="1"/>
        <v>#REF!</v>
      </c>
      <c r="H12" s="22">
        <v>8</v>
      </c>
      <c r="I12" s="15" t="e">
        <f t="shared" si="2"/>
        <v>#REF!</v>
      </c>
      <c r="J12" s="14" t="e">
        <f t="shared" si="3"/>
        <v>#REF!</v>
      </c>
    </row>
    <row r="13" spans="1:10" x14ac:dyDescent="0.25">
      <c r="A13" t="s">
        <v>25</v>
      </c>
      <c r="B13" s="15" t="e">
        <f>J37</f>
        <v>#REF!</v>
      </c>
      <c r="D13" s="22">
        <v>9</v>
      </c>
      <c r="E13" s="15" t="e">
        <f t="shared" si="0"/>
        <v>#REF!</v>
      </c>
      <c r="F13" s="14" t="e">
        <f t="shared" si="1"/>
        <v>#REF!</v>
      </c>
      <c r="H13" s="22">
        <v>9</v>
      </c>
      <c r="I13" s="15" t="e">
        <f t="shared" si="2"/>
        <v>#REF!</v>
      </c>
      <c r="J13" s="14" t="e">
        <f t="shared" si="3"/>
        <v>#REF!</v>
      </c>
    </row>
    <row r="14" spans="1:10" x14ac:dyDescent="0.25">
      <c r="A14" t="s">
        <v>26</v>
      </c>
      <c r="B14" s="15" t="e">
        <f>B12+B13</f>
        <v>#REF!</v>
      </c>
      <c r="D14" s="22">
        <v>10</v>
      </c>
      <c r="E14" s="15" t="e">
        <f t="shared" si="0"/>
        <v>#REF!</v>
      </c>
      <c r="F14" s="14" t="e">
        <f t="shared" si="1"/>
        <v>#REF!</v>
      </c>
      <c r="H14" s="22">
        <v>10</v>
      </c>
      <c r="I14" s="15" t="e">
        <f t="shared" si="2"/>
        <v>#REF!</v>
      </c>
      <c r="J14" s="14" t="e">
        <f t="shared" si="3"/>
        <v>#REF!</v>
      </c>
    </row>
    <row r="15" spans="1:10" x14ac:dyDescent="0.25">
      <c r="D15" s="22">
        <v>11</v>
      </c>
      <c r="E15" s="15" t="e">
        <f t="shared" si="0"/>
        <v>#REF!</v>
      </c>
      <c r="F15" s="14" t="e">
        <f t="shared" si="1"/>
        <v>#REF!</v>
      </c>
      <c r="H15" s="22">
        <v>11</v>
      </c>
      <c r="I15" s="15" t="e">
        <f t="shared" si="2"/>
        <v>#REF!</v>
      </c>
      <c r="J15" s="14" t="e">
        <f t="shared" si="3"/>
        <v>#REF!</v>
      </c>
    </row>
    <row r="16" spans="1:10" x14ac:dyDescent="0.25">
      <c r="A16" s="10" t="s">
        <v>21</v>
      </c>
      <c r="D16" s="22">
        <v>12</v>
      </c>
      <c r="E16" s="15" t="e">
        <f t="shared" si="0"/>
        <v>#REF!</v>
      </c>
      <c r="F16" s="14" t="e">
        <f t="shared" si="1"/>
        <v>#REF!</v>
      </c>
      <c r="H16" s="22">
        <v>12</v>
      </c>
      <c r="I16" s="15" t="e">
        <f t="shared" si="2"/>
        <v>#REF!</v>
      </c>
      <c r="J16" s="14" t="e">
        <f t="shared" si="3"/>
        <v>#REF!</v>
      </c>
    </row>
    <row r="17" spans="1:10" x14ac:dyDescent="0.25">
      <c r="A17" s="197" t="s">
        <v>22</v>
      </c>
      <c r="D17" s="22">
        <v>13</v>
      </c>
      <c r="E17" s="15" t="e">
        <f t="shared" si="0"/>
        <v>#REF!</v>
      </c>
      <c r="F17" s="14" t="e">
        <f t="shared" si="1"/>
        <v>#REF!</v>
      </c>
      <c r="H17" s="22">
        <v>13</v>
      </c>
      <c r="I17" s="15" t="e">
        <f t="shared" si="2"/>
        <v>#REF!</v>
      </c>
      <c r="J17" s="14" t="e">
        <f t="shared" si="3"/>
        <v>#REF!</v>
      </c>
    </row>
    <row r="18" spans="1:10" x14ac:dyDescent="0.25">
      <c r="A18" s="197"/>
      <c r="D18" s="22">
        <v>14</v>
      </c>
      <c r="E18" s="15" t="e">
        <f t="shared" si="0"/>
        <v>#REF!</v>
      </c>
      <c r="F18" s="14" t="e">
        <f t="shared" si="1"/>
        <v>#REF!</v>
      </c>
      <c r="H18" s="22">
        <v>14</v>
      </c>
      <c r="I18" s="15" t="e">
        <f t="shared" si="2"/>
        <v>#REF!</v>
      </c>
      <c r="J18" s="14" t="e">
        <f t="shared" si="3"/>
        <v>#REF!</v>
      </c>
    </row>
    <row r="19" spans="1:10" x14ac:dyDescent="0.25">
      <c r="D19" s="22">
        <v>15</v>
      </c>
      <c r="E19" s="15" t="e">
        <f t="shared" si="0"/>
        <v>#REF!</v>
      </c>
      <c r="F19" s="14" t="e">
        <f t="shared" ref="F19:F34" si="4">F18+E19+$B$5</f>
        <v>#REF!</v>
      </c>
      <c r="H19" s="22">
        <v>15</v>
      </c>
      <c r="I19" s="15" t="e">
        <f t="shared" si="2"/>
        <v>#REF!</v>
      </c>
      <c r="J19" s="14" t="e">
        <f t="shared" si="3"/>
        <v>#REF!</v>
      </c>
    </row>
    <row r="20" spans="1:10" x14ac:dyDescent="0.25">
      <c r="A20" s="197" t="s">
        <v>23</v>
      </c>
      <c r="D20" s="22">
        <v>16</v>
      </c>
      <c r="E20" s="15" t="e">
        <f t="shared" si="0"/>
        <v>#REF!</v>
      </c>
      <c r="F20" s="14" t="e">
        <f t="shared" si="4"/>
        <v>#REF!</v>
      </c>
      <c r="H20" s="22">
        <v>16</v>
      </c>
      <c r="I20" s="15" t="e">
        <f t="shared" si="2"/>
        <v>#REF!</v>
      </c>
      <c r="J20" s="14" t="e">
        <f t="shared" si="3"/>
        <v>#REF!</v>
      </c>
    </row>
    <row r="21" spans="1:10" x14ac:dyDescent="0.25">
      <c r="A21" s="197"/>
      <c r="D21" s="22">
        <v>17</v>
      </c>
      <c r="E21" s="15" t="e">
        <f t="shared" si="0"/>
        <v>#REF!</v>
      </c>
      <c r="F21" s="14" t="e">
        <f t="shared" si="4"/>
        <v>#REF!</v>
      </c>
      <c r="H21" s="22">
        <v>17</v>
      </c>
      <c r="I21" s="15" t="e">
        <f t="shared" si="2"/>
        <v>#REF!</v>
      </c>
      <c r="J21" s="14" t="e">
        <f t="shared" si="3"/>
        <v>#REF!</v>
      </c>
    </row>
    <row r="22" spans="1:10" x14ac:dyDescent="0.25">
      <c r="A22" s="197"/>
      <c r="D22" s="22">
        <v>18</v>
      </c>
      <c r="E22" s="15" t="e">
        <f t="shared" si="0"/>
        <v>#REF!</v>
      </c>
      <c r="F22" s="14" t="e">
        <f t="shared" si="4"/>
        <v>#REF!</v>
      </c>
      <c r="H22" s="22">
        <v>18</v>
      </c>
      <c r="I22" s="15" t="e">
        <f t="shared" si="2"/>
        <v>#REF!</v>
      </c>
      <c r="J22" s="14" t="e">
        <f t="shared" si="3"/>
        <v>#REF!</v>
      </c>
    </row>
    <row r="23" spans="1:10" x14ac:dyDescent="0.25">
      <c r="A23" s="197"/>
      <c r="D23" s="22">
        <v>19</v>
      </c>
      <c r="E23" s="15" t="e">
        <f t="shared" si="0"/>
        <v>#REF!</v>
      </c>
      <c r="F23" s="14" t="e">
        <f t="shared" si="4"/>
        <v>#REF!</v>
      </c>
      <c r="H23" s="22">
        <v>19</v>
      </c>
      <c r="I23" s="15" t="e">
        <f t="shared" si="2"/>
        <v>#REF!</v>
      </c>
      <c r="J23" s="14" t="e">
        <f t="shared" si="3"/>
        <v>#REF!</v>
      </c>
    </row>
    <row r="24" spans="1:10" x14ac:dyDescent="0.25">
      <c r="A24" s="197"/>
      <c r="D24" s="22">
        <v>20</v>
      </c>
      <c r="E24" s="15" t="e">
        <f t="shared" si="0"/>
        <v>#REF!</v>
      </c>
      <c r="F24" s="14" t="e">
        <f t="shared" si="4"/>
        <v>#REF!</v>
      </c>
      <c r="H24" s="22">
        <v>20</v>
      </c>
      <c r="I24" s="15" t="e">
        <f t="shared" si="2"/>
        <v>#REF!</v>
      </c>
      <c r="J24" s="14" t="e">
        <f t="shared" si="3"/>
        <v>#REF!</v>
      </c>
    </row>
    <row r="25" spans="1:10" x14ac:dyDescent="0.25">
      <c r="A25" s="197"/>
      <c r="D25" s="22">
        <v>21</v>
      </c>
      <c r="E25" s="15" t="e">
        <f t="shared" si="0"/>
        <v>#REF!</v>
      </c>
      <c r="F25" s="14" t="e">
        <f t="shared" si="4"/>
        <v>#REF!</v>
      </c>
      <c r="H25" s="22">
        <v>21</v>
      </c>
      <c r="I25" s="15" t="e">
        <f t="shared" si="2"/>
        <v>#REF!</v>
      </c>
      <c r="J25" s="14" t="e">
        <f t="shared" si="3"/>
        <v>#REF!</v>
      </c>
    </row>
    <row r="26" spans="1:10" x14ac:dyDescent="0.25">
      <c r="A26" s="197"/>
      <c r="D26" s="22">
        <v>22</v>
      </c>
      <c r="E26" s="15" t="e">
        <f t="shared" si="0"/>
        <v>#REF!</v>
      </c>
      <c r="F26" s="14" t="e">
        <f t="shared" si="4"/>
        <v>#REF!</v>
      </c>
      <c r="H26" s="22">
        <v>22</v>
      </c>
      <c r="I26" s="15" t="e">
        <f t="shared" si="2"/>
        <v>#REF!</v>
      </c>
      <c r="J26" s="14" t="e">
        <f t="shared" si="3"/>
        <v>#REF!</v>
      </c>
    </row>
    <row r="27" spans="1:10" x14ac:dyDescent="0.25">
      <c r="A27" s="197"/>
      <c r="D27" s="22">
        <v>23</v>
      </c>
      <c r="E27" s="15" t="e">
        <f t="shared" si="0"/>
        <v>#REF!</v>
      </c>
      <c r="F27" s="14" t="e">
        <f t="shared" si="4"/>
        <v>#REF!</v>
      </c>
      <c r="H27" s="22">
        <v>23</v>
      </c>
      <c r="I27" s="15" t="e">
        <f t="shared" si="2"/>
        <v>#REF!</v>
      </c>
      <c r="J27" s="14" t="e">
        <f t="shared" si="3"/>
        <v>#REF!</v>
      </c>
    </row>
    <row r="28" spans="1:10" x14ac:dyDescent="0.25">
      <c r="A28" s="197"/>
      <c r="D28" s="22">
        <v>24</v>
      </c>
      <c r="E28" s="15" t="e">
        <f t="shared" si="0"/>
        <v>#REF!</v>
      </c>
      <c r="F28" s="14" t="e">
        <f t="shared" si="4"/>
        <v>#REF!</v>
      </c>
      <c r="H28" s="22">
        <v>24</v>
      </c>
      <c r="I28" s="15" t="e">
        <f t="shared" si="2"/>
        <v>#REF!</v>
      </c>
      <c r="J28" s="14" t="e">
        <f t="shared" si="3"/>
        <v>#REF!</v>
      </c>
    </row>
    <row r="29" spans="1:10" x14ac:dyDescent="0.25">
      <c r="A29" s="197"/>
      <c r="D29" s="22">
        <v>25</v>
      </c>
      <c r="E29" s="15" t="e">
        <f t="shared" si="0"/>
        <v>#REF!</v>
      </c>
      <c r="F29" s="14" t="e">
        <f t="shared" si="4"/>
        <v>#REF!</v>
      </c>
      <c r="H29" s="22">
        <v>25</v>
      </c>
      <c r="I29" s="15" t="e">
        <f t="shared" si="2"/>
        <v>#REF!</v>
      </c>
      <c r="J29" s="14" t="e">
        <f t="shared" si="3"/>
        <v>#REF!</v>
      </c>
    </row>
    <row r="30" spans="1:10" x14ac:dyDescent="0.25">
      <c r="A30" s="201"/>
      <c r="D30" s="22">
        <v>26</v>
      </c>
      <c r="E30" s="15" t="e">
        <f t="shared" si="0"/>
        <v>#REF!</v>
      </c>
      <c r="F30" s="14" t="e">
        <f t="shared" si="4"/>
        <v>#REF!</v>
      </c>
      <c r="H30" s="22">
        <v>26</v>
      </c>
      <c r="I30" s="15" t="e">
        <f t="shared" si="2"/>
        <v>#REF!</v>
      </c>
      <c r="J30" s="14" t="e">
        <f t="shared" si="3"/>
        <v>#REF!</v>
      </c>
    </row>
    <row r="31" spans="1:10" x14ac:dyDescent="0.25">
      <c r="D31" s="22">
        <v>27</v>
      </c>
      <c r="E31" s="15" t="e">
        <f t="shared" si="0"/>
        <v>#REF!</v>
      </c>
      <c r="F31" s="14" t="e">
        <f t="shared" si="4"/>
        <v>#REF!</v>
      </c>
      <c r="H31" s="22">
        <v>27</v>
      </c>
      <c r="I31" s="15" t="e">
        <f t="shared" si="2"/>
        <v>#REF!</v>
      </c>
      <c r="J31" s="14" t="e">
        <f t="shared" si="3"/>
        <v>#REF!</v>
      </c>
    </row>
    <row r="32" spans="1:10" x14ac:dyDescent="0.25">
      <c r="A32" s="197" t="s">
        <v>27</v>
      </c>
      <c r="D32" s="22">
        <v>28</v>
      </c>
      <c r="E32" s="15" t="e">
        <f t="shared" si="0"/>
        <v>#REF!</v>
      </c>
      <c r="F32" s="14" t="e">
        <f t="shared" si="4"/>
        <v>#REF!</v>
      </c>
      <c r="H32" s="22">
        <v>28</v>
      </c>
      <c r="I32" s="15" t="e">
        <f t="shared" si="2"/>
        <v>#REF!</v>
      </c>
      <c r="J32" s="14" t="e">
        <f t="shared" si="3"/>
        <v>#REF!</v>
      </c>
    </row>
    <row r="33" spans="1:10" x14ac:dyDescent="0.25">
      <c r="A33" s="197"/>
      <c r="D33" s="22">
        <v>29</v>
      </c>
      <c r="E33" s="15" t="e">
        <f t="shared" si="0"/>
        <v>#REF!</v>
      </c>
      <c r="F33" s="14" t="e">
        <f t="shared" si="4"/>
        <v>#REF!</v>
      </c>
      <c r="H33" s="22">
        <v>29</v>
      </c>
      <c r="I33" s="15" t="e">
        <f t="shared" si="2"/>
        <v>#REF!</v>
      </c>
      <c r="J33" s="14" t="e">
        <f t="shared" si="3"/>
        <v>#REF!</v>
      </c>
    </row>
    <row r="34" spans="1:10" ht="15.75" thickBot="1" x14ac:dyDescent="0.3">
      <c r="A34" s="197"/>
      <c r="D34" s="23">
        <v>30</v>
      </c>
      <c r="E34" s="16" t="e">
        <f t="shared" si="0"/>
        <v>#REF!</v>
      </c>
      <c r="F34" s="17" t="e">
        <f t="shared" si="4"/>
        <v>#REF!</v>
      </c>
      <c r="H34" s="23">
        <v>30</v>
      </c>
      <c r="I34" s="16" t="e">
        <f t="shared" si="2"/>
        <v>#REF!</v>
      </c>
      <c r="J34" s="17" t="e">
        <f t="shared" si="3"/>
        <v>#REF!</v>
      </c>
    </row>
    <row r="35" spans="1:10" x14ac:dyDescent="0.25">
      <c r="A35" s="197"/>
      <c r="E35" t="s">
        <v>19</v>
      </c>
      <c r="F35" s="11">
        <v>0</v>
      </c>
      <c r="I35" t="s">
        <v>19</v>
      </c>
      <c r="J35" s="11" t="e">
        <f>J34*0.25</f>
        <v>#REF!</v>
      </c>
    </row>
    <row r="36" spans="1:10" x14ac:dyDescent="0.25">
      <c r="A36" s="197"/>
      <c r="E36" t="s">
        <v>18</v>
      </c>
      <c r="F36" s="11" t="e">
        <f>F34</f>
        <v>#REF!</v>
      </c>
      <c r="I36" t="s">
        <v>18</v>
      </c>
      <c r="J36" s="11" t="e">
        <f>J34-J35</f>
        <v>#REF!</v>
      </c>
    </row>
    <row r="37" spans="1:10" x14ac:dyDescent="0.25">
      <c r="E37" t="s">
        <v>20</v>
      </c>
      <c r="F37" s="11" t="e">
        <f>F36/B11</f>
        <v>#REF!</v>
      </c>
      <c r="I37" t="s">
        <v>20</v>
      </c>
      <c r="J37" s="11" t="e">
        <f>J36/B11</f>
        <v>#REF!</v>
      </c>
    </row>
    <row r="39" spans="1:10" x14ac:dyDescent="0.25">
      <c r="F39" s="11"/>
    </row>
  </sheetData>
  <mergeCells count="6">
    <mergeCell ref="A32:A36"/>
    <mergeCell ref="A1:B1"/>
    <mergeCell ref="D1:F1"/>
    <mergeCell ref="H1:J1"/>
    <mergeCell ref="A17:A18"/>
    <mergeCell ref="A20:A3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2014</vt:lpstr>
      <vt:lpstr>Roth vs. TSP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Magyar</dc:creator>
  <cp:lastModifiedBy>Diego Sebastian Saenz</cp:lastModifiedBy>
  <dcterms:created xsi:type="dcterms:W3CDTF">2010-12-10T20:33:05Z</dcterms:created>
  <dcterms:modified xsi:type="dcterms:W3CDTF">2015-02-20T19:17:08Z</dcterms:modified>
</cp:coreProperties>
</file>