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10417a\Documents\DAZT\"/>
    </mc:Choice>
  </mc:AlternateContent>
  <xr:revisionPtr revIDLastSave="0" documentId="10_ncr:100000_{115B0797-6485-4E84-A079-A2E85EB7D94F}" xr6:coauthVersionLast="31" xr6:coauthVersionMax="31" xr10:uidLastSave="{00000000-0000-0000-0000-000000000000}"/>
  <bookViews>
    <workbookView xWindow="0" yWindow="0" windowWidth="20490" windowHeight="7530" tabRatio="866" xr2:uid="{00000000-000D-0000-FFFF-FFFF00000000}"/>
  </bookViews>
  <sheets>
    <sheet name="CALCULADORA" sheetId="7" r:id="rId1"/>
    <sheet name="PRESUPUESTO NATY" sheetId="15" r:id="rId2"/>
    <sheet name="PRESUPUESTO" sheetId="1" r:id="rId3"/>
    <sheet name="DEUDAS NATALY" sheetId="11" r:id="rId4"/>
    <sheet name="TOTAL DEUDAS" sheetId="14" state="hidden" r:id="rId5"/>
    <sheet name="COASMEDAS" sheetId="12" state="hidden" r:id="rId6"/>
    <sheet name="PROYECCIONES" sheetId="19" r:id="rId7"/>
    <sheet name="VACACIONES" sheetId="22" r:id="rId8"/>
  </sheets>
  <definedNames>
    <definedName name="_xlnm.Print_Area" localSheetId="2">PRESUPUESTO!#REF!</definedName>
    <definedName name="_xlnm.Print_Area" localSheetId="1">'PRESUPUESTO NATY'!$A$1:$A$19</definedName>
  </definedNames>
  <calcPr calcId="179017"/>
</workbook>
</file>

<file path=xl/calcChain.xml><?xml version="1.0" encoding="utf-8"?>
<calcChain xmlns="http://schemas.openxmlformats.org/spreadsheetml/2006/main">
  <c r="F6" i="22" l="1"/>
  <c r="C3" i="7" l="1"/>
  <c r="L9" i="11"/>
  <c r="L7" i="11"/>
  <c r="L4" i="11"/>
  <c r="L8" i="11" l="1"/>
  <c r="L6" i="11"/>
  <c r="V46" i="1"/>
  <c r="V44" i="1"/>
  <c r="V40" i="1"/>
  <c r="V39" i="1"/>
  <c r="V57" i="1" s="1"/>
  <c r="V67" i="1" s="1"/>
  <c r="V33" i="1"/>
  <c r="AB55" i="1"/>
  <c r="AB59" i="1" s="1"/>
  <c r="AB28" i="1"/>
  <c r="AB30" i="1" s="1"/>
  <c r="AB35" i="1"/>
  <c r="L9" i="1"/>
  <c r="L7" i="1"/>
  <c r="W16" i="1"/>
  <c r="W9" i="1"/>
  <c r="R9" i="1"/>
  <c r="R7" i="1"/>
  <c r="R4" i="1"/>
  <c r="L4" i="1"/>
  <c r="L6" i="1" s="1"/>
  <c r="W13" i="1"/>
  <c r="AB36" i="1" l="1"/>
  <c r="L8" i="1"/>
  <c r="R8" i="1"/>
  <c r="R6" i="1"/>
  <c r="F9" i="1" l="1"/>
  <c r="F7" i="1"/>
  <c r="AF8" i="1" l="1"/>
  <c r="AD8" i="1"/>
  <c r="AC8" i="1"/>
  <c r="AB8" i="1"/>
  <c r="AA8" i="1"/>
  <c r="Z8" i="1"/>
  <c r="Y8" i="1"/>
  <c r="W8" i="1"/>
  <c r="AF6" i="1"/>
  <c r="AF23" i="1" s="1"/>
  <c r="AE6" i="1"/>
  <c r="AE23" i="1" s="1"/>
  <c r="AD6" i="1"/>
  <c r="AC6" i="1"/>
  <c r="AB6" i="1"/>
  <c r="AA6" i="1"/>
  <c r="Z6" i="1"/>
  <c r="Y6" i="1"/>
  <c r="X6" i="1"/>
  <c r="X23" i="1" s="1"/>
  <c r="W6" i="1"/>
  <c r="Z23" i="1" l="1"/>
  <c r="AD23" i="1"/>
  <c r="AA23" i="1"/>
  <c r="Y23" i="1"/>
  <c r="AC23" i="1"/>
  <c r="W23" i="1"/>
  <c r="AB23" i="1"/>
  <c r="F4" i="1"/>
  <c r="F8" i="1" s="1"/>
  <c r="J9" i="15"/>
  <c r="J11" i="15" s="1"/>
  <c r="J12" i="15" s="1"/>
  <c r="J9" i="11"/>
  <c r="J7" i="11"/>
  <c r="J4" i="11"/>
  <c r="J6" i="11" s="1"/>
  <c r="D9" i="1"/>
  <c r="D7" i="1"/>
  <c r="D4" i="1"/>
  <c r="B9" i="1"/>
  <c r="B7" i="1"/>
  <c r="B4" i="1"/>
  <c r="B6" i="1" s="1"/>
  <c r="C1" i="19"/>
  <c r="C5" i="19" s="1"/>
  <c r="B5" i="19" s="1"/>
  <c r="Q9" i="11"/>
  <c r="O9" i="11"/>
  <c r="H4" i="11"/>
  <c r="I11" i="11" s="1"/>
  <c r="F9" i="11"/>
  <c r="D9" i="11"/>
  <c r="B9" i="11"/>
  <c r="C15" i="7"/>
  <c r="C17" i="7" s="1"/>
  <c r="C6" i="7"/>
  <c r="C8" i="7" s="1"/>
  <c r="P7" i="1"/>
  <c r="N7" i="1"/>
  <c r="N4" i="1"/>
  <c r="N6" i="1" s="1"/>
  <c r="J7" i="1"/>
  <c r="J4" i="1"/>
  <c r="J6" i="1" s="1"/>
  <c r="H7" i="1"/>
  <c r="H3" i="1"/>
  <c r="H4" i="1" s="1"/>
  <c r="H9" i="1"/>
  <c r="N4" i="11"/>
  <c r="N6" i="11" s="1"/>
  <c r="N7" i="11"/>
  <c r="B4" i="11"/>
  <c r="B7" i="11"/>
  <c r="D4" i="11"/>
  <c r="D6" i="11" s="1"/>
  <c r="D7" i="11"/>
  <c r="F3" i="11"/>
  <c r="F4" i="11" s="1"/>
  <c r="F7" i="11"/>
  <c r="O4" i="11"/>
  <c r="O6" i="11" s="1"/>
  <c r="O7" i="11"/>
  <c r="Q4" i="11"/>
  <c r="Q6" i="11" s="1"/>
  <c r="Q7" i="11"/>
  <c r="P9" i="1"/>
  <c r="P4" i="1"/>
  <c r="P6" i="1" s="1"/>
  <c r="N9" i="1"/>
  <c r="J9" i="1"/>
  <c r="G10" i="15"/>
  <c r="G12" i="15" s="1"/>
  <c r="G3" i="12"/>
  <c r="I3" i="12"/>
  <c r="I4" i="12"/>
  <c r="I5" i="12"/>
  <c r="I6" i="12"/>
  <c r="I7" i="12"/>
  <c r="I8" i="12"/>
  <c r="I9" i="12"/>
  <c r="I10" i="12"/>
  <c r="I11" i="12"/>
  <c r="I12" i="12"/>
  <c r="I13" i="12"/>
  <c r="I14" i="12"/>
  <c r="I15" i="12"/>
  <c r="I16" i="12"/>
  <c r="I17" i="12"/>
  <c r="I18" i="12"/>
  <c r="I19" i="12"/>
  <c r="I20" i="12"/>
  <c r="I21" i="12"/>
  <c r="I22" i="12"/>
  <c r="I23" i="12"/>
  <c r="I24" i="12"/>
  <c r="I25" i="12"/>
  <c r="I26" i="12"/>
  <c r="I2" i="12"/>
  <c r="C5" i="15"/>
  <c r="C19" i="15" s="1"/>
  <c r="B5" i="15"/>
  <c r="B19" i="15" s="1"/>
  <c r="B3" i="12"/>
  <c r="B4" i="12"/>
  <c r="B5" i="12" s="1"/>
  <c r="B6" i="12" s="1"/>
  <c r="B7" i="12" s="1"/>
  <c r="B8" i="12" s="1"/>
  <c r="B9" i="12" s="1"/>
  <c r="B10" i="12" s="1"/>
  <c r="B11" i="12" s="1"/>
  <c r="B12" i="12" s="1"/>
  <c r="B13" i="12" s="1"/>
  <c r="B14" i="12" s="1"/>
  <c r="B15" i="12" s="1"/>
  <c r="B16" i="12" s="1"/>
  <c r="B17" i="12" s="1"/>
  <c r="B18" i="12" s="1"/>
  <c r="B19" i="12" s="1"/>
  <c r="B20" i="12" s="1"/>
  <c r="B21" i="12" s="1"/>
  <c r="B22" i="12" s="1"/>
  <c r="B23" i="12" s="1"/>
  <c r="B24" i="12" s="1"/>
  <c r="B25" i="12" s="1"/>
  <c r="B26" i="12" s="1"/>
  <c r="B3" i="14"/>
  <c r="H6" i="11"/>
  <c r="N8" i="11" l="1"/>
  <c r="O8" i="11"/>
  <c r="D8" i="11"/>
  <c r="J8" i="11"/>
  <c r="D8" i="1"/>
  <c r="N8" i="1"/>
  <c r="D6" i="1"/>
  <c r="P8" i="1"/>
  <c r="J8" i="1"/>
  <c r="F6" i="1"/>
  <c r="H8" i="1"/>
  <c r="H6" i="1"/>
  <c r="B8" i="1"/>
  <c r="G11" i="15"/>
  <c r="B8" i="11"/>
  <c r="H7" i="11"/>
  <c r="H8" i="11" s="1"/>
  <c r="H9" i="11"/>
  <c r="F6" i="11"/>
  <c r="F8" i="11"/>
  <c r="Q8" i="11"/>
  <c r="B6" i="11"/>
  <c r="C3" i="19"/>
  <c r="C6" i="19"/>
  <c r="B6" i="19" s="1"/>
  <c r="C4" i="19"/>
  <c r="B4" i="19" s="1"/>
  <c r="C2" i="19"/>
  <c r="B2" i="19" s="1"/>
  <c r="E2" i="14" l="1"/>
  <c r="E4" i="14" s="1"/>
  <c r="B2" i="14"/>
  <c r="B6" i="14" s="1"/>
  <c r="B3" i="19"/>
  <c r="B7" i="19" s="1"/>
</calcChain>
</file>

<file path=xl/sharedStrings.xml><?xml version="1.0" encoding="utf-8"?>
<sst xmlns="http://schemas.openxmlformats.org/spreadsheetml/2006/main" count="265" uniqueCount="180">
  <si>
    <t>CALCULO CUOTA</t>
  </si>
  <si>
    <t>Valor Compra</t>
  </si>
  <si>
    <t>Cuotas</t>
  </si>
  <si>
    <t>Interes</t>
  </si>
  <si>
    <t>Valor Cuota</t>
  </si>
  <si>
    <t>Pagado a Interes</t>
  </si>
  <si>
    <t>NOVIEMBRE</t>
  </si>
  <si>
    <t>DICIEMBRE</t>
  </si>
  <si>
    <t>VALOR</t>
  </si>
  <si>
    <t>VANESSA</t>
  </si>
  <si>
    <t>SUELDO</t>
  </si>
  <si>
    <t>T.O</t>
  </si>
  <si>
    <t>DESCUENTOS</t>
  </si>
  <si>
    <t>Psicología</t>
  </si>
  <si>
    <t>TOTAL</t>
  </si>
  <si>
    <t>SALUD Y PENSION</t>
  </si>
  <si>
    <t>DEUDAS TC</t>
  </si>
  <si>
    <t>TRANSPORTES</t>
  </si>
  <si>
    <t>MERCADO</t>
  </si>
  <si>
    <t>COASMEDAS</t>
  </si>
  <si>
    <t>Transportes Viernes</t>
  </si>
  <si>
    <t>TERAPIAS GABO</t>
  </si>
  <si>
    <t>MELISSA</t>
  </si>
  <si>
    <t>GASOLINA</t>
  </si>
  <si>
    <t>NATA</t>
  </si>
  <si>
    <t>MANICURE</t>
  </si>
  <si>
    <t>PLAN DE VIDA</t>
  </si>
  <si>
    <t>NOVIEMBRE TERAPIAS MELISSA</t>
  </si>
  <si>
    <t>NOVIEMBRE TERAPIAS NATA</t>
  </si>
  <si>
    <t>DICIEMBRE TERAPIAS MELISSA</t>
  </si>
  <si>
    <t>DICIEMBRE TERAPIAS NATA</t>
  </si>
  <si>
    <t>CAPITAL</t>
  </si>
  <si>
    <t>INTERES</t>
  </si>
  <si>
    <t>ESTADO</t>
  </si>
  <si>
    <t>CANCELADA</t>
  </si>
  <si>
    <t>PENDIENTE</t>
  </si>
  <si>
    <t>GASOLINA SEPT</t>
  </si>
  <si>
    <t>AIRBNB PERU</t>
  </si>
  <si>
    <t>SALA (CASA ESTILO)</t>
  </si>
  <si>
    <t>ARISTAS (COMEDOR)</t>
  </si>
  <si>
    <t>ARISTAS (CAMA)</t>
  </si>
  <si>
    <t>DIEGO QUINCENA</t>
  </si>
  <si>
    <t>OTROS</t>
  </si>
  <si>
    <t>SEGURO Y PENSION</t>
  </si>
  <si>
    <t>NRO CUOTAS</t>
  </si>
  <si>
    <t>VALOR CUOTA</t>
  </si>
  <si>
    <t>PAGADO</t>
  </si>
  <si>
    <t>DEBE</t>
  </si>
  <si>
    <t>CLARO Y DIRECTV</t>
  </si>
  <si>
    <t>CUOTAS PEND</t>
  </si>
  <si>
    <t>CELULARES</t>
  </si>
  <si>
    <t>APTO</t>
  </si>
  <si>
    <t>ADMINISTRACIÓN</t>
  </si>
  <si>
    <t>ANGIE</t>
  </si>
  <si>
    <t>DON LUIS</t>
  </si>
  <si>
    <t>SRA STELLA</t>
  </si>
  <si>
    <t>PELUQUERIA</t>
  </si>
  <si>
    <t>SOAT</t>
  </si>
  <si>
    <t>TIQUETES DF</t>
  </si>
  <si>
    <t>MAESTRIA TC</t>
  </si>
  <si>
    <t>TIQUETES PERU</t>
  </si>
  <si>
    <t>PUERTA</t>
  </si>
  <si>
    <t>PUERTA(EFECTIVO)</t>
  </si>
  <si>
    <t>ESCRITURAS</t>
  </si>
  <si>
    <t>MAESTRIA</t>
  </si>
  <si>
    <t>CUOTAS PENDIENTES</t>
  </si>
  <si>
    <t>NATY</t>
  </si>
  <si>
    <t>DIEGO</t>
  </si>
  <si>
    <t>TARJETAS</t>
  </si>
  <si>
    <t>SALDO CAPITAL</t>
  </si>
  <si>
    <t>ABONO</t>
  </si>
  <si>
    <t>APORTES</t>
  </si>
  <si>
    <t>PAGO TOTAL</t>
  </si>
  <si>
    <t>CESANTIAS 2017</t>
  </si>
  <si>
    <t>INT CESANTIAS</t>
  </si>
  <si>
    <t>VACACIONES</t>
  </si>
  <si>
    <t>PRIMA</t>
  </si>
  <si>
    <t>SALARIO</t>
  </si>
  <si>
    <t> TERAPIAS GABO OCTUBRE</t>
  </si>
  <si>
    <t>PIECENTER</t>
  </si>
  <si>
    <t>MELGAR</t>
  </si>
  <si>
    <t>Bogotá - Salento</t>
  </si>
  <si>
    <t>Tiempo</t>
  </si>
  <si>
    <t>Valle de Cocora</t>
  </si>
  <si>
    <t>Viaje Armenia - Parque de la vida - Salento fin de año</t>
  </si>
  <si>
    <t>Visita Ukumari (Pereira)</t>
  </si>
  <si>
    <t>Panaca</t>
  </si>
  <si>
    <t>1:30 minutos</t>
  </si>
  <si>
    <t>30 minutos</t>
  </si>
  <si>
    <t>Peajes</t>
  </si>
  <si>
    <t>Gasolina</t>
  </si>
  <si>
    <t>Alimentación</t>
  </si>
  <si>
    <t>Entradas</t>
  </si>
  <si>
    <t>Salento</t>
  </si>
  <si>
    <t>3 noches</t>
  </si>
  <si>
    <t>Fecha</t>
  </si>
  <si>
    <t>Recorrido</t>
  </si>
  <si>
    <t>1:30 minutos / 40 minutos</t>
  </si>
  <si>
    <t>Ukumari</t>
  </si>
  <si>
    <t>Parque Café</t>
  </si>
  <si>
    <t>Jardin</t>
  </si>
  <si>
    <t>Parque Vida</t>
  </si>
  <si>
    <t>Santa Rosa</t>
  </si>
  <si>
    <t>Recuca</t>
  </si>
  <si>
    <t>INTERESES</t>
  </si>
  <si>
    <t>CTD CUOTAS</t>
  </si>
  <si>
    <t>CUOTA POR PERSONA</t>
  </si>
  <si>
    <t>TOTAL CON INTERESES</t>
  </si>
  <si>
    <t>TOTTO</t>
  </si>
  <si>
    <t>Pago 300.000 el 2/11/2018</t>
  </si>
  <si>
    <t>COLOMBO</t>
  </si>
  <si>
    <t>UNIVERSIDAD</t>
  </si>
  <si>
    <t>CONGRESO IS</t>
  </si>
  <si>
    <t>ENERO</t>
  </si>
  <si>
    <t>FEBRERO</t>
  </si>
  <si>
    <t>MARZO</t>
  </si>
  <si>
    <t>ABRIL</t>
  </si>
  <si>
    <t>MAYO</t>
  </si>
  <si>
    <t>JUNIO</t>
  </si>
  <si>
    <t>BANCOLOMBIA</t>
  </si>
  <si>
    <t>RECIBOS</t>
  </si>
  <si>
    <t>SOBRANTE</t>
  </si>
  <si>
    <t>ALITAS JUEVES</t>
  </si>
  <si>
    <t>PARQUEADERO</t>
  </si>
  <si>
    <t>REGALO NATY</t>
  </si>
  <si>
    <t>LIBRO</t>
  </si>
  <si>
    <t>HAMBURGUESAS</t>
  </si>
  <si>
    <t>DESAYUNOS</t>
  </si>
  <si>
    <t>POLLO</t>
  </si>
  <si>
    <t>29/12 - 01/01</t>
  </si>
  <si>
    <t>Armenia</t>
  </si>
  <si>
    <t>7 noches</t>
  </si>
  <si>
    <t>01/01 - 08-01</t>
  </si>
  <si>
    <t>Salento - Santa Rosa de Cabal - Armenia</t>
  </si>
  <si>
    <t>Armenia - Panaca - Armenia</t>
  </si>
  <si>
    <t>Armenia - Paque nacional - Armenia</t>
  </si>
  <si>
    <t>Armenia - Recuca - Armenia</t>
  </si>
  <si>
    <t>Jardin Botanico (Calarca)</t>
  </si>
  <si>
    <t>Armenia - Bogotá</t>
  </si>
  <si>
    <t>8 horas</t>
  </si>
  <si>
    <t>CARENS (MELISSA)</t>
  </si>
  <si>
    <t>CARENS (DON LUIS)</t>
  </si>
  <si>
    <t>CELULAR</t>
  </si>
  <si>
    <t>PAPÁ (MAESTRIA)</t>
  </si>
  <si>
    <t>PAPÁ (ESCRITURAS)</t>
  </si>
  <si>
    <t>FORRO</t>
  </si>
  <si>
    <t>GASOLINA TC</t>
  </si>
  <si>
    <t>CANCHA</t>
  </si>
  <si>
    <t>CARENS MELISSA</t>
  </si>
  <si>
    <t>CUENTA</t>
  </si>
  <si>
    <t>NEQUI</t>
  </si>
  <si>
    <t>CASA</t>
  </si>
  <si>
    <t>ARREGLO CARENS</t>
  </si>
  <si>
    <t>DEBO</t>
  </si>
  <si>
    <t>PANTALON PIJAMA</t>
  </si>
  <si>
    <t>RAMO</t>
  </si>
  <si>
    <t>COMPRAS PL</t>
  </si>
  <si>
    <t>HAMBURGUESAS CINE</t>
  </si>
  <si>
    <t>ALMUERZO SABADO</t>
  </si>
  <si>
    <t>UBER</t>
  </si>
  <si>
    <t>VACA QUE RIE</t>
  </si>
  <si>
    <t>CINE</t>
  </si>
  <si>
    <t>4 X 1000</t>
  </si>
  <si>
    <t>SUELDO NOVIEMBRE</t>
  </si>
  <si>
    <t>ALMUERZOS SEMANA 13 AL 23</t>
  </si>
  <si>
    <t>POSILLOS</t>
  </si>
  <si>
    <t>ALMUERZOS Y DESAYUNO LUNES Y MARTES</t>
  </si>
  <si>
    <t>CENA LUNES Y MARTES</t>
  </si>
  <si>
    <t>COMPRA MERCADO LIBRE</t>
  </si>
  <si>
    <t>PANAMERICANA</t>
  </si>
  <si>
    <t>HAMBUERGUESAS</t>
  </si>
  <si>
    <t>TO GABO</t>
  </si>
  <si>
    <t>DESAYUNO Y ALMUERZO MIERCOLES, JUEVES Y VIERNES</t>
  </si>
  <si>
    <t>CAMISETAS CUMPLEAÑOS</t>
  </si>
  <si>
    <t>PASTAS</t>
  </si>
  <si>
    <t>TAMALES</t>
  </si>
  <si>
    <t>SICO GABO</t>
  </si>
  <si>
    <t>POLLO ASADO</t>
  </si>
  <si>
    <t>GAFAS</t>
  </si>
  <si>
    <t>Alojamientos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</si>
</sst>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41" formatCode="_-* #,##0_-;\-* #,##0_-;_-* &quot;-&quot;_-;_-@_-"/>
    <numFmt numFmtId="43" formatCode="_-* #,##0.00_-;\-* #,##0.00_-;_-* &quot;-&quot;??_-;_-@_-"/>
    <numFmt numFmtId="164" formatCode="_(* #,##0_);_(* \(#,##0\);_(* &quot;-&quot;??_);_(@_)"/>
    <numFmt numFmtId="165" formatCode="_(* #,##0_);[Red]_(* \(#,##0\);_(* &quot;-&quot;??_);_(@_)"/>
    <numFmt numFmtId="166" formatCode="_-* #,##0_-;\-* #,##0_-;_-* &quot;-&quot;??_-;_-@_-"/>
    <numFmt numFmtId="167" formatCode="0.0000%"/>
  </numFmts>
  <fonts count="12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9"/>
      <color rgb="FF000000"/>
      <name val="Kalinga"/>
      <family val="2"/>
    </font>
    <font>
      <b/>
      <sz val="9"/>
      <color rgb="FF000000"/>
      <name val="Kalinga"/>
      <family val="2"/>
    </font>
    <font>
      <sz val="11"/>
      <color theme="0"/>
      <name val="Calibri"/>
      <family val="2"/>
      <scheme val="minor"/>
    </font>
    <font>
      <b/>
      <sz val="10"/>
      <color rgb="FF000000"/>
      <name val="Calibri Light"/>
      <family val="2"/>
    </font>
    <font>
      <sz val="10"/>
      <color rgb="FF000000"/>
      <name val="Calibri Light"/>
      <family val="2"/>
    </font>
    <font>
      <sz val="10"/>
      <name val="Calibri Light"/>
      <family val="2"/>
    </font>
    <font>
      <b/>
      <sz val="10"/>
      <name val="Calibri Light"/>
      <family val="2"/>
    </font>
    <font>
      <b/>
      <sz val="10"/>
      <color theme="0"/>
      <name val="Calibri Light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7">
    <border>
      <left/>
      <right/>
      <top/>
      <bottom/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/>
      <right/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rgb="FF000000"/>
      </left>
      <right/>
      <top style="hair">
        <color rgb="FF000000"/>
      </top>
      <bottom/>
      <diagonal/>
    </border>
    <border>
      <left/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indexed="64"/>
      </bottom>
      <diagonal/>
    </border>
    <border>
      <left/>
      <right style="hair">
        <color rgb="FF000000"/>
      </right>
      <top style="hair">
        <color rgb="FF000000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41" fontId="2" fillId="0" borderId="0" applyFont="0" applyFill="0" applyBorder="0" applyAlignment="0" applyProtection="0"/>
    <xf numFmtId="0" fontId="6" fillId="9" borderId="0" applyNumberFormat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56">
    <xf numFmtId="0" fontId="0" fillId="0" borderId="0" xfId="0"/>
    <xf numFmtId="0" fontId="4" fillId="0" borderId="0" xfId="0" applyFont="1"/>
    <xf numFmtId="0" fontId="5" fillId="0" borderId="0" xfId="0" applyFont="1"/>
    <xf numFmtId="41" fontId="4" fillId="0" borderId="0" xfId="0" applyNumberFormat="1" applyFont="1"/>
    <xf numFmtId="41" fontId="4" fillId="0" borderId="0" xfId="2" applyFont="1"/>
    <xf numFmtId="17" fontId="4" fillId="3" borderId="0" xfId="0" applyNumberFormat="1" applyFont="1" applyFill="1"/>
    <xf numFmtId="41" fontId="4" fillId="3" borderId="0" xfId="2" applyFont="1" applyFill="1"/>
    <xf numFmtId="167" fontId="4" fillId="0" borderId="0" xfId="3" applyNumberFormat="1" applyFont="1"/>
    <xf numFmtId="16" fontId="4" fillId="0" borderId="0" xfId="0" applyNumberFormat="1" applyFont="1"/>
    <xf numFmtId="166" fontId="4" fillId="0" borderId="0" xfId="0" applyNumberFormat="1" applyFont="1"/>
    <xf numFmtId="166" fontId="4" fillId="0" borderId="0" xfId="1" applyNumberFormat="1" applyFont="1"/>
    <xf numFmtId="43" fontId="4" fillId="0" borderId="0" xfId="0" applyNumberFormat="1" applyFont="1"/>
    <xf numFmtId="17" fontId="4" fillId="0" borderId="0" xfId="0" applyNumberFormat="1" applyFont="1"/>
    <xf numFmtId="0" fontId="7" fillId="0" borderId="7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wrapText="1"/>
    </xf>
    <xf numFmtId="0" fontId="7" fillId="0" borderId="7" xfId="0" applyFont="1" applyBorder="1" applyAlignment="1">
      <alignment horizontal="center"/>
    </xf>
    <xf numFmtId="0" fontId="8" fillId="0" borderId="0" xfId="0" applyFont="1"/>
    <xf numFmtId="0" fontId="7" fillId="0" borderId="7" xfId="0" applyFont="1" applyBorder="1"/>
    <xf numFmtId="41" fontId="8" fillId="0" borderId="7" xfId="2" applyNumberFormat="1" applyFont="1" applyBorder="1"/>
    <xf numFmtId="16" fontId="8" fillId="0" borderId="7" xfId="0" applyNumberFormat="1" applyFont="1" applyBorder="1" applyAlignment="1">
      <alignment vertical="center"/>
    </xf>
    <xf numFmtId="0" fontId="8" fillId="0" borderId="7" xfId="0" applyFont="1" applyBorder="1" applyAlignment="1">
      <alignment wrapText="1"/>
    </xf>
    <xf numFmtId="0" fontId="8" fillId="0" borderId="7" xfId="0" applyFont="1" applyBorder="1"/>
    <xf numFmtId="41" fontId="7" fillId="0" borderId="7" xfId="2" applyNumberFormat="1" applyFont="1" applyBorder="1"/>
    <xf numFmtId="41" fontId="8" fillId="0" borderId="0" xfId="2" applyNumberFormat="1" applyFont="1"/>
    <xf numFmtId="0" fontId="8" fillId="0" borderId="7" xfId="0" applyFont="1" applyFill="1" applyBorder="1"/>
    <xf numFmtId="16" fontId="8" fillId="0" borderId="0" xfId="0" applyNumberFormat="1" applyFont="1" applyAlignment="1">
      <alignment vertical="center"/>
    </xf>
    <xf numFmtId="0" fontId="8" fillId="0" borderId="0" xfId="0" applyFont="1" applyAlignment="1">
      <alignment wrapText="1"/>
    </xf>
    <xf numFmtId="0" fontId="8" fillId="0" borderId="0" xfId="0" applyFont="1" applyAlignment="1">
      <alignment vertical="center"/>
    </xf>
    <xf numFmtId="0" fontId="8" fillId="0" borderId="7" xfId="0" applyFont="1" applyBorder="1" applyAlignment="1">
      <alignment vertical="center"/>
    </xf>
    <xf numFmtId="0" fontId="8" fillId="0" borderId="13" xfId="0" applyFont="1" applyBorder="1" applyAlignment="1">
      <alignment vertical="center"/>
    </xf>
    <xf numFmtId="0" fontId="8" fillId="0" borderId="13" xfId="0" applyFont="1" applyBorder="1" applyAlignment="1">
      <alignment wrapText="1"/>
    </xf>
    <xf numFmtId="16" fontId="8" fillId="0" borderId="0" xfId="0" applyNumberFormat="1" applyFont="1"/>
    <xf numFmtId="0" fontId="9" fillId="0" borderId="0" xfId="4" applyFont="1"/>
    <xf numFmtId="0" fontId="10" fillId="0" borderId="6" xfId="0" applyFont="1" applyBorder="1"/>
    <xf numFmtId="164" fontId="8" fillId="0" borderId="6" xfId="0" applyNumberFormat="1" applyFont="1" applyBorder="1" applyAlignment="1">
      <alignment vertical="center"/>
    </xf>
    <xf numFmtId="10" fontId="8" fillId="0" borderId="6" xfId="0" applyNumberFormat="1" applyFont="1" applyBorder="1" applyAlignment="1">
      <alignment vertical="center"/>
    </xf>
    <xf numFmtId="0" fontId="7" fillId="0" borderId="6" xfId="0" applyFont="1" applyBorder="1"/>
    <xf numFmtId="164" fontId="7" fillId="0" borderId="6" xfId="0" applyNumberFormat="1" applyFont="1" applyBorder="1" applyAlignment="1">
      <alignment vertical="center"/>
    </xf>
    <xf numFmtId="0" fontId="9" fillId="0" borderId="0" xfId="0" applyFont="1"/>
    <xf numFmtId="0" fontId="8" fillId="0" borderId="6" xfId="0" applyFont="1" applyBorder="1"/>
    <xf numFmtId="0" fontId="7" fillId="0" borderId="0" xfId="0" applyFont="1" applyAlignment="1">
      <alignment horizontal="center"/>
    </xf>
    <xf numFmtId="41" fontId="8" fillId="0" borderId="0" xfId="2" applyFont="1"/>
    <xf numFmtId="14" fontId="8" fillId="0" borderId="0" xfId="0" applyNumberFormat="1" applyFont="1"/>
    <xf numFmtId="0" fontId="7" fillId="0" borderId="0" xfId="0" applyFont="1"/>
    <xf numFmtId="41" fontId="8" fillId="0" borderId="0" xfId="0" applyNumberFormat="1" applyFont="1"/>
    <xf numFmtId="0" fontId="7" fillId="7" borderId="0" xfId="0" applyFont="1" applyFill="1" applyAlignment="1">
      <alignment horizontal="right"/>
    </xf>
    <xf numFmtId="0" fontId="7" fillId="7" borderId="0" xfId="0" applyFont="1" applyFill="1" applyAlignment="1">
      <alignment horizontal="center"/>
    </xf>
    <xf numFmtId="0" fontId="8" fillId="0" borderId="0" xfId="0" applyFont="1" applyAlignment="1">
      <alignment horizontal="center"/>
    </xf>
    <xf numFmtId="166" fontId="8" fillId="0" borderId="0" xfId="2" applyNumberFormat="1" applyFont="1" applyAlignment="1">
      <alignment horizontal="center"/>
    </xf>
    <xf numFmtId="166" fontId="8" fillId="0" borderId="0" xfId="1" applyNumberFormat="1" applyFont="1" applyAlignment="1">
      <alignment horizontal="center"/>
    </xf>
    <xf numFmtId="166" fontId="8" fillId="3" borderId="0" xfId="0" applyNumberFormat="1" applyFont="1" applyFill="1" applyAlignment="1">
      <alignment horizontal="center"/>
    </xf>
    <xf numFmtId="17" fontId="7" fillId="0" borderId="0" xfId="0" applyNumberFormat="1" applyFont="1"/>
    <xf numFmtId="166" fontId="7" fillId="0" borderId="0" xfId="0" applyNumberFormat="1" applyFont="1"/>
    <xf numFmtId="166" fontId="7" fillId="0" borderId="0" xfId="1" applyNumberFormat="1" applyFont="1"/>
    <xf numFmtId="166" fontId="7" fillId="0" borderId="0" xfId="1" applyNumberFormat="1" applyFont="1" applyAlignment="1">
      <alignment horizontal="right"/>
    </xf>
    <xf numFmtId="166" fontId="8" fillId="0" borderId="0" xfId="0" applyNumberFormat="1" applyFont="1"/>
    <xf numFmtId="1" fontId="7" fillId="5" borderId="0" xfId="1" applyNumberFormat="1" applyFont="1" applyFill="1"/>
    <xf numFmtId="166" fontId="7" fillId="5" borderId="0" xfId="1" applyNumberFormat="1" applyFont="1" applyFill="1"/>
    <xf numFmtId="0" fontId="7" fillId="0" borderId="0" xfId="0" applyFont="1" applyAlignment="1">
      <alignment horizontal="right"/>
    </xf>
    <xf numFmtId="0" fontId="7" fillId="5" borderId="0" xfId="0" applyFont="1" applyFill="1" applyAlignment="1">
      <alignment horizontal="right"/>
    </xf>
    <xf numFmtId="0" fontId="10" fillId="0" borderId="0" xfId="0" applyFont="1"/>
    <xf numFmtId="166" fontId="10" fillId="0" borderId="0" xfId="1" applyNumberFormat="1" applyFont="1"/>
    <xf numFmtId="166" fontId="10" fillId="5" borderId="0" xfId="1" applyNumberFormat="1" applyFont="1" applyFill="1"/>
    <xf numFmtId="0" fontId="10" fillId="5" borderId="0" xfId="0" applyFont="1" applyFill="1"/>
    <xf numFmtId="166" fontId="10" fillId="11" borderId="0" xfId="1" applyNumberFormat="1" applyFont="1" applyFill="1"/>
    <xf numFmtId="0" fontId="7" fillId="4" borderId="0" xfId="0" applyFont="1" applyFill="1"/>
    <xf numFmtId="0" fontId="10" fillId="4" borderId="0" xfId="0" applyFont="1" applyFill="1"/>
    <xf numFmtId="0" fontId="7" fillId="4" borderId="0" xfId="1" applyNumberFormat="1" applyFont="1" applyFill="1"/>
    <xf numFmtId="166" fontId="10" fillId="4" borderId="0" xfId="0" applyNumberFormat="1" applyFont="1" applyFill="1"/>
    <xf numFmtId="166" fontId="10" fillId="4" borderId="0" xfId="1" applyNumberFormat="1" applyFont="1" applyFill="1"/>
    <xf numFmtId="166" fontId="7" fillId="4" borderId="0" xfId="1" applyNumberFormat="1" applyFont="1" applyFill="1"/>
    <xf numFmtId="0" fontId="7" fillId="4" borderId="0" xfId="0" applyFont="1" applyFill="1" applyAlignment="1">
      <alignment horizontal="right"/>
    </xf>
    <xf numFmtId="0" fontId="10" fillId="0" borderId="0" xfId="0" applyFont="1" applyAlignment="1">
      <alignment horizontal="right"/>
    </xf>
    <xf numFmtId="0" fontId="7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164" fontId="8" fillId="0" borderId="3" xfId="0" applyNumberFormat="1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164" fontId="8" fillId="0" borderId="5" xfId="0" applyNumberFormat="1" applyFont="1" applyBorder="1" applyAlignment="1">
      <alignment horizontal="center" vertical="center"/>
    </xf>
    <xf numFmtId="0" fontId="10" fillId="6" borderId="4" xfId="0" applyFont="1" applyFill="1" applyBorder="1" applyAlignment="1">
      <alignment horizontal="center" vertical="center"/>
    </xf>
    <xf numFmtId="164" fontId="7" fillId="6" borderId="3" xfId="0" applyNumberFormat="1" applyFont="1" applyFill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164" fontId="8" fillId="2" borderId="3" xfId="0" applyNumberFormat="1" applyFont="1" applyFill="1" applyBorder="1" applyAlignment="1">
      <alignment horizontal="center" vertical="center"/>
    </xf>
    <xf numFmtId="17" fontId="7" fillId="0" borderId="0" xfId="0" applyNumberFormat="1" applyFont="1" applyAlignment="1">
      <alignment horizontal="center"/>
    </xf>
    <xf numFmtId="1" fontId="7" fillId="0" borderId="0" xfId="0" applyNumberFormat="1" applyFont="1" applyAlignment="1">
      <alignment horizontal="center"/>
    </xf>
    <xf numFmtId="1" fontId="8" fillId="0" borderId="0" xfId="0" applyNumberFormat="1" applyFont="1" applyAlignment="1">
      <alignment vertical="center"/>
    </xf>
    <xf numFmtId="1" fontId="8" fillId="0" borderId="0" xfId="0" applyNumberFormat="1" applyFont="1"/>
    <xf numFmtId="1" fontId="7" fillId="5" borderId="0" xfId="0" applyNumberFormat="1" applyFont="1" applyFill="1" applyAlignment="1">
      <alignment horizontal="center"/>
    </xf>
    <xf numFmtId="166" fontId="7" fillId="5" borderId="0" xfId="1" applyNumberFormat="1" applyFont="1" applyFill="1" applyAlignment="1">
      <alignment vertical="center"/>
    </xf>
    <xf numFmtId="166" fontId="7" fillId="0" borderId="0" xfId="1" applyNumberFormat="1" applyFont="1" applyAlignment="1">
      <alignment vertical="center"/>
    </xf>
    <xf numFmtId="1" fontId="7" fillId="0" borderId="0" xfId="1" applyNumberFormat="1" applyFont="1" applyAlignment="1">
      <alignment vertical="center"/>
    </xf>
    <xf numFmtId="0" fontId="10" fillId="0" borderId="3" xfId="0" applyFont="1" applyBorder="1" applyAlignment="1">
      <alignment horizontal="center" vertical="center"/>
    </xf>
    <xf numFmtId="0" fontId="10" fillId="6" borderId="3" xfId="0" applyFont="1" applyFill="1" applyBorder="1" applyAlignment="1">
      <alignment horizontal="center" vertical="center"/>
    </xf>
    <xf numFmtId="165" fontId="7" fillId="6" borderId="3" xfId="0" applyNumberFormat="1" applyFont="1" applyFill="1" applyBorder="1" applyAlignment="1">
      <alignment horizontal="center" vertical="center"/>
    </xf>
    <xf numFmtId="166" fontId="7" fillId="0" borderId="0" xfId="1" applyNumberFormat="1" applyFont="1" applyFill="1" applyAlignment="1">
      <alignment vertical="center"/>
    </xf>
    <xf numFmtId="1" fontId="7" fillId="4" borderId="0" xfId="0" applyNumberFormat="1" applyFont="1" applyFill="1" applyAlignment="1">
      <alignment horizontal="center"/>
    </xf>
    <xf numFmtId="166" fontId="7" fillId="4" borderId="0" xfId="1" applyNumberFormat="1" applyFont="1" applyFill="1" applyAlignment="1">
      <alignment vertical="center"/>
    </xf>
    <xf numFmtId="0" fontId="10" fillId="4" borderId="0" xfId="1" applyNumberFormat="1" applyFont="1" applyFill="1"/>
    <xf numFmtId="164" fontId="9" fillId="0" borderId="0" xfId="0" applyNumberFormat="1" applyFont="1" applyFill="1" applyBorder="1" applyAlignment="1">
      <alignment horizontal="center" vertical="center"/>
    </xf>
    <xf numFmtId="164" fontId="9" fillId="0" borderId="0" xfId="0" applyNumberFormat="1" applyFont="1"/>
    <xf numFmtId="0" fontId="10" fillId="0" borderId="0" xfId="0" applyFont="1" applyFill="1"/>
    <xf numFmtId="166" fontId="10" fillId="0" borderId="0" xfId="1" applyNumberFormat="1" applyFont="1" applyFill="1"/>
    <xf numFmtId="165" fontId="7" fillId="6" borderId="3" xfId="4" applyNumberFormat="1" applyFont="1" applyFill="1" applyBorder="1" applyAlignment="1">
      <alignment horizontal="center" vertical="center"/>
    </xf>
    <xf numFmtId="165" fontId="7" fillId="6" borderId="4" xfId="4" applyNumberFormat="1" applyFont="1" applyFill="1" applyBorder="1" applyAlignment="1">
      <alignment horizontal="center" vertical="center"/>
    </xf>
    <xf numFmtId="165" fontId="11" fillId="9" borderId="7" xfId="6" applyNumberFormat="1" applyFont="1" applyBorder="1" applyAlignment="1">
      <alignment horizontal="center" vertical="center"/>
    </xf>
    <xf numFmtId="164" fontId="11" fillId="9" borderId="7" xfId="6" applyNumberFormat="1" applyFont="1" applyBorder="1" applyAlignment="1">
      <alignment horizontal="center" vertical="center"/>
    </xf>
    <xf numFmtId="14" fontId="8" fillId="2" borderId="3" xfId="0" applyNumberFormat="1" applyFont="1" applyFill="1" applyBorder="1" applyAlignment="1">
      <alignment horizontal="center" vertical="center"/>
    </xf>
    <xf numFmtId="165" fontId="11" fillId="0" borderId="0" xfId="6" applyNumberFormat="1" applyFont="1" applyFill="1" applyAlignment="1">
      <alignment horizontal="center" vertical="center"/>
    </xf>
    <xf numFmtId="164" fontId="11" fillId="0" borderId="0" xfId="6" applyNumberFormat="1" applyFont="1" applyFill="1" applyAlignment="1">
      <alignment horizontal="center" vertical="center"/>
    </xf>
    <xf numFmtId="14" fontId="8" fillId="0" borderId="3" xfId="0" applyNumberFormat="1" applyFont="1" applyFill="1" applyBorder="1" applyAlignment="1">
      <alignment horizontal="center" vertical="center"/>
    </xf>
    <xf numFmtId="164" fontId="8" fillId="0" borderId="0" xfId="0" applyNumberFormat="1" applyFont="1"/>
    <xf numFmtId="164" fontId="8" fillId="0" borderId="4" xfId="0" applyNumberFormat="1" applyFont="1" applyFill="1" applyBorder="1" applyAlignment="1">
      <alignment horizontal="center" vertical="center"/>
    </xf>
    <xf numFmtId="166" fontId="8" fillId="0" borderId="7" xfId="2" applyNumberFormat="1" applyFont="1" applyBorder="1" applyAlignment="1"/>
    <xf numFmtId="166" fontId="8" fillId="0" borderId="7" xfId="1" applyNumberFormat="1" applyFont="1" applyBorder="1" applyAlignment="1"/>
    <xf numFmtId="165" fontId="7" fillId="0" borderId="3" xfId="4" applyNumberFormat="1" applyFont="1" applyFill="1" applyBorder="1" applyAlignment="1">
      <alignment horizontal="center" vertical="center"/>
    </xf>
    <xf numFmtId="0" fontId="7" fillId="12" borderId="7" xfId="0" applyFont="1" applyFill="1" applyBorder="1"/>
    <xf numFmtId="166" fontId="7" fillId="12" borderId="7" xfId="1" applyNumberFormat="1" applyFont="1" applyFill="1" applyBorder="1" applyAlignment="1"/>
    <xf numFmtId="165" fontId="7" fillId="0" borderId="10" xfId="4" applyNumberFormat="1" applyFont="1" applyFill="1" applyBorder="1" applyAlignment="1">
      <alignment horizontal="center" vertical="center"/>
    </xf>
    <xf numFmtId="0" fontId="8" fillId="0" borderId="0" xfId="0" applyFont="1" applyFill="1"/>
    <xf numFmtId="166" fontId="8" fillId="0" borderId="0" xfId="0" applyNumberFormat="1" applyFont="1" applyFill="1" applyAlignment="1"/>
    <xf numFmtId="165" fontId="7" fillId="10" borderId="3" xfId="4" applyNumberFormat="1" applyFont="1" applyFill="1" applyBorder="1" applyAlignment="1">
      <alignment horizontal="center" vertical="center"/>
    </xf>
    <xf numFmtId="166" fontId="8" fillId="0" borderId="0" xfId="1" applyNumberFormat="1" applyFont="1"/>
    <xf numFmtId="0" fontId="10" fillId="0" borderId="14" xfId="0" applyFont="1" applyBorder="1"/>
    <xf numFmtId="165" fontId="8" fillId="0" borderId="14" xfId="0" applyNumberFormat="1" applyFont="1" applyBorder="1" applyAlignment="1">
      <alignment vertical="center"/>
    </xf>
    <xf numFmtId="164" fontId="8" fillId="2" borderId="4" xfId="0" applyNumberFormat="1" applyFont="1" applyFill="1" applyBorder="1" applyAlignment="1">
      <alignment horizontal="center" vertical="center"/>
    </xf>
    <xf numFmtId="1" fontId="7" fillId="0" borderId="0" xfId="0" applyNumberFormat="1" applyFont="1" applyFill="1" applyAlignment="1">
      <alignment horizontal="center"/>
    </xf>
    <xf numFmtId="164" fontId="8" fillId="2" borderId="0" xfId="0" applyNumberFormat="1" applyFont="1" applyFill="1" applyBorder="1" applyAlignment="1">
      <alignment horizontal="center" vertical="center"/>
    </xf>
    <xf numFmtId="164" fontId="8" fillId="0" borderId="0" xfId="0" applyNumberFormat="1" applyFont="1" applyFill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164" fontId="9" fillId="0" borderId="0" xfId="0" applyNumberFormat="1" applyFont="1" applyAlignment="1">
      <alignment vertical="center"/>
    </xf>
    <xf numFmtId="164" fontId="10" fillId="0" borderId="0" xfId="0" applyNumberFormat="1" applyFont="1" applyAlignment="1">
      <alignment vertical="center"/>
    </xf>
    <xf numFmtId="164" fontId="9" fillId="0" borderId="0" xfId="0" applyNumberFormat="1" applyFont="1" applyAlignment="1"/>
    <xf numFmtId="0" fontId="9" fillId="0" borderId="0" xfId="0" applyFont="1" applyAlignment="1"/>
    <xf numFmtId="0" fontId="7" fillId="0" borderId="15" xfId="0" applyFont="1" applyBorder="1" applyAlignment="1">
      <alignment horizontal="center"/>
    </xf>
    <xf numFmtId="0" fontId="9" fillId="0" borderId="16" xfId="0" applyFont="1" applyBorder="1" applyAlignment="1"/>
    <xf numFmtId="0" fontId="7" fillId="13" borderId="7" xfId="0" applyFont="1" applyFill="1" applyBorder="1" applyAlignment="1">
      <alignment horizontal="center"/>
    </xf>
    <xf numFmtId="165" fontId="7" fillId="0" borderId="11" xfId="4" applyNumberFormat="1" applyFont="1" applyFill="1" applyBorder="1" applyAlignment="1">
      <alignment horizontal="center" vertical="center"/>
    </xf>
    <xf numFmtId="165" fontId="7" fillId="0" borderId="12" xfId="4" applyNumberFormat="1" applyFont="1" applyFill="1" applyBorder="1" applyAlignment="1">
      <alignment horizontal="center" vertical="center"/>
    </xf>
    <xf numFmtId="165" fontId="7" fillId="0" borderId="1" xfId="4" applyNumberFormat="1" applyFont="1" applyFill="1" applyBorder="1" applyAlignment="1">
      <alignment horizontal="center" vertical="center"/>
    </xf>
    <xf numFmtId="165" fontId="7" fillId="0" borderId="2" xfId="4" applyNumberFormat="1" applyFont="1" applyFill="1" applyBorder="1" applyAlignment="1">
      <alignment horizontal="center" vertical="center"/>
    </xf>
    <xf numFmtId="165" fontId="7" fillId="6" borderId="8" xfId="4" applyNumberFormat="1" applyFont="1" applyFill="1" applyBorder="1" applyAlignment="1">
      <alignment horizontal="center" vertical="center"/>
    </xf>
    <xf numFmtId="165" fontId="7" fillId="6" borderId="9" xfId="4" applyNumberFormat="1" applyFont="1" applyFill="1" applyBorder="1" applyAlignment="1">
      <alignment horizontal="center" vertical="center"/>
    </xf>
    <xf numFmtId="165" fontId="7" fillId="10" borderId="3" xfId="4" applyNumberFormat="1" applyFont="1" applyFill="1" applyBorder="1" applyAlignment="1">
      <alignment horizontal="center" vertical="center"/>
    </xf>
    <xf numFmtId="166" fontId="8" fillId="0" borderId="0" xfId="1" applyNumberFormat="1" applyFont="1" applyAlignment="1">
      <alignment horizontal="center"/>
    </xf>
    <xf numFmtId="164" fontId="9" fillId="0" borderId="0" xfId="0" applyNumberFormat="1" applyFont="1" applyFill="1" applyBorder="1" applyAlignment="1">
      <alignment horizontal="center" vertical="center"/>
    </xf>
    <xf numFmtId="166" fontId="8" fillId="3" borderId="0" xfId="0" applyNumberFormat="1" applyFont="1" applyFill="1" applyAlignment="1">
      <alignment horizontal="center"/>
    </xf>
    <xf numFmtId="164" fontId="10" fillId="0" borderId="0" xfId="0" applyNumberFormat="1" applyFont="1" applyFill="1" applyBorder="1" applyAlignment="1">
      <alignment horizontal="center" vertical="center"/>
    </xf>
    <xf numFmtId="0" fontId="7" fillId="8" borderId="0" xfId="0" applyFont="1" applyFill="1" applyAlignment="1">
      <alignment horizontal="center" vertical="center"/>
    </xf>
    <xf numFmtId="166" fontId="8" fillId="0" borderId="0" xfId="2" applyNumberFormat="1" applyFont="1" applyAlignment="1">
      <alignment horizontal="center"/>
    </xf>
    <xf numFmtId="166" fontId="8" fillId="2" borderId="0" xfId="1" applyNumberFormat="1" applyFont="1" applyFill="1" applyAlignment="1">
      <alignment horizontal="center"/>
    </xf>
    <xf numFmtId="0" fontId="10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7" borderId="0" xfId="0" applyFont="1" applyFill="1" applyAlignment="1">
      <alignment horizontal="center"/>
    </xf>
    <xf numFmtId="0" fontId="5" fillId="0" borderId="0" xfId="0" applyFont="1" applyAlignment="1">
      <alignment horizontal="center"/>
    </xf>
  </cellXfs>
  <cellStyles count="10">
    <cellStyle name="Énfasis3" xfId="6" builtinId="37"/>
    <cellStyle name="Millares" xfId="1" builtinId="3"/>
    <cellStyle name="Millares [0]" xfId="2" builtinId="6"/>
    <cellStyle name="Millares [0] 2" xfId="5" xr:uid="{00000000-0005-0000-0000-000003000000}"/>
    <cellStyle name="Millares [0] 2 2" xfId="9" xr:uid="{00000000-0005-0000-0000-000004000000}"/>
    <cellStyle name="Millares [0] 3" xfId="8" xr:uid="{00000000-0005-0000-0000-000005000000}"/>
    <cellStyle name="Millares 2" xfId="7" xr:uid="{00000000-0005-0000-0000-000006000000}"/>
    <cellStyle name="Normal" xfId="0" builtinId="0"/>
    <cellStyle name="Normal 2" xfId="4" xr:uid="{00000000-0005-0000-0000-000008000000}"/>
    <cellStyle name="Porcentaje" xfId="3" builtinId="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D17"/>
  <sheetViews>
    <sheetView tabSelected="1" zoomScaleNormal="100" workbookViewId="0">
      <selection activeCell="C4" sqref="C4"/>
    </sheetView>
  </sheetViews>
  <sheetFormatPr baseColWidth="10" defaultColWidth="17.28515625" defaultRowHeight="12.75" x14ac:dyDescent="0.2"/>
  <cols>
    <col min="1" max="1" width="17.28515625" style="16"/>
    <col min="2" max="2" width="13.28515625" style="16" bestFit="1" customWidth="1"/>
    <col min="3" max="3" width="10" style="16" bestFit="1" customWidth="1"/>
    <col min="4" max="4" width="11.42578125" style="16" customWidth="1"/>
    <col min="5" max="16384" width="17.28515625" style="16"/>
  </cols>
  <sheetData>
    <row r="2" spans="2:4" x14ac:dyDescent="0.2">
      <c r="B2" s="134" t="s">
        <v>0</v>
      </c>
      <c r="C2" s="135"/>
      <c r="D2" s="32"/>
    </row>
    <row r="3" spans="2:4" x14ac:dyDescent="0.2">
      <c r="B3" s="123" t="s">
        <v>1</v>
      </c>
      <c r="C3" s="124">
        <f>1380000+170000</f>
        <v>1550000</v>
      </c>
      <c r="D3" s="32"/>
    </row>
    <row r="4" spans="2:4" x14ac:dyDescent="0.2">
      <c r="B4" s="33" t="s">
        <v>2</v>
      </c>
      <c r="C4" s="34">
        <v>12</v>
      </c>
      <c r="D4" s="32"/>
    </row>
    <row r="5" spans="2:4" x14ac:dyDescent="0.2">
      <c r="B5" s="33" t="s">
        <v>3</v>
      </c>
      <c r="C5" s="35">
        <v>0.03</v>
      </c>
      <c r="D5" s="32"/>
    </row>
    <row r="6" spans="2:4" x14ac:dyDescent="0.2">
      <c r="B6" s="36" t="s">
        <v>4</v>
      </c>
      <c r="C6" s="37">
        <f t="shared" ref="C6" si="0">ABS(PMT(C5,C4,C3))</f>
        <v>155716.23248309267</v>
      </c>
      <c r="D6" s="32"/>
    </row>
    <row r="7" spans="2:4" x14ac:dyDescent="0.2">
      <c r="B7" s="38"/>
      <c r="C7" s="38"/>
      <c r="D7" s="32"/>
    </row>
    <row r="8" spans="2:4" x14ac:dyDescent="0.2">
      <c r="B8" s="39" t="s">
        <v>5</v>
      </c>
      <c r="C8" s="34">
        <f t="shared" ref="C8" si="1">+(C6*C4)-C3</f>
        <v>318594.78979711188</v>
      </c>
      <c r="D8" s="32"/>
    </row>
    <row r="9" spans="2:4" x14ac:dyDescent="0.2">
      <c r="B9" s="40"/>
      <c r="C9" s="40"/>
      <c r="D9" s="32"/>
    </row>
    <row r="10" spans="2:4" x14ac:dyDescent="0.2">
      <c r="B10" s="38"/>
      <c r="C10" s="38"/>
      <c r="D10" s="32"/>
    </row>
    <row r="11" spans="2:4" x14ac:dyDescent="0.2">
      <c r="B11" s="134" t="s">
        <v>0</v>
      </c>
      <c r="C11" s="135"/>
      <c r="D11" s="32"/>
    </row>
    <row r="12" spans="2:4" x14ac:dyDescent="0.2">
      <c r="B12" s="123" t="s">
        <v>1</v>
      </c>
      <c r="C12" s="124">
        <v>2500000</v>
      </c>
      <c r="D12" s="32"/>
    </row>
    <row r="13" spans="2:4" x14ac:dyDescent="0.2">
      <c r="B13" s="33" t="s">
        <v>2</v>
      </c>
      <c r="C13" s="34">
        <v>18</v>
      </c>
      <c r="D13" s="32"/>
    </row>
    <row r="14" spans="2:4" x14ac:dyDescent="0.2">
      <c r="B14" s="33" t="s">
        <v>3</v>
      </c>
      <c r="C14" s="35">
        <v>0.03</v>
      </c>
      <c r="D14" s="32"/>
    </row>
    <row r="15" spans="2:4" x14ac:dyDescent="0.2">
      <c r="B15" s="36" t="s">
        <v>4</v>
      </c>
      <c r="C15" s="37">
        <f t="shared" ref="C15" si="2">ABS(PMT(C14,C13,C12))</f>
        <v>181771.73974074246</v>
      </c>
      <c r="D15" s="32"/>
    </row>
    <row r="16" spans="2:4" x14ac:dyDescent="0.2">
      <c r="B16" s="38"/>
      <c r="C16" s="38"/>
      <c r="D16" s="32"/>
    </row>
    <row r="17" spans="2:4" x14ac:dyDescent="0.2">
      <c r="B17" s="39" t="s">
        <v>5</v>
      </c>
      <c r="C17" s="34">
        <f t="shared" ref="C17" si="3">+(C15*C13)-C12</f>
        <v>771891.31533336407</v>
      </c>
      <c r="D17" s="32"/>
    </row>
  </sheetData>
  <mergeCells count="2">
    <mergeCell ref="B2:C2"/>
    <mergeCell ref="B11:C1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1"/>
  <sheetViews>
    <sheetView zoomScaleNormal="100" zoomScaleSheetLayoutView="100" workbookViewId="0">
      <selection activeCell="G18" sqref="G18"/>
    </sheetView>
  </sheetViews>
  <sheetFormatPr baseColWidth="10" defaultColWidth="12.42578125" defaultRowHeight="17.25" customHeight="1" x14ac:dyDescent="0.2"/>
  <cols>
    <col min="1" max="1" width="18.140625" style="16" bestFit="1" customWidth="1"/>
    <col min="2" max="2" width="12.85546875" style="16" bestFit="1" customWidth="1"/>
    <col min="3" max="3" width="12" style="16" bestFit="1" customWidth="1"/>
    <col min="4" max="4" width="11.5703125" style="16" bestFit="1" customWidth="1"/>
    <col min="5" max="6" width="14.140625" style="16" customWidth="1"/>
    <col min="7" max="7" width="9.85546875" style="16" bestFit="1" customWidth="1"/>
    <col min="8" max="8" width="9.42578125" style="16" bestFit="1" customWidth="1"/>
    <col min="9" max="9" width="20.5703125" style="16" bestFit="1" customWidth="1"/>
    <col min="10" max="10" width="11.5703125" style="16" bestFit="1" customWidth="1"/>
    <col min="11" max="11" width="22.42578125" style="16" bestFit="1" customWidth="1"/>
    <col min="12" max="16384" width="12.42578125" style="16"/>
  </cols>
  <sheetData>
    <row r="1" spans="1:11" s="47" customFormat="1" ht="17.25" customHeight="1" x14ac:dyDescent="0.2">
      <c r="A1" s="74"/>
      <c r="B1" s="103" t="s">
        <v>6</v>
      </c>
      <c r="C1" s="103" t="s">
        <v>7</v>
      </c>
      <c r="E1" s="141" t="s">
        <v>78</v>
      </c>
      <c r="F1" s="142"/>
      <c r="G1" s="104" t="s">
        <v>8</v>
      </c>
      <c r="I1" s="105" t="s">
        <v>9</v>
      </c>
      <c r="J1" s="106">
        <v>245000</v>
      </c>
      <c r="K1" s="47" t="s">
        <v>109</v>
      </c>
    </row>
    <row r="2" spans="1:11" ht="17.25" customHeight="1" x14ac:dyDescent="0.2">
      <c r="A2" s="76" t="s">
        <v>10</v>
      </c>
      <c r="B2" s="77">
        <v>3250000</v>
      </c>
      <c r="C2" s="77">
        <v>2160000</v>
      </c>
      <c r="E2" s="107">
        <v>43407</v>
      </c>
      <c r="F2" s="83" t="s">
        <v>11</v>
      </c>
      <c r="G2" s="83">
        <v>40000</v>
      </c>
      <c r="I2" s="108"/>
      <c r="J2" s="109"/>
    </row>
    <row r="3" spans="1:11" ht="17.25" customHeight="1" x14ac:dyDescent="0.2">
      <c r="A3" s="76" t="s">
        <v>12</v>
      </c>
      <c r="B3" s="77">
        <v>-30900</v>
      </c>
      <c r="C3" s="77">
        <v>-30900</v>
      </c>
      <c r="E3" s="107">
        <v>43411</v>
      </c>
      <c r="F3" s="83" t="s">
        <v>13</v>
      </c>
      <c r="G3" s="83">
        <v>80000</v>
      </c>
      <c r="J3" s="111"/>
    </row>
    <row r="4" spans="1:11" ht="17.25" customHeight="1" x14ac:dyDescent="0.2">
      <c r="A4" s="78"/>
      <c r="B4" s="79"/>
      <c r="C4" s="79"/>
      <c r="E4" s="107">
        <v>43414</v>
      </c>
      <c r="F4" s="83" t="s">
        <v>11</v>
      </c>
      <c r="G4" s="83">
        <v>40000</v>
      </c>
      <c r="J4" s="111"/>
    </row>
    <row r="5" spans="1:11" ht="17.25" customHeight="1" x14ac:dyDescent="0.2">
      <c r="A5" s="80" t="s">
        <v>14</v>
      </c>
      <c r="B5" s="81">
        <f t="shared" ref="B5:C5" si="0">SUM(B2:B3)</f>
        <v>3219100</v>
      </c>
      <c r="C5" s="81">
        <f t="shared" si="0"/>
        <v>2129100</v>
      </c>
      <c r="E5" s="107">
        <v>43418</v>
      </c>
      <c r="F5" s="83" t="s">
        <v>13</v>
      </c>
      <c r="G5" s="83">
        <v>80000</v>
      </c>
    </row>
    <row r="6" spans="1:11" ht="17.25" customHeight="1" x14ac:dyDescent="0.2">
      <c r="A6" s="82"/>
      <c r="B6" s="79"/>
      <c r="C6" s="79"/>
      <c r="E6" s="107">
        <v>43425</v>
      </c>
      <c r="F6" s="125" t="s">
        <v>13</v>
      </c>
      <c r="G6" s="125">
        <v>80000</v>
      </c>
      <c r="I6" s="136" t="s">
        <v>80</v>
      </c>
      <c r="J6" s="136"/>
    </row>
    <row r="7" spans="1:11" ht="17.25" customHeight="1" x14ac:dyDescent="0.2">
      <c r="A7" s="92" t="s">
        <v>15</v>
      </c>
      <c r="B7" s="77">
        <v>-396000</v>
      </c>
      <c r="C7" s="77">
        <v>-396000</v>
      </c>
      <c r="E7" s="107">
        <v>43428</v>
      </c>
      <c r="F7" s="83" t="s">
        <v>11</v>
      </c>
      <c r="G7" s="83">
        <v>40000</v>
      </c>
      <c r="I7" s="21" t="s">
        <v>8</v>
      </c>
      <c r="J7" s="113">
        <v>2325000</v>
      </c>
    </row>
    <row r="8" spans="1:11" ht="17.25" customHeight="1" x14ac:dyDescent="0.2">
      <c r="A8" s="92" t="s">
        <v>16</v>
      </c>
      <c r="B8" s="77">
        <v>-508000</v>
      </c>
      <c r="C8" s="77">
        <v>-582000</v>
      </c>
      <c r="E8" s="110">
        <v>43432</v>
      </c>
      <c r="F8" s="112" t="s">
        <v>13</v>
      </c>
      <c r="G8" s="112">
        <v>80000</v>
      </c>
      <c r="I8" s="21" t="s">
        <v>104</v>
      </c>
      <c r="J8" s="114">
        <v>483000</v>
      </c>
    </row>
    <row r="9" spans="1:11" ht="17.25" customHeight="1" x14ac:dyDescent="0.2">
      <c r="A9" s="92" t="s">
        <v>143</v>
      </c>
      <c r="B9" s="77">
        <v>-366300</v>
      </c>
      <c r="C9" s="77">
        <v>-366300</v>
      </c>
      <c r="E9" s="139" t="s">
        <v>20</v>
      </c>
      <c r="F9" s="140"/>
      <c r="G9" s="115">
        <v>40000</v>
      </c>
      <c r="I9" s="116" t="s">
        <v>107</v>
      </c>
      <c r="J9" s="117">
        <f>+J7+J8</f>
        <v>2808000</v>
      </c>
    </row>
    <row r="10" spans="1:11" ht="17.25" customHeight="1" x14ac:dyDescent="0.2">
      <c r="A10" s="92" t="s">
        <v>17</v>
      </c>
      <c r="B10" s="77">
        <v>-100000</v>
      </c>
      <c r="C10" s="77">
        <v>-100000</v>
      </c>
      <c r="E10" s="139" t="s">
        <v>14</v>
      </c>
      <c r="F10" s="140"/>
      <c r="G10" s="118">
        <f>SUM(G2:G9)</f>
        <v>480000</v>
      </c>
      <c r="I10" s="21" t="s">
        <v>105</v>
      </c>
      <c r="J10" s="114">
        <v>12</v>
      </c>
    </row>
    <row r="11" spans="1:11" ht="17.25" customHeight="1" x14ac:dyDescent="0.2">
      <c r="A11" s="92" t="s">
        <v>18</v>
      </c>
      <c r="B11" s="77">
        <v>-200000</v>
      </c>
      <c r="C11" s="77">
        <v>-200000</v>
      </c>
      <c r="E11" s="139" t="s">
        <v>22</v>
      </c>
      <c r="F11" s="140"/>
      <c r="G11" s="118">
        <f>G10/2</f>
        <v>240000</v>
      </c>
      <c r="I11" s="21" t="s">
        <v>45</v>
      </c>
      <c r="J11" s="114">
        <f>+J9/J10</f>
        <v>234000</v>
      </c>
    </row>
    <row r="12" spans="1:11" ht="17.25" customHeight="1" x14ac:dyDescent="0.2">
      <c r="A12" s="92" t="s">
        <v>19</v>
      </c>
      <c r="B12" s="77">
        <v>-362000</v>
      </c>
      <c r="C12" s="77">
        <v>-362000</v>
      </c>
      <c r="E12" s="137" t="s">
        <v>24</v>
      </c>
      <c r="F12" s="138"/>
      <c r="G12" s="118">
        <f>G10/2</f>
        <v>240000</v>
      </c>
      <c r="I12" s="116" t="s">
        <v>106</v>
      </c>
      <c r="J12" s="117">
        <f>J11/3</f>
        <v>78000</v>
      </c>
      <c r="K12" s="47"/>
    </row>
    <row r="13" spans="1:11" ht="17.25" customHeight="1" x14ac:dyDescent="0.2">
      <c r="A13" s="92" t="s">
        <v>21</v>
      </c>
      <c r="B13" s="77">
        <v>-260000</v>
      </c>
      <c r="C13" s="77">
        <v>0</v>
      </c>
      <c r="H13" s="41"/>
      <c r="I13" s="119"/>
      <c r="J13" s="120"/>
    </row>
    <row r="14" spans="1:11" ht="17.25" customHeight="1" x14ac:dyDescent="0.2">
      <c r="A14" s="92" t="s">
        <v>144</v>
      </c>
      <c r="B14" s="77">
        <v>-550000</v>
      </c>
      <c r="C14" s="77">
        <v>-550000</v>
      </c>
      <c r="I14" s="144"/>
      <c r="J14" s="144"/>
    </row>
    <row r="15" spans="1:11" ht="17.25" customHeight="1" x14ac:dyDescent="0.2">
      <c r="A15" s="92" t="s">
        <v>23</v>
      </c>
      <c r="B15" s="77">
        <v>-100000</v>
      </c>
      <c r="C15" s="77">
        <v>-100000</v>
      </c>
      <c r="E15" s="143" t="s">
        <v>27</v>
      </c>
      <c r="F15" s="143"/>
      <c r="G15" s="121">
        <v>280000</v>
      </c>
      <c r="J15" s="122"/>
    </row>
    <row r="16" spans="1:11" ht="17.25" customHeight="1" x14ac:dyDescent="0.2">
      <c r="A16" s="92" t="s">
        <v>25</v>
      </c>
      <c r="B16" s="77">
        <v>-50000</v>
      </c>
      <c r="C16" s="77">
        <v>-50000</v>
      </c>
      <c r="E16" s="143" t="s">
        <v>28</v>
      </c>
      <c r="F16" s="143"/>
      <c r="G16" s="121">
        <v>280000</v>
      </c>
      <c r="J16" s="122"/>
    </row>
    <row r="17" spans="1:12" ht="17.25" customHeight="1" x14ac:dyDescent="0.2">
      <c r="A17" s="92" t="s">
        <v>26</v>
      </c>
      <c r="B17" s="77">
        <v>-100000</v>
      </c>
      <c r="C17" s="77">
        <v>-100000</v>
      </c>
      <c r="E17" s="143" t="s">
        <v>29</v>
      </c>
      <c r="F17" s="143"/>
      <c r="G17" s="121">
        <v>260000</v>
      </c>
      <c r="J17" s="122"/>
    </row>
    <row r="18" spans="1:12" ht="17.25" customHeight="1" x14ac:dyDescent="0.2">
      <c r="A18" s="82"/>
      <c r="B18" s="79"/>
      <c r="C18" s="79"/>
      <c r="E18" s="143" t="s">
        <v>30</v>
      </c>
      <c r="F18" s="143"/>
      <c r="G18" s="121">
        <v>260000</v>
      </c>
      <c r="J18" s="122"/>
    </row>
    <row r="19" spans="1:12" ht="17.25" customHeight="1" x14ac:dyDescent="0.2">
      <c r="A19" s="93" t="s">
        <v>14</v>
      </c>
      <c r="B19" s="94">
        <f>SUM(B5:B17)</f>
        <v>226800</v>
      </c>
      <c r="C19" s="94">
        <f>SUM(C5:C17)</f>
        <v>-677200</v>
      </c>
      <c r="J19" s="122"/>
    </row>
    <row r="20" spans="1:12" ht="17.25" customHeight="1" x14ac:dyDescent="0.2">
      <c r="J20" s="122"/>
    </row>
    <row r="21" spans="1:12" ht="17.25" customHeight="1" x14ac:dyDescent="0.2">
      <c r="J21" s="122"/>
    </row>
    <row r="22" spans="1:12" ht="17.25" customHeight="1" x14ac:dyDescent="0.2">
      <c r="J22" s="122"/>
    </row>
    <row r="23" spans="1:12" ht="17.25" customHeight="1" x14ac:dyDescent="0.2">
      <c r="J23" s="122"/>
    </row>
    <row r="24" spans="1:12" ht="17.25" customHeight="1" x14ac:dyDescent="0.2">
      <c r="J24" s="122"/>
      <c r="L24" s="55"/>
    </row>
    <row r="25" spans="1:12" ht="17.25" customHeight="1" x14ac:dyDescent="0.2">
      <c r="J25" s="122"/>
    </row>
    <row r="26" spans="1:12" ht="17.25" customHeight="1" x14ac:dyDescent="0.2">
      <c r="J26" s="122"/>
    </row>
    <row r="27" spans="1:12" ht="17.25" customHeight="1" x14ac:dyDescent="0.2">
      <c r="J27" s="122"/>
    </row>
    <row r="28" spans="1:12" ht="17.25" customHeight="1" x14ac:dyDescent="0.2">
      <c r="J28" s="122"/>
    </row>
    <row r="29" spans="1:12" ht="17.25" customHeight="1" x14ac:dyDescent="0.2">
      <c r="J29" s="122"/>
    </row>
    <row r="30" spans="1:12" ht="17.25" customHeight="1" x14ac:dyDescent="0.2">
      <c r="J30" s="122"/>
    </row>
    <row r="31" spans="1:12" ht="17.25" customHeight="1" x14ac:dyDescent="0.2">
      <c r="J31" s="122"/>
    </row>
  </sheetData>
  <mergeCells count="11">
    <mergeCell ref="E17:F17"/>
    <mergeCell ref="E18:F18"/>
    <mergeCell ref="E15:F15"/>
    <mergeCell ref="E16:F16"/>
    <mergeCell ref="I14:J14"/>
    <mergeCell ref="I6:J6"/>
    <mergeCell ref="E12:F12"/>
    <mergeCell ref="E11:F11"/>
    <mergeCell ref="E1:F1"/>
    <mergeCell ref="E10:F10"/>
    <mergeCell ref="E9:F9"/>
  </mergeCells>
  <printOptions horizontalCentered="1" verticalCentered="1"/>
  <pageMargins left="0.39370078740157483" right="0.39370078740157483" top="0.39370078740157483" bottom="0.39370078740157483" header="0.31496062992125984" footer="0.31496062992125984"/>
  <pageSetup scale="87" orientation="portrait" r:id="rId1"/>
  <colBreaks count="1" manualBreakCount="1">
    <brk id="3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77"/>
  <sheetViews>
    <sheetView zoomScaleNormal="100" zoomScaleSheetLayoutView="100" workbookViewId="0">
      <selection activeCell="G26" sqref="G26"/>
    </sheetView>
  </sheetViews>
  <sheetFormatPr baseColWidth="10" defaultColWidth="12.42578125" defaultRowHeight="12.75" x14ac:dyDescent="0.2"/>
  <cols>
    <col min="1" max="1" width="13.28515625" style="47" bestFit="1" customWidth="1"/>
    <col min="2" max="2" width="2.140625" style="47" bestFit="1" customWidth="1"/>
    <col min="3" max="3" width="15.42578125" style="47" customWidth="1"/>
    <col min="4" max="4" width="2.140625" style="47" bestFit="1" customWidth="1"/>
    <col min="5" max="5" width="15.42578125" style="47" customWidth="1"/>
    <col min="6" max="6" width="3.28515625" style="38" bestFit="1" customWidth="1"/>
    <col min="7" max="7" width="15.42578125" style="38" customWidth="1"/>
    <col min="8" max="8" width="3.28515625" style="47" bestFit="1" customWidth="1"/>
    <col min="9" max="9" width="15.42578125" style="16" customWidth="1"/>
    <col min="10" max="10" width="3.28515625" style="16" bestFit="1" customWidth="1"/>
    <col min="11" max="11" width="15.42578125" style="16" customWidth="1"/>
    <col min="12" max="12" width="3.28515625" style="38" bestFit="1" customWidth="1"/>
    <col min="13" max="13" width="15.42578125" style="38" customWidth="1"/>
    <col min="14" max="14" width="3.28515625" style="16" bestFit="1" customWidth="1"/>
    <col min="15" max="15" width="15.42578125" style="16" customWidth="1"/>
    <col min="16" max="16" width="3.28515625" style="16" bestFit="1" customWidth="1"/>
    <col min="17" max="17" width="15.42578125" style="16" customWidth="1"/>
    <col min="18" max="18" width="3.28515625" style="16" bestFit="1" customWidth="1"/>
    <col min="19" max="19" width="15.42578125" style="16" customWidth="1"/>
    <col min="20" max="21" width="12.42578125" style="16"/>
    <col min="22" max="22" width="18.140625" style="16" bestFit="1" customWidth="1"/>
    <col min="23" max="23" width="43.28515625" style="16" bestFit="1" customWidth="1"/>
    <col min="24" max="27" width="11.5703125" style="16" bestFit="1" customWidth="1"/>
    <col min="28" max="29" width="11.85546875" style="16" customWidth="1"/>
    <col min="30" max="32" width="11.5703125" style="16" bestFit="1" customWidth="1"/>
    <col min="33" max="16384" width="12.42578125" style="16"/>
  </cols>
  <sheetData>
    <row r="1" spans="1:32" x14ac:dyDescent="0.2">
      <c r="A1" s="73"/>
      <c r="B1" s="148" t="s">
        <v>36</v>
      </c>
      <c r="C1" s="148"/>
      <c r="D1" s="148" t="s">
        <v>108</v>
      </c>
      <c r="E1" s="148"/>
      <c r="F1" s="148" t="s">
        <v>57</v>
      </c>
      <c r="G1" s="148"/>
      <c r="H1" s="148" t="s">
        <v>37</v>
      </c>
      <c r="I1" s="148"/>
      <c r="J1" s="148" t="s">
        <v>38</v>
      </c>
      <c r="K1" s="148"/>
      <c r="L1" s="148" t="s">
        <v>80</v>
      </c>
      <c r="M1" s="148"/>
      <c r="N1" s="148" t="s">
        <v>39</v>
      </c>
      <c r="O1" s="148"/>
      <c r="P1" s="148" t="s">
        <v>40</v>
      </c>
      <c r="Q1" s="148"/>
      <c r="R1" s="148" t="s">
        <v>142</v>
      </c>
      <c r="S1" s="148"/>
      <c r="V1" s="74"/>
      <c r="W1" s="75" t="s">
        <v>6</v>
      </c>
      <c r="X1" s="151" t="s">
        <v>7</v>
      </c>
      <c r="Y1" s="152"/>
      <c r="Z1" s="75" t="s">
        <v>113</v>
      </c>
      <c r="AA1" s="75" t="s">
        <v>114</v>
      </c>
      <c r="AB1" s="75" t="s">
        <v>115</v>
      </c>
      <c r="AC1" s="75" t="s">
        <v>116</v>
      </c>
      <c r="AD1" s="75" t="s">
        <v>117</v>
      </c>
      <c r="AE1" s="151" t="s">
        <v>118</v>
      </c>
      <c r="AF1" s="152"/>
    </row>
    <row r="2" spans="1:32" x14ac:dyDescent="0.2">
      <c r="A2" s="40" t="s">
        <v>8</v>
      </c>
      <c r="B2" s="149">
        <v>100000</v>
      </c>
      <c r="C2" s="149"/>
      <c r="D2" s="149">
        <v>67900</v>
      </c>
      <c r="E2" s="149"/>
      <c r="F2" s="149">
        <v>678612</v>
      </c>
      <c r="G2" s="149"/>
      <c r="H2" s="149">
        <v>443000</v>
      </c>
      <c r="I2" s="149"/>
      <c r="J2" s="149">
        <v>2550000</v>
      </c>
      <c r="K2" s="149"/>
      <c r="L2" s="149">
        <v>2325000</v>
      </c>
      <c r="M2" s="149"/>
      <c r="N2" s="149">
        <v>3368000</v>
      </c>
      <c r="O2" s="149"/>
      <c r="P2" s="149">
        <v>3093005</v>
      </c>
      <c r="Q2" s="149"/>
      <c r="R2" s="149">
        <v>1410000</v>
      </c>
      <c r="S2" s="149"/>
      <c r="V2" s="76" t="s">
        <v>41</v>
      </c>
      <c r="W2" s="77">
        <v>5000000</v>
      </c>
      <c r="X2" s="77">
        <v>2500000</v>
      </c>
      <c r="Y2" s="77">
        <v>5000000</v>
      </c>
      <c r="Z2" s="77">
        <v>5000000</v>
      </c>
      <c r="AA2" s="77">
        <v>5000000</v>
      </c>
      <c r="AB2" s="77">
        <v>5000000</v>
      </c>
      <c r="AC2" s="77">
        <v>5000000</v>
      </c>
      <c r="AD2" s="77">
        <v>5000000</v>
      </c>
      <c r="AE2" s="77">
        <v>2500000</v>
      </c>
      <c r="AF2" s="77">
        <v>5000000</v>
      </c>
    </row>
    <row r="3" spans="1:32" x14ac:dyDescent="0.2">
      <c r="A3" s="40" t="s">
        <v>32</v>
      </c>
      <c r="B3" s="144">
        <v>4600</v>
      </c>
      <c r="C3" s="144"/>
      <c r="D3" s="144">
        <v>4100</v>
      </c>
      <c r="E3" s="144"/>
      <c r="F3" s="144">
        <v>137388</v>
      </c>
      <c r="G3" s="144"/>
      <c r="H3" s="144">
        <f>161705+3295</f>
        <v>165000</v>
      </c>
      <c r="I3" s="144"/>
      <c r="J3" s="144">
        <v>798000</v>
      </c>
      <c r="K3" s="144"/>
      <c r="L3" s="144">
        <v>483000</v>
      </c>
      <c r="M3" s="144"/>
      <c r="N3" s="144">
        <v>2185618</v>
      </c>
      <c r="O3" s="144"/>
      <c r="P3" s="149">
        <v>2007164</v>
      </c>
      <c r="Q3" s="149"/>
      <c r="R3" s="149">
        <v>294000</v>
      </c>
      <c r="S3" s="149"/>
      <c r="V3" s="76" t="s">
        <v>42</v>
      </c>
      <c r="W3" s="77">
        <v>0</v>
      </c>
      <c r="X3" s="77">
        <v>0</v>
      </c>
      <c r="Y3" s="77">
        <v>0</v>
      </c>
      <c r="Z3" s="77">
        <v>0</v>
      </c>
      <c r="AA3" s="77">
        <v>0</v>
      </c>
      <c r="AB3" s="77">
        <v>0</v>
      </c>
      <c r="AC3" s="77">
        <v>0</v>
      </c>
      <c r="AD3" s="77">
        <v>0</v>
      </c>
      <c r="AE3" s="77">
        <v>0</v>
      </c>
      <c r="AF3" s="77">
        <v>0</v>
      </c>
    </row>
    <row r="4" spans="1:32" x14ac:dyDescent="0.2">
      <c r="A4" s="40" t="s">
        <v>14</v>
      </c>
      <c r="B4" s="144">
        <f>+B2+B3</f>
        <v>104600</v>
      </c>
      <c r="C4" s="144"/>
      <c r="D4" s="144">
        <f>+D2+D3</f>
        <v>72000</v>
      </c>
      <c r="E4" s="144"/>
      <c r="F4" s="144">
        <f>+F2+F3</f>
        <v>816000</v>
      </c>
      <c r="G4" s="144"/>
      <c r="H4" s="144">
        <f>+H2+H3</f>
        <v>608000</v>
      </c>
      <c r="I4" s="144"/>
      <c r="J4" s="144">
        <f>+J2+J3</f>
        <v>3348000</v>
      </c>
      <c r="K4" s="150"/>
      <c r="L4" s="144">
        <f>+L2+L3</f>
        <v>2808000</v>
      </c>
      <c r="M4" s="144"/>
      <c r="N4" s="144">
        <f>+N2+N3</f>
        <v>5553618</v>
      </c>
      <c r="O4" s="150"/>
      <c r="P4" s="144">
        <f>+P2+P3</f>
        <v>5100169</v>
      </c>
      <c r="Q4" s="144"/>
      <c r="R4" s="144">
        <f>+R2+R3</f>
        <v>1704000</v>
      </c>
      <c r="S4" s="144"/>
      <c r="T4" s="55"/>
      <c r="V4" s="76" t="s">
        <v>43</v>
      </c>
      <c r="W4" s="77">
        <v>-500000</v>
      </c>
      <c r="X4" s="77">
        <v>0</v>
      </c>
      <c r="Y4" s="77">
        <v>-500000</v>
      </c>
      <c r="Z4" s="77">
        <v>-500000</v>
      </c>
      <c r="AA4" s="77">
        <v>-500000</v>
      </c>
      <c r="AB4" s="77">
        <v>-500000</v>
      </c>
      <c r="AC4" s="77">
        <v>-500000</v>
      </c>
      <c r="AD4" s="77">
        <v>-500000</v>
      </c>
      <c r="AE4" s="77">
        <v>0</v>
      </c>
      <c r="AF4" s="77">
        <v>-500000</v>
      </c>
    </row>
    <row r="5" spans="1:32" x14ac:dyDescent="0.2">
      <c r="A5" s="40" t="s">
        <v>44</v>
      </c>
      <c r="B5" s="144">
        <v>2</v>
      </c>
      <c r="C5" s="144"/>
      <c r="D5" s="144">
        <v>2</v>
      </c>
      <c r="E5" s="144"/>
      <c r="F5" s="144">
        <v>12</v>
      </c>
      <c r="G5" s="144"/>
      <c r="H5" s="144">
        <v>24</v>
      </c>
      <c r="I5" s="144"/>
      <c r="J5" s="144">
        <v>18</v>
      </c>
      <c r="K5" s="150"/>
      <c r="L5" s="144">
        <v>12</v>
      </c>
      <c r="M5" s="144"/>
      <c r="N5" s="144">
        <v>36</v>
      </c>
      <c r="O5" s="150"/>
      <c r="P5" s="144">
        <v>36</v>
      </c>
      <c r="Q5" s="144"/>
      <c r="R5" s="144">
        <v>12</v>
      </c>
      <c r="S5" s="144"/>
      <c r="V5" s="78"/>
      <c r="W5" s="79"/>
      <c r="X5" s="79"/>
      <c r="Y5" s="79"/>
      <c r="Z5" s="79"/>
      <c r="AA5" s="79"/>
      <c r="AB5" s="79"/>
      <c r="AC5" s="79"/>
      <c r="AD5" s="79"/>
      <c r="AE5" s="79"/>
      <c r="AF5" s="79"/>
    </row>
    <row r="6" spans="1:32" x14ac:dyDescent="0.2">
      <c r="A6" s="40" t="s">
        <v>45</v>
      </c>
      <c r="B6" s="144">
        <f>+B4/B5</f>
        <v>52300</v>
      </c>
      <c r="C6" s="144"/>
      <c r="D6" s="144">
        <f>+D4/D5</f>
        <v>36000</v>
      </c>
      <c r="E6" s="144"/>
      <c r="F6" s="144">
        <f>+F4/F5</f>
        <v>68000</v>
      </c>
      <c r="G6" s="144"/>
      <c r="H6" s="144">
        <f>+H4/H5</f>
        <v>25333.333333333332</v>
      </c>
      <c r="I6" s="144"/>
      <c r="J6" s="144">
        <f>+J4/J5</f>
        <v>186000</v>
      </c>
      <c r="K6" s="150"/>
      <c r="L6" s="144">
        <f>+L4/L5</f>
        <v>234000</v>
      </c>
      <c r="M6" s="144"/>
      <c r="N6" s="144">
        <f>+N4/N5</f>
        <v>154267.16666666666</v>
      </c>
      <c r="O6" s="150"/>
      <c r="P6" s="144">
        <f>+P4/P5</f>
        <v>141671.36111111112</v>
      </c>
      <c r="Q6" s="144"/>
      <c r="R6" s="144">
        <f>+R4/R5</f>
        <v>142000</v>
      </c>
      <c r="S6" s="144"/>
      <c r="V6" s="80" t="s">
        <v>14</v>
      </c>
      <c r="W6" s="81">
        <f t="shared" ref="W6:AF6" si="0">SUM(W2:W4)</f>
        <v>4500000</v>
      </c>
      <c r="X6" s="81">
        <f t="shared" si="0"/>
        <v>2500000</v>
      </c>
      <c r="Y6" s="81">
        <f t="shared" si="0"/>
        <v>4500000</v>
      </c>
      <c r="Z6" s="81">
        <f t="shared" si="0"/>
        <v>4500000</v>
      </c>
      <c r="AA6" s="81">
        <f t="shared" si="0"/>
        <v>4500000</v>
      </c>
      <c r="AB6" s="81">
        <f t="shared" si="0"/>
        <v>4500000</v>
      </c>
      <c r="AC6" s="81">
        <f t="shared" si="0"/>
        <v>4500000</v>
      </c>
      <c r="AD6" s="81">
        <f t="shared" si="0"/>
        <v>4500000</v>
      </c>
      <c r="AE6" s="81">
        <f t="shared" si="0"/>
        <v>2500000</v>
      </c>
      <c r="AF6" s="81">
        <f t="shared" si="0"/>
        <v>4500000</v>
      </c>
    </row>
    <row r="7" spans="1:32" x14ac:dyDescent="0.2">
      <c r="A7" s="40" t="s">
        <v>46</v>
      </c>
      <c r="B7" s="144">
        <f>+SUM(C11:C57)</f>
        <v>104600</v>
      </c>
      <c r="C7" s="144"/>
      <c r="D7" s="144">
        <f>+SUM(E11:E57)</f>
        <v>72000</v>
      </c>
      <c r="E7" s="144"/>
      <c r="F7" s="144">
        <f>+SUM(G11:G57)</f>
        <v>68000</v>
      </c>
      <c r="G7" s="144"/>
      <c r="H7" s="144">
        <f>+SUM(I11:I57)</f>
        <v>329550</v>
      </c>
      <c r="I7" s="144"/>
      <c r="J7" s="144">
        <f>+SUM(K11:K57)</f>
        <v>744000</v>
      </c>
      <c r="K7" s="150"/>
      <c r="L7" s="144">
        <f>+SUM(M11:M57)</f>
        <v>234000</v>
      </c>
      <c r="M7" s="150"/>
      <c r="N7" s="144">
        <f>+SUM(O11:O56)</f>
        <v>617200</v>
      </c>
      <c r="O7" s="150"/>
      <c r="P7" s="144">
        <f>+SUM(Q11:Q56)</f>
        <v>566800</v>
      </c>
      <c r="Q7" s="144"/>
      <c r="R7" s="144">
        <f>+SUM(S11:S56)</f>
        <v>0</v>
      </c>
      <c r="S7" s="144"/>
      <c r="V7" s="82"/>
      <c r="W7" s="79"/>
      <c r="X7" s="79"/>
      <c r="Y7" s="79"/>
      <c r="Z7" s="79"/>
      <c r="AA7" s="79"/>
      <c r="AB7" s="79"/>
      <c r="AC7" s="79"/>
      <c r="AD7" s="79"/>
      <c r="AE7" s="79"/>
      <c r="AF7" s="79"/>
    </row>
    <row r="8" spans="1:32" x14ac:dyDescent="0.2">
      <c r="A8" s="40" t="s">
        <v>47</v>
      </c>
      <c r="B8" s="146">
        <f>B4-B7</f>
        <v>0</v>
      </c>
      <c r="C8" s="146"/>
      <c r="D8" s="146">
        <f>D4-D7</f>
        <v>0</v>
      </c>
      <c r="E8" s="146"/>
      <c r="F8" s="146">
        <f>F4-F7</f>
        <v>748000</v>
      </c>
      <c r="G8" s="146"/>
      <c r="H8" s="146">
        <f>H4-H7</f>
        <v>278450</v>
      </c>
      <c r="I8" s="146"/>
      <c r="J8" s="146">
        <f>J4-J7</f>
        <v>2604000</v>
      </c>
      <c r="K8" s="146"/>
      <c r="L8" s="146">
        <f>L4-L7</f>
        <v>2574000</v>
      </c>
      <c r="M8" s="146"/>
      <c r="N8" s="146">
        <f>N4-N7</f>
        <v>4936418</v>
      </c>
      <c r="O8" s="146"/>
      <c r="P8" s="146">
        <f>P4-P7</f>
        <v>4533369</v>
      </c>
      <c r="Q8" s="146"/>
      <c r="R8" s="146">
        <f>R4-R7</f>
        <v>1704000</v>
      </c>
      <c r="S8" s="146"/>
      <c r="V8" s="76" t="s">
        <v>48</v>
      </c>
      <c r="W8" s="83">
        <f>-110000-62000</f>
        <v>-172000</v>
      </c>
      <c r="X8" s="77">
        <v>0</v>
      </c>
      <c r="Y8" s="77">
        <f t="shared" ref="Y8:AD8" si="1">-110000-62000</f>
        <v>-172000</v>
      </c>
      <c r="Z8" s="77">
        <f t="shared" si="1"/>
        <v>-172000</v>
      </c>
      <c r="AA8" s="77">
        <f t="shared" si="1"/>
        <v>-172000</v>
      </c>
      <c r="AB8" s="77">
        <f t="shared" si="1"/>
        <v>-172000</v>
      </c>
      <c r="AC8" s="77">
        <f t="shared" si="1"/>
        <v>-172000</v>
      </c>
      <c r="AD8" s="77">
        <f t="shared" si="1"/>
        <v>-172000</v>
      </c>
      <c r="AE8" s="77">
        <v>0</v>
      </c>
      <c r="AF8" s="77">
        <f>-110000-62000</f>
        <v>-172000</v>
      </c>
    </row>
    <row r="9" spans="1:32" x14ac:dyDescent="0.2">
      <c r="A9" s="40" t="s">
        <v>49</v>
      </c>
      <c r="B9" s="144">
        <f>B5-COUNT(C11:C36)</f>
        <v>0</v>
      </c>
      <c r="C9" s="144"/>
      <c r="D9" s="144">
        <f>D5-COUNT(E11:E36)</f>
        <v>0</v>
      </c>
      <c r="E9" s="144"/>
      <c r="F9" s="144">
        <f>F5-COUNT(G11:G36)</f>
        <v>11</v>
      </c>
      <c r="G9" s="144"/>
      <c r="H9" s="144">
        <f>H5-COUNT(I11:I36)</f>
        <v>11</v>
      </c>
      <c r="I9" s="144"/>
      <c r="J9" s="144">
        <f>J5-COUNT(K11:K39)</f>
        <v>14</v>
      </c>
      <c r="K9" s="144"/>
      <c r="L9" s="144">
        <f>L5-COUNT(M11:M39)</f>
        <v>11</v>
      </c>
      <c r="M9" s="144"/>
      <c r="N9" s="144">
        <f>N5-COUNT(O11:O39)</f>
        <v>32</v>
      </c>
      <c r="O9" s="144"/>
      <c r="P9" s="144">
        <f>P5-COUNT(Q11:Q39)</f>
        <v>32</v>
      </c>
      <c r="Q9" s="144"/>
      <c r="R9" s="144">
        <f>R5-COUNT(S11:S39)</f>
        <v>12</v>
      </c>
      <c r="S9" s="144"/>
      <c r="V9" s="76" t="s">
        <v>50</v>
      </c>
      <c r="W9" s="83">
        <f>-63897*2</f>
        <v>-127794</v>
      </c>
      <c r="X9" s="77">
        <v>0</v>
      </c>
      <c r="Y9" s="77">
        <v>-130000</v>
      </c>
      <c r="Z9" s="77">
        <v>-130000</v>
      </c>
      <c r="AA9" s="77">
        <v>-130000</v>
      </c>
      <c r="AB9" s="77">
        <v>-130000</v>
      </c>
      <c r="AC9" s="77">
        <v>-130000</v>
      </c>
      <c r="AD9" s="77">
        <v>-130000</v>
      </c>
      <c r="AE9" s="77">
        <v>0</v>
      </c>
      <c r="AF9" s="77">
        <v>-130000</v>
      </c>
    </row>
    <row r="10" spans="1:32" x14ac:dyDescent="0.2">
      <c r="F10" s="16"/>
      <c r="G10" s="16"/>
      <c r="L10" s="16"/>
      <c r="M10" s="16"/>
      <c r="V10" s="76" t="s">
        <v>17</v>
      </c>
      <c r="W10" s="77">
        <v>-100000</v>
      </c>
      <c r="X10" s="77">
        <v>0</v>
      </c>
      <c r="Y10" s="77">
        <v>-100000</v>
      </c>
      <c r="Z10" s="77">
        <v>-100000</v>
      </c>
      <c r="AA10" s="77">
        <v>-100000</v>
      </c>
      <c r="AB10" s="77">
        <v>-100000</v>
      </c>
      <c r="AC10" s="77">
        <v>-100000</v>
      </c>
      <c r="AD10" s="77">
        <v>-100000</v>
      </c>
      <c r="AE10" s="77">
        <v>0</v>
      </c>
      <c r="AF10" s="77">
        <v>-100000</v>
      </c>
    </row>
    <row r="11" spans="1:32" x14ac:dyDescent="0.2">
      <c r="A11" s="84">
        <v>42979</v>
      </c>
      <c r="B11" s="84"/>
      <c r="C11" s="84"/>
      <c r="D11" s="84"/>
      <c r="E11" s="84"/>
      <c r="F11" s="55"/>
      <c r="G11" s="55"/>
      <c r="H11" s="85"/>
      <c r="I11" s="27"/>
      <c r="J11" s="86"/>
      <c r="K11" s="27"/>
      <c r="L11" s="55"/>
      <c r="M11" s="55"/>
      <c r="N11" s="27"/>
      <c r="O11" s="27"/>
      <c r="P11" s="27"/>
      <c r="Q11" s="27"/>
      <c r="R11" s="27"/>
      <c r="S11" s="27"/>
      <c r="V11" s="76" t="s">
        <v>51</v>
      </c>
      <c r="W11" s="83">
        <v>-1430000</v>
      </c>
      <c r="X11" s="77">
        <v>0</v>
      </c>
      <c r="Y11" s="77">
        <v>-1430000</v>
      </c>
      <c r="Z11" s="77">
        <v>-1430000</v>
      </c>
      <c r="AA11" s="77">
        <v>-1430000</v>
      </c>
      <c r="AB11" s="77">
        <v>-1430000</v>
      </c>
      <c r="AC11" s="77">
        <v>-1430000</v>
      </c>
      <c r="AD11" s="77">
        <v>-1430000</v>
      </c>
      <c r="AE11" s="77">
        <v>0</v>
      </c>
      <c r="AF11" s="77">
        <v>-1430000</v>
      </c>
    </row>
    <row r="12" spans="1:32" x14ac:dyDescent="0.2">
      <c r="A12" s="84">
        <v>43009</v>
      </c>
      <c r="B12" s="84"/>
      <c r="C12" s="84"/>
      <c r="D12" s="84"/>
      <c r="E12" s="84"/>
      <c r="F12" s="16"/>
      <c r="G12" s="16"/>
      <c r="H12" s="85"/>
      <c r="J12" s="87"/>
      <c r="L12" s="16"/>
      <c r="M12" s="16"/>
      <c r="V12" s="76" t="s">
        <v>52</v>
      </c>
      <c r="W12" s="83">
        <v>-165000</v>
      </c>
      <c r="X12" s="77">
        <v>0</v>
      </c>
      <c r="Y12" s="77">
        <v>-165000</v>
      </c>
      <c r="Z12" s="77">
        <v>-165000</v>
      </c>
      <c r="AA12" s="77">
        <v>-165000</v>
      </c>
      <c r="AB12" s="77">
        <v>-165000</v>
      </c>
      <c r="AC12" s="77">
        <v>-165000</v>
      </c>
      <c r="AD12" s="77">
        <v>-165000</v>
      </c>
      <c r="AE12" s="77">
        <v>0</v>
      </c>
      <c r="AF12" s="77">
        <v>-165000</v>
      </c>
    </row>
    <row r="13" spans="1:32" x14ac:dyDescent="0.2">
      <c r="A13" s="84">
        <v>43040</v>
      </c>
      <c r="B13" s="84"/>
      <c r="C13" s="84"/>
      <c r="D13" s="84"/>
      <c r="E13" s="84"/>
      <c r="F13" s="16"/>
      <c r="G13" s="16"/>
      <c r="H13" s="88">
        <v>1</v>
      </c>
      <c r="I13" s="89">
        <v>25350</v>
      </c>
      <c r="J13" s="87"/>
      <c r="L13" s="16"/>
      <c r="M13" s="16"/>
      <c r="V13" s="76" t="s">
        <v>120</v>
      </c>
      <c r="W13" s="83">
        <f>-14330-34140</f>
        <v>-48470</v>
      </c>
      <c r="X13" s="77">
        <v>0</v>
      </c>
      <c r="Y13" s="77">
        <v>-50000</v>
      </c>
      <c r="Z13" s="77">
        <v>-50000</v>
      </c>
      <c r="AA13" s="77">
        <v>-50000</v>
      </c>
      <c r="AB13" s="77">
        <v>-50000</v>
      </c>
      <c r="AC13" s="77">
        <v>-50000</v>
      </c>
      <c r="AD13" s="77">
        <v>-50000</v>
      </c>
      <c r="AE13" s="77">
        <v>0</v>
      </c>
      <c r="AF13" s="77">
        <v>-50000</v>
      </c>
    </row>
    <row r="14" spans="1:32" x14ac:dyDescent="0.2">
      <c r="A14" s="84">
        <v>43070</v>
      </c>
      <c r="B14" s="84"/>
      <c r="C14" s="84"/>
      <c r="D14" s="84"/>
      <c r="E14" s="84"/>
      <c r="F14" s="16"/>
      <c r="G14" s="16"/>
      <c r="H14" s="85">
        <v>2</v>
      </c>
      <c r="I14" s="90">
        <v>25350</v>
      </c>
      <c r="J14" s="91"/>
      <c r="K14" s="90"/>
      <c r="L14" s="16"/>
      <c r="M14" s="16"/>
      <c r="N14" s="90"/>
      <c r="O14" s="90"/>
      <c r="P14" s="90"/>
      <c r="Q14" s="90"/>
      <c r="R14" s="90"/>
      <c r="S14" s="90"/>
      <c r="V14" s="92" t="s">
        <v>119</v>
      </c>
      <c r="W14" s="83">
        <v>-837994</v>
      </c>
      <c r="X14" s="77">
        <v>0</v>
      </c>
      <c r="Y14" s="77">
        <v>-839000</v>
      </c>
      <c r="Z14" s="77">
        <v>-839000</v>
      </c>
      <c r="AA14" s="77">
        <v>-839000</v>
      </c>
      <c r="AB14" s="77">
        <v>-839000</v>
      </c>
      <c r="AC14" s="77">
        <v>-839000</v>
      </c>
      <c r="AD14" s="77">
        <v>-839000</v>
      </c>
      <c r="AE14" s="77">
        <v>0</v>
      </c>
      <c r="AF14" s="77">
        <v>-839000</v>
      </c>
    </row>
    <row r="15" spans="1:32" x14ac:dyDescent="0.2">
      <c r="A15" s="84">
        <v>43101</v>
      </c>
      <c r="B15" s="84"/>
      <c r="C15" s="84"/>
      <c r="D15" s="84"/>
      <c r="E15" s="84"/>
      <c r="F15" s="16"/>
      <c r="G15" s="16"/>
      <c r="H15" s="85">
        <v>3</v>
      </c>
      <c r="I15" s="90">
        <v>25350</v>
      </c>
      <c r="J15" s="91"/>
      <c r="K15" s="90"/>
      <c r="L15" s="16"/>
      <c r="M15" s="16"/>
      <c r="N15" s="90"/>
      <c r="O15" s="90"/>
      <c r="P15" s="90"/>
      <c r="Q15" s="90"/>
      <c r="R15" s="90"/>
      <c r="S15" s="90"/>
      <c r="V15" s="76" t="s">
        <v>19</v>
      </c>
      <c r="W15" s="77">
        <v>0</v>
      </c>
      <c r="X15" s="77">
        <v>0</v>
      </c>
      <c r="Y15" s="77">
        <v>-350000</v>
      </c>
      <c r="Z15" s="77">
        <v>-160000</v>
      </c>
      <c r="AA15" s="77">
        <v>0</v>
      </c>
      <c r="AB15" s="77">
        <v>0</v>
      </c>
      <c r="AC15" s="77">
        <v>0</v>
      </c>
      <c r="AD15" s="77">
        <v>0</v>
      </c>
      <c r="AE15" s="77">
        <v>0</v>
      </c>
      <c r="AF15" s="77">
        <v>0</v>
      </c>
    </row>
    <row r="16" spans="1:32" x14ac:dyDescent="0.2">
      <c r="A16" s="84">
        <v>43132</v>
      </c>
      <c r="B16" s="84"/>
      <c r="C16" s="84"/>
      <c r="D16" s="84"/>
      <c r="E16" s="84"/>
      <c r="F16" s="16"/>
      <c r="G16" s="16"/>
      <c r="H16" s="85">
        <v>4</v>
      </c>
      <c r="I16" s="90">
        <v>25350</v>
      </c>
      <c r="J16" s="91"/>
      <c r="K16" s="90"/>
      <c r="L16" s="16"/>
      <c r="M16" s="16"/>
      <c r="N16" s="90"/>
      <c r="O16" s="90"/>
      <c r="P16" s="90"/>
      <c r="Q16" s="90"/>
      <c r="R16" s="90"/>
      <c r="S16" s="90"/>
      <c r="V16" s="76" t="s">
        <v>55</v>
      </c>
      <c r="W16" s="77">
        <f>-898000+78000</f>
        <v>-820000</v>
      </c>
      <c r="X16" s="77">
        <v>0</v>
      </c>
      <c r="Y16" s="77">
        <v>-874000</v>
      </c>
      <c r="Z16" s="77">
        <v>-874000</v>
      </c>
      <c r="AA16" s="77">
        <v>-874000</v>
      </c>
      <c r="AB16" s="77">
        <v>-874000</v>
      </c>
      <c r="AC16" s="77">
        <v>-874000</v>
      </c>
      <c r="AD16" s="77">
        <v>-874000</v>
      </c>
      <c r="AE16" s="77">
        <v>0</v>
      </c>
      <c r="AF16" s="77">
        <v>-874000</v>
      </c>
    </row>
    <row r="17" spans="1:32" x14ac:dyDescent="0.2">
      <c r="A17" s="84">
        <v>43160</v>
      </c>
      <c r="B17" s="84"/>
      <c r="C17" s="84"/>
      <c r="D17" s="84"/>
      <c r="E17" s="84"/>
      <c r="F17" s="16"/>
      <c r="G17" s="16"/>
      <c r="H17" s="85">
        <v>5</v>
      </c>
      <c r="I17" s="90">
        <v>25350</v>
      </c>
      <c r="J17" s="91"/>
      <c r="K17" s="90"/>
      <c r="L17" s="16"/>
      <c r="M17" s="16"/>
      <c r="N17" s="90"/>
      <c r="O17" s="90"/>
      <c r="P17" s="90"/>
      <c r="Q17" s="90"/>
      <c r="R17" s="90"/>
      <c r="S17" s="90"/>
      <c r="T17" s="90"/>
      <c r="V17" s="92" t="s">
        <v>79</v>
      </c>
      <c r="W17" s="83">
        <v>-80000</v>
      </c>
      <c r="X17" s="77">
        <v>0</v>
      </c>
      <c r="Y17" s="77">
        <v>-80000</v>
      </c>
      <c r="Z17" s="77">
        <v>-80000</v>
      </c>
      <c r="AA17" s="77">
        <v>-80000</v>
      </c>
      <c r="AB17" s="77">
        <v>-80000</v>
      </c>
      <c r="AC17" s="77">
        <v>-80000</v>
      </c>
      <c r="AD17" s="77">
        <v>-80000</v>
      </c>
      <c r="AE17" s="77">
        <v>0</v>
      </c>
      <c r="AF17" s="77">
        <v>-80000</v>
      </c>
    </row>
    <row r="18" spans="1:32" x14ac:dyDescent="0.2">
      <c r="A18" s="84">
        <v>43191</v>
      </c>
      <c r="B18" s="84"/>
      <c r="C18" s="84"/>
      <c r="D18" s="84"/>
      <c r="E18" s="84"/>
      <c r="F18" s="16"/>
      <c r="G18" s="16"/>
      <c r="H18" s="85">
        <v>6</v>
      </c>
      <c r="I18" s="90">
        <v>25350</v>
      </c>
      <c r="J18" s="91"/>
      <c r="K18" s="90"/>
      <c r="L18" s="16"/>
      <c r="M18" s="16"/>
      <c r="N18" s="90"/>
      <c r="O18" s="90"/>
      <c r="P18" s="90"/>
      <c r="Q18" s="90"/>
      <c r="R18" s="90"/>
      <c r="S18" s="90"/>
      <c r="T18" s="90"/>
      <c r="V18" s="92" t="s">
        <v>110</v>
      </c>
      <c r="W18" s="77">
        <v>0</v>
      </c>
      <c r="X18" s="77">
        <v>0</v>
      </c>
      <c r="Y18" s="77">
        <v>0</v>
      </c>
      <c r="Z18" s="77">
        <v>-300000</v>
      </c>
      <c r="AA18" s="77">
        <v>0</v>
      </c>
      <c r="AB18" s="77">
        <v>0</v>
      </c>
      <c r="AC18" s="77">
        <v>-150000</v>
      </c>
      <c r="AD18" s="77">
        <v>0</v>
      </c>
      <c r="AE18" s="77">
        <v>0</v>
      </c>
      <c r="AF18" s="77">
        <v>0</v>
      </c>
    </row>
    <row r="19" spans="1:32" x14ac:dyDescent="0.2">
      <c r="A19" s="84">
        <v>43221</v>
      </c>
      <c r="B19" s="84"/>
      <c r="C19" s="84"/>
      <c r="D19" s="84"/>
      <c r="E19" s="84"/>
      <c r="F19" s="53"/>
      <c r="G19" s="53"/>
      <c r="H19" s="85">
        <v>7</v>
      </c>
      <c r="I19" s="90">
        <v>25350</v>
      </c>
      <c r="J19" s="91"/>
      <c r="K19" s="90"/>
      <c r="L19" s="53"/>
      <c r="M19" s="53"/>
      <c r="N19" s="90"/>
      <c r="O19" s="90"/>
      <c r="P19" s="90"/>
      <c r="Q19" s="90"/>
      <c r="R19" s="90"/>
      <c r="S19" s="90"/>
      <c r="T19" s="90"/>
      <c r="V19" s="92" t="s">
        <v>146</v>
      </c>
      <c r="W19" s="83">
        <v>-50000</v>
      </c>
      <c r="X19" s="77">
        <v>0</v>
      </c>
      <c r="Y19" s="77">
        <v>0</v>
      </c>
      <c r="Z19" s="77">
        <v>0</v>
      </c>
      <c r="AA19" s="77">
        <v>0</v>
      </c>
      <c r="AB19" s="77">
        <v>0</v>
      </c>
      <c r="AC19" s="77">
        <v>0</v>
      </c>
      <c r="AD19" s="77">
        <v>0</v>
      </c>
      <c r="AE19" s="77">
        <v>0</v>
      </c>
      <c r="AF19" s="77">
        <v>0</v>
      </c>
    </row>
    <row r="20" spans="1:32" x14ac:dyDescent="0.2">
      <c r="A20" s="84">
        <v>43252</v>
      </c>
      <c r="B20" s="84"/>
      <c r="C20" s="84"/>
      <c r="D20" s="84"/>
      <c r="E20" s="84"/>
      <c r="H20" s="85">
        <v>8</v>
      </c>
      <c r="I20" s="90">
        <v>25350</v>
      </c>
      <c r="J20" s="91"/>
      <c r="K20" s="90"/>
      <c r="N20" s="90"/>
      <c r="O20" s="90"/>
      <c r="P20" s="90"/>
      <c r="Q20" s="90"/>
      <c r="R20" s="90"/>
      <c r="S20" s="90"/>
      <c r="T20" s="90"/>
      <c r="V20" s="92" t="s">
        <v>23</v>
      </c>
      <c r="W20" s="77">
        <v>-100000</v>
      </c>
      <c r="X20" s="77">
        <v>0</v>
      </c>
      <c r="Y20" s="77">
        <v>-100000</v>
      </c>
      <c r="Z20" s="77">
        <v>-100000</v>
      </c>
      <c r="AA20" s="77">
        <v>-100000</v>
      </c>
      <c r="AB20" s="77">
        <v>-100000</v>
      </c>
      <c r="AC20" s="77">
        <v>-100000</v>
      </c>
      <c r="AD20" s="77">
        <v>-100000</v>
      </c>
      <c r="AE20" s="77">
        <v>0</v>
      </c>
      <c r="AF20" s="77">
        <v>-100000</v>
      </c>
    </row>
    <row r="21" spans="1:32" x14ac:dyDescent="0.2">
      <c r="A21" s="84">
        <v>43282</v>
      </c>
      <c r="B21" s="84"/>
      <c r="C21" s="84"/>
      <c r="D21" s="84"/>
      <c r="E21" s="84"/>
      <c r="F21" s="61"/>
      <c r="G21" s="61"/>
      <c r="H21" s="85">
        <v>9</v>
      </c>
      <c r="I21" s="90">
        <v>25350</v>
      </c>
      <c r="J21" s="91"/>
      <c r="K21" s="90"/>
      <c r="L21" s="61"/>
      <c r="M21" s="61"/>
      <c r="N21" s="90"/>
      <c r="O21" s="90"/>
      <c r="P21" s="90"/>
      <c r="Q21" s="90"/>
      <c r="R21" s="90"/>
      <c r="S21" s="90"/>
      <c r="T21" s="90"/>
      <c r="V21" s="92" t="s">
        <v>56</v>
      </c>
      <c r="W21" s="83">
        <v>-30000</v>
      </c>
      <c r="X21" s="77">
        <v>0</v>
      </c>
      <c r="Y21" s="77">
        <v>-30000</v>
      </c>
      <c r="Z21" s="77">
        <v>-30000</v>
      </c>
      <c r="AA21" s="77">
        <v>-30000</v>
      </c>
      <c r="AB21" s="77">
        <v>-30000</v>
      </c>
      <c r="AC21" s="77">
        <v>-30000</v>
      </c>
      <c r="AD21" s="77">
        <v>-30000</v>
      </c>
      <c r="AE21" s="77">
        <v>0</v>
      </c>
      <c r="AF21" s="77">
        <v>-30000</v>
      </c>
    </row>
    <row r="22" spans="1:32" x14ac:dyDescent="0.2">
      <c r="A22" s="84">
        <v>43313</v>
      </c>
      <c r="C22" s="85"/>
      <c r="D22" s="85"/>
      <c r="E22" s="85"/>
      <c r="H22" s="85">
        <v>10</v>
      </c>
      <c r="I22" s="90">
        <v>25350</v>
      </c>
      <c r="J22" s="88">
        <v>1</v>
      </c>
      <c r="K22" s="89">
        <v>186000</v>
      </c>
      <c r="N22" s="88">
        <v>1</v>
      </c>
      <c r="O22" s="89">
        <v>154300</v>
      </c>
      <c r="P22" s="88">
        <v>1</v>
      </c>
      <c r="Q22" s="89">
        <v>141700</v>
      </c>
      <c r="T22" s="90"/>
    </row>
    <row r="23" spans="1:32" x14ac:dyDescent="0.2">
      <c r="A23" s="84">
        <v>43344</v>
      </c>
      <c r="D23" s="84"/>
      <c r="E23" s="84"/>
      <c r="H23" s="85">
        <v>11</v>
      </c>
      <c r="I23" s="90">
        <v>25350</v>
      </c>
      <c r="J23" s="85">
        <v>2</v>
      </c>
      <c r="K23" s="95">
        <v>186000</v>
      </c>
      <c r="N23" s="85">
        <v>2</v>
      </c>
      <c r="O23" s="95">
        <v>154300</v>
      </c>
      <c r="P23" s="85">
        <v>2</v>
      </c>
      <c r="Q23" s="95">
        <v>141700</v>
      </c>
      <c r="R23" s="85"/>
      <c r="S23" s="95"/>
      <c r="V23" s="93" t="s">
        <v>14</v>
      </c>
      <c r="W23" s="94">
        <f t="shared" ref="W23:AF23" si="2">SUM(W6:W21)</f>
        <v>538742</v>
      </c>
      <c r="X23" s="94">
        <f t="shared" si="2"/>
        <v>2500000</v>
      </c>
      <c r="Y23" s="94">
        <f t="shared" si="2"/>
        <v>180000</v>
      </c>
      <c r="Z23" s="94">
        <f t="shared" si="2"/>
        <v>70000</v>
      </c>
      <c r="AA23" s="94">
        <f t="shared" si="2"/>
        <v>530000</v>
      </c>
      <c r="AB23" s="94">
        <f t="shared" si="2"/>
        <v>530000</v>
      </c>
      <c r="AC23" s="94">
        <f t="shared" si="2"/>
        <v>380000</v>
      </c>
      <c r="AD23" s="94">
        <f t="shared" si="2"/>
        <v>530000</v>
      </c>
      <c r="AE23" s="94">
        <f t="shared" si="2"/>
        <v>2500000</v>
      </c>
      <c r="AF23" s="94">
        <f t="shared" si="2"/>
        <v>530000</v>
      </c>
    </row>
    <row r="24" spans="1:32" x14ac:dyDescent="0.2">
      <c r="A24" s="84">
        <v>43374</v>
      </c>
      <c r="B24" s="88">
        <v>1</v>
      </c>
      <c r="C24" s="89">
        <v>52300</v>
      </c>
      <c r="D24" s="88">
        <v>1</v>
      </c>
      <c r="E24" s="89">
        <v>36000</v>
      </c>
      <c r="F24" s="61"/>
      <c r="G24" s="61"/>
      <c r="H24" s="85">
        <v>12</v>
      </c>
      <c r="I24" s="90">
        <v>25350</v>
      </c>
      <c r="J24" s="85">
        <v>3</v>
      </c>
      <c r="K24" s="95">
        <v>186000</v>
      </c>
      <c r="L24" s="61"/>
      <c r="M24" s="61"/>
      <c r="N24" s="85">
        <v>3</v>
      </c>
      <c r="O24" s="95">
        <v>154300</v>
      </c>
      <c r="P24" s="85">
        <v>3</v>
      </c>
      <c r="Q24" s="95">
        <v>141700</v>
      </c>
      <c r="R24" s="85"/>
      <c r="S24" s="95"/>
      <c r="V24" s="38"/>
      <c r="W24" s="38"/>
      <c r="X24" s="38"/>
      <c r="Y24" s="38"/>
      <c r="Z24" s="38"/>
      <c r="AA24" s="38"/>
      <c r="AB24" s="38"/>
      <c r="AC24" s="38"/>
      <c r="AD24" s="38"/>
      <c r="AE24" s="38"/>
      <c r="AF24" s="38"/>
    </row>
    <row r="25" spans="1:32" x14ac:dyDescent="0.2">
      <c r="A25" s="84">
        <v>43405</v>
      </c>
      <c r="B25" s="96">
        <v>2</v>
      </c>
      <c r="C25" s="97">
        <v>52300</v>
      </c>
      <c r="D25" s="96">
        <v>2</v>
      </c>
      <c r="E25" s="97">
        <v>36000</v>
      </c>
      <c r="F25" s="98">
        <v>1</v>
      </c>
      <c r="G25" s="69">
        <v>68000</v>
      </c>
      <c r="H25" s="85">
        <v>13</v>
      </c>
      <c r="I25" s="90">
        <v>25350</v>
      </c>
      <c r="J25" s="85">
        <v>4</v>
      </c>
      <c r="K25" s="90">
        <v>186000</v>
      </c>
      <c r="L25" s="88">
        <v>1</v>
      </c>
      <c r="M25" s="89">
        <v>234000</v>
      </c>
      <c r="N25" s="85">
        <v>4</v>
      </c>
      <c r="O25" s="90">
        <v>154300</v>
      </c>
      <c r="P25" s="85">
        <v>4</v>
      </c>
      <c r="Q25" s="90">
        <v>141700</v>
      </c>
      <c r="R25" s="85"/>
      <c r="S25" s="90"/>
      <c r="T25" s="55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</row>
    <row r="26" spans="1:32" x14ac:dyDescent="0.2">
      <c r="A26" s="84">
        <v>43435</v>
      </c>
      <c r="B26" s="84"/>
      <c r="C26" s="84"/>
      <c r="D26" s="84"/>
      <c r="E26" s="84"/>
      <c r="F26" s="60">
        <v>2</v>
      </c>
      <c r="G26" s="61"/>
      <c r="H26" s="85">
        <v>14</v>
      </c>
      <c r="I26" s="90"/>
      <c r="J26" s="85">
        <v>5</v>
      </c>
      <c r="K26" s="90"/>
      <c r="L26" s="85">
        <v>2</v>
      </c>
      <c r="M26" s="95"/>
      <c r="N26" s="85">
        <v>5</v>
      </c>
      <c r="O26" s="90"/>
      <c r="P26" s="85">
        <v>5</v>
      </c>
      <c r="Q26" s="90"/>
      <c r="R26" s="88">
        <v>1</v>
      </c>
      <c r="S26" s="89"/>
      <c r="T26" s="55"/>
      <c r="V26" s="99">
        <v>-4000000</v>
      </c>
      <c r="W26" s="99" t="s">
        <v>140</v>
      </c>
      <c r="X26" s="38"/>
      <c r="Y26" s="38"/>
      <c r="Z26" s="38"/>
      <c r="AA26" s="38"/>
      <c r="AB26" s="99">
        <v>7300000</v>
      </c>
      <c r="AC26" s="145" t="s">
        <v>149</v>
      </c>
      <c r="AD26" s="145"/>
      <c r="AE26" s="38"/>
      <c r="AF26" s="38"/>
    </row>
    <row r="27" spans="1:32" x14ac:dyDescent="0.2">
      <c r="A27" s="84">
        <v>43466</v>
      </c>
      <c r="B27" s="84"/>
      <c r="C27" s="84"/>
      <c r="D27" s="84"/>
      <c r="E27" s="84"/>
      <c r="F27" s="60">
        <v>3</v>
      </c>
      <c r="G27" s="60"/>
      <c r="H27" s="85">
        <v>15</v>
      </c>
      <c r="I27" s="90"/>
      <c r="J27" s="85">
        <v>6</v>
      </c>
      <c r="K27" s="90"/>
      <c r="L27" s="85">
        <v>3</v>
      </c>
      <c r="M27" s="95"/>
      <c r="N27" s="85">
        <v>6</v>
      </c>
      <c r="O27" s="90"/>
      <c r="P27" s="85">
        <v>6</v>
      </c>
      <c r="Q27" s="90"/>
      <c r="R27" s="85">
        <v>2</v>
      </c>
      <c r="S27" s="90"/>
      <c r="T27" s="55"/>
      <c r="V27" s="99">
        <v>-4000000</v>
      </c>
      <c r="W27" s="99" t="s">
        <v>141</v>
      </c>
      <c r="X27" s="38"/>
      <c r="Y27" s="38"/>
      <c r="Z27" s="38"/>
      <c r="AA27" s="38"/>
      <c r="AB27" s="99">
        <v>800000</v>
      </c>
      <c r="AC27" s="145" t="s">
        <v>150</v>
      </c>
      <c r="AD27" s="145"/>
      <c r="AE27" s="38"/>
      <c r="AF27" s="38"/>
    </row>
    <row r="28" spans="1:32" x14ac:dyDescent="0.2">
      <c r="A28" s="84">
        <v>43497</v>
      </c>
      <c r="B28" s="84"/>
      <c r="C28" s="84"/>
      <c r="D28" s="84"/>
      <c r="E28" s="84"/>
      <c r="F28" s="60">
        <v>4</v>
      </c>
      <c r="G28" s="60"/>
      <c r="H28" s="85">
        <v>16</v>
      </c>
      <c r="I28" s="90"/>
      <c r="J28" s="85">
        <v>7</v>
      </c>
      <c r="K28" s="90"/>
      <c r="L28" s="85">
        <v>4</v>
      </c>
      <c r="M28" s="95"/>
      <c r="N28" s="85">
        <v>7</v>
      </c>
      <c r="O28" s="90"/>
      <c r="P28" s="85">
        <v>7</v>
      </c>
      <c r="Q28" s="90"/>
      <c r="R28" s="85">
        <v>3</v>
      </c>
      <c r="S28" s="90"/>
      <c r="T28" s="55"/>
      <c r="V28" s="99">
        <v>-4000000</v>
      </c>
      <c r="W28" s="99" t="s">
        <v>22</v>
      </c>
      <c r="X28" s="38"/>
      <c r="Y28" s="38"/>
      <c r="Z28" s="38"/>
      <c r="AA28" s="38"/>
      <c r="AB28" s="99">
        <f>1100000+850000</f>
        <v>1950000</v>
      </c>
      <c r="AC28" s="145" t="s">
        <v>151</v>
      </c>
      <c r="AD28" s="145"/>
      <c r="AE28" s="38"/>
      <c r="AF28" s="38"/>
    </row>
    <row r="29" spans="1:32" x14ac:dyDescent="0.2">
      <c r="A29" s="84">
        <v>43525</v>
      </c>
      <c r="B29" s="84"/>
      <c r="C29" s="84"/>
      <c r="D29" s="84"/>
      <c r="E29" s="84"/>
      <c r="F29" s="60">
        <v>5</v>
      </c>
      <c r="G29" s="60"/>
      <c r="H29" s="85">
        <v>17</v>
      </c>
      <c r="I29" s="90"/>
      <c r="J29" s="85">
        <v>8</v>
      </c>
      <c r="K29" s="90"/>
      <c r="L29" s="85">
        <v>5</v>
      </c>
      <c r="M29" s="95"/>
      <c r="N29" s="85">
        <v>8</v>
      </c>
      <c r="O29" s="90"/>
      <c r="P29" s="85">
        <v>8</v>
      </c>
      <c r="Q29" s="90"/>
      <c r="R29" s="85">
        <v>4</v>
      </c>
      <c r="S29" s="90"/>
      <c r="T29" s="55"/>
      <c r="V29" s="99">
        <v>-900000</v>
      </c>
      <c r="W29" s="99" t="s">
        <v>54</v>
      </c>
      <c r="X29" s="38"/>
      <c r="Y29" s="38"/>
      <c r="Z29" s="38"/>
      <c r="AA29" s="38"/>
      <c r="AB29" s="99"/>
      <c r="AC29" s="145"/>
      <c r="AD29" s="145"/>
      <c r="AE29" s="38"/>
      <c r="AF29" s="38"/>
    </row>
    <row r="30" spans="1:32" x14ac:dyDescent="0.2">
      <c r="A30" s="84">
        <v>43556</v>
      </c>
      <c r="B30" s="84"/>
      <c r="C30" s="84"/>
      <c r="D30" s="84"/>
      <c r="E30" s="84"/>
      <c r="F30" s="60">
        <v>6</v>
      </c>
      <c r="G30" s="60"/>
      <c r="H30" s="85">
        <v>18</v>
      </c>
      <c r="I30" s="90"/>
      <c r="J30" s="85">
        <v>9</v>
      </c>
      <c r="K30" s="90"/>
      <c r="L30" s="85">
        <v>6</v>
      </c>
      <c r="M30" s="95"/>
      <c r="N30" s="85">
        <v>9</v>
      </c>
      <c r="O30" s="90"/>
      <c r="P30" s="85">
        <v>9</v>
      </c>
      <c r="Q30" s="90"/>
      <c r="R30" s="85">
        <v>5</v>
      </c>
      <c r="S30" s="90"/>
      <c r="T30" s="55"/>
      <c r="V30" s="99">
        <v>-5000000</v>
      </c>
      <c r="W30" s="99" t="s">
        <v>111</v>
      </c>
      <c r="X30" s="38"/>
      <c r="Y30" s="38"/>
      <c r="Z30" s="38"/>
      <c r="AA30" s="38"/>
      <c r="AB30" s="99">
        <f>SUM(AB26:AB29)</f>
        <v>10050000</v>
      </c>
      <c r="AC30" s="145" t="s">
        <v>14</v>
      </c>
      <c r="AD30" s="145"/>
      <c r="AE30" s="38"/>
      <c r="AF30" s="38"/>
    </row>
    <row r="31" spans="1:32" x14ac:dyDescent="0.2">
      <c r="A31" s="84">
        <v>43586</v>
      </c>
      <c r="B31" s="84"/>
      <c r="C31" s="84"/>
      <c r="D31" s="84"/>
      <c r="E31" s="84"/>
      <c r="F31" s="60">
        <v>7</v>
      </c>
      <c r="G31" s="60"/>
      <c r="H31" s="85">
        <v>19</v>
      </c>
      <c r="I31" s="90"/>
      <c r="J31" s="85">
        <v>10</v>
      </c>
      <c r="K31" s="90"/>
      <c r="L31" s="85">
        <v>7</v>
      </c>
      <c r="M31" s="95"/>
      <c r="N31" s="85">
        <v>10</v>
      </c>
      <c r="O31" s="90"/>
      <c r="P31" s="85">
        <v>10</v>
      </c>
      <c r="Q31" s="90"/>
      <c r="R31" s="85">
        <v>6</v>
      </c>
      <c r="S31" s="90"/>
      <c r="T31" s="55"/>
      <c r="V31" s="99">
        <v>-800000</v>
      </c>
      <c r="W31" s="99" t="s">
        <v>53</v>
      </c>
      <c r="X31" s="38"/>
      <c r="Y31" s="38"/>
      <c r="Z31" s="38"/>
      <c r="AA31" s="38"/>
      <c r="AB31" s="99"/>
      <c r="AC31" s="145"/>
      <c r="AD31" s="145"/>
      <c r="AE31" s="38"/>
      <c r="AF31" s="38"/>
    </row>
    <row r="32" spans="1:32" x14ac:dyDescent="0.2">
      <c r="A32" s="84">
        <v>43617</v>
      </c>
      <c r="B32" s="84"/>
      <c r="C32" s="84"/>
      <c r="D32" s="84"/>
      <c r="E32" s="84"/>
      <c r="F32" s="60">
        <v>8</v>
      </c>
      <c r="G32" s="60"/>
      <c r="H32" s="85">
        <v>20</v>
      </c>
      <c r="I32" s="90"/>
      <c r="J32" s="85">
        <v>11</v>
      </c>
      <c r="K32" s="90"/>
      <c r="L32" s="85">
        <v>8</v>
      </c>
      <c r="M32" s="95"/>
      <c r="N32" s="85">
        <v>11</v>
      </c>
      <c r="O32" s="90"/>
      <c r="P32" s="85">
        <v>11</v>
      </c>
      <c r="Q32" s="90"/>
      <c r="R32" s="85">
        <v>7</v>
      </c>
      <c r="S32" s="90"/>
      <c r="T32" s="55"/>
      <c r="V32" s="99">
        <v>-1000000</v>
      </c>
      <c r="W32" s="99" t="s">
        <v>112</v>
      </c>
      <c r="X32" s="38"/>
      <c r="Y32" s="38"/>
      <c r="Z32" s="38"/>
      <c r="AA32" s="38"/>
      <c r="AB32" s="99">
        <v>-4000000</v>
      </c>
      <c r="AC32" s="145" t="s">
        <v>148</v>
      </c>
      <c r="AD32" s="145"/>
      <c r="AE32" s="38"/>
      <c r="AF32" s="38"/>
    </row>
    <row r="33" spans="1:32" x14ac:dyDescent="0.2">
      <c r="A33" s="84">
        <v>43647</v>
      </c>
      <c r="B33" s="84"/>
      <c r="C33" s="84"/>
      <c r="D33" s="84"/>
      <c r="E33" s="84"/>
      <c r="F33" s="60">
        <v>9</v>
      </c>
      <c r="G33" s="60"/>
      <c r="H33" s="85">
        <v>21</v>
      </c>
      <c r="I33" s="90"/>
      <c r="J33" s="85">
        <v>12</v>
      </c>
      <c r="K33" s="90"/>
      <c r="L33" s="85">
        <v>9</v>
      </c>
      <c r="M33" s="95"/>
      <c r="N33" s="85">
        <v>12</v>
      </c>
      <c r="O33" s="90"/>
      <c r="P33" s="85">
        <v>12</v>
      </c>
      <c r="Q33" s="90"/>
      <c r="R33" s="85">
        <v>8</v>
      </c>
      <c r="S33" s="90"/>
      <c r="T33" s="55"/>
      <c r="V33" s="99">
        <f>SUM(V26:V32)</f>
        <v>-19700000</v>
      </c>
      <c r="W33" s="99" t="s">
        <v>121</v>
      </c>
      <c r="X33" s="38"/>
      <c r="Y33" s="38"/>
      <c r="Z33" s="38"/>
      <c r="AA33" s="38"/>
      <c r="AB33" s="99">
        <v>-5000000</v>
      </c>
      <c r="AC33" s="145" t="s">
        <v>111</v>
      </c>
      <c r="AD33" s="145"/>
      <c r="AE33" s="38"/>
      <c r="AF33" s="38"/>
    </row>
    <row r="34" spans="1:32" x14ac:dyDescent="0.2">
      <c r="A34" s="84">
        <v>43678</v>
      </c>
      <c r="B34" s="84"/>
      <c r="C34" s="84"/>
      <c r="D34" s="84"/>
      <c r="E34" s="84"/>
      <c r="F34" s="60">
        <v>10</v>
      </c>
      <c r="G34" s="60"/>
      <c r="H34" s="85">
        <v>22</v>
      </c>
      <c r="I34" s="90"/>
      <c r="J34" s="85">
        <v>13</v>
      </c>
      <c r="K34" s="90"/>
      <c r="L34" s="85">
        <v>10</v>
      </c>
      <c r="M34" s="95"/>
      <c r="N34" s="85">
        <v>13</v>
      </c>
      <c r="O34" s="90"/>
      <c r="P34" s="85">
        <v>13</v>
      </c>
      <c r="Q34" s="90"/>
      <c r="R34" s="85">
        <v>9</v>
      </c>
      <c r="S34" s="90"/>
      <c r="T34" s="55"/>
      <c r="V34" s="99"/>
      <c r="W34" s="99"/>
      <c r="X34" s="38"/>
      <c r="Y34" s="38"/>
      <c r="Z34" s="38"/>
      <c r="AA34" s="38"/>
      <c r="AB34" s="99">
        <v>-1000000</v>
      </c>
      <c r="AC34" s="145" t="s">
        <v>112</v>
      </c>
      <c r="AD34" s="145"/>
      <c r="AE34" s="38"/>
      <c r="AF34" s="38"/>
    </row>
    <row r="35" spans="1:32" x14ac:dyDescent="0.2">
      <c r="A35" s="84">
        <v>43709</v>
      </c>
      <c r="B35" s="84"/>
      <c r="C35" s="84"/>
      <c r="D35" s="84"/>
      <c r="E35" s="84"/>
      <c r="F35" s="60">
        <v>11</v>
      </c>
      <c r="G35" s="60"/>
      <c r="H35" s="85">
        <v>23</v>
      </c>
      <c r="I35" s="90"/>
      <c r="J35" s="85">
        <v>14</v>
      </c>
      <c r="K35" s="90"/>
      <c r="L35" s="85">
        <v>11</v>
      </c>
      <c r="M35" s="95"/>
      <c r="N35" s="85">
        <v>14</v>
      </c>
      <c r="O35" s="90"/>
      <c r="P35" s="85">
        <v>14</v>
      </c>
      <c r="Q35" s="90"/>
      <c r="R35" s="85">
        <v>10</v>
      </c>
      <c r="S35" s="90"/>
      <c r="T35" s="55"/>
      <c r="V35" s="99"/>
      <c r="W35" s="99"/>
      <c r="X35" s="38"/>
      <c r="Y35" s="38"/>
      <c r="Z35" s="38"/>
      <c r="AA35" s="38"/>
      <c r="AB35" s="99">
        <f>-1100000+150000</f>
        <v>-950000</v>
      </c>
      <c r="AC35" s="145" t="s">
        <v>152</v>
      </c>
      <c r="AD35" s="145"/>
      <c r="AE35" s="38"/>
      <c r="AF35" s="38"/>
    </row>
    <row r="36" spans="1:32" x14ac:dyDescent="0.2">
      <c r="A36" s="84">
        <v>43739</v>
      </c>
      <c r="B36" s="84"/>
      <c r="C36" s="84"/>
      <c r="D36" s="84"/>
      <c r="E36" s="84"/>
      <c r="F36" s="66">
        <v>12</v>
      </c>
      <c r="G36" s="69"/>
      <c r="H36" s="96">
        <v>24</v>
      </c>
      <c r="I36" s="97"/>
      <c r="J36" s="85">
        <v>15</v>
      </c>
      <c r="L36" s="66">
        <v>12</v>
      </c>
      <c r="M36" s="69"/>
      <c r="N36" s="85">
        <v>15</v>
      </c>
      <c r="P36" s="85">
        <v>15</v>
      </c>
      <c r="R36" s="85">
        <v>11</v>
      </c>
      <c r="T36" s="55"/>
      <c r="V36" s="147" t="s">
        <v>163</v>
      </c>
      <c r="W36" s="147"/>
      <c r="X36" s="38"/>
      <c r="Y36" s="38"/>
      <c r="Z36" s="38"/>
      <c r="AA36" s="38"/>
      <c r="AB36" s="99">
        <f>SUM(AB30:AB35)</f>
        <v>-900000</v>
      </c>
      <c r="AC36" s="145"/>
      <c r="AD36" s="145"/>
      <c r="AE36" s="38"/>
      <c r="AF36" s="38"/>
    </row>
    <row r="37" spans="1:32" x14ac:dyDescent="0.2">
      <c r="A37" s="84">
        <v>43770</v>
      </c>
      <c r="B37" s="84"/>
      <c r="C37" s="84"/>
      <c r="D37" s="84"/>
      <c r="E37" s="84"/>
      <c r="H37" s="85"/>
      <c r="I37" s="90"/>
      <c r="J37" s="85">
        <v>16</v>
      </c>
      <c r="K37" s="90"/>
      <c r="N37" s="85">
        <v>16</v>
      </c>
      <c r="O37" s="90"/>
      <c r="P37" s="85">
        <v>16</v>
      </c>
      <c r="Q37" s="90"/>
      <c r="R37" s="66">
        <v>12</v>
      </c>
      <c r="S37" s="69"/>
      <c r="T37" s="55"/>
      <c r="V37" s="99"/>
      <c r="W37" s="99"/>
      <c r="X37" s="38"/>
      <c r="Y37" s="38"/>
      <c r="Z37" s="38"/>
      <c r="AA37" s="38"/>
      <c r="AB37" s="99"/>
      <c r="AC37" s="145"/>
      <c r="AD37" s="145"/>
      <c r="AE37" s="38"/>
      <c r="AF37" s="38"/>
    </row>
    <row r="38" spans="1:32" x14ac:dyDescent="0.2">
      <c r="A38" s="84">
        <v>43800</v>
      </c>
      <c r="B38" s="84"/>
      <c r="C38" s="84"/>
      <c r="D38" s="84"/>
      <c r="E38" s="84"/>
      <c r="H38" s="85"/>
      <c r="I38" s="43"/>
      <c r="J38" s="85">
        <v>17</v>
      </c>
      <c r="K38" s="43"/>
      <c r="N38" s="85">
        <v>17</v>
      </c>
      <c r="O38" s="43"/>
      <c r="P38" s="85">
        <v>17</v>
      </c>
      <c r="Q38" s="43"/>
      <c r="R38" s="85"/>
      <c r="S38" s="43"/>
      <c r="T38" s="55"/>
      <c r="V38" s="99">
        <v>4500000</v>
      </c>
      <c r="W38" s="99"/>
      <c r="X38" s="38"/>
      <c r="Y38" s="38"/>
      <c r="Z38" s="38"/>
      <c r="AA38" s="38"/>
      <c r="AB38" s="99"/>
      <c r="AC38" s="145"/>
      <c r="AD38" s="145"/>
      <c r="AE38" s="38"/>
      <c r="AF38" s="38"/>
    </row>
    <row r="39" spans="1:32" x14ac:dyDescent="0.2">
      <c r="A39" s="84">
        <v>43831</v>
      </c>
      <c r="B39" s="84"/>
      <c r="C39" s="84"/>
      <c r="D39" s="84"/>
      <c r="E39" s="84"/>
      <c r="H39" s="85"/>
      <c r="J39" s="96">
        <v>18</v>
      </c>
      <c r="K39" s="97"/>
      <c r="N39" s="85">
        <v>18</v>
      </c>
      <c r="O39" s="43"/>
      <c r="P39" s="85">
        <v>18</v>
      </c>
      <c r="Q39" s="43"/>
      <c r="R39" s="85"/>
      <c r="S39" s="43"/>
      <c r="T39" s="55"/>
      <c r="V39" s="127">
        <f>-110000-62000</f>
        <v>-172000</v>
      </c>
      <c r="W39" s="129" t="s">
        <v>48</v>
      </c>
      <c r="X39" s="38"/>
      <c r="Y39" s="38"/>
      <c r="Z39" s="38"/>
      <c r="AA39" s="38"/>
      <c r="AB39" s="99" t="s">
        <v>153</v>
      </c>
      <c r="AC39" s="145"/>
      <c r="AD39" s="145"/>
      <c r="AE39" s="38"/>
      <c r="AF39" s="38"/>
    </row>
    <row r="40" spans="1:32" x14ac:dyDescent="0.2">
      <c r="A40" s="84">
        <v>43862</v>
      </c>
      <c r="B40" s="84"/>
      <c r="C40" s="84"/>
      <c r="D40" s="84"/>
      <c r="E40" s="84"/>
      <c r="H40" s="85"/>
      <c r="J40" s="85"/>
      <c r="N40" s="85">
        <v>19</v>
      </c>
      <c r="P40" s="85">
        <v>19</v>
      </c>
      <c r="R40" s="85"/>
      <c r="T40" s="55"/>
      <c r="V40" s="127">
        <f>-63897*2</f>
        <v>-127794</v>
      </c>
      <c r="W40" s="129" t="s">
        <v>50</v>
      </c>
      <c r="X40" s="38"/>
      <c r="Y40" s="38"/>
      <c r="Z40" s="38"/>
      <c r="AA40" s="38"/>
      <c r="AB40" s="99">
        <v>-40000</v>
      </c>
      <c r="AC40" s="145" t="s">
        <v>122</v>
      </c>
      <c r="AD40" s="145"/>
      <c r="AE40" s="38"/>
      <c r="AF40" s="38"/>
    </row>
    <row r="41" spans="1:32" x14ac:dyDescent="0.2">
      <c r="A41" s="84">
        <v>43891</v>
      </c>
      <c r="B41" s="84"/>
      <c r="C41" s="84"/>
      <c r="D41" s="84"/>
      <c r="E41" s="84"/>
      <c r="H41" s="85"/>
      <c r="J41" s="85"/>
      <c r="N41" s="85">
        <v>20</v>
      </c>
      <c r="P41" s="85">
        <v>20</v>
      </c>
      <c r="R41" s="85"/>
      <c r="T41" s="55"/>
      <c r="V41" s="127">
        <v>-100000</v>
      </c>
      <c r="W41" s="129" t="s">
        <v>17</v>
      </c>
      <c r="X41" s="38"/>
      <c r="Y41" s="38"/>
      <c r="Z41" s="38"/>
      <c r="AA41" s="38"/>
      <c r="AB41" s="99">
        <v>-16000</v>
      </c>
      <c r="AC41" s="145" t="s">
        <v>123</v>
      </c>
      <c r="AD41" s="145"/>
      <c r="AE41" s="38"/>
      <c r="AF41" s="38"/>
    </row>
    <row r="42" spans="1:32" x14ac:dyDescent="0.2">
      <c r="A42" s="84">
        <v>43922</v>
      </c>
      <c r="B42" s="84"/>
      <c r="C42" s="84"/>
      <c r="D42" s="84"/>
      <c r="E42" s="84"/>
      <c r="J42" s="85"/>
      <c r="N42" s="85">
        <v>21</v>
      </c>
      <c r="P42" s="85">
        <v>21</v>
      </c>
      <c r="R42" s="85"/>
      <c r="T42" s="55"/>
      <c r="V42" s="127">
        <v>-1430000</v>
      </c>
      <c r="W42" s="129" t="s">
        <v>51</v>
      </c>
      <c r="X42" s="38"/>
      <c r="Y42" s="38"/>
      <c r="Z42" s="38"/>
      <c r="AA42" s="38"/>
      <c r="AB42" s="99">
        <v>-50000</v>
      </c>
      <c r="AC42" s="145" t="s">
        <v>124</v>
      </c>
      <c r="AD42" s="145"/>
      <c r="AE42" s="38"/>
      <c r="AF42" s="38"/>
    </row>
    <row r="43" spans="1:32" x14ac:dyDescent="0.2">
      <c r="A43" s="84">
        <v>43952</v>
      </c>
      <c r="B43" s="84"/>
      <c r="C43" s="84"/>
      <c r="D43" s="84"/>
      <c r="E43" s="84"/>
      <c r="J43" s="85"/>
      <c r="N43" s="85">
        <v>22</v>
      </c>
      <c r="P43" s="85">
        <v>22</v>
      </c>
      <c r="R43" s="85"/>
      <c r="T43" s="55"/>
      <c r="V43" s="127">
        <v>-165000</v>
      </c>
      <c r="W43" s="129" t="s">
        <v>52</v>
      </c>
      <c r="X43" s="38"/>
      <c r="Y43" s="38"/>
      <c r="Z43" s="38"/>
      <c r="AA43" s="38"/>
      <c r="AB43" s="99">
        <v>-90000</v>
      </c>
      <c r="AC43" s="145" t="s">
        <v>125</v>
      </c>
      <c r="AD43" s="145"/>
      <c r="AE43" s="38"/>
      <c r="AF43" s="38"/>
    </row>
    <row r="44" spans="1:32" x14ac:dyDescent="0.2">
      <c r="A44" s="84">
        <v>43983</v>
      </c>
      <c r="B44" s="84"/>
      <c r="C44" s="84"/>
      <c r="D44" s="84"/>
      <c r="E44" s="84"/>
      <c r="J44" s="85"/>
      <c r="N44" s="85">
        <v>23</v>
      </c>
      <c r="P44" s="85">
        <v>23</v>
      </c>
      <c r="R44" s="85"/>
      <c r="T44" s="55"/>
      <c r="V44" s="127">
        <f>-14330-34140</f>
        <v>-48470</v>
      </c>
      <c r="W44" s="129" t="s">
        <v>120</v>
      </c>
      <c r="X44" s="38"/>
      <c r="Y44" s="38"/>
      <c r="Z44" s="38"/>
      <c r="AA44" s="38"/>
      <c r="AB44" s="99">
        <v>-35000</v>
      </c>
      <c r="AC44" s="145" t="s">
        <v>126</v>
      </c>
      <c r="AD44" s="145"/>
      <c r="AE44" s="38"/>
      <c r="AF44" s="38"/>
    </row>
    <row r="45" spans="1:32" x14ac:dyDescent="0.2">
      <c r="A45" s="84">
        <v>44013</v>
      </c>
      <c r="B45" s="84"/>
      <c r="C45" s="84"/>
      <c r="D45" s="84"/>
      <c r="E45" s="84"/>
      <c r="J45" s="85"/>
      <c r="N45" s="85">
        <v>24</v>
      </c>
      <c r="P45" s="85">
        <v>24</v>
      </c>
      <c r="R45" s="85"/>
      <c r="T45" s="55"/>
      <c r="V45" s="127">
        <v>-837994</v>
      </c>
      <c r="W45" s="129" t="s">
        <v>119</v>
      </c>
      <c r="X45" s="38"/>
      <c r="Y45" s="38"/>
      <c r="Z45" s="38"/>
      <c r="AA45" s="38"/>
      <c r="AB45" s="99">
        <v>-15000</v>
      </c>
      <c r="AC45" s="145" t="s">
        <v>127</v>
      </c>
      <c r="AD45" s="145"/>
      <c r="AE45" s="38"/>
      <c r="AF45" s="38"/>
    </row>
    <row r="46" spans="1:32" x14ac:dyDescent="0.2">
      <c r="A46" s="84">
        <v>44075</v>
      </c>
      <c r="B46" s="84"/>
      <c r="C46" s="84"/>
      <c r="D46" s="84"/>
      <c r="E46" s="84"/>
      <c r="N46" s="85">
        <v>26</v>
      </c>
      <c r="P46" s="85">
        <v>26</v>
      </c>
      <c r="R46" s="85"/>
      <c r="T46" s="55"/>
      <c r="V46" s="127">
        <f>-898000+78000</f>
        <v>-820000</v>
      </c>
      <c r="W46" s="129" t="s">
        <v>55</v>
      </c>
      <c r="X46" s="38"/>
      <c r="Y46" s="38"/>
      <c r="Z46" s="38"/>
      <c r="AA46" s="38"/>
      <c r="AB46" s="99">
        <v>-15000</v>
      </c>
      <c r="AC46" s="145" t="s">
        <v>147</v>
      </c>
      <c r="AD46" s="145"/>
      <c r="AE46" s="38"/>
      <c r="AF46" s="38"/>
    </row>
    <row r="47" spans="1:32" x14ac:dyDescent="0.2">
      <c r="A47" s="84">
        <v>44105</v>
      </c>
      <c r="B47" s="84"/>
      <c r="C47" s="84"/>
      <c r="D47" s="84"/>
      <c r="E47" s="84"/>
      <c r="F47" s="101"/>
      <c r="G47" s="101"/>
      <c r="L47" s="101"/>
      <c r="M47" s="101"/>
      <c r="N47" s="85">
        <v>27</v>
      </c>
      <c r="P47" s="85">
        <v>27</v>
      </c>
      <c r="R47" s="85"/>
      <c r="V47" s="127">
        <v>-80000</v>
      </c>
      <c r="W47" s="129" t="s">
        <v>79</v>
      </c>
      <c r="X47" s="38"/>
      <c r="Y47" s="38"/>
      <c r="Z47" s="38"/>
      <c r="AA47" s="38"/>
      <c r="AB47" s="99">
        <v>-20000</v>
      </c>
      <c r="AC47" s="145" t="s">
        <v>158</v>
      </c>
      <c r="AD47" s="145"/>
      <c r="AE47" s="38"/>
      <c r="AF47" s="38"/>
    </row>
    <row r="48" spans="1:32" x14ac:dyDescent="0.2">
      <c r="A48" s="84">
        <v>44136</v>
      </c>
      <c r="B48" s="84"/>
      <c r="C48" s="84"/>
      <c r="D48" s="84"/>
      <c r="E48" s="84"/>
      <c r="F48" s="101"/>
      <c r="G48" s="101"/>
      <c r="L48" s="101"/>
      <c r="M48" s="101"/>
      <c r="N48" s="85">
        <v>28</v>
      </c>
      <c r="P48" s="85">
        <v>28</v>
      </c>
      <c r="R48" s="85"/>
      <c r="V48" s="127">
        <v>-50000</v>
      </c>
      <c r="W48" s="129" t="s">
        <v>146</v>
      </c>
      <c r="X48" s="38"/>
      <c r="Y48" s="38"/>
      <c r="Z48" s="38"/>
      <c r="AA48" s="38"/>
      <c r="AB48" s="130">
        <v>-63000</v>
      </c>
      <c r="AC48" s="145" t="s">
        <v>18</v>
      </c>
      <c r="AD48" s="145"/>
      <c r="AE48" s="38"/>
      <c r="AF48" s="38"/>
    </row>
    <row r="49" spans="1:32" x14ac:dyDescent="0.2">
      <c r="A49" s="84">
        <v>44166</v>
      </c>
      <c r="B49" s="84"/>
      <c r="C49" s="84"/>
      <c r="D49" s="84"/>
      <c r="E49" s="84"/>
      <c r="F49" s="102"/>
      <c r="G49" s="102"/>
      <c r="L49" s="102"/>
      <c r="M49" s="102"/>
      <c r="N49" s="85">
        <v>29</v>
      </c>
      <c r="P49" s="85">
        <v>29</v>
      </c>
      <c r="R49" s="85"/>
      <c r="V49" s="127">
        <v>-100000</v>
      </c>
      <c r="W49" s="129" t="s">
        <v>23</v>
      </c>
      <c r="X49" s="99">
        <v>-60000</v>
      </c>
      <c r="Y49" s="38"/>
      <c r="Z49" s="38"/>
      <c r="AA49" s="38"/>
      <c r="AB49" s="130">
        <v>-18000</v>
      </c>
      <c r="AC49" s="145" t="s">
        <v>128</v>
      </c>
      <c r="AD49" s="145"/>
      <c r="AE49" s="38"/>
      <c r="AF49" s="38"/>
    </row>
    <row r="50" spans="1:32" x14ac:dyDescent="0.2">
      <c r="A50" s="84">
        <v>44197</v>
      </c>
      <c r="B50" s="84"/>
      <c r="C50" s="84"/>
      <c r="D50" s="84"/>
      <c r="E50" s="84"/>
      <c r="F50" s="101"/>
      <c r="G50" s="101"/>
      <c r="L50" s="101"/>
      <c r="M50" s="101"/>
      <c r="N50" s="85">
        <v>30</v>
      </c>
      <c r="P50" s="85">
        <v>30</v>
      </c>
      <c r="R50" s="85"/>
      <c r="V50" s="127">
        <v>-30000</v>
      </c>
      <c r="W50" s="129" t="s">
        <v>56</v>
      </c>
      <c r="X50" s="38"/>
      <c r="Y50" s="38"/>
      <c r="Z50" s="38"/>
      <c r="AA50" s="38"/>
      <c r="AB50" s="130">
        <v>-125000</v>
      </c>
      <c r="AC50" s="145" t="s">
        <v>67</v>
      </c>
      <c r="AD50" s="145"/>
      <c r="AE50" s="38"/>
      <c r="AF50" s="38"/>
    </row>
    <row r="51" spans="1:32" x14ac:dyDescent="0.2">
      <c r="A51" s="84">
        <v>44228</v>
      </c>
      <c r="B51" s="84"/>
      <c r="C51" s="84"/>
      <c r="D51" s="84"/>
      <c r="E51" s="84"/>
      <c r="F51" s="101"/>
      <c r="G51" s="101"/>
      <c r="L51" s="101"/>
      <c r="M51" s="101"/>
      <c r="N51" s="85">
        <v>31</v>
      </c>
      <c r="P51" s="85">
        <v>31</v>
      </c>
      <c r="R51" s="85"/>
      <c r="V51" s="128">
        <v>-30000</v>
      </c>
      <c r="W51" s="129" t="s">
        <v>160</v>
      </c>
      <c r="X51" s="38"/>
      <c r="Y51" s="38"/>
      <c r="Z51" s="38"/>
      <c r="AA51" s="38"/>
      <c r="AB51" s="130">
        <v>-115000</v>
      </c>
      <c r="AC51" s="145" t="s">
        <v>155</v>
      </c>
      <c r="AD51" s="145"/>
      <c r="AE51" s="38"/>
      <c r="AF51" s="38"/>
    </row>
    <row r="52" spans="1:32" x14ac:dyDescent="0.2">
      <c r="A52" s="84">
        <v>44256</v>
      </c>
      <c r="B52" s="84"/>
      <c r="C52" s="84"/>
      <c r="D52" s="84"/>
      <c r="E52" s="84"/>
      <c r="F52" s="60"/>
      <c r="G52" s="60"/>
      <c r="L52" s="60"/>
      <c r="M52" s="60"/>
      <c r="N52" s="85">
        <v>32</v>
      </c>
      <c r="P52" s="85">
        <v>32</v>
      </c>
      <c r="R52" s="85"/>
      <c r="V52" s="128">
        <v>-35000</v>
      </c>
      <c r="W52" s="129" t="s">
        <v>166</v>
      </c>
      <c r="X52" s="38"/>
      <c r="Y52" s="38"/>
      <c r="Z52" s="38"/>
      <c r="AA52" s="38"/>
      <c r="AB52" s="130">
        <v>-20000</v>
      </c>
      <c r="AC52" s="145" t="s">
        <v>161</v>
      </c>
      <c r="AD52" s="145"/>
      <c r="AE52" s="38"/>
      <c r="AF52" s="38"/>
    </row>
    <row r="53" spans="1:32" x14ac:dyDescent="0.2">
      <c r="A53" s="84">
        <v>44287</v>
      </c>
      <c r="B53" s="84"/>
      <c r="C53" s="84"/>
      <c r="D53" s="84"/>
      <c r="E53" s="84"/>
      <c r="F53" s="60"/>
      <c r="G53" s="60"/>
      <c r="L53" s="60"/>
      <c r="M53" s="60"/>
      <c r="N53" s="85">
        <v>33</v>
      </c>
      <c r="P53" s="85">
        <v>33</v>
      </c>
      <c r="R53" s="85"/>
      <c r="V53" s="128">
        <v>-15000</v>
      </c>
      <c r="W53" s="129" t="s">
        <v>167</v>
      </c>
      <c r="X53" s="38"/>
      <c r="Y53" s="38"/>
      <c r="Z53" s="38"/>
      <c r="AA53" s="38"/>
      <c r="AB53" s="130">
        <v>-24000</v>
      </c>
      <c r="AC53" s="145" t="s">
        <v>154</v>
      </c>
      <c r="AD53" s="145"/>
      <c r="AE53" s="38"/>
      <c r="AF53" s="38"/>
    </row>
    <row r="54" spans="1:32" x14ac:dyDescent="0.2">
      <c r="A54" s="84">
        <v>44317</v>
      </c>
      <c r="B54" s="84"/>
      <c r="C54" s="84"/>
      <c r="D54" s="84"/>
      <c r="E54" s="84"/>
      <c r="F54" s="60"/>
      <c r="G54" s="60"/>
      <c r="L54" s="60"/>
      <c r="M54" s="60"/>
      <c r="N54" s="85">
        <v>34</v>
      </c>
      <c r="P54" s="85">
        <v>34</v>
      </c>
      <c r="R54" s="85"/>
      <c r="V54" s="128">
        <v>-20000</v>
      </c>
      <c r="W54" s="129" t="s">
        <v>165</v>
      </c>
      <c r="X54" s="38"/>
      <c r="Y54" s="38"/>
      <c r="Z54" s="38"/>
      <c r="AA54" s="38"/>
      <c r="AB54" s="130">
        <v>-56000</v>
      </c>
      <c r="AC54" s="145" t="s">
        <v>156</v>
      </c>
      <c r="AD54" s="145"/>
      <c r="AE54" s="38"/>
      <c r="AF54" s="38"/>
    </row>
    <row r="55" spans="1:32" x14ac:dyDescent="0.2">
      <c r="A55" s="84">
        <v>44348</v>
      </c>
      <c r="B55" s="84"/>
      <c r="C55" s="84"/>
      <c r="D55" s="84"/>
      <c r="E55" s="84"/>
      <c r="F55" s="60"/>
      <c r="G55" s="60"/>
      <c r="L55" s="60"/>
      <c r="M55" s="60"/>
      <c r="N55" s="85">
        <v>35</v>
      </c>
      <c r="P55" s="85">
        <v>35</v>
      </c>
      <c r="R55" s="85"/>
      <c r="V55" s="128">
        <v>-40000</v>
      </c>
      <c r="W55" s="128" t="s">
        <v>159</v>
      </c>
      <c r="X55" s="38"/>
      <c r="Y55" s="38"/>
      <c r="Z55" s="38"/>
      <c r="AA55" s="38"/>
      <c r="AB55" s="130">
        <f>6*-8000</f>
        <v>-48000</v>
      </c>
      <c r="AC55" s="145" t="s">
        <v>164</v>
      </c>
      <c r="AD55" s="145"/>
      <c r="AE55" s="38"/>
      <c r="AF55" s="38"/>
    </row>
    <row r="56" spans="1:32" x14ac:dyDescent="0.2">
      <c r="A56" s="84">
        <v>44378</v>
      </c>
      <c r="B56" s="84"/>
      <c r="C56" s="84"/>
      <c r="D56" s="84"/>
      <c r="E56" s="84"/>
      <c r="F56" s="60"/>
      <c r="G56" s="60"/>
      <c r="L56" s="60"/>
      <c r="M56" s="60"/>
      <c r="N56" s="96">
        <v>36</v>
      </c>
      <c r="O56" s="97"/>
      <c r="P56" s="96">
        <v>36</v>
      </c>
      <c r="Q56" s="97"/>
      <c r="R56" s="126"/>
      <c r="S56" s="95"/>
      <c r="V56" s="128">
        <v>-56000</v>
      </c>
      <c r="W56" s="129" t="s">
        <v>168</v>
      </c>
      <c r="X56" s="38"/>
      <c r="Y56" s="38"/>
      <c r="Z56" s="38"/>
      <c r="AA56" s="38"/>
      <c r="AB56" s="130">
        <v>-30000</v>
      </c>
      <c r="AC56" s="145" t="s">
        <v>157</v>
      </c>
      <c r="AD56" s="145"/>
      <c r="AE56" s="38"/>
      <c r="AF56" s="38"/>
    </row>
    <row r="57" spans="1:32" x14ac:dyDescent="0.2">
      <c r="B57" s="84"/>
      <c r="C57" s="84"/>
      <c r="D57" s="84"/>
      <c r="E57" s="84"/>
      <c r="F57" s="60"/>
      <c r="G57" s="60"/>
      <c r="L57" s="60"/>
      <c r="M57" s="60"/>
      <c r="V57" s="100">
        <f>SUM(V38:V56)</f>
        <v>342742</v>
      </c>
      <c r="W57" s="38"/>
      <c r="X57" s="38"/>
      <c r="Y57" s="38"/>
      <c r="Z57" s="38"/>
      <c r="AA57" s="38"/>
      <c r="AB57" s="130">
        <v>-50000</v>
      </c>
      <c r="AC57" s="145" t="s">
        <v>66</v>
      </c>
      <c r="AD57" s="145"/>
      <c r="AE57" s="38"/>
      <c r="AF57" s="38"/>
    </row>
    <row r="58" spans="1:32" x14ac:dyDescent="0.2">
      <c r="F58" s="60"/>
      <c r="G58" s="60"/>
      <c r="L58" s="60"/>
      <c r="M58" s="60"/>
      <c r="V58" s="128">
        <v>-60000</v>
      </c>
      <c r="W58" s="129" t="s">
        <v>169</v>
      </c>
      <c r="X58" s="38"/>
      <c r="Y58" s="38"/>
      <c r="Z58" s="38"/>
      <c r="AA58" s="38"/>
      <c r="AB58" s="130">
        <v>-78000</v>
      </c>
      <c r="AC58" s="145" t="s">
        <v>162</v>
      </c>
      <c r="AD58" s="145"/>
      <c r="AE58" s="38"/>
      <c r="AF58" s="38"/>
    </row>
    <row r="59" spans="1:32" x14ac:dyDescent="0.2">
      <c r="F59" s="60"/>
      <c r="G59" s="60"/>
      <c r="L59" s="60"/>
      <c r="M59" s="60"/>
      <c r="V59" s="128">
        <v>-50000</v>
      </c>
      <c r="W59" s="129" t="s">
        <v>173</v>
      </c>
      <c r="X59" s="38"/>
      <c r="Y59" s="38"/>
      <c r="Z59" s="38"/>
      <c r="AA59" s="38"/>
      <c r="AB59" s="131">
        <f>SUM(AB40:AB58)</f>
        <v>-908000</v>
      </c>
      <c r="AC59" s="145" t="s">
        <v>14</v>
      </c>
      <c r="AD59" s="145"/>
      <c r="AE59" s="38"/>
      <c r="AF59" s="38"/>
    </row>
    <row r="60" spans="1:32" x14ac:dyDescent="0.2">
      <c r="F60" s="60"/>
      <c r="G60" s="60"/>
      <c r="L60" s="60"/>
      <c r="M60" s="60"/>
      <c r="V60" s="128">
        <v>-75000</v>
      </c>
      <c r="W60" s="129" t="s">
        <v>170</v>
      </c>
      <c r="X60" s="38"/>
      <c r="Y60" s="38"/>
      <c r="Z60" s="38"/>
      <c r="AA60" s="38"/>
      <c r="AB60" s="130"/>
      <c r="AC60" s="145"/>
      <c r="AD60" s="145"/>
      <c r="AE60" s="38"/>
      <c r="AF60" s="38"/>
    </row>
    <row r="61" spans="1:32" x14ac:dyDescent="0.2">
      <c r="F61" s="60"/>
      <c r="G61" s="60"/>
      <c r="L61" s="60"/>
      <c r="M61" s="60"/>
      <c r="V61" s="128">
        <v>-80000</v>
      </c>
      <c r="W61" s="129" t="s">
        <v>171</v>
      </c>
      <c r="X61" s="38"/>
      <c r="Y61" s="38"/>
      <c r="Z61" s="38"/>
      <c r="AA61" s="38"/>
      <c r="AB61" s="130">
        <v>-320000</v>
      </c>
      <c r="AC61" s="145" t="s">
        <v>176</v>
      </c>
      <c r="AD61" s="145"/>
      <c r="AE61" s="38"/>
      <c r="AF61" s="38"/>
    </row>
    <row r="62" spans="1:32" x14ac:dyDescent="0.2">
      <c r="F62" s="60"/>
      <c r="G62" s="60"/>
      <c r="L62" s="60"/>
      <c r="M62" s="60"/>
      <c r="V62" s="128">
        <v>-50000</v>
      </c>
      <c r="W62" s="129" t="s">
        <v>172</v>
      </c>
      <c r="X62" s="38"/>
      <c r="Y62" s="38"/>
      <c r="Z62" s="38"/>
      <c r="AA62" s="38"/>
      <c r="AB62" s="130">
        <v>-18000</v>
      </c>
      <c r="AC62" s="145" t="s">
        <v>177</v>
      </c>
      <c r="AD62" s="145"/>
      <c r="AE62" s="38"/>
      <c r="AF62" s="38"/>
    </row>
    <row r="63" spans="1:32" x14ac:dyDescent="0.2">
      <c r="F63" s="60"/>
      <c r="G63" s="60"/>
      <c r="L63" s="60"/>
      <c r="M63" s="60"/>
      <c r="V63" s="128">
        <v>-19000</v>
      </c>
      <c r="W63" s="129" t="s">
        <v>174</v>
      </c>
      <c r="X63" s="38"/>
      <c r="Y63" s="38"/>
      <c r="Z63" s="38"/>
      <c r="AA63" s="38"/>
      <c r="AB63" s="130"/>
      <c r="AC63" s="145"/>
      <c r="AD63" s="145"/>
      <c r="AE63" s="38"/>
      <c r="AF63" s="38"/>
    </row>
    <row r="64" spans="1:32" x14ac:dyDescent="0.2">
      <c r="F64" s="60"/>
      <c r="G64" s="60"/>
      <c r="L64" s="60"/>
      <c r="M64" s="60"/>
      <c r="V64" s="128">
        <v>-11000</v>
      </c>
      <c r="W64" s="129" t="s">
        <v>175</v>
      </c>
      <c r="X64" s="38"/>
      <c r="Y64" s="38"/>
      <c r="Z64" s="38"/>
      <c r="AA64" s="38"/>
      <c r="AB64" s="132"/>
      <c r="AC64" s="145"/>
      <c r="AD64" s="145"/>
      <c r="AE64" s="38"/>
      <c r="AF64" s="38"/>
    </row>
    <row r="65" spans="6:32" x14ac:dyDescent="0.2">
      <c r="F65" s="60"/>
      <c r="G65" s="60"/>
      <c r="L65" s="60"/>
      <c r="M65" s="60"/>
      <c r="V65" s="128"/>
      <c r="W65" s="129"/>
      <c r="X65" s="38"/>
      <c r="Y65" s="38"/>
      <c r="Z65" s="38"/>
      <c r="AA65" s="38"/>
      <c r="AB65" s="133"/>
      <c r="AC65" s="99"/>
      <c r="AD65" s="38"/>
      <c r="AE65" s="38"/>
      <c r="AF65" s="38"/>
    </row>
    <row r="66" spans="6:32" x14ac:dyDescent="0.2">
      <c r="F66" s="60"/>
      <c r="G66" s="60"/>
      <c r="L66" s="60"/>
      <c r="M66" s="60"/>
      <c r="V66" s="128"/>
      <c r="W66" s="129"/>
      <c r="X66" s="38"/>
      <c r="Y66" s="38"/>
      <c r="Z66" s="38"/>
      <c r="AA66" s="38"/>
      <c r="AB66" s="133"/>
      <c r="AC66" s="99"/>
      <c r="AD66" s="38"/>
      <c r="AE66" s="38"/>
      <c r="AF66" s="38"/>
    </row>
    <row r="67" spans="6:32" x14ac:dyDescent="0.2">
      <c r="F67" s="60"/>
      <c r="G67" s="60"/>
      <c r="L67" s="60"/>
      <c r="M67" s="60"/>
      <c r="V67" s="128">
        <f>SUM(V57:V65)</f>
        <v>-2258</v>
      </c>
      <c r="W67" s="129"/>
      <c r="X67" s="38"/>
      <c r="Y67" s="38"/>
      <c r="Z67" s="38"/>
      <c r="AA67" s="38"/>
      <c r="AB67" s="133"/>
      <c r="AC67" s="99"/>
      <c r="AD67" s="38"/>
      <c r="AE67" s="38"/>
      <c r="AF67" s="38"/>
    </row>
    <row r="68" spans="6:32" x14ac:dyDescent="0.2">
      <c r="F68" s="60"/>
      <c r="G68" s="60"/>
      <c r="L68" s="60"/>
      <c r="M68" s="60"/>
      <c r="V68" s="128"/>
      <c r="W68" s="129"/>
      <c r="X68" s="38"/>
      <c r="Y68" s="38"/>
      <c r="Z68" s="38"/>
      <c r="AA68" s="38"/>
      <c r="AB68" s="133"/>
      <c r="AC68" s="133"/>
      <c r="AD68" s="38"/>
      <c r="AE68" s="38"/>
      <c r="AF68" s="38"/>
    </row>
    <row r="69" spans="6:32" x14ac:dyDescent="0.2">
      <c r="F69" s="60"/>
      <c r="G69" s="60"/>
      <c r="L69" s="60"/>
      <c r="M69" s="60"/>
      <c r="V69" s="38"/>
      <c r="W69" s="38"/>
      <c r="X69" s="38"/>
      <c r="Y69" s="38"/>
      <c r="Z69" s="38"/>
      <c r="AA69" s="38"/>
      <c r="AB69" s="133"/>
      <c r="AC69" s="133"/>
      <c r="AD69" s="38"/>
      <c r="AE69" s="38"/>
      <c r="AF69" s="38"/>
    </row>
    <row r="70" spans="6:32" x14ac:dyDescent="0.2">
      <c r="F70" s="60"/>
      <c r="G70" s="60"/>
      <c r="L70" s="60"/>
      <c r="M70" s="60"/>
      <c r="V70" s="38"/>
      <c r="W70" s="38"/>
      <c r="X70" s="38"/>
      <c r="Y70" s="38"/>
      <c r="Z70" s="38"/>
      <c r="AA70" s="38"/>
      <c r="AB70" s="133"/>
      <c r="AC70" s="133"/>
      <c r="AD70" s="38"/>
      <c r="AE70" s="38"/>
      <c r="AF70" s="38"/>
    </row>
    <row r="71" spans="6:32" x14ac:dyDescent="0.2">
      <c r="F71" s="60"/>
      <c r="G71" s="60"/>
      <c r="L71" s="60"/>
      <c r="M71" s="60"/>
      <c r="X71" s="38"/>
      <c r="Y71" s="38"/>
      <c r="Z71" s="38"/>
      <c r="AA71" s="38"/>
      <c r="AB71" s="133"/>
      <c r="AC71" s="133"/>
      <c r="AD71" s="38"/>
      <c r="AE71" s="38"/>
      <c r="AF71" s="38"/>
    </row>
    <row r="72" spans="6:32" x14ac:dyDescent="0.2">
      <c r="F72" s="60"/>
      <c r="G72" s="60"/>
      <c r="L72" s="60"/>
      <c r="M72" s="60"/>
      <c r="X72" s="38"/>
      <c r="Y72" s="38"/>
      <c r="Z72" s="38"/>
      <c r="AA72" s="38"/>
      <c r="AB72" s="133"/>
      <c r="AC72" s="133"/>
      <c r="AD72" s="38"/>
      <c r="AE72" s="38"/>
      <c r="AF72" s="38"/>
    </row>
    <row r="73" spans="6:32" x14ac:dyDescent="0.2">
      <c r="F73" s="60"/>
      <c r="G73" s="60"/>
      <c r="L73" s="60"/>
      <c r="M73" s="60"/>
      <c r="X73" s="38"/>
      <c r="Y73" s="38"/>
      <c r="Z73" s="38"/>
      <c r="AA73" s="38"/>
      <c r="AB73" s="133"/>
      <c r="AC73" s="133"/>
      <c r="AD73" s="38"/>
      <c r="AE73" s="38"/>
      <c r="AF73" s="38"/>
    </row>
    <row r="74" spans="6:32" x14ac:dyDescent="0.2">
      <c r="F74" s="60"/>
      <c r="G74" s="60"/>
      <c r="L74" s="60"/>
      <c r="M74" s="60"/>
      <c r="X74" s="38"/>
      <c r="Y74" s="38"/>
      <c r="Z74" s="38"/>
      <c r="AA74" s="38"/>
      <c r="AB74" s="38"/>
      <c r="AC74" s="38"/>
      <c r="AD74" s="38"/>
      <c r="AE74" s="38"/>
      <c r="AF74" s="38"/>
    </row>
    <row r="75" spans="6:32" x14ac:dyDescent="0.2">
      <c r="F75" s="60"/>
      <c r="G75" s="60"/>
      <c r="L75" s="60"/>
      <c r="M75" s="60"/>
      <c r="X75" s="38"/>
      <c r="Y75" s="38"/>
      <c r="Z75" s="38"/>
      <c r="AA75" s="38"/>
      <c r="AD75" s="38"/>
      <c r="AE75" s="38"/>
      <c r="AF75" s="38"/>
    </row>
    <row r="76" spans="6:32" x14ac:dyDescent="0.2">
      <c r="F76" s="60"/>
      <c r="G76" s="60"/>
      <c r="L76" s="60"/>
      <c r="M76" s="60"/>
      <c r="X76" s="38"/>
      <c r="Y76" s="38"/>
      <c r="Z76" s="38"/>
      <c r="AA76" s="38"/>
      <c r="AE76" s="38"/>
      <c r="AF76" s="38"/>
    </row>
    <row r="77" spans="6:32" x14ac:dyDescent="0.2">
      <c r="X77" s="38"/>
      <c r="Y77" s="38"/>
      <c r="Z77" s="38"/>
      <c r="AA77" s="38"/>
      <c r="AE77" s="38"/>
      <c r="AF77" s="38"/>
    </row>
  </sheetData>
  <mergeCells count="123">
    <mergeCell ref="X1:Y1"/>
    <mergeCell ref="AE1:AF1"/>
    <mergeCell ref="D5:E5"/>
    <mergeCell ref="D6:E6"/>
    <mergeCell ref="D8:E8"/>
    <mergeCell ref="H3:I3"/>
    <mergeCell ref="H2:I2"/>
    <mergeCell ref="P7:Q7"/>
    <mergeCell ref="P8:Q8"/>
    <mergeCell ref="H7:I7"/>
    <mergeCell ref="N4:O4"/>
    <mergeCell ref="P4:Q4"/>
    <mergeCell ref="J7:K7"/>
    <mergeCell ref="N5:O5"/>
    <mergeCell ref="N6:O6"/>
    <mergeCell ref="N7:O7"/>
    <mergeCell ref="P1:Q1"/>
    <mergeCell ref="N2:O2"/>
    <mergeCell ref="N3:O3"/>
    <mergeCell ref="N1:O1"/>
    <mergeCell ref="P2:Q2"/>
    <mergeCell ref="P3:Q3"/>
    <mergeCell ref="H1:I1"/>
    <mergeCell ref="J1:K1"/>
    <mergeCell ref="B9:C9"/>
    <mergeCell ref="D9:E9"/>
    <mergeCell ref="D7:E7"/>
    <mergeCell ref="P9:Q9"/>
    <mergeCell ref="P5:Q5"/>
    <mergeCell ref="H5:I5"/>
    <mergeCell ref="H6:I6"/>
    <mergeCell ref="J4:K4"/>
    <mergeCell ref="J5:K5"/>
    <mergeCell ref="J6:K6"/>
    <mergeCell ref="J9:K9"/>
    <mergeCell ref="J8:K8"/>
    <mergeCell ref="N9:O9"/>
    <mergeCell ref="N8:O8"/>
    <mergeCell ref="H9:I9"/>
    <mergeCell ref="H8:I8"/>
    <mergeCell ref="P6:Q6"/>
    <mergeCell ref="H4:I4"/>
    <mergeCell ref="L4:M4"/>
    <mergeCell ref="B1:C1"/>
    <mergeCell ref="B2:C2"/>
    <mergeCell ref="B3:C3"/>
    <mergeCell ref="B4:C4"/>
    <mergeCell ref="B5:C5"/>
    <mergeCell ref="D4:E4"/>
    <mergeCell ref="B6:C6"/>
    <mergeCell ref="B7:C7"/>
    <mergeCell ref="B8:C8"/>
    <mergeCell ref="D1:E1"/>
    <mergeCell ref="D2:E2"/>
    <mergeCell ref="D3:E3"/>
    <mergeCell ref="L3:M3"/>
    <mergeCell ref="L2:M2"/>
    <mergeCell ref="L1:M1"/>
    <mergeCell ref="L9:M9"/>
    <mergeCell ref="L8:M8"/>
    <mergeCell ref="L7:M7"/>
    <mergeCell ref="L6:M6"/>
    <mergeCell ref="L5:M5"/>
    <mergeCell ref="F6:G6"/>
    <mergeCell ref="F7:G7"/>
    <mergeCell ref="F8:G8"/>
    <mergeCell ref="F9:G9"/>
    <mergeCell ref="F1:G1"/>
    <mergeCell ref="F2:G2"/>
    <mergeCell ref="F3:G3"/>
    <mergeCell ref="F4:G4"/>
    <mergeCell ref="F5:G5"/>
    <mergeCell ref="J2:K2"/>
    <mergeCell ref="J3:K3"/>
    <mergeCell ref="R6:S6"/>
    <mergeCell ref="R7:S7"/>
    <mergeCell ref="R8:S8"/>
    <mergeCell ref="R9:S9"/>
    <mergeCell ref="V36:W36"/>
    <mergeCell ref="R1:S1"/>
    <mergeCell ref="R2:S2"/>
    <mergeCell ref="R3:S3"/>
    <mergeCell ref="R4:S4"/>
    <mergeCell ref="R5:S5"/>
    <mergeCell ref="AC31:AD31"/>
    <mergeCell ref="AC32:AD32"/>
    <mergeCell ref="AC33:AD33"/>
    <mergeCell ref="AC34:AD34"/>
    <mergeCell ref="AC35:AD35"/>
    <mergeCell ref="AC26:AD26"/>
    <mergeCell ref="AC27:AD27"/>
    <mergeCell ref="AC28:AD28"/>
    <mergeCell ref="AC29:AD29"/>
    <mergeCell ref="AC30:AD30"/>
    <mergeCell ref="AC41:AD41"/>
    <mergeCell ref="AC42:AD42"/>
    <mergeCell ref="AC43:AD43"/>
    <mergeCell ref="AC44:AD44"/>
    <mergeCell ref="AC45:AD45"/>
    <mergeCell ref="AC36:AD36"/>
    <mergeCell ref="AC37:AD37"/>
    <mergeCell ref="AC38:AD38"/>
    <mergeCell ref="AC39:AD39"/>
    <mergeCell ref="AC40:AD40"/>
    <mergeCell ref="AC51:AD51"/>
    <mergeCell ref="AC52:AD52"/>
    <mergeCell ref="AC53:AD53"/>
    <mergeCell ref="AC54:AD54"/>
    <mergeCell ref="AC55:AD55"/>
    <mergeCell ref="AC46:AD46"/>
    <mergeCell ref="AC47:AD47"/>
    <mergeCell ref="AC48:AD48"/>
    <mergeCell ref="AC49:AD49"/>
    <mergeCell ref="AC50:AD50"/>
    <mergeCell ref="AC64:AD64"/>
    <mergeCell ref="AC59:AD59"/>
    <mergeCell ref="AC60:AD60"/>
    <mergeCell ref="AC61:AD61"/>
    <mergeCell ref="AC62:AD62"/>
    <mergeCell ref="AC63:AD63"/>
    <mergeCell ref="AC56:AD56"/>
    <mergeCell ref="AC57:AD57"/>
    <mergeCell ref="AC58:AD58"/>
  </mergeCells>
  <printOptions horizontalCentered="1" verticalCentered="1"/>
  <pageMargins left="0.39370078740157483" right="0.39370078740157483" top="0.39370078740157483" bottom="0.39370078740157483" header="0.31496062992125984" footer="0.31496062992125984"/>
  <pageSetup scale="87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7" tint="0.39997558519241921"/>
  </sheetPr>
  <dimension ref="A1:R76"/>
  <sheetViews>
    <sheetView zoomScaleNormal="100" workbookViewId="0">
      <pane ySplit="9" topLeftCell="A31" activePane="bottomLeft" state="frozen"/>
      <selection activeCell="D24" sqref="D24"/>
      <selection pane="bottomLeft" activeCell="L4" sqref="L4:M4"/>
    </sheetView>
  </sheetViews>
  <sheetFormatPr baseColWidth="10" defaultColWidth="11.42578125" defaultRowHeight="12.75" x14ac:dyDescent="0.2"/>
  <cols>
    <col min="1" max="1" width="19.28515625" style="16" bestFit="1" customWidth="1"/>
    <col min="2" max="2" width="3.28515625" style="60" bestFit="1" customWidth="1"/>
    <col min="3" max="3" width="8.7109375" style="38" bestFit="1" customWidth="1"/>
    <col min="4" max="4" width="4.7109375" style="60" bestFit="1" customWidth="1"/>
    <col min="5" max="5" width="8.7109375" style="38" bestFit="1" customWidth="1"/>
    <col min="6" max="6" width="4.7109375" style="60" bestFit="1" customWidth="1"/>
    <col min="7" max="7" width="9.85546875" style="38" bestFit="1" customWidth="1"/>
    <col min="8" max="8" width="3.28515625" style="60" bestFit="1" customWidth="1"/>
    <col min="9" max="9" width="9.85546875" style="38" bestFit="1" customWidth="1"/>
    <col min="10" max="10" width="2.140625" style="38" bestFit="1" customWidth="1"/>
    <col min="11" max="11" width="8.7109375" style="38" bestFit="1" customWidth="1"/>
    <col min="12" max="12" width="3.28515625" style="38" bestFit="1" customWidth="1"/>
    <col min="13" max="13" width="8.7109375" style="38" bestFit="1" customWidth="1"/>
    <col min="14" max="14" width="17.5703125" style="38" bestFit="1" customWidth="1"/>
    <col min="15" max="15" width="4.7109375" style="60" bestFit="1" customWidth="1"/>
    <col min="16" max="16" width="9.85546875" style="38" bestFit="1" customWidth="1"/>
    <col min="17" max="17" width="3.28515625" style="72" bestFit="1" customWidth="1"/>
    <col min="18" max="18" width="9.85546875" style="38" bestFit="1" customWidth="1"/>
    <col min="19" max="16384" width="11.42578125" style="38"/>
  </cols>
  <sheetData>
    <row r="1" spans="1:18" s="47" customFormat="1" x14ac:dyDescent="0.2">
      <c r="A1" s="40"/>
      <c r="B1" s="153" t="s">
        <v>58</v>
      </c>
      <c r="C1" s="153"/>
      <c r="D1" s="153" t="s">
        <v>59</v>
      </c>
      <c r="E1" s="153"/>
      <c r="F1" s="153" t="s">
        <v>60</v>
      </c>
      <c r="G1" s="153"/>
      <c r="H1" s="153" t="s">
        <v>61</v>
      </c>
      <c r="I1" s="153"/>
      <c r="J1" s="153" t="s">
        <v>145</v>
      </c>
      <c r="K1" s="153"/>
      <c r="L1" s="153" t="s">
        <v>178</v>
      </c>
      <c r="M1" s="153"/>
      <c r="N1" s="40" t="s">
        <v>62</v>
      </c>
      <c r="O1" s="154" t="s">
        <v>63</v>
      </c>
      <c r="P1" s="154"/>
      <c r="Q1" s="45"/>
      <c r="R1" s="46" t="s">
        <v>64</v>
      </c>
    </row>
    <row r="2" spans="1:18" s="16" customFormat="1" x14ac:dyDescent="0.2">
      <c r="A2" s="40" t="s">
        <v>8</v>
      </c>
      <c r="B2" s="149">
        <v>1467390</v>
      </c>
      <c r="C2" s="149"/>
      <c r="D2" s="149">
        <v>841255</v>
      </c>
      <c r="E2" s="149"/>
      <c r="F2" s="149">
        <v>3437440</v>
      </c>
      <c r="G2" s="149"/>
      <c r="H2" s="149">
        <v>2400000</v>
      </c>
      <c r="I2" s="149"/>
      <c r="J2" s="149">
        <v>199900</v>
      </c>
      <c r="K2" s="149"/>
      <c r="L2" s="149">
        <v>1550000</v>
      </c>
      <c r="M2" s="149"/>
      <c r="N2" s="48">
        <v>900000</v>
      </c>
      <c r="O2" s="149">
        <v>5000000</v>
      </c>
      <c r="P2" s="149"/>
      <c r="Q2" s="149">
        <v>14000000</v>
      </c>
      <c r="R2" s="149"/>
    </row>
    <row r="3" spans="1:18" s="16" customFormat="1" x14ac:dyDescent="0.2">
      <c r="A3" s="40" t="s">
        <v>32</v>
      </c>
      <c r="B3" s="144">
        <v>501712</v>
      </c>
      <c r="C3" s="144"/>
      <c r="D3" s="144">
        <v>287632</v>
      </c>
      <c r="E3" s="144"/>
      <c r="F3" s="144">
        <f>1277817+743</f>
        <v>1278560</v>
      </c>
      <c r="G3" s="144"/>
      <c r="H3" s="144">
        <v>1586648</v>
      </c>
      <c r="I3" s="144"/>
      <c r="J3" s="144">
        <v>13100</v>
      </c>
      <c r="K3" s="144"/>
      <c r="L3" s="144">
        <v>322000</v>
      </c>
      <c r="M3" s="144"/>
      <c r="N3" s="49">
        <v>0</v>
      </c>
      <c r="O3" s="144">
        <v>760000</v>
      </c>
      <c r="P3" s="144"/>
      <c r="Q3" s="144">
        <v>7978000</v>
      </c>
      <c r="R3" s="144"/>
    </row>
    <row r="4" spans="1:18" s="16" customFormat="1" x14ac:dyDescent="0.2">
      <c r="A4" s="40" t="s">
        <v>14</v>
      </c>
      <c r="B4" s="144">
        <f>+B2+B3</f>
        <v>1969102</v>
      </c>
      <c r="C4" s="144"/>
      <c r="D4" s="144">
        <f>+D2+D3</f>
        <v>1128887</v>
      </c>
      <c r="E4" s="150"/>
      <c r="F4" s="144">
        <f>+F2+F3</f>
        <v>4716000</v>
      </c>
      <c r="G4" s="144"/>
      <c r="H4" s="144">
        <f>+H2+H3</f>
        <v>3986648</v>
      </c>
      <c r="I4" s="144"/>
      <c r="J4" s="144">
        <f>+J2+J3</f>
        <v>213000</v>
      </c>
      <c r="K4" s="144"/>
      <c r="L4" s="144">
        <f>+L2+L3</f>
        <v>1872000</v>
      </c>
      <c r="M4" s="144"/>
      <c r="N4" s="49">
        <f>+N2+N3</f>
        <v>900000</v>
      </c>
      <c r="O4" s="144">
        <f>+O3+O2</f>
        <v>5760000</v>
      </c>
      <c r="P4" s="144"/>
      <c r="Q4" s="144">
        <f>+Q3+Q2</f>
        <v>21978000</v>
      </c>
      <c r="R4" s="144"/>
    </row>
    <row r="5" spans="1:18" s="16" customFormat="1" x14ac:dyDescent="0.2">
      <c r="A5" s="40" t="s">
        <v>44</v>
      </c>
      <c r="B5" s="144">
        <v>24</v>
      </c>
      <c r="C5" s="144"/>
      <c r="D5" s="144">
        <v>24</v>
      </c>
      <c r="E5" s="150"/>
      <c r="F5" s="144">
        <v>24</v>
      </c>
      <c r="G5" s="144"/>
      <c r="H5" s="144">
        <v>36</v>
      </c>
      <c r="I5" s="144"/>
      <c r="J5" s="144">
        <v>3</v>
      </c>
      <c r="K5" s="144"/>
      <c r="L5" s="144">
        <v>12</v>
      </c>
      <c r="M5" s="144"/>
      <c r="N5" s="49">
        <v>1</v>
      </c>
      <c r="O5" s="144">
        <v>12</v>
      </c>
      <c r="P5" s="144"/>
      <c r="Q5" s="144">
        <v>60</v>
      </c>
      <c r="R5" s="144"/>
    </row>
    <row r="6" spans="1:18" s="16" customFormat="1" x14ac:dyDescent="0.2">
      <c r="A6" s="40" t="s">
        <v>45</v>
      </c>
      <c r="B6" s="144">
        <f>+B4/B5</f>
        <v>82045.916666666672</v>
      </c>
      <c r="C6" s="144"/>
      <c r="D6" s="144">
        <f>+D4/D5</f>
        <v>47036.958333333336</v>
      </c>
      <c r="E6" s="150"/>
      <c r="F6" s="144">
        <f>+F4/F5</f>
        <v>196500</v>
      </c>
      <c r="G6" s="144"/>
      <c r="H6" s="144">
        <f>+H4/H5</f>
        <v>110740.22222222222</v>
      </c>
      <c r="I6" s="144"/>
      <c r="J6" s="144">
        <f>+J4/J5</f>
        <v>71000</v>
      </c>
      <c r="K6" s="144"/>
      <c r="L6" s="144">
        <f>+L4/L5</f>
        <v>156000</v>
      </c>
      <c r="M6" s="144"/>
      <c r="N6" s="49">
        <f>+N4/N5</f>
        <v>900000</v>
      </c>
      <c r="O6" s="144">
        <f>+O4/O5</f>
        <v>480000</v>
      </c>
      <c r="P6" s="144"/>
      <c r="Q6" s="144">
        <f>+Q4/Q5</f>
        <v>366300</v>
      </c>
      <c r="R6" s="144"/>
    </row>
    <row r="7" spans="1:18" s="16" customFormat="1" x14ac:dyDescent="0.2">
      <c r="A7" s="40" t="s">
        <v>46</v>
      </c>
      <c r="B7" s="144">
        <f>+SUM(C10:C89)</f>
        <v>1887150</v>
      </c>
      <c r="C7" s="144"/>
      <c r="D7" s="144">
        <f>+SUM(E10:E89)</f>
        <v>893950</v>
      </c>
      <c r="E7" s="150"/>
      <c r="F7" s="144">
        <f>+SUM(G10:G40)</f>
        <v>2358000</v>
      </c>
      <c r="G7" s="144"/>
      <c r="H7" s="144">
        <f>+SUM(I10:I40)</f>
        <v>332220</v>
      </c>
      <c r="I7" s="144"/>
      <c r="J7" s="144">
        <f>+SUM(K10:K40)</f>
        <v>71000</v>
      </c>
      <c r="K7" s="144"/>
      <c r="L7" s="144">
        <f>+SUM(M10:M40)</f>
        <v>0</v>
      </c>
      <c r="M7" s="144"/>
      <c r="N7" s="49">
        <f>SUM(N10:N76)</f>
        <v>0</v>
      </c>
      <c r="O7" s="144">
        <f>+SUM(P10:P89)</f>
        <v>3518400</v>
      </c>
      <c r="P7" s="144"/>
      <c r="Q7" s="144">
        <f>+SUM(R10:R89)</f>
        <v>6593400</v>
      </c>
      <c r="R7" s="144"/>
    </row>
    <row r="8" spans="1:18" s="16" customFormat="1" x14ac:dyDescent="0.2">
      <c r="A8" s="40" t="s">
        <v>47</v>
      </c>
      <c r="B8" s="146">
        <f>B4-B7</f>
        <v>81952</v>
      </c>
      <c r="C8" s="146"/>
      <c r="D8" s="146">
        <f>D4-D7</f>
        <v>234937</v>
      </c>
      <c r="E8" s="146"/>
      <c r="F8" s="146">
        <f>F4-F7</f>
        <v>2358000</v>
      </c>
      <c r="G8" s="146"/>
      <c r="H8" s="146">
        <f>H4-H7</f>
        <v>3654428</v>
      </c>
      <c r="I8" s="146"/>
      <c r="J8" s="146">
        <f>J4-J7</f>
        <v>142000</v>
      </c>
      <c r="K8" s="146"/>
      <c r="L8" s="146">
        <f>L4-L7</f>
        <v>1872000</v>
      </c>
      <c r="M8" s="146"/>
      <c r="N8" s="50">
        <f>+N4-N7</f>
        <v>900000</v>
      </c>
      <c r="O8" s="146">
        <f>O4-O7</f>
        <v>2241600</v>
      </c>
      <c r="P8" s="146"/>
      <c r="Q8" s="146">
        <f>Q4-Q7</f>
        <v>15384600</v>
      </c>
      <c r="R8" s="146"/>
    </row>
    <row r="9" spans="1:18" s="16" customFormat="1" x14ac:dyDescent="0.2">
      <c r="A9" s="40" t="s">
        <v>65</v>
      </c>
      <c r="B9" s="144">
        <f>B5-COUNT(C10:C76)</f>
        <v>1</v>
      </c>
      <c r="C9" s="144"/>
      <c r="D9" s="144">
        <f>D5-COUNT(E10:E76)</f>
        <v>5</v>
      </c>
      <c r="E9" s="144"/>
      <c r="F9" s="144">
        <f>F5-COUNT(G10:G76)</f>
        <v>12</v>
      </c>
      <c r="G9" s="144"/>
      <c r="H9" s="144">
        <f>H5-COUNT(I10:I76)</f>
        <v>32</v>
      </c>
      <c r="I9" s="144"/>
      <c r="J9" s="144">
        <f>J5-COUNT(K10:K76)</f>
        <v>2</v>
      </c>
      <c r="K9" s="144"/>
      <c r="L9" s="144">
        <f>L5-COUNT(M10:M76)</f>
        <v>12</v>
      </c>
      <c r="M9" s="144"/>
      <c r="N9" s="49"/>
      <c r="O9" s="144">
        <f>O5-COUNT(P10:P76)</f>
        <v>5</v>
      </c>
      <c r="P9" s="144"/>
      <c r="Q9" s="144">
        <f>Q5-COUNT(R10:R76)</f>
        <v>42</v>
      </c>
      <c r="R9" s="144"/>
    </row>
    <row r="10" spans="1:18" s="16" customFormat="1" x14ac:dyDescent="0.2">
      <c r="A10" s="51">
        <v>42644</v>
      </c>
      <c r="B10" s="52"/>
      <c r="C10" s="53"/>
      <c r="D10" s="53"/>
      <c r="E10" s="53"/>
      <c r="F10" s="53"/>
      <c r="H10" s="43"/>
      <c r="O10" s="43"/>
      <c r="P10" s="53"/>
      <c r="Q10" s="54"/>
      <c r="R10" s="53"/>
    </row>
    <row r="11" spans="1:18" s="16" customFormat="1" x14ac:dyDescent="0.2">
      <c r="A11" s="51">
        <v>42675</v>
      </c>
      <c r="B11" s="43"/>
      <c r="C11" s="53"/>
      <c r="D11" s="53"/>
      <c r="E11" s="53"/>
      <c r="F11" s="53"/>
      <c r="H11" s="43"/>
      <c r="I11" s="55">
        <f>+H4-3986648</f>
        <v>0</v>
      </c>
      <c r="J11" s="55"/>
      <c r="K11" s="55"/>
      <c r="L11" s="55"/>
      <c r="M11" s="55"/>
      <c r="O11" s="43"/>
      <c r="P11" s="53"/>
      <c r="Q11" s="54"/>
      <c r="R11" s="53"/>
    </row>
    <row r="12" spans="1:18" s="16" customFormat="1" x14ac:dyDescent="0.2">
      <c r="A12" s="51">
        <v>42705</v>
      </c>
      <c r="B12" s="56">
        <v>1</v>
      </c>
      <c r="C12" s="57">
        <v>82050</v>
      </c>
      <c r="F12" s="43"/>
      <c r="H12" s="43"/>
      <c r="O12" s="43"/>
      <c r="Q12" s="58"/>
    </row>
    <row r="13" spans="1:18" s="16" customFormat="1" x14ac:dyDescent="0.2">
      <c r="A13" s="51">
        <v>42736</v>
      </c>
      <c r="B13" s="43">
        <v>2</v>
      </c>
      <c r="C13" s="53">
        <v>82050</v>
      </c>
      <c r="D13" s="53"/>
      <c r="E13" s="53"/>
      <c r="F13" s="53"/>
      <c r="H13" s="43"/>
      <c r="O13" s="43"/>
      <c r="P13" s="53"/>
      <c r="Q13" s="54"/>
      <c r="R13" s="53"/>
    </row>
    <row r="14" spans="1:18" s="16" customFormat="1" x14ac:dyDescent="0.2">
      <c r="A14" s="51">
        <v>42767</v>
      </c>
      <c r="B14" s="43">
        <v>3</v>
      </c>
      <c r="C14" s="53">
        <v>82050</v>
      </c>
      <c r="D14" s="53"/>
      <c r="E14" s="53"/>
      <c r="F14" s="53"/>
      <c r="H14" s="43"/>
      <c r="O14" s="43"/>
      <c r="P14" s="53"/>
      <c r="Q14" s="54"/>
      <c r="R14" s="53"/>
    </row>
    <row r="15" spans="1:18" s="16" customFormat="1" x14ac:dyDescent="0.2">
      <c r="A15" s="51">
        <v>42795</v>
      </c>
      <c r="B15" s="43">
        <v>4</v>
      </c>
      <c r="C15" s="53">
        <v>82050</v>
      </c>
      <c r="D15" s="53"/>
      <c r="F15" s="43"/>
      <c r="H15" s="43"/>
      <c r="O15" s="43"/>
      <c r="Q15" s="58"/>
    </row>
    <row r="16" spans="1:18" s="16" customFormat="1" x14ac:dyDescent="0.2">
      <c r="A16" s="51">
        <v>42826</v>
      </c>
      <c r="B16" s="43">
        <v>5</v>
      </c>
      <c r="C16" s="53">
        <v>82050</v>
      </c>
      <c r="D16" s="57">
        <v>1</v>
      </c>
      <c r="E16" s="57">
        <v>47050</v>
      </c>
      <c r="F16" s="57"/>
      <c r="H16" s="43"/>
      <c r="O16" s="43"/>
      <c r="Q16" s="58"/>
    </row>
    <row r="17" spans="1:18" s="16" customFormat="1" x14ac:dyDescent="0.2">
      <c r="A17" s="51">
        <v>42856</v>
      </c>
      <c r="B17" s="43">
        <v>6</v>
      </c>
      <c r="C17" s="53">
        <v>82050</v>
      </c>
      <c r="D17" s="53">
        <v>2</v>
      </c>
      <c r="E17" s="53">
        <v>47050</v>
      </c>
      <c r="F17" s="53"/>
      <c r="H17" s="43"/>
      <c r="O17" s="43"/>
      <c r="Q17" s="59">
        <v>1</v>
      </c>
      <c r="R17" s="57">
        <v>366300</v>
      </c>
    </row>
    <row r="18" spans="1:18" s="16" customFormat="1" x14ac:dyDescent="0.2">
      <c r="A18" s="51">
        <v>42887</v>
      </c>
      <c r="B18" s="43">
        <v>7</v>
      </c>
      <c r="C18" s="53">
        <v>82050</v>
      </c>
      <c r="D18" s="53">
        <v>3</v>
      </c>
      <c r="E18" s="53">
        <v>47050</v>
      </c>
      <c r="F18" s="53"/>
      <c r="H18" s="43"/>
      <c r="O18" s="43"/>
      <c r="P18" s="53"/>
      <c r="Q18" s="58">
        <v>2</v>
      </c>
      <c r="R18" s="53">
        <v>366300</v>
      </c>
    </row>
    <row r="19" spans="1:18" s="16" customFormat="1" x14ac:dyDescent="0.2">
      <c r="A19" s="51">
        <v>42917</v>
      </c>
      <c r="B19" s="43">
        <v>8</v>
      </c>
      <c r="C19" s="53">
        <v>82050</v>
      </c>
      <c r="D19" s="53">
        <v>4</v>
      </c>
      <c r="E19" s="53">
        <v>47050</v>
      </c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8">
        <v>3</v>
      </c>
      <c r="R19" s="53">
        <v>366300</v>
      </c>
    </row>
    <row r="20" spans="1:18" x14ac:dyDescent="0.2">
      <c r="A20" s="51">
        <v>42948</v>
      </c>
      <c r="B20" s="43">
        <v>9</v>
      </c>
      <c r="C20" s="53">
        <v>82050</v>
      </c>
      <c r="D20" s="53">
        <v>5</v>
      </c>
      <c r="E20" s="53">
        <v>47050</v>
      </c>
      <c r="F20" s="53"/>
      <c r="P20" s="53"/>
      <c r="Q20" s="58">
        <v>4</v>
      </c>
      <c r="R20" s="53">
        <v>366300</v>
      </c>
    </row>
    <row r="21" spans="1:18" x14ac:dyDescent="0.2">
      <c r="A21" s="51">
        <v>42979</v>
      </c>
      <c r="B21" s="43">
        <v>10</v>
      </c>
      <c r="C21" s="53">
        <v>82050</v>
      </c>
      <c r="D21" s="53">
        <v>6</v>
      </c>
      <c r="E21" s="53">
        <v>47050</v>
      </c>
      <c r="F21" s="53"/>
      <c r="G21" s="61"/>
      <c r="H21" s="61"/>
      <c r="I21" s="61"/>
      <c r="J21" s="61"/>
      <c r="K21" s="61"/>
      <c r="L21" s="61"/>
      <c r="M21" s="61"/>
      <c r="N21" s="61"/>
      <c r="O21" s="61"/>
      <c r="P21" s="53"/>
      <c r="Q21" s="58">
        <v>5</v>
      </c>
      <c r="R21" s="53">
        <v>366300</v>
      </c>
    </row>
    <row r="22" spans="1:18" x14ac:dyDescent="0.2">
      <c r="A22" s="51">
        <v>43009</v>
      </c>
      <c r="B22" s="43">
        <v>11</v>
      </c>
      <c r="C22" s="53">
        <v>82050</v>
      </c>
      <c r="D22" s="53">
        <v>7</v>
      </c>
      <c r="E22" s="53">
        <v>47050</v>
      </c>
      <c r="F22" s="53"/>
      <c r="P22" s="53"/>
      <c r="Q22" s="58">
        <v>6</v>
      </c>
      <c r="R22" s="53">
        <v>366300</v>
      </c>
    </row>
    <row r="23" spans="1:18" x14ac:dyDescent="0.2">
      <c r="A23" s="51">
        <v>43040</v>
      </c>
      <c r="B23" s="43">
        <v>12</v>
      </c>
      <c r="C23" s="53">
        <v>82050</v>
      </c>
      <c r="D23" s="53">
        <v>8</v>
      </c>
      <c r="E23" s="53">
        <v>47050</v>
      </c>
      <c r="F23" s="57">
        <v>1</v>
      </c>
      <c r="G23" s="62">
        <v>196500</v>
      </c>
      <c r="H23" s="62"/>
      <c r="P23" s="53"/>
      <c r="Q23" s="58">
        <v>7</v>
      </c>
      <c r="R23" s="53">
        <v>366300</v>
      </c>
    </row>
    <row r="24" spans="1:18" x14ac:dyDescent="0.2">
      <c r="A24" s="51">
        <v>43070</v>
      </c>
      <c r="B24" s="43">
        <v>13</v>
      </c>
      <c r="C24" s="53">
        <v>82050</v>
      </c>
      <c r="D24" s="53">
        <v>9</v>
      </c>
      <c r="E24" s="53">
        <v>47050</v>
      </c>
      <c r="F24" s="53">
        <v>2</v>
      </c>
      <c r="G24" s="61">
        <v>196500</v>
      </c>
      <c r="H24" s="61"/>
      <c r="I24" s="61"/>
      <c r="J24" s="61"/>
      <c r="K24" s="61"/>
      <c r="L24" s="61"/>
      <c r="M24" s="61"/>
      <c r="N24" s="61"/>
      <c r="O24" s="61"/>
      <c r="P24" s="53"/>
      <c r="Q24" s="58">
        <v>8</v>
      </c>
      <c r="R24" s="53">
        <v>366300</v>
      </c>
    </row>
    <row r="25" spans="1:18" x14ac:dyDescent="0.2">
      <c r="A25" s="51">
        <v>43101</v>
      </c>
      <c r="B25" s="43">
        <v>14</v>
      </c>
      <c r="C25" s="53">
        <v>82050</v>
      </c>
      <c r="D25" s="53">
        <v>10</v>
      </c>
      <c r="E25" s="53">
        <v>47050</v>
      </c>
      <c r="F25" s="53">
        <v>3</v>
      </c>
      <c r="G25" s="61">
        <v>196500</v>
      </c>
      <c r="H25" s="61"/>
      <c r="I25" s="61"/>
      <c r="J25" s="61"/>
      <c r="K25" s="61"/>
      <c r="L25" s="61"/>
      <c r="M25" s="61"/>
      <c r="N25" s="61"/>
      <c r="O25" s="61"/>
      <c r="P25" s="53"/>
      <c r="Q25" s="58">
        <v>9</v>
      </c>
      <c r="R25" s="53">
        <v>366300</v>
      </c>
    </row>
    <row r="26" spans="1:18" x14ac:dyDescent="0.2">
      <c r="A26" s="51">
        <v>43132</v>
      </c>
      <c r="B26" s="43">
        <v>15</v>
      </c>
      <c r="C26" s="53">
        <v>82050</v>
      </c>
      <c r="D26" s="53">
        <v>11</v>
      </c>
      <c r="E26" s="53">
        <v>47050</v>
      </c>
      <c r="F26" s="53">
        <v>4</v>
      </c>
      <c r="G26" s="61">
        <v>196500</v>
      </c>
      <c r="H26" s="61"/>
      <c r="I26" s="61"/>
      <c r="J26" s="61"/>
      <c r="K26" s="61"/>
      <c r="L26" s="61"/>
      <c r="M26" s="61"/>
      <c r="N26" s="61"/>
      <c r="O26" s="61"/>
      <c r="P26" s="53"/>
      <c r="Q26" s="58">
        <v>10</v>
      </c>
      <c r="R26" s="53">
        <v>366300</v>
      </c>
    </row>
    <row r="27" spans="1:18" x14ac:dyDescent="0.2">
      <c r="A27" s="51">
        <v>43160</v>
      </c>
      <c r="B27" s="43">
        <v>16</v>
      </c>
      <c r="C27" s="53">
        <v>82050</v>
      </c>
      <c r="D27" s="53">
        <v>12</v>
      </c>
      <c r="E27" s="53">
        <v>47050</v>
      </c>
      <c r="F27" s="53">
        <v>5</v>
      </c>
      <c r="G27" s="61">
        <v>196500</v>
      </c>
      <c r="H27" s="61"/>
      <c r="I27" s="61"/>
      <c r="J27" s="61"/>
      <c r="K27" s="61"/>
      <c r="L27" s="61"/>
      <c r="M27" s="61"/>
      <c r="N27" s="61"/>
      <c r="O27" s="61"/>
      <c r="Q27" s="58">
        <v>11</v>
      </c>
      <c r="R27" s="53">
        <v>366300</v>
      </c>
    </row>
    <row r="28" spans="1:18" x14ac:dyDescent="0.2">
      <c r="A28" s="51">
        <v>43191</v>
      </c>
      <c r="B28" s="43">
        <v>17</v>
      </c>
      <c r="C28" s="53">
        <v>82050</v>
      </c>
      <c r="D28" s="53">
        <v>13</v>
      </c>
      <c r="E28" s="53">
        <v>47050</v>
      </c>
      <c r="F28" s="53">
        <v>6</v>
      </c>
      <c r="G28" s="61">
        <v>196500</v>
      </c>
      <c r="H28" s="61"/>
      <c r="I28" s="61"/>
      <c r="J28" s="61"/>
      <c r="K28" s="61"/>
      <c r="L28" s="61"/>
      <c r="M28" s="61"/>
      <c r="N28" s="61"/>
      <c r="O28" s="62">
        <v>1</v>
      </c>
      <c r="P28" s="57">
        <v>430000</v>
      </c>
      <c r="Q28" s="58">
        <v>12</v>
      </c>
      <c r="R28" s="53">
        <v>366300</v>
      </c>
    </row>
    <row r="29" spans="1:18" x14ac:dyDescent="0.2">
      <c r="A29" s="51">
        <v>43221</v>
      </c>
      <c r="B29" s="43">
        <v>18</v>
      </c>
      <c r="C29" s="53">
        <v>82050</v>
      </c>
      <c r="D29" s="53">
        <v>14</v>
      </c>
      <c r="E29" s="53">
        <v>47050</v>
      </c>
      <c r="F29" s="53">
        <v>7</v>
      </c>
      <c r="G29" s="61">
        <v>196500</v>
      </c>
      <c r="H29" s="61"/>
      <c r="I29" s="61"/>
      <c r="J29" s="61"/>
      <c r="K29" s="61"/>
      <c r="L29" s="61"/>
      <c r="M29" s="61"/>
      <c r="N29" s="61"/>
      <c r="O29" s="61">
        <v>2</v>
      </c>
      <c r="P29" s="61">
        <v>512000</v>
      </c>
      <c r="Q29" s="58">
        <v>13</v>
      </c>
      <c r="R29" s="53">
        <v>366300</v>
      </c>
    </row>
    <row r="30" spans="1:18" x14ac:dyDescent="0.2">
      <c r="A30" s="51">
        <v>43252</v>
      </c>
      <c r="B30" s="43">
        <v>19</v>
      </c>
      <c r="C30" s="53">
        <v>82050</v>
      </c>
      <c r="D30" s="53">
        <v>15</v>
      </c>
      <c r="E30" s="53">
        <v>47050</v>
      </c>
      <c r="F30" s="53">
        <v>8</v>
      </c>
      <c r="G30" s="61">
        <v>196500</v>
      </c>
      <c r="H30" s="61"/>
      <c r="I30" s="61"/>
      <c r="J30" s="61"/>
      <c r="K30" s="61"/>
      <c r="L30" s="61"/>
      <c r="M30" s="61"/>
      <c r="N30" s="61"/>
      <c r="O30" s="61">
        <v>3</v>
      </c>
      <c r="P30" s="61">
        <v>560000</v>
      </c>
      <c r="Q30" s="58">
        <v>14</v>
      </c>
      <c r="R30" s="53">
        <v>366300</v>
      </c>
    </row>
    <row r="31" spans="1:18" x14ac:dyDescent="0.2">
      <c r="A31" s="51">
        <v>43282</v>
      </c>
      <c r="B31" s="43">
        <v>20</v>
      </c>
      <c r="C31" s="53">
        <v>82050</v>
      </c>
      <c r="D31" s="53">
        <v>16</v>
      </c>
      <c r="E31" s="53">
        <v>47050</v>
      </c>
      <c r="F31" s="53">
        <v>9</v>
      </c>
      <c r="G31" s="61">
        <v>196500</v>
      </c>
      <c r="H31" s="61"/>
      <c r="I31" s="61"/>
      <c r="J31" s="61"/>
      <c r="K31" s="61"/>
      <c r="L31" s="61"/>
      <c r="M31" s="61"/>
      <c r="N31" s="61"/>
      <c r="O31" s="61">
        <v>4</v>
      </c>
      <c r="P31" s="61">
        <v>493400</v>
      </c>
      <c r="Q31" s="58">
        <v>15</v>
      </c>
      <c r="R31" s="53">
        <v>366300</v>
      </c>
    </row>
    <row r="32" spans="1:18" x14ac:dyDescent="0.2">
      <c r="A32" s="51">
        <v>43313</v>
      </c>
      <c r="B32" s="43">
        <v>21</v>
      </c>
      <c r="C32" s="53">
        <v>82050</v>
      </c>
      <c r="D32" s="53">
        <v>17</v>
      </c>
      <c r="E32" s="53">
        <v>47050</v>
      </c>
      <c r="F32" s="53">
        <v>10</v>
      </c>
      <c r="G32" s="61">
        <v>196500</v>
      </c>
      <c r="H32" s="63">
        <v>1</v>
      </c>
      <c r="I32" s="62">
        <v>110740</v>
      </c>
      <c r="N32" s="61"/>
      <c r="O32" s="61">
        <v>5</v>
      </c>
      <c r="P32" s="61">
        <v>503000</v>
      </c>
      <c r="Q32" s="58">
        <v>16</v>
      </c>
      <c r="R32" s="53">
        <v>366300</v>
      </c>
    </row>
    <row r="33" spans="1:18" x14ac:dyDescent="0.2">
      <c r="A33" s="51">
        <v>43344</v>
      </c>
      <c r="B33" s="43">
        <v>22</v>
      </c>
      <c r="C33" s="53">
        <v>82050</v>
      </c>
      <c r="D33" s="53">
        <v>18</v>
      </c>
      <c r="E33" s="53">
        <v>47050</v>
      </c>
      <c r="F33" s="53">
        <v>11</v>
      </c>
      <c r="G33" s="61">
        <v>196500</v>
      </c>
      <c r="H33" s="60">
        <v>2</v>
      </c>
      <c r="I33" s="64">
        <v>110740</v>
      </c>
      <c r="J33" s="61"/>
      <c r="K33" s="61"/>
      <c r="L33" s="61"/>
      <c r="M33" s="61"/>
      <c r="N33" s="60"/>
      <c r="O33" s="61">
        <v>6</v>
      </c>
      <c r="P33" s="61">
        <v>550000</v>
      </c>
      <c r="Q33" s="58">
        <v>17</v>
      </c>
      <c r="R33" s="53">
        <v>366300</v>
      </c>
    </row>
    <row r="34" spans="1:18" x14ac:dyDescent="0.2">
      <c r="A34" s="51">
        <v>43374</v>
      </c>
      <c r="B34" s="43">
        <v>23</v>
      </c>
      <c r="C34" s="53">
        <v>82050</v>
      </c>
      <c r="D34" s="53">
        <v>19</v>
      </c>
      <c r="E34" s="53">
        <v>47050</v>
      </c>
      <c r="F34" s="53">
        <v>12</v>
      </c>
      <c r="G34" s="61">
        <v>196500</v>
      </c>
      <c r="H34" s="60">
        <v>3</v>
      </c>
      <c r="I34" s="64">
        <v>110740</v>
      </c>
      <c r="J34" s="63">
        <v>1</v>
      </c>
      <c r="K34" s="62">
        <v>71000</v>
      </c>
      <c r="L34" s="60"/>
      <c r="M34" s="60"/>
      <c r="N34" s="60"/>
      <c r="O34" s="61">
        <v>7</v>
      </c>
      <c r="P34" s="61">
        <v>470000</v>
      </c>
      <c r="Q34" s="58">
        <v>18</v>
      </c>
      <c r="R34" s="61">
        <v>366300</v>
      </c>
    </row>
    <row r="35" spans="1:18" x14ac:dyDescent="0.2">
      <c r="A35" s="51">
        <v>43405</v>
      </c>
      <c r="B35" s="65">
        <v>24</v>
      </c>
      <c r="C35" s="66"/>
      <c r="D35" s="53">
        <v>20</v>
      </c>
      <c r="E35" s="60"/>
      <c r="F35" s="53">
        <v>13</v>
      </c>
      <c r="G35" s="60"/>
      <c r="H35" s="60">
        <v>4</v>
      </c>
      <c r="I35" s="60"/>
      <c r="J35" s="60">
        <v>2</v>
      </c>
      <c r="K35" s="60"/>
      <c r="L35" s="60"/>
      <c r="M35" s="60"/>
      <c r="N35" s="60"/>
      <c r="O35" s="61">
        <v>8</v>
      </c>
      <c r="P35" s="60"/>
      <c r="Q35" s="58">
        <v>19</v>
      </c>
      <c r="R35" s="60"/>
    </row>
    <row r="36" spans="1:18" x14ac:dyDescent="0.2">
      <c r="A36" s="51">
        <v>43435</v>
      </c>
      <c r="C36" s="60"/>
      <c r="D36" s="53">
        <v>21</v>
      </c>
      <c r="E36" s="60"/>
      <c r="F36" s="53">
        <v>14</v>
      </c>
      <c r="G36" s="60"/>
      <c r="H36" s="60">
        <v>5</v>
      </c>
      <c r="I36" s="60"/>
      <c r="J36" s="67">
        <v>3</v>
      </c>
      <c r="K36" s="68"/>
      <c r="L36" s="63">
        <v>1</v>
      </c>
      <c r="M36" s="62"/>
      <c r="N36" s="60"/>
      <c r="O36" s="61">
        <v>9</v>
      </c>
      <c r="P36" s="60"/>
      <c r="Q36" s="58">
        <v>20</v>
      </c>
      <c r="R36" s="60"/>
    </row>
    <row r="37" spans="1:18" x14ac:dyDescent="0.2">
      <c r="A37" s="51">
        <v>43466</v>
      </c>
      <c r="C37" s="60"/>
      <c r="D37" s="53">
        <v>22</v>
      </c>
      <c r="E37" s="60"/>
      <c r="F37" s="53">
        <v>15</v>
      </c>
      <c r="G37" s="60"/>
      <c r="H37" s="60">
        <v>6</v>
      </c>
      <c r="I37" s="60"/>
      <c r="J37" s="60"/>
      <c r="K37" s="60"/>
      <c r="L37" s="60">
        <v>2</v>
      </c>
      <c r="M37" s="60"/>
      <c r="N37" s="69"/>
      <c r="O37" s="61">
        <v>10</v>
      </c>
      <c r="P37" s="60"/>
      <c r="Q37" s="58">
        <v>21</v>
      </c>
      <c r="R37" s="60"/>
    </row>
    <row r="38" spans="1:18" x14ac:dyDescent="0.2">
      <c r="A38" s="51">
        <v>43497</v>
      </c>
      <c r="C38" s="60"/>
      <c r="D38" s="53">
        <v>23</v>
      </c>
      <c r="E38" s="60"/>
      <c r="F38" s="53">
        <v>16</v>
      </c>
      <c r="G38" s="60"/>
      <c r="H38" s="60">
        <v>7</v>
      </c>
      <c r="I38" s="60"/>
      <c r="J38" s="60"/>
      <c r="K38" s="60"/>
      <c r="L38" s="60">
        <v>3</v>
      </c>
      <c r="M38" s="60"/>
      <c r="N38" s="60"/>
      <c r="O38" s="61">
        <v>11</v>
      </c>
      <c r="P38" s="60"/>
      <c r="Q38" s="58">
        <v>22</v>
      </c>
      <c r="R38" s="60"/>
    </row>
    <row r="39" spans="1:18" x14ac:dyDescent="0.2">
      <c r="A39" s="51">
        <v>43525</v>
      </c>
      <c r="C39" s="60"/>
      <c r="D39" s="70">
        <v>24</v>
      </c>
      <c r="E39" s="68"/>
      <c r="F39" s="53">
        <v>17</v>
      </c>
      <c r="G39" s="60"/>
      <c r="H39" s="60">
        <v>8</v>
      </c>
      <c r="I39" s="60"/>
      <c r="J39" s="60"/>
      <c r="K39" s="60"/>
      <c r="L39" s="60">
        <v>4</v>
      </c>
      <c r="M39" s="60"/>
      <c r="N39" s="60"/>
      <c r="O39" s="69">
        <v>12</v>
      </c>
      <c r="P39" s="69"/>
      <c r="Q39" s="58">
        <v>23</v>
      </c>
      <c r="R39" s="60"/>
    </row>
    <row r="40" spans="1:18" x14ac:dyDescent="0.2">
      <c r="A40" s="51">
        <v>43556</v>
      </c>
      <c r="C40" s="60"/>
      <c r="E40" s="60"/>
      <c r="F40" s="53">
        <v>18</v>
      </c>
      <c r="G40" s="60"/>
      <c r="H40" s="60">
        <v>9</v>
      </c>
      <c r="I40" s="60"/>
      <c r="J40" s="60"/>
      <c r="K40" s="60"/>
      <c r="L40" s="60">
        <v>5</v>
      </c>
      <c r="M40" s="60"/>
      <c r="N40" s="60"/>
      <c r="P40" s="60"/>
      <c r="Q40" s="58">
        <v>24</v>
      </c>
      <c r="R40" s="60"/>
    </row>
    <row r="41" spans="1:18" x14ac:dyDescent="0.2">
      <c r="A41" s="51">
        <v>43586</v>
      </c>
      <c r="C41" s="60"/>
      <c r="E41" s="60"/>
      <c r="F41" s="53">
        <v>19</v>
      </c>
      <c r="G41" s="60"/>
      <c r="H41" s="60">
        <v>10</v>
      </c>
      <c r="I41" s="60"/>
      <c r="J41" s="60"/>
      <c r="K41" s="60"/>
      <c r="L41" s="60">
        <v>6</v>
      </c>
      <c r="M41" s="60"/>
      <c r="N41" s="60"/>
      <c r="P41" s="60"/>
      <c r="Q41" s="58">
        <v>25</v>
      </c>
      <c r="R41" s="60"/>
    </row>
    <row r="42" spans="1:18" x14ac:dyDescent="0.2">
      <c r="A42" s="51">
        <v>43617</v>
      </c>
      <c r="C42" s="60"/>
      <c r="E42" s="60"/>
      <c r="F42" s="53">
        <v>20</v>
      </c>
      <c r="G42" s="60"/>
      <c r="H42" s="60">
        <v>11</v>
      </c>
      <c r="I42" s="60"/>
      <c r="J42" s="60"/>
      <c r="K42" s="60"/>
      <c r="L42" s="60">
        <v>7</v>
      </c>
      <c r="M42" s="60"/>
      <c r="N42" s="60"/>
      <c r="P42" s="60"/>
      <c r="Q42" s="58">
        <v>26</v>
      </c>
      <c r="R42" s="60"/>
    </row>
    <row r="43" spans="1:18" x14ac:dyDescent="0.2">
      <c r="A43" s="51">
        <v>43647</v>
      </c>
      <c r="C43" s="60"/>
      <c r="E43" s="60"/>
      <c r="F43" s="53">
        <v>21</v>
      </c>
      <c r="G43" s="60"/>
      <c r="H43" s="60">
        <v>12</v>
      </c>
      <c r="I43" s="60"/>
      <c r="J43" s="60"/>
      <c r="K43" s="60"/>
      <c r="L43" s="60">
        <v>8</v>
      </c>
      <c r="M43" s="60"/>
      <c r="N43" s="60"/>
      <c r="P43" s="60"/>
      <c r="Q43" s="58">
        <v>27</v>
      </c>
      <c r="R43" s="60"/>
    </row>
    <row r="44" spans="1:18" x14ac:dyDescent="0.2">
      <c r="A44" s="51">
        <v>43678</v>
      </c>
      <c r="C44" s="60"/>
      <c r="E44" s="60"/>
      <c r="F44" s="53">
        <v>22</v>
      </c>
      <c r="G44" s="60"/>
      <c r="H44" s="60">
        <v>13</v>
      </c>
      <c r="I44" s="60"/>
      <c r="J44" s="60"/>
      <c r="K44" s="60"/>
      <c r="L44" s="60">
        <v>9</v>
      </c>
      <c r="M44" s="60"/>
      <c r="N44" s="60"/>
      <c r="P44" s="60"/>
      <c r="Q44" s="58">
        <v>28</v>
      </c>
      <c r="R44" s="60"/>
    </row>
    <row r="45" spans="1:18" x14ac:dyDescent="0.2">
      <c r="A45" s="51">
        <v>43709</v>
      </c>
      <c r="C45" s="60"/>
      <c r="E45" s="60"/>
      <c r="F45" s="53">
        <v>23</v>
      </c>
      <c r="G45" s="60"/>
      <c r="H45" s="60">
        <v>14</v>
      </c>
      <c r="I45" s="60"/>
      <c r="J45" s="60"/>
      <c r="K45" s="60"/>
      <c r="L45" s="60">
        <v>10</v>
      </c>
      <c r="M45" s="60"/>
      <c r="N45" s="60"/>
      <c r="P45" s="60"/>
      <c r="Q45" s="58">
        <v>29</v>
      </c>
      <c r="R45" s="60"/>
    </row>
    <row r="46" spans="1:18" x14ac:dyDescent="0.2">
      <c r="A46" s="51">
        <v>43739</v>
      </c>
      <c r="C46" s="60"/>
      <c r="E46" s="60"/>
      <c r="F46" s="70">
        <v>24</v>
      </c>
      <c r="G46" s="69"/>
      <c r="H46" s="60">
        <v>15</v>
      </c>
      <c r="I46" s="60"/>
      <c r="J46" s="60"/>
      <c r="K46" s="60"/>
      <c r="L46" s="60">
        <v>11</v>
      </c>
      <c r="M46" s="60"/>
      <c r="N46" s="60"/>
      <c r="P46" s="60"/>
      <c r="Q46" s="58">
        <v>30</v>
      </c>
      <c r="R46" s="60"/>
    </row>
    <row r="47" spans="1:18" x14ac:dyDescent="0.2">
      <c r="A47" s="51">
        <v>43770</v>
      </c>
      <c r="C47" s="60"/>
      <c r="E47" s="60"/>
      <c r="G47" s="60"/>
      <c r="H47" s="60">
        <v>16</v>
      </c>
      <c r="I47" s="60"/>
      <c r="J47" s="60"/>
      <c r="K47" s="60"/>
      <c r="L47" s="66">
        <v>12</v>
      </c>
      <c r="M47" s="69"/>
      <c r="N47" s="60"/>
      <c r="P47" s="60"/>
      <c r="Q47" s="58">
        <v>31</v>
      </c>
      <c r="R47" s="60"/>
    </row>
    <row r="48" spans="1:18" x14ac:dyDescent="0.2">
      <c r="A48" s="51">
        <v>43800</v>
      </c>
      <c r="C48" s="60"/>
      <c r="E48" s="60"/>
      <c r="G48" s="60"/>
      <c r="H48" s="60">
        <v>17</v>
      </c>
      <c r="I48" s="60"/>
      <c r="J48" s="60"/>
      <c r="K48" s="60"/>
      <c r="L48" s="60"/>
      <c r="M48" s="60"/>
      <c r="N48" s="60"/>
      <c r="P48" s="60"/>
      <c r="Q48" s="58">
        <v>32</v>
      </c>
      <c r="R48" s="60"/>
    </row>
    <row r="49" spans="1:18" x14ac:dyDescent="0.2">
      <c r="A49" s="51">
        <v>43831</v>
      </c>
      <c r="C49" s="60"/>
      <c r="E49" s="60"/>
      <c r="G49" s="60"/>
      <c r="H49" s="66">
        <v>18</v>
      </c>
      <c r="I49" s="69"/>
      <c r="J49" s="69"/>
      <c r="K49" s="69"/>
      <c r="L49" s="102"/>
      <c r="M49" s="102"/>
      <c r="P49" s="60"/>
      <c r="Q49" s="58">
        <v>33</v>
      </c>
      <c r="R49" s="60"/>
    </row>
    <row r="50" spans="1:18" x14ac:dyDescent="0.2">
      <c r="A50" s="51">
        <v>43862</v>
      </c>
      <c r="C50" s="60"/>
      <c r="E50" s="60"/>
      <c r="G50" s="60"/>
      <c r="I50" s="60"/>
      <c r="J50" s="60"/>
      <c r="K50" s="60"/>
      <c r="L50" s="60"/>
      <c r="M50" s="60"/>
      <c r="N50" s="60"/>
      <c r="P50" s="60"/>
      <c r="Q50" s="58">
        <v>34</v>
      </c>
      <c r="R50" s="60"/>
    </row>
    <row r="51" spans="1:18" x14ac:dyDescent="0.2">
      <c r="A51" s="51">
        <v>43891</v>
      </c>
      <c r="C51" s="60"/>
      <c r="E51" s="60"/>
      <c r="G51" s="60"/>
      <c r="I51" s="60"/>
      <c r="J51" s="60"/>
      <c r="K51" s="60"/>
      <c r="L51" s="60"/>
      <c r="M51" s="60"/>
      <c r="N51" s="60"/>
      <c r="P51" s="60"/>
      <c r="Q51" s="58">
        <v>35</v>
      </c>
      <c r="R51" s="60"/>
    </row>
    <row r="52" spans="1:18" x14ac:dyDescent="0.2">
      <c r="A52" s="51">
        <v>43922</v>
      </c>
      <c r="C52" s="60"/>
      <c r="E52" s="60"/>
      <c r="G52" s="60"/>
      <c r="I52" s="60"/>
      <c r="J52" s="60"/>
      <c r="K52" s="60"/>
      <c r="L52" s="60"/>
      <c r="M52" s="60"/>
      <c r="N52" s="60"/>
      <c r="P52" s="60"/>
      <c r="Q52" s="58">
        <v>36</v>
      </c>
      <c r="R52" s="60"/>
    </row>
    <row r="53" spans="1:18" x14ac:dyDescent="0.2">
      <c r="A53" s="51">
        <v>43952</v>
      </c>
      <c r="C53" s="60"/>
      <c r="E53" s="60"/>
      <c r="G53" s="60"/>
      <c r="I53" s="60"/>
      <c r="J53" s="60"/>
      <c r="K53" s="60"/>
      <c r="L53" s="60"/>
      <c r="M53" s="60"/>
      <c r="N53" s="60"/>
      <c r="P53" s="60"/>
      <c r="Q53" s="58">
        <v>37</v>
      </c>
      <c r="R53" s="60"/>
    </row>
    <row r="54" spans="1:18" x14ac:dyDescent="0.2">
      <c r="A54" s="51">
        <v>43983</v>
      </c>
      <c r="C54" s="60"/>
      <c r="E54" s="60"/>
      <c r="G54" s="60"/>
      <c r="I54" s="60"/>
      <c r="J54" s="60"/>
      <c r="K54" s="60"/>
      <c r="L54" s="60"/>
      <c r="M54" s="60"/>
      <c r="N54" s="60"/>
      <c r="P54" s="60"/>
      <c r="Q54" s="58">
        <v>38</v>
      </c>
      <c r="R54" s="60"/>
    </row>
    <row r="55" spans="1:18" x14ac:dyDescent="0.2">
      <c r="A55" s="51">
        <v>44013</v>
      </c>
      <c r="C55" s="60"/>
      <c r="E55" s="60"/>
      <c r="G55" s="60"/>
      <c r="I55" s="60"/>
      <c r="J55" s="60"/>
      <c r="K55" s="60"/>
      <c r="L55" s="60"/>
      <c r="M55" s="60"/>
      <c r="N55" s="60"/>
      <c r="P55" s="60"/>
      <c r="Q55" s="58">
        <v>39</v>
      </c>
      <c r="R55" s="60"/>
    </row>
    <row r="56" spans="1:18" x14ac:dyDescent="0.2">
      <c r="A56" s="51">
        <v>44044</v>
      </c>
      <c r="C56" s="60"/>
      <c r="E56" s="60"/>
      <c r="G56" s="60"/>
      <c r="I56" s="60"/>
      <c r="J56" s="60"/>
      <c r="K56" s="60"/>
      <c r="L56" s="60"/>
      <c r="M56" s="60"/>
      <c r="N56" s="60"/>
      <c r="P56" s="60"/>
      <c r="Q56" s="58">
        <v>40</v>
      </c>
      <c r="R56" s="60"/>
    </row>
    <row r="57" spans="1:18" x14ac:dyDescent="0.2">
      <c r="A57" s="51">
        <v>44075</v>
      </c>
      <c r="C57" s="60"/>
      <c r="E57" s="60"/>
      <c r="G57" s="60"/>
      <c r="I57" s="60"/>
      <c r="J57" s="60"/>
      <c r="K57" s="60"/>
      <c r="L57" s="60"/>
      <c r="M57" s="60"/>
      <c r="N57" s="60"/>
      <c r="P57" s="60"/>
      <c r="Q57" s="58">
        <v>41</v>
      </c>
      <c r="R57" s="60"/>
    </row>
    <row r="58" spans="1:18" x14ac:dyDescent="0.2">
      <c r="A58" s="51">
        <v>44105</v>
      </c>
      <c r="C58" s="60"/>
      <c r="E58" s="60"/>
      <c r="G58" s="60"/>
      <c r="I58" s="60"/>
      <c r="J58" s="60"/>
      <c r="K58" s="60"/>
      <c r="L58" s="60"/>
      <c r="M58" s="60"/>
      <c r="N58" s="60"/>
      <c r="P58" s="60"/>
      <c r="Q58" s="58">
        <v>42</v>
      </c>
      <c r="R58" s="60"/>
    </row>
    <row r="59" spans="1:18" x14ac:dyDescent="0.2">
      <c r="A59" s="51">
        <v>44136</v>
      </c>
      <c r="C59" s="60"/>
      <c r="E59" s="60"/>
      <c r="G59" s="60"/>
      <c r="I59" s="60"/>
      <c r="J59" s="60"/>
      <c r="K59" s="60"/>
      <c r="L59" s="60"/>
      <c r="M59" s="60"/>
      <c r="N59" s="60"/>
      <c r="P59" s="60"/>
      <c r="Q59" s="58">
        <v>43</v>
      </c>
      <c r="R59" s="60"/>
    </row>
    <row r="60" spans="1:18" x14ac:dyDescent="0.2">
      <c r="A60" s="51">
        <v>44166</v>
      </c>
      <c r="C60" s="60"/>
      <c r="E60" s="60"/>
      <c r="G60" s="60"/>
      <c r="I60" s="60"/>
      <c r="J60" s="60"/>
      <c r="K60" s="60"/>
      <c r="L60" s="60"/>
      <c r="M60" s="60"/>
      <c r="N60" s="60"/>
      <c r="P60" s="60"/>
      <c r="Q60" s="58">
        <v>44</v>
      </c>
      <c r="R60" s="60"/>
    </row>
    <row r="61" spans="1:18" x14ac:dyDescent="0.2">
      <c r="A61" s="51">
        <v>44197</v>
      </c>
      <c r="C61" s="60"/>
      <c r="E61" s="60"/>
      <c r="G61" s="60"/>
      <c r="I61" s="60"/>
      <c r="J61" s="60"/>
      <c r="K61" s="60"/>
      <c r="L61" s="60"/>
      <c r="M61" s="60"/>
      <c r="N61" s="60"/>
      <c r="P61" s="60"/>
      <c r="Q61" s="58">
        <v>45</v>
      </c>
      <c r="R61" s="60"/>
    </row>
    <row r="62" spans="1:18" x14ac:dyDescent="0.2">
      <c r="A62" s="51">
        <v>44228</v>
      </c>
      <c r="C62" s="60"/>
      <c r="E62" s="60"/>
      <c r="G62" s="60"/>
      <c r="I62" s="60"/>
      <c r="J62" s="60"/>
      <c r="K62" s="60"/>
      <c r="L62" s="60"/>
      <c r="M62" s="60"/>
      <c r="N62" s="60"/>
      <c r="P62" s="60"/>
      <c r="Q62" s="58">
        <v>46</v>
      </c>
      <c r="R62" s="60"/>
    </row>
    <row r="63" spans="1:18" x14ac:dyDescent="0.2">
      <c r="A63" s="51">
        <v>44256</v>
      </c>
      <c r="C63" s="60"/>
      <c r="E63" s="60"/>
      <c r="G63" s="60"/>
      <c r="I63" s="60"/>
      <c r="J63" s="60"/>
      <c r="K63" s="60"/>
      <c r="L63" s="60"/>
      <c r="M63" s="60"/>
      <c r="N63" s="60"/>
      <c r="P63" s="60"/>
      <c r="Q63" s="58">
        <v>47</v>
      </c>
      <c r="R63" s="60"/>
    </row>
    <row r="64" spans="1:18" x14ac:dyDescent="0.2">
      <c r="A64" s="51">
        <v>44287</v>
      </c>
      <c r="C64" s="60"/>
      <c r="E64" s="60"/>
      <c r="G64" s="60"/>
      <c r="I64" s="60"/>
      <c r="J64" s="60"/>
      <c r="K64" s="60"/>
      <c r="L64" s="60"/>
      <c r="M64" s="60"/>
      <c r="N64" s="60"/>
      <c r="P64" s="60"/>
      <c r="Q64" s="58">
        <v>48</v>
      </c>
      <c r="R64" s="60"/>
    </row>
    <row r="65" spans="1:18" x14ac:dyDescent="0.2">
      <c r="A65" s="51">
        <v>44317</v>
      </c>
      <c r="C65" s="60"/>
      <c r="E65" s="60"/>
      <c r="G65" s="60"/>
      <c r="I65" s="60"/>
      <c r="J65" s="60"/>
      <c r="K65" s="60"/>
      <c r="L65" s="60"/>
      <c r="M65" s="60"/>
      <c r="N65" s="60"/>
      <c r="P65" s="60"/>
      <c r="Q65" s="58">
        <v>49</v>
      </c>
      <c r="R65" s="60"/>
    </row>
    <row r="66" spans="1:18" x14ac:dyDescent="0.2">
      <c r="A66" s="51">
        <v>44348</v>
      </c>
      <c r="C66" s="60"/>
      <c r="E66" s="60"/>
      <c r="G66" s="60"/>
      <c r="I66" s="60"/>
      <c r="J66" s="60"/>
      <c r="K66" s="60"/>
      <c r="L66" s="60"/>
      <c r="M66" s="60"/>
      <c r="N66" s="60"/>
      <c r="P66" s="60"/>
      <c r="Q66" s="58">
        <v>50</v>
      </c>
      <c r="R66" s="60"/>
    </row>
    <row r="67" spans="1:18" x14ac:dyDescent="0.2">
      <c r="A67" s="51">
        <v>44378</v>
      </c>
      <c r="C67" s="60"/>
      <c r="E67" s="60"/>
      <c r="G67" s="60"/>
      <c r="I67" s="60"/>
      <c r="J67" s="60"/>
      <c r="K67" s="60"/>
      <c r="L67" s="60"/>
      <c r="M67" s="60"/>
      <c r="N67" s="60"/>
      <c r="P67" s="60"/>
      <c r="Q67" s="58">
        <v>51</v>
      </c>
      <c r="R67" s="60"/>
    </row>
    <row r="68" spans="1:18" x14ac:dyDescent="0.2">
      <c r="A68" s="51">
        <v>44409</v>
      </c>
      <c r="C68" s="60"/>
      <c r="E68" s="60"/>
      <c r="G68" s="60"/>
      <c r="I68" s="60"/>
      <c r="J68" s="60"/>
      <c r="K68" s="60"/>
      <c r="L68" s="60"/>
      <c r="M68" s="60"/>
      <c r="N68" s="60"/>
      <c r="P68" s="60"/>
      <c r="Q68" s="58">
        <v>52</v>
      </c>
      <c r="R68" s="60"/>
    </row>
    <row r="69" spans="1:18" x14ac:dyDescent="0.2">
      <c r="A69" s="51">
        <v>44440</v>
      </c>
      <c r="C69" s="60"/>
      <c r="E69" s="60"/>
      <c r="G69" s="60"/>
      <c r="I69" s="60"/>
      <c r="J69" s="60"/>
      <c r="K69" s="60"/>
      <c r="L69" s="60"/>
      <c r="M69" s="60"/>
      <c r="N69" s="60"/>
      <c r="P69" s="60"/>
      <c r="Q69" s="58">
        <v>53</v>
      </c>
      <c r="R69" s="60"/>
    </row>
    <row r="70" spans="1:18" x14ac:dyDescent="0.2">
      <c r="A70" s="51">
        <v>44470</v>
      </c>
      <c r="C70" s="60"/>
      <c r="E70" s="60"/>
      <c r="G70" s="60"/>
      <c r="I70" s="60"/>
      <c r="J70" s="60"/>
      <c r="K70" s="60"/>
      <c r="L70" s="60"/>
      <c r="M70" s="60"/>
      <c r="N70" s="60"/>
      <c r="P70" s="60"/>
      <c r="Q70" s="58">
        <v>54</v>
      </c>
      <c r="R70" s="60"/>
    </row>
    <row r="71" spans="1:18" x14ac:dyDescent="0.2">
      <c r="A71" s="51">
        <v>44501</v>
      </c>
      <c r="C71" s="60"/>
      <c r="E71" s="60"/>
      <c r="G71" s="60"/>
      <c r="I71" s="60"/>
      <c r="J71" s="60"/>
      <c r="K71" s="60"/>
      <c r="L71" s="60"/>
      <c r="M71" s="60"/>
      <c r="N71" s="60"/>
      <c r="P71" s="60"/>
      <c r="Q71" s="58">
        <v>55</v>
      </c>
      <c r="R71" s="60"/>
    </row>
    <row r="72" spans="1:18" x14ac:dyDescent="0.2">
      <c r="A72" s="51">
        <v>44531</v>
      </c>
      <c r="C72" s="60"/>
      <c r="E72" s="60"/>
      <c r="G72" s="60"/>
      <c r="I72" s="60"/>
      <c r="J72" s="60"/>
      <c r="K72" s="60"/>
      <c r="L72" s="60"/>
      <c r="M72" s="60"/>
      <c r="N72" s="60"/>
      <c r="P72" s="60"/>
      <c r="Q72" s="58">
        <v>56</v>
      </c>
      <c r="R72" s="60"/>
    </row>
    <row r="73" spans="1:18" x14ac:dyDescent="0.2">
      <c r="A73" s="51">
        <v>44562</v>
      </c>
      <c r="C73" s="60"/>
      <c r="E73" s="60"/>
      <c r="G73" s="60"/>
      <c r="I73" s="60"/>
      <c r="J73" s="60"/>
      <c r="K73" s="60"/>
      <c r="L73" s="60"/>
      <c r="M73" s="60"/>
      <c r="N73" s="60"/>
      <c r="P73" s="60"/>
      <c r="Q73" s="58">
        <v>57</v>
      </c>
      <c r="R73" s="60"/>
    </row>
    <row r="74" spans="1:18" x14ac:dyDescent="0.2">
      <c r="A74" s="51">
        <v>44593</v>
      </c>
      <c r="C74" s="60"/>
      <c r="E74" s="60"/>
      <c r="G74" s="60"/>
      <c r="I74" s="60"/>
      <c r="J74" s="60"/>
      <c r="K74" s="60"/>
      <c r="L74" s="60"/>
      <c r="M74" s="60"/>
      <c r="N74" s="60"/>
      <c r="P74" s="60"/>
      <c r="Q74" s="58">
        <v>58</v>
      </c>
      <c r="R74" s="60"/>
    </row>
    <row r="75" spans="1:18" x14ac:dyDescent="0.2">
      <c r="A75" s="51">
        <v>44621</v>
      </c>
      <c r="C75" s="60"/>
      <c r="E75" s="60"/>
      <c r="G75" s="60"/>
      <c r="I75" s="60"/>
      <c r="J75" s="60"/>
      <c r="K75" s="60"/>
      <c r="L75" s="60"/>
      <c r="M75" s="60"/>
      <c r="N75" s="60"/>
      <c r="P75" s="60"/>
      <c r="Q75" s="58">
        <v>59</v>
      </c>
      <c r="R75" s="60"/>
    </row>
    <row r="76" spans="1:18" x14ac:dyDescent="0.2">
      <c r="A76" s="51">
        <v>44652</v>
      </c>
      <c r="C76" s="60"/>
      <c r="E76" s="60"/>
      <c r="G76" s="60"/>
      <c r="I76" s="60"/>
      <c r="J76" s="60"/>
      <c r="K76" s="60"/>
      <c r="L76" s="60"/>
      <c r="M76" s="60"/>
      <c r="N76" s="60"/>
      <c r="P76" s="60"/>
      <c r="Q76" s="71">
        <v>60</v>
      </c>
      <c r="R76" s="68"/>
    </row>
  </sheetData>
  <mergeCells count="71">
    <mergeCell ref="J6:K6"/>
    <mergeCell ref="J7:K7"/>
    <mergeCell ref="J8:K8"/>
    <mergeCell ref="J9:K9"/>
    <mergeCell ref="J1:K1"/>
    <mergeCell ref="J2:K2"/>
    <mergeCell ref="J3:K3"/>
    <mergeCell ref="J4:K4"/>
    <mergeCell ref="J5:K5"/>
    <mergeCell ref="Q9:R9"/>
    <mergeCell ref="O7:P7"/>
    <mergeCell ref="O8:P8"/>
    <mergeCell ref="O9:P9"/>
    <mergeCell ref="Q2:R2"/>
    <mergeCell ref="Q3:R3"/>
    <mergeCell ref="Q4:R4"/>
    <mergeCell ref="Q5:R5"/>
    <mergeCell ref="Q6:R6"/>
    <mergeCell ref="Q7:R7"/>
    <mergeCell ref="Q8:R8"/>
    <mergeCell ref="O6:P6"/>
    <mergeCell ref="O1:P1"/>
    <mergeCell ref="O2:P2"/>
    <mergeCell ref="O3:P3"/>
    <mergeCell ref="O4:P4"/>
    <mergeCell ref="O5:P5"/>
    <mergeCell ref="B3:C3"/>
    <mergeCell ref="B2:C2"/>
    <mergeCell ref="B9:C9"/>
    <mergeCell ref="B8:C8"/>
    <mergeCell ref="B7:C7"/>
    <mergeCell ref="B6:C6"/>
    <mergeCell ref="B5:C5"/>
    <mergeCell ref="B4:C4"/>
    <mergeCell ref="D2:E2"/>
    <mergeCell ref="F9:G9"/>
    <mergeCell ref="F8:G8"/>
    <mergeCell ref="F7:G7"/>
    <mergeCell ref="F6:G6"/>
    <mergeCell ref="F5:G5"/>
    <mergeCell ref="F4:G4"/>
    <mergeCell ref="D9:E9"/>
    <mergeCell ref="D8:E8"/>
    <mergeCell ref="D7:E7"/>
    <mergeCell ref="D6:E6"/>
    <mergeCell ref="D5:E5"/>
    <mergeCell ref="H1:I1"/>
    <mergeCell ref="F1:G1"/>
    <mergeCell ref="D1:E1"/>
    <mergeCell ref="B1:C1"/>
    <mergeCell ref="H9:I9"/>
    <mergeCell ref="H8:I8"/>
    <mergeCell ref="H7:I7"/>
    <mergeCell ref="H6:I6"/>
    <mergeCell ref="H5:I5"/>
    <mergeCell ref="H4:I4"/>
    <mergeCell ref="H3:I3"/>
    <mergeCell ref="H2:I2"/>
    <mergeCell ref="F3:G3"/>
    <mergeCell ref="F2:G2"/>
    <mergeCell ref="D4:E4"/>
    <mergeCell ref="D3:E3"/>
    <mergeCell ref="L6:M6"/>
    <mergeCell ref="L7:M7"/>
    <mergeCell ref="L8:M8"/>
    <mergeCell ref="L9:M9"/>
    <mergeCell ref="L1:M1"/>
    <mergeCell ref="L2:M2"/>
    <mergeCell ref="L3:M3"/>
    <mergeCell ref="L4:M4"/>
    <mergeCell ref="L5:M5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1"/>
  <sheetViews>
    <sheetView zoomScale="85" zoomScaleNormal="85" workbookViewId="0">
      <selection activeCell="D4" sqref="D4:E4"/>
    </sheetView>
  </sheetViews>
  <sheetFormatPr baseColWidth="10" defaultColWidth="11.42578125" defaultRowHeight="15.75" x14ac:dyDescent="0.4"/>
  <cols>
    <col min="1" max="1" width="13.7109375" style="1" bestFit="1" customWidth="1"/>
    <col min="2" max="2" width="11.5703125" style="1" bestFit="1" customWidth="1"/>
    <col min="3" max="3" width="11.42578125" style="1"/>
    <col min="4" max="4" width="17.42578125" style="1" bestFit="1" customWidth="1"/>
    <col min="5" max="5" width="11.5703125" style="1" bestFit="1" customWidth="1"/>
    <col min="6" max="6" width="11.42578125" style="1"/>
    <col min="7" max="7" width="20.7109375" style="1" bestFit="1" customWidth="1"/>
    <col min="8" max="8" width="11" style="1" bestFit="1" customWidth="1"/>
    <col min="9" max="16384" width="11.42578125" style="1"/>
  </cols>
  <sheetData>
    <row r="1" spans="1:7" x14ac:dyDescent="0.4">
      <c r="A1" s="155" t="s">
        <v>66</v>
      </c>
      <c r="B1" s="155"/>
      <c r="D1" s="155" t="s">
        <v>67</v>
      </c>
      <c r="E1" s="155"/>
    </row>
    <row r="2" spans="1:7" x14ac:dyDescent="0.4">
      <c r="A2" s="2" t="s">
        <v>68</v>
      </c>
      <c r="B2" s="9">
        <f>SUM('DEUDAS NATALY'!B8:Q8)</f>
        <v>26869517</v>
      </c>
      <c r="D2" s="2" t="s">
        <v>68</v>
      </c>
      <c r="E2" s="10">
        <f>SUM(PRESUPUESTO!D8:Q8)</f>
        <v>15674237</v>
      </c>
    </row>
    <row r="3" spans="1:7" x14ac:dyDescent="0.4">
      <c r="A3" s="2" t="s">
        <v>19</v>
      </c>
      <c r="B3" s="10">
        <f>COASMEDAS!B2-SUMIF(COASMEDAS!J:J,"CANCELADA",COASMEDAS!C:C)</f>
        <v>3959036</v>
      </c>
      <c r="D3" s="2"/>
      <c r="F3" s="9"/>
    </row>
    <row r="4" spans="1:7" x14ac:dyDescent="0.4">
      <c r="A4" s="2"/>
      <c r="B4" s="10"/>
      <c r="D4" s="2" t="s">
        <v>14</v>
      </c>
      <c r="E4" s="9">
        <f>SUM(E2:E2)</f>
        <v>15674237</v>
      </c>
      <c r="G4" s="9"/>
    </row>
    <row r="5" spans="1:7" x14ac:dyDescent="0.4">
      <c r="A5" s="2"/>
      <c r="G5" s="9"/>
    </row>
    <row r="6" spans="1:7" x14ac:dyDescent="0.4">
      <c r="A6" s="2" t="s">
        <v>14</v>
      </c>
      <c r="B6" s="9">
        <f>SUM(B2:B5)</f>
        <v>30828553</v>
      </c>
    </row>
    <row r="10" spans="1:7" x14ac:dyDescent="0.4">
      <c r="B10" s="9"/>
    </row>
    <row r="11" spans="1:7" x14ac:dyDescent="0.4">
      <c r="A11" s="11"/>
    </row>
  </sheetData>
  <mergeCells count="2">
    <mergeCell ref="A1:B1"/>
    <mergeCell ref="D1:E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B050"/>
  </sheetPr>
  <dimension ref="A1:L28"/>
  <sheetViews>
    <sheetView zoomScale="85" zoomScaleNormal="85" workbookViewId="0">
      <selection activeCell="B9" sqref="B9"/>
    </sheetView>
  </sheetViews>
  <sheetFormatPr baseColWidth="10" defaultColWidth="11.42578125" defaultRowHeight="15.75" x14ac:dyDescent="0.4"/>
  <cols>
    <col min="1" max="1" width="7" style="1" bestFit="1" customWidth="1"/>
    <col min="2" max="2" width="16.42578125" style="1" bestFit="1" customWidth="1"/>
    <col min="3" max="3" width="10" style="1" bestFit="1" customWidth="1"/>
    <col min="4" max="4" width="8.5703125" style="1" bestFit="1" customWidth="1"/>
    <col min="5" max="5" width="8" style="1" bestFit="1" customWidth="1"/>
    <col min="6" max="6" width="9" style="1" bestFit="1" customWidth="1"/>
    <col min="7" max="7" width="14.7109375" style="1" bestFit="1" customWidth="1"/>
    <col min="8" max="8" width="14.7109375" style="1" customWidth="1"/>
    <col min="9" max="9" width="13.42578125" style="1" bestFit="1" customWidth="1"/>
    <col min="10" max="10" width="13.140625" style="1" customWidth="1"/>
    <col min="11" max="11" width="11.85546875" style="1" bestFit="1" customWidth="1"/>
    <col min="12" max="12" width="12.28515625" style="1" bestFit="1" customWidth="1"/>
    <col min="13" max="16384" width="11.42578125" style="1"/>
  </cols>
  <sheetData>
    <row r="1" spans="1:12" s="2" customFormat="1" x14ac:dyDescent="0.4">
      <c r="B1" s="2" t="s">
        <v>69</v>
      </c>
      <c r="C1" s="2" t="s">
        <v>31</v>
      </c>
      <c r="D1" s="2" t="s">
        <v>32</v>
      </c>
      <c r="E1" s="2" t="s">
        <v>42</v>
      </c>
      <c r="F1" s="2" t="s">
        <v>70</v>
      </c>
      <c r="G1" s="2" t="s">
        <v>45</v>
      </c>
      <c r="H1" s="2" t="s">
        <v>71</v>
      </c>
      <c r="I1" s="2" t="s">
        <v>72</v>
      </c>
      <c r="J1" s="2" t="s">
        <v>33</v>
      </c>
      <c r="K1" s="2">
        <v>1.8333249999999999E-2</v>
      </c>
      <c r="L1" s="2">
        <v>1.0409861056666231E-3</v>
      </c>
    </row>
    <row r="2" spans="1:12" x14ac:dyDescent="0.4">
      <c r="A2" s="5">
        <v>43132</v>
      </c>
      <c r="B2" s="6">
        <v>5000000</v>
      </c>
      <c r="C2" s="6">
        <v>0</v>
      </c>
      <c r="D2" s="6">
        <v>16319</v>
      </c>
      <c r="E2" s="6">
        <v>1650</v>
      </c>
      <c r="F2" s="6">
        <v>43275</v>
      </c>
      <c r="G2" s="6">
        <v>17969</v>
      </c>
      <c r="H2" s="6"/>
      <c r="I2" s="6">
        <f>+G2+H2</f>
        <v>17969</v>
      </c>
      <c r="J2" s="4" t="s">
        <v>34</v>
      </c>
    </row>
    <row r="3" spans="1:12" x14ac:dyDescent="0.4">
      <c r="A3" s="5">
        <v>43160</v>
      </c>
      <c r="B3" s="6">
        <f>B2-C2</f>
        <v>5000000</v>
      </c>
      <c r="C3" s="6">
        <v>165192</v>
      </c>
      <c r="D3" s="6">
        <v>97917</v>
      </c>
      <c r="E3" s="6">
        <v>1650</v>
      </c>
      <c r="F3" s="6">
        <v>0</v>
      </c>
      <c r="G3" s="6">
        <f>F3+E3+D3+C3</f>
        <v>264759</v>
      </c>
      <c r="H3" s="6">
        <v>94250</v>
      </c>
      <c r="I3" s="6">
        <f t="shared" ref="I3:I26" si="0">+G3+H3</f>
        <v>359009</v>
      </c>
      <c r="J3" s="4" t="s">
        <v>34</v>
      </c>
    </row>
    <row r="4" spans="1:12" x14ac:dyDescent="0.4">
      <c r="A4" s="5">
        <v>43191</v>
      </c>
      <c r="B4" s="6">
        <f>B3-C3</f>
        <v>4834808</v>
      </c>
      <c r="C4" s="6">
        <v>168427</v>
      </c>
      <c r="D4" s="6">
        <v>94682</v>
      </c>
      <c r="E4" s="6">
        <v>1595</v>
      </c>
      <c r="F4" s="6">
        <v>0</v>
      </c>
      <c r="G4" s="6">
        <v>264704</v>
      </c>
      <c r="H4" s="6">
        <v>94250</v>
      </c>
      <c r="I4" s="6">
        <f t="shared" si="0"/>
        <v>358954</v>
      </c>
      <c r="J4" s="4" t="s">
        <v>34</v>
      </c>
    </row>
    <row r="5" spans="1:12" x14ac:dyDescent="0.4">
      <c r="A5" s="5">
        <v>43221</v>
      </c>
      <c r="B5" s="6">
        <f>+B4-C4</f>
        <v>4666381</v>
      </c>
      <c r="C5" s="6">
        <v>171726</v>
      </c>
      <c r="D5" s="6">
        <v>91383</v>
      </c>
      <c r="E5" s="6">
        <v>1540</v>
      </c>
      <c r="F5" s="6">
        <v>0</v>
      </c>
      <c r="G5" s="6">
        <v>264649</v>
      </c>
      <c r="H5" s="6">
        <v>94250</v>
      </c>
      <c r="I5" s="6">
        <f t="shared" si="0"/>
        <v>358899</v>
      </c>
      <c r="J5" s="4" t="s">
        <v>34</v>
      </c>
    </row>
    <row r="6" spans="1:12" x14ac:dyDescent="0.4">
      <c r="A6" s="5">
        <v>43252</v>
      </c>
      <c r="B6" s="6">
        <f>+B5-C5</f>
        <v>4494655</v>
      </c>
      <c r="C6" s="6">
        <v>175089</v>
      </c>
      <c r="D6" s="6">
        <v>88020</v>
      </c>
      <c r="E6" s="6">
        <v>1483</v>
      </c>
      <c r="F6" s="6">
        <v>0</v>
      </c>
      <c r="G6" s="6">
        <v>264592</v>
      </c>
      <c r="H6" s="6">
        <v>94250</v>
      </c>
      <c r="I6" s="6">
        <f t="shared" si="0"/>
        <v>358842</v>
      </c>
      <c r="J6" s="4" t="s">
        <v>34</v>
      </c>
    </row>
    <row r="7" spans="1:12" x14ac:dyDescent="0.4">
      <c r="A7" s="5">
        <v>43282</v>
      </c>
      <c r="B7" s="6">
        <f>+B6-C6</f>
        <v>4319566</v>
      </c>
      <c r="C7" s="6">
        <v>178517</v>
      </c>
      <c r="D7" s="6">
        <v>84592</v>
      </c>
      <c r="E7" s="6">
        <v>1425</v>
      </c>
      <c r="F7" s="6">
        <v>0</v>
      </c>
      <c r="G7" s="6">
        <v>264534</v>
      </c>
      <c r="H7" s="6">
        <v>94250</v>
      </c>
      <c r="I7" s="6">
        <f t="shared" si="0"/>
        <v>358784</v>
      </c>
      <c r="J7" s="4" t="s">
        <v>34</v>
      </c>
    </row>
    <row r="8" spans="1:12" x14ac:dyDescent="0.4">
      <c r="A8" s="5">
        <v>43313</v>
      </c>
      <c r="B8" s="6">
        <f>+B7-C7</f>
        <v>4141049</v>
      </c>
      <c r="C8" s="6">
        <v>182013</v>
      </c>
      <c r="D8" s="6">
        <v>81096</v>
      </c>
      <c r="E8" s="6">
        <v>1367</v>
      </c>
      <c r="F8" s="6">
        <v>0</v>
      </c>
      <c r="G8" s="6">
        <v>264476</v>
      </c>
      <c r="H8" s="6">
        <v>94250</v>
      </c>
      <c r="I8" s="6">
        <f t="shared" si="0"/>
        <v>358726</v>
      </c>
      <c r="J8" s="4" t="s">
        <v>34</v>
      </c>
    </row>
    <row r="9" spans="1:12" x14ac:dyDescent="0.4">
      <c r="A9" s="12">
        <v>43344</v>
      </c>
      <c r="B9" s="4">
        <f t="shared" ref="B9:B26" si="1">+B8-C8</f>
        <v>3959036</v>
      </c>
      <c r="C9" s="4">
        <v>185578</v>
      </c>
      <c r="D9" s="4">
        <v>77531</v>
      </c>
      <c r="E9" s="4">
        <v>1306</v>
      </c>
      <c r="F9" s="4">
        <v>0</v>
      </c>
      <c r="G9" s="4">
        <v>264415</v>
      </c>
      <c r="H9" s="4">
        <v>94250</v>
      </c>
      <c r="I9" s="4">
        <f t="shared" si="0"/>
        <v>358665</v>
      </c>
      <c r="J9" s="4" t="s">
        <v>35</v>
      </c>
      <c r="K9" s="7"/>
    </row>
    <row r="10" spans="1:12" x14ac:dyDescent="0.4">
      <c r="A10" s="12">
        <v>43374</v>
      </c>
      <c r="B10" s="4">
        <f t="shared" si="1"/>
        <v>3773458</v>
      </c>
      <c r="C10" s="4">
        <v>189212</v>
      </c>
      <c r="D10" s="4">
        <v>73897</v>
      </c>
      <c r="E10" s="4">
        <v>1245</v>
      </c>
      <c r="F10" s="4">
        <v>0</v>
      </c>
      <c r="G10" s="4">
        <v>264354</v>
      </c>
      <c r="H10" s="4">
        <v>94250</v>
      </c>
      <c r="I10" s="4">
        <f t="shared" si="0"/>
        <v>358604</v>
      </c>
      <c r="J10" s="4" t="s">
        <v>35</v>
      </c>
      <c r="K10" s="7"/>
    </row>
    <row r="11" spans="1:12" x14ac:dyDescent="0.4">
      <c r="A11" s="12">
        <v>43405</v>
      </c>
      <c r="B11" s="4">
        <f t="shared" si="1"/>
        <v>3584246</v>
      </c>
      <c r="C11" s="4">
        <v>192918</v>
      </c>
      <c r="D11" s="4">
        <v>70191</v>
      </c>
      <c r="E11" s="4">
        <v>1183</v>
      </c>
      <c r="F11" s="4">
        <v>0</v>
      </c>
      <c r="G11" s="4">
        <v>264292</v>
      </c>
      <c r="H11" s="4">
        <v>94250</v>
      </c>
      <c r="I11" s="4">
        <f t="shared" si="0"/>
        <v>358542</v>
      </c>
      <c r="J11" s="4" t="s">
        <v>35</v>
      </c>
      <c r="K11" s="7"/>
    </row>
    <row r="12" spans="1:12" x14ac:dyDescent="0.4">
      <c r="A12" s="12">
        <v>43435</v>
      </c>
      <c r="B12" s="4">
        <f t="shared" si="1"/>
        <v>3391328</v>
      </c>
      <c r="C12" s="3">
        <v>196695</v>
      </c>
      <c r="D12" s="4">
        <v>66414</v>
      </c>
      <c r="E12" s="4">
        <v>1119</v>
      </c>
      <c r="F12" s="4">
        <v>0</v>
      </c>
      <c r="G12" s="4">
        <v>264228</v>
      </c>
      <c r="H12" s="4">
        <v>94250</v>
      </c>
      <c r="I12" s="4">
        <f t="shared" si="0"/>
        <v>358478</v>
      </c>
      <c r="J12" s="4" t="s">
        <v>35</v>
      </c>
      <c r="K12" s="3"/>
      <c r="L12" s="3"/>
    </row>
    <row r="13" spans="1:12" x14ac:dyDescent="0.4">
      <c r="A13" s="12">
        <v>43466</v>
      </c>
      <c r="B13" s="4">
        <f t="shared" si="1"/>
        <v>3194633</v>
      </c>
      <c r="C13" s="3">
        <v>200547</v>
      </c>
      <c r="D13" s="4">
        <v>62562</v>
      </c>
      <c r="E13" s="4">
        <v>1054</v>
      </c>
      <c r="F13" s="4">
        <v>0</v>
      </c>
      <c r="G13" s="4">
        <v>264163</v>
      </c>
      <c r="H13" s="4">
        <v>94250</v>
      </c>
      <c r="I13" s="4">
        <f t="shared" si="0"/>
        <v>358413</v>
      </c>
      <c r="J13" s="4" t="s">
        <v>35</v>
      </c>
      <c r="K13" s="3"/>
      <c r="L13" s="3"/>
    </row>
    <row r="14" spans="1:12" x14ac:dyDescent="0.4">
      <c r="A14" s="12">
        <v>43497</v>
      </c>
      <c r="B14" s="4">
        <f t="shared" si="1"/>
        <v>2994086</v>
      </c>
      <c r="C14" s="3">
        <v>204475</v>
      </c>
      <c r="D14" s="4">
        <v>58634</v>
      </c>
      <c r="E14" s="4">
        <v>988</v>
      </c>
      <c r="F14" s="4">
        <v>0</v>
      </c>
      <c r="G14" s="4">
        <v>264097</v>
      </c>
      <c r="H14" s="4">
        <v>94250</v>
      </c>
      <c r="I14" s="4">
        <f t="shared" si="0"/>
        <v>358347</v>
      </c>
      <c r="J14" s="4" t="s">
        <v>35</v>
      </c>
      <c r="K14" s="3"/>
      <c r="L14" s="3"/>
    </row>
    <row r="15" spans="1:12" x14ac:dyDescent="0.4">
      <c r="A15" s="12">
        <v>43525</v>
      </c>
      <c r="B15" s="4">
        <f t="shared" si="1"/>
        <v>2789611</v>
      </c>
      <c r="C15" s="3">
        <v>208479</v>
      </c>
      <c r="D15" s="4">
        <v>54630</v>
      </c>
      <c r="E15" s="4">
        <v>921</v>
      </c>
      <c r="F15" s="4">
        <v>0</v>
      </c>
      <c r="G15" s="4">
        <v>264030</v>
      </c>
      <c r="H15" s="4">
        <v>94250</v>
      </c>
      <c r="I15" s="4">
        <f t="shared" si="0"/>
        <v>358280</v>
      </c>
      <c r="J15" s="4" t="s">
        <v>35</v>
      </c>
      <c r="K15" s="3"/>
    </row>
    <row r="16" spans="1:12" x14ac:dyDescent="0.4">
      <c r="A16" s="12">
        <v>43556</v>
      </c>
      <c r="B16" s="4">
        <f t="shared" si="1"/>
        <v>2581132</v>
      </c>
      <c r="C16" s="3">
        <v>212562</v>
      </c>
      <c r="D16" s="4">
        <v>50547</v>
      </c>
      <c r="E16" s="4">
        <v>852</v>
      </c>
      <c r="F16" s="4">
        <v>0</v>
      </c>
      <c r="G16" s="4">
        <v>263961</v>
      </c>
      <c r="H16" s="4">
        <v>94250</v>
      </c>
      <c r="I16" s="4">
        <f t="shared" si="0"/>
        <v>358211</v>
      </c>
      <c r="J16" s="4" t="s">
        <v>35</v>
      </c>
      <c r="K16" s="3"/>
    </row>
    <row r="17" spans="1:11" x14ac:dyDescent="0.4">
      <c r="A17" s="12">
        <v>43586</v>
      </c>
      <c r="B17" s="4">
        <f t="shared" ref="B17" si="2">+B16-C16</f>
        <v>2368570</v>
      </c>
      <c r="C17" s="3">
        <v>216725</v>
      </c>
      <c r="D17" s="4">
        <v>46384</v>
      </c>
      <c r="E17" s="4">
        <v>782</v>
      </c>
      <c r="F17" s="4">
        <v>0</v>
      </c>
      <c r="G17" s="4">
        <v>263891</v>
      </c>
      <c r="H17" s="4">
        <v>94250</v>
      </c>
      <c r="I17" s="4">
        <f t="shared" si="0"/>
        <v>358141</v>
      </c>
      <c r="J17" s="4" t="s">
        <v>35</v>
      </c>
      <c r="K17" s="3"/>
    </row>
    <row r="18" spans="1:11" x14ac:dyDescent="0.4">
      <c r="A18" s="12">
        <v>43617</v>
      </c>
      <c r="B18" s="4">
        <f t="shared" ref="B18" si="3">+B17-C17</f>
        <v>2151845</v>
      </c>
      <c r="C18" s="3">
        <v>220969</v>
      </c>
      <c r="D18" s="4">
        <v>42140</v>
      </c>
      <c r="E18" s="4">
        <v>710</v>
      </c>
      <c r="F18" s="4">
        <v>0</v>
      </c>
      <c r="G18" s="4">
        <v>263819</v>
      </c>
      <c r="H18" s="4">
        <v>94250</v>
      </c>
      <c r="I18" s="4">
        <f t="shared" si="0"/>
        <v>358069</v>
      </c>
      <c r="J18" s="4" t="s">
        <v>35</v>
      </c>
      <c r="K18" s="3"/>
    </row>
    <row r="19" spans="1:11" x14ac:dyDescent="0.4">
      <c r="A19" s="12">
        <v>43647</v>
      </c>
      <c r="B19" s="4">
        <f t="shared" si="1"/>
        <v>1930876</v>
      </c>
      <c r="C19" s="3">
        <v>225296</v>
      </c>
      <c r="D19" s="4">
        <v>37813</v>
      </c>
      <c r="E19" s="4">
        <v>637</v>
      </c>
      <c r="F19" s="4">
        <v>0</v>
      </c>
      <c r="G19" s="4">
        <v>263746</v>
      </c>
      <c r="H19" s="4">
        <v>94250</v>
      </c>
      <c r="I19" s="4">
        <f t="shared" si="0"/>
        <v>357996</v>
      </c>
      <c r="J19" s="4" t="s">
        <v>35</v>
      </c>
      <c r="K19" s="3"/>
    </row>
    <row r="20" spans="1:11" x14ac:dyDescent="0.4">
      <c r="A20" s="12">
        <v>43678</v>
      </c>
      <c r="B20" s="4">
        <f t="shared" si="1"/>
        <v>1705580</v>
      </c>
      <c r="C20" s="3">
        <v>229708</v>
      </c>
      <c r="D20" s="4">
        <v>33401</v>
      </c>
      <c r="E20" s="4">
        <v>563</v>
      </c>
      <c r="F20" s="4">
        <v>0</v>
      </c>
      <c r="G20" s="4">
        <v>263672</v>
      </c>
      <c r="H20" s="4">
        <v>94250</v>
      </c>
      <c r="I20" s="4">
        <f t="shared" si="0"/>
        <v>357922</v>
      </c>
      <c r="J20" s="4" t="s">
        <v>35</v>
      </c>
      <c r="K20" s="3"/>
    </row>
    <row r="21" spans="1:11" x14ac:dyDescent="0.4">
      <c r="A21" s="12">
        <v>43709</v>
      </c>
      <c r="B21" s="4">
        <f t="shared" si="1"/>
        <v>1475872</v>
      </c>
      <c r="C21" s="3">
        <v>234207</v>
      </c>
      <c r="D21" s="4">
        <v>28902</v>
      </c>
      <c r="E21" s="4">
        <v>487</v>
      </c>
      <c r="F21" s="4">
        <v>0</v>
      </c>
      <c r="G21" s="4">
        <v>263596</v>
      </c>
      <c r="H21" s="4">
        <v>94250</v>
      </c>
      <c r="I21" s="4">
        <f t="shared" si="0"/>
        <v>357846</v>
      </c>
      <c r="J21" s="4" t="s">
        <v>35</v>
      </c>
      <c r="K21" s="3"/>
    </row>
    <row r="22" spans="1:11" x14ac:dyDescent="0.4">
      <c r="A22" s="12">
        <v>43739</v>
      </c>
      <c r="B22" s="4">
        <f t="shared" si="1"/>
        <v>1241665</v>
      </c>
      <c r="C22" s="3">
        <v>238793</v>
      </c>
      <c r="D22" s="4">
        <v>24316</v>
      </c>
      <c r="E22" s="4">
        <v>410</v>
      </c>
      <c r="F22" s="4">
        <v>0</v>
      </c>
      <c r="G22" s="4">
        <v>263519</v>
      </c>
      <c r="H22" s="4">
        <v>94250</v>
      </c>
      <c r="I22" s="4">
        <f t="shared" si="0"/>
        <v>357769</v>
      </c>
      <c r="J22" s="4" t="s">
        <v>35</v>
      </c>
      <c r="K22" s="3"/>
    </row>
    <row r="23" spans="1:11" x14ac:dyDescent="0.4">
      <c r="A23" s="12">
        <v>43770</v>
      </c>
      <c r="B23" s="4">
        <f t="shared" si="1"/>
        <v>1002872</v>
      </c>
      <c r="C23" s="3">
        <v>243469</v>
      </c>
      <c r="D23" s="4">
        <v>19640</v>
      </c>
      <c r="E23" s="4">
        <v>331</v>
      </c>
      <c r="F23" s="4">
        <v>0</v>
      </c>
      <c r="G23" s="4">
        <v>263440</v>
      </c>
      <c r="H23" s="4">
        <v>94250</v>
      </c>
      <c r="I23" s="4">
        <f t="shared" si="0"/>
        <v>357690</v>
      </c>
      <c r="J23" s="4" t="s">
        <v>35</v>
      </c>
      <c r="K23" s="3"/>
    </row>
    <row r="24" spans="1:11" x14ac:dyDescent="0.4">
      <c r="A24" s="12">
        <v>43800</v>
      </c>
      <c r="B24" s="4">
        <f t="shared" si="1"/>
        <v>759403</v>
      </c>
      <c r="C24" s="3">
        <v>248237</v>
      </c>
      <c r="D24" s="4">
        <v>14872</v>
      </c>
      <c r="E24" s="4">
        <v>251</v>
      </c>
      <c r="F24" s="4">
        <v>0</v>
      </c>
      <c r="G24" s="4">
        <v>263360</v>
      </c>
      <c r="H24" s="4">
        <v>94250</v>
      </c>
      <c r="I24" s="4">
        <f t="shared" si="0"/>
        <v>357610</v>
      </c>
      <c r="J24" s="4" t="s">
        <v>35</v>
      </c>
      <c r="K24" s="3"/>
    </row>
    <row r="25" spans="1:11" x14ac:dyDescent="0.4">
      <c r="A25" s="12">
        <v>43831</v>
      </c>
      <c r="B25" s="4">
        <f t="shared" si="1"/>
        <v>511166</v>
      </c>
      <c r="C25" s="3">
        <v>253099</v>
      </c>
      <c r="D25" s="4">
        <v>10010</v>
      </c>
      <c r="E25" s="4">
        <v>169</v>
      </c>
      <c r="F25" s="4">
        <v>0</v>
      </c>
      <c r="G25" s="4">
        <v>263278</v>
      </c>
      <c r="H25" s="4">
        <v>94250</v>
      </c>
      <c r="I25" s="4">
        <f t="shared" si="0"/>
        <v>357528</v>
      </c>
      <c r="J25" s="4" t="s">
        <v>35</v>
      </c>
      <c r="K25" s="3"/>
    </row>
    <row r="26" spans="1:11" x14ac:dyDescent="0.4">
      <c r="A26" s="12">
        <v>43862</v>
      </c>
      <c r="B26" s="4">
        <f t="shared" si="1"/>
        <v>258067</v>
      </c>
      <c r="C26" s="3">
        <v>258067</v>
      </c>
      <c r="D26" s="4">
        <v>5054</v>
      </c>
      <c r="E26" s="4">
        <v>85</v>
      </c>
      <c r="F26" s="4">
        <v>0</v>
      </c>
      <c r="G26" s="4">
        <v>263206</v>
      </c>
      <c r="H26" s="4">
        <v>94250</v>
      </c>
      <c r="I26" s="4">
        <f t="shared" si="0"/>
        <v>357456</v>
      </c>
      <c r="J26" s="4" t="s">
        <v>35</v>
      </c>
      <c r="K26" s="3"/>
    </row>
    <row r="27" spans="1:11" x14ac:dyDescent="0.4">
      <c r="A27" s="8"/>
      <c r="B27" s="4"/>
      <c r="D27" s="4"/>
      <c r="E27" s="4"/>
      <c r="F27" s="4"/>
      <c r="G27" s="4"/>
      <c r="H27" s="4"/>
    </row>
    <row r="28" spans="1:11" x14ac:dyDescent="0.4">
      <c r="A28" s="8"/>
      <c r="B28" s="4"/>
      <c r="D28" s="4"/>
      <c r="E28" s="4"/>
      <c r="F28" s="4"/>
      <c r="G28" s="4"/>
      <c r="H28" s="4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11"/>
  <sheetViews>
    <sheetView zoomScaleNormal="100" workbookViewId="0">
      <selection activeCell="C4" sqref="C4"/>
    </sheetView>
  </sheetViews>
  <sheetFormatPr baseColWidth="10" defaultColWidth="11.42578125" defaultRowHeight="12.75" x14ac:dyDescent="0.2"/>
  <cols>
    <col min="1" max="1" width="15.42578125" style="16" bestFit="1" customWidth="1"/>
    <col min="2" max="2" width="11" style="16" bestFit="1" customWidth="1"/>
    <col min="3" max="4" width="10.42578125" style="16" bestFit="1" customWidth="1"/>
    <col min="5" max="16384" width="11.42578125" style="16"/>
  </cols>
  <sheetData>
    <row r="1" spans="1:4" x14ac:dyDescent="0.2">
      <c r="A1" s="41">
        <v>5000000</v>
      </c>
      <c r="B1" s="42"/>
      <c r="C1" s="42">
        <f ca="1">TODAY()</f>
        <v>43438</v>
      </c>
      <c r="D1" s="42"/>
    </row>
    <row r="2" spans="1:4" x14ac:dyDescent="0.2">
      <c r="A2" s="43" t="s">
        <v>73</v>
      </c>
      <c r="B2" s="41">
        <f ca="1">((C2)*A1)/360</f>
        <v>4680555.555555556</v>
      </c>
      <c r="C2" s="16">
        <f ca="1">$C$1-D2</f>
        <v>337</v>
      </c>
      <c r="D2" s="42">
        <v>43101</v>
      </c>
    </row>
    <row r="3" spans="1:4" x14ac:dyDescent="0.2">
      <c r="A3" s="43" t="s">
        <v>74</v>
      </c>
      <c r="B3" s="41">
        <f ca="1">((B2*(C3)*0.12)/360)</f>
        <v>525782.40740740742</v>
      </c>
      <c r="C3" s="16">
        <f ca="1">$C$1-D3</f>
        <v>337</v>
      </c>
      <c r="D3" s="42">
        <v>43101</v>
      </c>
    </row>
    <row r="4" spans="1:4" x14ac:dyDescent="0.2">
      <c r="A4" s="43" t="s">
        <v>75</v>
      </c>
      <c r="B4" s="41">
        <f ca="1">((C4)*A1)/720</f>
        <v>3020833.3333333335</v>
      </c>
      <c r="C4" s="16">
        <f ca="1">$C$1-D4</f>
        <v>435</v>
      </c>
      <c r="D4" s="42">
        <v>43003</v>
      </c>
    </row>
    <row r="5" spans="1:4" x14ac:dyDescent="0.2">
      <c r="A5" s="43" t="s">
        <v>76</v>
      </c>
      <c r="B5" s="41">
        <f ca="1">((C5)*A1)/360</f>
        <v>2166666.6666666665</v>
      </c>
      <c r="C5" s="16">
        <f ca="1">$C$1-D5</f>
        <v>156</v>
      </c>
      <c r="D5" s="42">
        <v>43282</v>
      </c>
    </row>
    <row r="6" spans="1:4" x14ac:dyDescent="0.2">
      <c r="A6" s="43" t="s">
        <v>77</v>
      </c>
      <c r="B6" s="41">
        <f ca="1">+(A1/30)*C6</f>
        <v>500000</v>
      </c>
      <c r="C6" s="16">
        <f ca="1">+C1-D6</f>
        <v>3</v>
      </c>
      <c r="D6" s="42">
        <v>43435</v>
      </c>
    </row>
    <row r="7" spans="1:4" x14ac:dyDescent="0.2">
      <c r="A7" s="43" t="s">
        <v>14</v>
      </c>
      <c r="B7" s="44">
        <f ca="1">SUM(B2:B5)</f>
        <v>10393837.962962963</v>
      </c>
    </row>
    <row r="8" spans="1:4" x14ac:dyDescent="0.2">
      <c r="B8" s="44"/>
      <c r="C8" s="42"/>
    </row>
    <row r="10" spans="1:4" x14ac:dyDescent="0.2">
      <c r="B10" s="44"/>
    </row>
    <row r="11" spans="1:4" x14ac:dyDescent="0.2">
      <c r="B11" s="4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16"/>
  <sheetViews>
    <sheetView zoomScaleNormal="100" workbookViewId="0">
      <selection activeCell="E1" sqref="E1"/>
    </sheetView>
  </sheetViews>
  <sheetFormatPr baseColWidth="10" defaultColWidth="10.7109375" defaultRowHeight="12.75" x14ac:dyDescent="0.2"/>
  <cols>
    <col min="1" max="1" width="7.140625" style="27" bestFit="1" customWidth="1"/>
    <col min="2" max="2" width="41.140625" style="26" bestFit="1" customWidth="1"/>
    <col min="3" max="3" width="21.42578125" style="16" bestFit="1" customWidth="1"/>
    <col min="4" max="4" width="10.7109375" style="16"/>
    <col min="5" max="5" width="12.5703125" style="16" bestFit="1" customWidth="1"/>
    <col min="6" max="6" width="11.5703125" style="23" bestFit="1" customWidth="1"/>
    <col min="7" max="16384" width="10.7109375" style="16"/>
  </cols>
  <sheetData>
    <row r="1" spans="1:6" x14ac:dyDescent="0.2">
      <c r="A1" s="13" t="s">
        <v>95</v>
      </c>
      <c r="B1" s="14" t="s">
        <v>96</v>
      </c>
      <c r="C1" s="15" t="s">
        <v>82</v>
      </c>
      <c r="E1" s="17" t="s">
        <v>89</v>
      </c>
      <c r="F1" s="18">
        <v>200000</v>
      </c>
    </row>
    <row r="2" spans="1:6" x14ac:dyDescent="0.2">
      <c r="A2" s="19">
        <v>43463</v>
      </c>
      <c r="B2" s="20" t="s">
        <v>81</v>
      </c>
      <c r="C2" s="21" t="s">
        <v>139</v>
      </c>
      <c r="E2" s="17" t="s">
        <v>90</v>
      </c>
      <c r="F2" s="18">
        <v>300000</v>
      </c>
    </row>
    <row r="3" spans="1:6" x14ac:dyDescent="0.2">
      <c r="A3" s="19">
        <v>43464</v>
      </c>
      <c r="B3" s="20" t="s">
        <v>83</v>
      </c>
      <c r="C3" s="21"/>
      <c r="E3" s="17" t="s">
        <v>91</v>
      </c>
      <c r="F3" s="18">
        <v>550000</v>
      </c>
    </row>
    <row r="4" spans="1:6" x14ac:dyDescent="0.2">
      <c r="A4" s="19">
        <v>43465</v>
      </c>
      <c r="B4" s="20" t="s">
        <v>84</v>
      </c>
      <c r="C4" s="21"/>
      <c r="E4" s="17" t="s">
        <v>92</v>
      </c>
      <c r="F4" s="18">
        <v>550000</v>
      </c>
    </row>
    <row r="5" spans="1:6" x14ac:dyDescent="0.2">
      <c r="A5" s="19">
        <v>43101</v>
      </c>
      <c r="B5" s="20" t="s">
        <v>133</v>
      </c>
      <c r="C5" s="21"/>
      <c r="E5" s="17" t="s">
        <v>179</v>
      </c>
      <c r="F5" s="18">
        <v>835000</v>
      </c>
    </row>
    <row r="6" spans="1:6" x14ac:dyDescent="0.2">
      <c r="A6" s="19">
        <v>43102</v>
      </c>
      <c r="B6" s="20" t="s">
        <v>85</v>
      </c>
      <c r="C6" s="21"/>
      <c r="E6" s="17" t="s">
        <v>14</v>
      </c>
      <c r="F6" s="22">
        <f>SUM(F1:F5)</f>
        <v>2435000</v>
      </c>
    </row>
    <row r="7" spans="1:6" x14ac:dyDescent="0.2">
      <c r="A7" s="19">
        <v>43103</v>
      </c>
      <c r="B7" s="20" t="s">
        <v>134</v>
      </c>
      <c r="C7" s="21" t="s">
        <v>87</v>
      </c>
    </row>
    <row r="8" spans="1:6" x14ac:dyDescent="0.2">
      <c r="A8" s="19">
        <v>43104</v>
      </c>
      <c r="B8" s="20" t="s">
        <v>135</v>
      </c>
      <c r="C8" s="20" t="s">
        <v>97</v>
      </c>
    </row>
    <row r="9" spans="1:6" x14ac:dyDescent="0.2">
      <c r="A9" s="19">
        <v>43105</v>
      </c>
      <c r="B9" s="20" t="s">
        <v>136</v>
      </c>
      <c r="C9" s="21" t="s">
        <v>88</v>
      </c>
      <c r="E9" s="21" t="s">
        <v>98</v>
      </c>
      <c r="F9" s="18">
        <v>120000</v>
      </c>
    </row>
    <row r="10" spans="1:6" x14ac:dyDescent="0.2">
      <c r="A10" s="19">
        <v>43106</v>
      </c>
      <c r="B10" s="20" t="s">
        <v>137</v>
      </c>
      <c r="C10" s="21"/>
      <c r="E10" s="21" t="s">
        <v>86</v>
      </c>
      <c r="F10" s="18">
        <v>140000</v>
      </c>
    </row>
    <row r="11" spans="1:6" x14ac:dyDescent="0.2">
      <c r="A11" s="19">
        <v>43107</v>
      </c>
      <c r="B11" s="20" t="s">
        <v>138</v>
      </c>
      <c r="C11" s="21" t="s">
        <v>139</v>
      </c>
      <c r="E11" s="24" t="s">
        <v>99</v>
      </c>
      <c r="F11" s="18">
        <v>150000</v>
      </c>
    </row>
    <row r="12" spans="1:6" x14ac:dyDescent="0.2">
      <c r="A12" s="25"/>
      <c r="E12" s="24" t="s">
        <v>100</v>
      </c>
      <c r="F12" s="18">
        <v>60000</v>
      </c>
    </row>
    <row r="13" spans="1:6" x14ac:dyDescent="0.2">
      <c r="E13" s="24" t="s">
        <v>101</v>
      </c>
      <c r="F13" s="18">
        <v>6000</v>
      </c>
    </row>
    <row r="14" spans="1:6" x14ac:dyDescent="0.2">
      <c r="A14" s="28" t="s">
        <v>93</v>
      </c>
      <c r="B14" s="20" t="s">
        <v>94</v>
      </c>
      <c r="C14" s="20" t="s">
        <v>129</v>
      </c>
      <c r="E14" s="24" t="s">
        <v>102</v>
      </c>
      <c r="F14" s="18">
        <v>120000</v>
      </c>
    </row>
    <row r="15" spans="1:6" x14ac:dyDescent="0.2">
      <c r="A15" s="28" t="s">
        <v>130</v>
      </c>
      <c r="B15" s="20" t="s">
        <v>131</v>
      </c>
      <c r="C15" s="20" t="s">
        <v>132</v>
      </c>
      <c r="E15" s="24" t="s">
        <v>103</v>
      </c>
      <c r="F15" s="18">
        <v>50000</v>
      </c>
    </row>
    <row r="16" spans="1:6" x14ac:dyDescent="0.2">
      <c r="A16" s="29"/>
      <c r="B16" s="30"/>
      <c r="C16" s="3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8</vt:i4>
      </vt:variant>
      <vt:variant>
        <vt:lpstr>Rangos con nombre</vt:lpstr>
      </vt:variant>
      <vt:variant>
        <vt:i4>1</vt:i4>
      </vt:variant>
    </vt:vector>
  </HeadingPairs>
  <TitlesOfParts>
    <vt:vector size="9" baseType="lpstr">
      <vt:lpstr>CALCULADORA</vt:lpstr>
      <vt:lpstr>PRESUPUESTO NATY</vt:lpstr>
      <vt:lpstr>PRESUPUESTO</vt:lpstr>
      <vt:lpstr>DEUDAS NATALY</vt:lpstr>
      <vt:lpstr>TOTAL DEUDAS</vt:lpstr>
      <vt:lpstr>COASMEDAS</vt:lpstr>
      <vt:lpstr>PROYECCIONES</vt:lpstr>
      <vt:lpstr>VACACIONES</vt:lpstr>
      <vt:lpstr>'PRESUPUESTO NATY'!Área_de_impresión</vt:lpstr>
    </vt:vector>
  </TitlesOfParts>
  <Manager/>
  <Company>MS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Zaraza Toro, Diego Andres</dc:creator>
  <cp:keywords/>
  <dc:description/>
  <cp:lastModifiedBy>Zaraza, Diego</cp:lastModifiedBy>
  <cp:revision/>
  <dcterms:created xsi:type="dcterms:W3CDTF">2002-11-14T18:47:55Z</dcterms:created>
  <dcterms:modified xsi:type="dcterms:W3CDTF">2018-12-06T20:01:02Z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4c3d8d51-a083-4e07-bc5f-4aa095cd5ad8</vt:lpwstr>
  </property>
  <property fmtid="{D5CDD505-2E9C-101B-9397-08002B2CF9AE}" pid="3" name="SV_QUERY_LIST_4F35BF76-6C0D-4D9B-82B2-816C12CF3733">
    <vt:lpwstr>empty_477D106A-C0D6-4607-AEBD-E2C9D60EA279</vt:lpwstr>
  </property>
</Properties>
</file>