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8.xml" ContentType="application/vnd.openxmlformats-officedocument.themeOverrid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y/Desktop/"/>
    </mc:Choice>
  </mc:AlternateContent>
  <xr:revisionPtr revIDLastSave="0" documentId="13_ncr:1_{634B2056-0A37-B34E-89B6-484AD746D952}" xr6:coauthVersionLast="47" xr6:coauthVersionMax="47" xr10:uidLastSave="{00000000-0000-0000-0000-000000000000}"/>
  <bookViews>
    <workbookView xWindow="2640" yWindow="460" windowWidth="34920" windowHeight="19460" activeTab="1" xr2:uid="{B4E16050-6D6A-49A1-83DA-C4CBD7B8666B}"/>
  </bookViews>
  <sheets>
    <sheet name="Dashboard" sheetId="9" r:id="rId1"/>
    <sheet name="Dashboard Comparativo" sheetId="10" r:id="rId2"/>
    <sheet name="Ventas" sheetId="3" r:id="rId3"/>
    <sheet name="Ventas x Vendedor" sheetId="5" r:id="rId4"/>
    <sheet name="Ventas x Tienda" sheetId="6" r:id="rId5"/>
    <sheet name="Gastos Mensuales" sheetId="7" r:id="rId6"/>
    <sheet name="Registro Clientes" sheetId="8" r:id="rId7"/>
  </sheets>
  <externalReferences>
    <externalReference r:id="rId8"/>
  </externalReferences>
  <definedNames>
    <definedName name="_xlnm._FilterDatabase" localSheetId="5" hidden="1">'Gastos Mensuales'!$A$1:$F$1</definedName>
    <definedName name="_xlnm._FilterDatabase" localSheetId="6" hidden="1">'Registro Clientes'!$A$2:$H$2</definedName>
    <definedName name="_xlnm._FilterDatabase" localSheetId="2" hidden="1">Ventas!$A$1:$I$1</definedName>
    <definedName name="_xlnm._FilterDatabase" localSheetId="4" hidden="1">'Ventas x Tienda'!$A$1:$F$1</definedName>
    <definedName name="_xlnm._FilterDatabase" localSheetId="3" hidden="1">'Ventas x Vendedor'!$A$1:$J$1</definedName>
    <definedName name="Fecha">Ventas!$A$2:$A$150</definedName>
    <definedName name="JR_PAGE_ANCHOR_0_1">[1]Ventas!#REF!</definedName>
    <definedName name="NativeTimeline_Fecha1">#N/A</definedName>
    <definedName name="SegmentaciónDeDatos_Costo1">#N/A</definedName>
    <definedName name="SegmentaciónDeDatos_Mes1">#N/A</definedName>
    <definedName name="SegmentaciónDeDatos_Nombre_completo1">#N/A</definedName>
    <definedName name="Tickets">Ventas!$I$2:$I$150</definedName>
    <definedName name="Utilidad">Ventas!$H$2:$H$150</definedName>
    <definedName name="Vendedor" localSheetId="1">Tabla3[[#Headers],[Vendedor]]</definedName>
    <definedName name="Vendedor">Tabla3[[#Headers],[Vendedor]]</definedName>
    <definedName name="Ventas_efectivo">Ventas!$E$2:$E$150</definedName>
    <definedName name="Ventas_tarjeta">Ventas!$F$2:$F$150</definedName>
    <definedName name="Ventas_totales">Ventas!$D$2:$D$150</definedName>
    <definedName name="Ventas_transferencia">Ventas!$G$2:$G$150</definedName>
  </definedNames>
  <calcPr calcId="191029"/>
  <pivotCaches>
    <pivotCache cacheId="31" r:id="rId9"/>
    <pivotCache cacheId="32" r:id="rId10"/>
    <pivotCache cacheId="33" r:id="rId11"/>
    <pivotCache cacheId="34" r:id="rId12"/>
    <pivotCache cacheId="35" r:id="rId13"/>
  </pivotCaches>
  <extLst>
    <ext xmlns:x14="http://schemas.microsoft.com/office/spreadsheetml/2009/9/main" uri="{BBE1A952-AA13-448e-AADC-164F8A28A991}">
      <x14:slicerCaches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7" l="1"/>
  <c r="C69" i="9" l="1"/>
  <c r="C71" i="9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F13" i="6"/>
  <c r="G13" i="6" s="1"/>
  <c r="N3" i="9"/>
  <c r="L3" i="9"/>
  <c r="C75" i="9"/>
  <c r="O6" i="9"/>
  <c r="O7" i="9"/>
  <c r="O5" i="9"/>
  <c r="O4" i="9"/>
  <c r="O3" i="9"/>
  <c r="L4" i="9"/>
  <c r="N4" i="9"/>
  <c r="N5" i="9"/>
  <c r="N6" i="9"/>
  <c r="N7" i="9"/>
  <c r="M4" i="9"/>
  <c r="M5" i="9"/>
  <c r="M6" i="9"/>
  <c r="M7" i="9"/>
  <c r="M3" i="9"/>
  <c r="L5" i="9"/>
  <c r="L6" i="9"/>
  <c r="L7" i="9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2" i="3"/>
  <c r="F14" i="6"/>
  <c r="G14" i="6" s="1"/>
  <c r="F15" i="6"/>
  <c r="G15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F27" i="6"/>
  <c r="G27" i="6" s="1"/>
  <c r="F28" i="6"/>
  <c r="G28" i="6" s="1"/>
  <c r="F29" i="6"/>
  <c r="G29" i="6" s="1"/>
  <c r="F30" i="6"/>
  <c r="G30" i="6" s="1"/>
  <c r="D5" i="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C4" i="3"/>
  <c r="C2" i="3"/>
  <c r="C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E7" i="9" l="1"/>
  <c r="I7" i="9"/>
  <c r="I6" i="9"/>
  <c r="O75" i="9"/>
  <c r="O8" i="9"/>
  <c r="M8" i="9"/>
  <c r="N8" i="9"/>
  <c r="G5" i="9"/>
  <c r="I4" i="9"/>
  <c r="I3" i="9"/>
  <c r="K5" i="9"/>
  <c r="E5" i="9"/>
  <c r="F6" i="9"/>
  <c r="G7" i="9"/>
  <c r="F3" i="9"/>
  <c r="K7" i="9"/>
  <c r="G3" i="9"/>
  <c r="I5" i="9"/>
  <c r="K6" i="9"/>
  <c r="E6" i="9"/>
  <c r="F7" i="9"/>
  <c r="K3" i="9"/>
  <c r="E3" i="9"/>
  <c r="F5" i="9"/>
  <c r="G6" i="9"/>
  <c r="G75" i="9" s="1"/>
  <c r="L8" i="9"/>
  <c r="L75" i="9"/>
  <c r="N75" i="9"/>
  <c r="M75" i="9"/>
  <c r="D6" i="9"/>
  <c r="J6" i="9" s="1"/>
  <c r="K4" i="9"/>
  <c r="G4" i="9"/>
  <c r="E4" i="9"/>
  <c r="F4" i="9"/>
  <c r="D4" i="9"/>
  <c r="J4" i="9" s="1"/>
  <c r="D5" i="9"/>
  <c r="D3" i="9"/>
  <c r="H3" i="9" s="1"/>
  <c r="R8" i="3"/>
  <c r="D7" i="9"/>
  <c r="H7" i="9" s="1"/>
  <c r="R9" i="3"/>
  <c r="P11" i="3"/>
  <c r="Q13" i="3"/>
  <c r="Q9" i="3"/>
  <c r="R11" i="3"/>
  <c r="P14" i="3"/>
  <c r="P10" i="3"/>
  <c r="Q12" i="3"/>
  <c r="R14" i="3"/>
  <c r="R10" i="3"/>
  <c r="P13" i="3"/>
  <c r="P9" i="3"/>
  <c r="Q11" i="3"/>
  <c r="R13" i="3"/>
  <c r="P12" i="3"/>
  <c r="Q14" i="3"/>
  <c r="Q10" i="3"/>
  <c r="R12" i="3"/>
  <c r="Q8" i="3"/>
  <c r="P8" i="3"/>
  <c r="C3" i="5"/>
  <c r="C4" i="5"/>
  <c r="C5" i="5"/>
  <c r="C6" i="5"/>
  <c r="C2" i="5"/>
  <c r="B3" i="5"/>
  <c r="B4" i="5"/>
  <c r="B5" i="5"/>
  <c r="B6" i="5"/>
  <c r="B2" i="5"/>
  <c r="H12" i="5" l="1"/>
  <c r="I75" i="9"/>
  <c r="D70" i="9" s="1"/>
  <c r="F75" i="9"/>
  <c r="E75" i="9"/>
  <c r="K75" i="9"/>
  <c r="J3" i="9"/>
  <c r="J75" i="9" s="1"/>
  <c r="D71" i="9" s="1"/>
  <c r="H5" i="9"/>
  <c r="J5" i="9"/>
  <c r="H4" i="9"/>
  <c r="J7" i="9"/>
  <c r="D75" i="9"/>
  <c r="D68" i="9" s="1"/>
  <c r="H6" i="9"/>
  <c r="F8" i="9"/>
  <c r="E8" i="9"/>
  <c r="G8" i="9"/>
  <c r="K8" i="9"/>
  <c r="I8" i="9"/>
  <c r="D8" i="9"/>
  <c r="H15" i="5"/>
  <c r="I15" i="5" s="1"/>
  <c r="H19" i="5"/>
  <c r="I19" i="5" s="1"/>
  <c r="H23" i="5"/>
  <c r="I23" i="5" s="1"/>
  <c r="H27" i="5"/>
  <c r="I27" i="5" s="1"/>
  <c r="H31" i="5"/>
  <c r="I31" i="5" s="1"/>
  <c r="H35" i="5"/>
  <c r="I35" i="5" s="1"/>
  <c r="H39" i="5"/>
  <c r="I39" i="5" s="1"/>
  <c r="H14" i="5"/>
  <c r="I14" i="5" s="1"/>
  <c r="H22" i="5"/>
  <c r="I22" i="5" s="1"/>
  <c r="H30" i="5"/>
  <c r="I30" i="5" s="1"/>
  <c r="H38" i="5"/>
  <c r="I38" i="5" s="1"/>
  <c r="H11" i="5"/>
  <c r="I11" i="5" s="1"/>
  <c r="I12" i="5"/>
  <c r="H16" i="5"/>
  <c r="I16" i="5" s="1"/>
  <c r="H20" i="5"/>
  <c r="I20" i="5" s="1"/>
  <c r="H24" i="5"/>
  <c r="I24" i="5" s="1"/>
  <c r="H28" i="5"/>
  <c r="I28" i="5" s="1"/>
  <c r="H32" i="5"/>
  <c r="I32" i="5" s="1"/>
  <c r="H36" i="5"/>
  <c r="I36" i="5" s="1"/>
  <c r="H13" i="5"/>
  <c r="I13" i="5" s="1"/>
  <c r="H17" i="5"/>
  <c r="I17" i="5" s="1"/>
  <c r="H21" i="5"/>
  <c r="I21" i="5" s="1"/>
  <c r="H25" i="5"/>
  <c r="I25" i="5" s="1"/>
  <c r="H29" i="5"/>
  <c r="I29" i="5" s="1"/>
  <c r="H33" i="5"/>
  <c r="I33" i="5" s="1"/>
  <c r="H37" i="5"/>
  <c r="I37" i="5" s="1"/>
  <c r="H18" i="5"/>
  <c r="I18" i="5" s="1"/>
  <c r="H26" i="5"/>
  <c r="I26" i="5" s="1"/>
  <c r="H34" i="5"/>
  <c r="I34" i="5" s="1"/>
  <c r="H75" i="9" l="1"/>
  <c r="D69" i="9" s="1"/>
  <c r="J8" i="9"/>
  <c r="H8" i="9"/>
</calcChain>
</file>

<file path=xl/sharedStrings.xml><?xml version="1.0" encoding="utf-8"?>
<sst xmlns="http://schemas.openxmlformats.org/spreadsheetml/2006/main" count="281" uniqueCount="161">
  <si>
    <t>Vendedor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</si>
  <si>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</si>
  <si>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</si>
  <si>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</si>
  <si>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</si>
  <si>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</si>
  <si>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</si>
  <si>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</si>
  <si>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</si>
  <si>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</si>
  <si>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</si>
  <si>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</si>
  <si>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</si>
  <si>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2265.39</t>
  </si>
  <si>
    <t>431.61</t>
  </si>
  <si>
    <t>1614.29</t>
  </si>
  <si>
    <t>enero</t>
  </si>
  <si>
    <t>febrero</t>
  </si>
  <si>
    <t>marzo</t>
  </si>
  <si>
    <t>abril</t>
  </si>
  <si>
    <t>mayo</t>
  </si>
  <si>
    <t>V-0001-JuanLopez</t>
  </si>
  <si>
    <t>V-0002-MariaGonzález</t>
  </si>
  <si>
    <t>V-0003-SandraBlanco</t>
  </si>
  <si>
    <t>V-0004-JoseRomero</t>
  </si>
  <si>
    <t>V-0005-RobertoMartinez</t>
  </si>
  <si>
    <t>ID</t>
  </si>
  <si>
    <t>Apellido</t>
  </si>
  <si>
    <t>Lopez</t>
  </si>
  <si>
    <t>González</t>
  </si>
  <si>
    <t>Blanco</t>
  </si>
  <si>
    <t>Romero</t>
  </si>
  <si>
    <t>Mes</t>
  </si>
  <si>
    <t>Año</t>
  </si>
  <si>
    <t>Total</t>
  </si>
  <si>
    <t>Tienda 1</t>
  </si>
  <si>
    <t>Tienda 2</t>
  </si>
  <si>
    <t>Tienda 3</t>
  </si>
  <si>
    <t>Abril</t>
  </si>
  <si>
    <t>Mayo</t>
  </si>
  <si>
    <t>Renta</t>
  </si>
  <si>
    <t>Etiquetas</t>
  </si>
  <si>
    <t>Internet</t>
  </si>
  <si>
    <t>Flete pedido</t>
  </si>
  <si>
    <t>Redes sociales</t>
  </si>
  <si>
    <t>Sistema</t>
  </si>
  <si>
    <t>Sueldos</t>
  </si>
  <si>
    <t>Otros gastos</t>
  </si>
  <si>
    <t>Mantenimiento</t>
  </si>
  <si>
    <t>Martínez</t>
  </si>
  <si>
    <t>REGULAR</t>
  </si>
  <si>
    <t>POSITIVO</t>
  </si>
  <si>
    <t>NEGATIVO</t>
  </si>
  <si>
    <t>Objetivo de ventas: Superiores a $4.000</t>
  </si>
  <si>
    <t>Objetivo aceptable: Superiores a $2.500</t>
  </si>
  <si>
    <t>Columna1</t>
  </si>
  <si>
    <t>Columna2</t>
  </si>
  <si>
    <t>Columna3</t>
  </si>
  <si>
    <t>Columna4</t>
  </si>
  <si>
    <t>Columna5</t>
  </si>
  <si>
    <t>Columna6</t>
  </si>
  <si>
    <t>Columna7</t>
  </si>
  <si>
    <t>Registro diario</t>
  </si>
  <si>
    <t>No</t>
  </si>
  <si>
    <t xml:space="preserve"> Cliente</t>
  </si>
  <si>
    <t>Email</t>
  </si>
  <si>
    <t>ejemplo de un registro de compras diarias usando Validación de Datos</t>
  </si>
  <si>
    <t>Columna8</t>
  </si>
  <si>
    <t>robmar@gmail.com</t>
  </si>
  <si>
    <t>Etiquetas de fila</t>
  </si>
  <si>
    <t>Total general</t>
  </si>
  <si>
    <t>Etiquetas de columna</t>
  </si>
  <si>
    <t>ene</t>
  </si>
  <si>
    <t>feb</t>
  </si>
  <si>
    <t>mar</t>
  </si>
  <si>
    <t>abr</t>
  </si>
  <si>
    <t>may</t>
  </si>
  <si>
    <t>Promedio de Tickets</t>
  </si>
  <si>
    <t>JoseRomero</t>
  </si>
  <si>
    <t>JuanLopez</t>
  </si>
  <si>
    <t>MariaGonzález</t>
  </si>
  <si>
    <t>SandraBlanco</t>
  </si>
  <si>
    <t>Total Ventas efectivo</t>
  </si>
  <si>
    <t>Total Ventas tarjeta</t>
  </si>
  <si>
    <t>Total Ventas transferencia</t>
  </si>
  <si>
    <t>Total Ventas totales</t>
  </si>
  <si>
    <t>Total Costos totales</t>
  </si>
  <si>
    <t>Utilidad del mes</t>
  </si>
  <si>
    <t>Ventas enero</t>
  </si>
  <si>
    <t>Ventas febrero</t>
  </si>
  <si>
    <t>Ventas marzo</t>
  </si>
  <si>
    <t>Ventas abril</t>
  </si>
  <si>
    <t>Ventas mayo</t>
  </si>
  <si>
    <t>Total por vendedor</t>
  </si>
  <si>
    <t>Valores</t>
  </si>
  <si>
    <t>Resumen Gastos Mensuales</t>
  </si>
  <si>
    <t>Superior a $25000</t>
  </si>
  <si>
    <t>Superior a $20000</t>
  </si>
  <si>
    <t>Inferior a $20000</t>
  </si>
  <si>
    <t>Igual o inferior al costo más bajo</t>
  </si>
  <si>
    <t>Aumento moderado del costo más bajo</t>
  </si>
  <si>
    <t>Aumento notable del costo más bajo</t>
  </si>
  <si>
    <t>Día</t>
  </si>
  <si>
    <t>lunes</t>
  </si>
  <si>
    <t>Promedio</t>
  </si>
  <si>
    <t>cantidad de veces</t>
  </si>
  <si>
    <t>jueves</t>
  </si>
  <si>
    <t>martes</t>
  </si>
  <si>
    <t>miércoles</t>
  </si>
  <si>
    <t>domingo</t>
  </si>
  <si>
    <t>sábado</t>
  </si>
  <si>
    <t>Andrés Parvez</t>
  </si>
  <si>
    <t>par@hotmail.ec</t>
  </si>
  <si>
    <t>Robert Mallorca</t>
  </si>
  <si>
    <t>Sí</t>
  </si>
  <si>
    <t>Total Tienda 1</t>
  </si>
  <si>
    <t>Total Tienda 2</t>
  </si>
  <si>
    <t>Total Tienda 3</t>
  </si>
  <si>
    <t>% de Comparación de ventas entre Tienda 3 y Tienda 2 en el mes</t>
  </si>
  <si>
    <t>% de Comparación de ventas entre Tienda 2 y Tienda 1 en el mes</t>
  </si>
  <si>
    <t>Resumen Ventas por Tienda</t>
  </si>
  <si>
    <t>Nombre completo</t>
  </si>
  <si>
    <t>Nombre</t>
  </si>
  <si>
    <t>Juan</t>
  </si>
  <si>
    <t>María</t>
  </si>
  <si>
    <t>Sandra</t>
  </si>
  <si>
    <t>José</t>
  </si>
  <si>
    <t>Roberto</t>
  </si>
  <si>
    <t>Cumplimiento</t>
  </si>
  <si>
    <t>TABLAS DE CONSULTAS DE DATOS (QUERY)</t>
  </si>
  <si>
    <t>Objetivo insuficiente: Inferior a $2.500</t>
  </si>
  <si>
    <t>Total ventas</t>
  </si>
  <si>
    <t>Estado de la ventas</t>
  </si>
  <si>
    <t>Ventas</t>
  </si>
  <si>
    <t>Estado</t>
  </si>
  <si>
    <t xml:space="preserve">Objetivo ventas por tienda: Superiores </t>
  </si>
  <si>
    <t xml:space="preserve">Objetivo de ventas aceptable: Superiores </t>
  </si>
  <si>
    <t>Objetivo de ventas no aceptables: Inferiores</t>
  </si>
  <si>
    <t>Valor</t>
  </si>
  <si>
    <t>Resumen General</t>
  </si>
  <si>
    <t>Gastos</t>
  </si>
  <si>
    <t>Resumen Mensual</t>
  </si>
  <si>
    <t>Ventas mensuales</t>
  </si>
  <si>
    <t>Costos Operacionales</t>
  </si>
  <si>
    <t>Suma de Ventas efectivo</t>
  </si>
  <si>
    <t>Suma de Ventas tarjeta</t>
  </si>
  <si>
    <t>Suma de Ventas transferencia</t>
  </si>
  <si>
    <t>Utilidad Bruta</t>
  </si>
  <si>
    <t>Porcentaje de Utilidad Bruta</t>
  </si>
  <si>
    <t>Resumen Ventas por Método de Pago por Períodos</t>
  </si>
  <si>
    <t>Resumen Costos y Utilidad Bruta por Períodos</t>
  </si>
  <si>
    <t>Gasto Enero</t>
  </si>
  <si>
    <t>Gasto Febrero</t>
  </si>
  <si>
    <t>Gasto Abril</t>
  </si>
  <si>
    <t>Gasto Marzo</t>
  </si>
  <si>
    <t>Gasto Mayo</t>
  </si>
  <si>
    <t>Resumen Comparación</t>
  </si>
  <si>
    <t>Resumen Ventas por Vendedor</t>
  </si>
  <si>
    <t>Porcentaje de Utlidad Bruta del mes</t>
  </si>
  <si>
    <t>TABLAS DE CONSULTA DE DATOS (QUERY)</t>
  </si>
  <si>
    <t>CONSULTA DE DATOS (QUERYS)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</si>
</sst>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000000000"/>
    <numFmt numFmtId="165" formatCode="dd/mm/yyyy;@"/>
    <numFmt numFmtId="166" formatCode="_-&quot;$&quot;* #,##0_-;\-&quot;$&quot;* #,##0_-;_-&quot;$&quot;* &quot;-&quot;??_-;_-@_-"/>
    <numFmt numFmtId="167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6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8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114">
    <xf numFmtId="0" fontId="0" fillId="0" borderId="0" xfId="0"/>
    <xf numFmtId="0" fontId="6" fillId="2" borderId="0" xfId="0" applyFont="1" applyFill="1" applyAlignment="1">
      <alignment horizontal="center"/>
    </xf>
    <xf numFmtId="15" fontId="0" fillId="0" borderId="0" xfId="0" applyNumberFormat="1"/>
    <xf numFmtId="0" fontId="0" fillId="0" borderId="0" xfId="0" applyFont="1"/>
    <xf numFmtId="44" fontId="0" fillId="0" borderId="0" xfId="3" applyFont="1"/>
    <xf numFmtId="0" fontId="6" fillId="2" borderId="0" xfId="0" applyFont="1" applyFill="1"/>
    <xf numFmtId="43" fontId="6" fillId="2" borderId="0" xfId="2" applyFont="1" applyFill="1"/>
    <xf numFmtId="43" fontId="0" fillId="0" borderId="0" xfId="2" applyFont="1"/>
    <xf numFmtId="2" fontId="0" fillId="0" borderId="0" xfId="2" applyNumberFormat="1" applyFont="1" applyAlignment="1">
      <alignment horizontal="left"/>
    </xf>
    <xf numFmtId="4" fontId="0" fillId="0" borderId="0" xfId="2" applyNumberFormat="1" applyFont="1" applyAlignment="1">
      <alignment horizontal="left"/>
    </xf>
    <xf numFmtId="0" fontId="0" fillId="3" borderId="0" xfId="0" applyFill="1"/>
    <xf numFmtId="0" fontId="0" fillId="4" borderId="0" xfId="0" applyFill="1"/>
    <xf numFmtId="1" fontId="0" fillId="0" borderId="0" xfId="0" applyNumberFormat="1"/>
    <xf numFmtId="1" fontId="10" fillId="0" borderId="0" xfId="4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4" fontId="0" fillId="0" borderId="0" xfId="3" applyFont="1" applyAlignment="1">
      <alignment horizontal="center"/>
    </xf>
    <xf numFmtId="0" fontId="5" fillId="0" borderId="0" xfId="0" applyFont="1"/>
    <xf numFmtId="0" fontId="11" fillId="2" borderId="0" xfId="0" applyFont="1" applyFill="1"/>
    <xf numFmtId="0" fontId="5" fillId="0" borderId="0" xfId="0" applyFont="1" applyAlignment="1">
      <alignment horizontal="left"/>
    </xf>
    <xf numFmtId="44" fontId="5" fillId="0" borderId="0" xfId="0" applyNumberFormat="1" applyFont="1"/>
    <xf numFmtId="10" fontId="5" fillId="0" borderId="0" xfId="0" applyNumberFormat="1" applyFont="1"/>
    <xf numFmtId="0" fontId="0" fillId="0" borderId="0" xfId="0" applyBorder="1"/>
    <xf numFmtId="0" fontId="0" fillId="5" borderId="0" xfId="0" applyFill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164" fontId="0" fillId="0" borderId="0" xfId="0" applyNumberFormat="1"/>
    <xf numFmtId="0" fontId="10" fillId="0" borderId="0" xfId="4"/>
    <xf numFmtId="165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0" fontId="6" fillId="2" borderId="0" xfId="0" applyFont="1" applyFill="1" applyAlignment="1">
      <alignment wrapText="1"/>
    </xf>
    <xf numFmtId="44" fontId="0" fillId="3" borderId="0" xfId="3" applyFont="1" applyFill="1"/>
    <xf numFmtId="44" fontId="0" fillId="4" borderId="0" xfId="3" applyFont="1" applyFill="1"/>
    <xf numFmtId="44" fontId="0" fillId="5" borderId="0" xfId="3" applyFont="1" applyFill="1"/>
    <xf numFmtId="0" fontId="0" fillId="7" borderId="5" xfId="0" applyFont="1" applyFill="1" applyBorder="1"/>
    <xf numFmtId="44" fontId="0" fillId="7" borderId="5" xfId="3" applyNumberFormat="1" applyFont="1" applyFill="1" applyBorder="1"/>
    <xf numFmtId="0" fontId="0" fillId="0" borderId="5" xfId="0" applyFont="1" applyBorder="1"/>
    <xf numFmtId="0" fontId="12" fillId="8" borderId="0" xfId="0" applyFont="1" applyFill="1" applyBorder="1"/>
    <xf numFmtId="44" fontId="4" fillId="0" borderId="0" xfId="0" applyNumberFormat="1" applyFont="1"/>
    <xf numFmtId="10" fontId="4" fillId="0" borderId="0" xfId="0" applyNumberFormat="1" applyFont="1"/>
    <xf numFmtId="0" fontId="4" fillId="0" borderId="0" xfId="0" applyFont="1" applyAlignment="1">
      <alignment horizontal="left"/>
    </xf>
    <xf numFmtId="0" fontId="5" fillId="9" borderId="0" xfId="0" applyFont="1" applyFill="1"/>
    <xf numFmtId="0" fontId="13" fillId="9" borderId="0" xfId="0" applyFont="1" applyFill="1"/>
    <xf numFmtId="0" fontId="4" fillId="0" borderId="0" xfId="0" applyFont="1"/>
    <xf numFmtId="0" fontId="4" fillId="0" borderId="6" xfId="0" applyFont="1" applyBorder="1"/>
    <xf numFmtId="9" fontId="5" fillId="0" borderId="0" xfId="5" applyFont="1"/>
    <xf numFmtId="0" fontId="3" fillId="0" borderId="0" xfId="0" applyFont="1"/>
    <xf numFmtId="0" fontId="5" fillId="2" borderId="1" xfId="0" applyFont="1" applyFill="1" applyBorder="1"/>
    <xf numFmtId="44" fontId="5" fillId="2" borderId="7" xfId="0" applyNumberFormat="1" applyFont="1" applyFill="1" applyBorder="1"/>
    <xf numFmtId="0" fontId="14" fillId="9" borderId="1" xfId="0" applyFont="1" applyFill="1" applyBorder="1"/>
    <xf numFmtId="0" fontId="14" fillId="9" borderId="7" xfId="0" applyFont="1" applyFill="1" applyBorder="1"/>
    <xf numFmtId="0" fontId="14" fillId="9" borderId="8" xfId="0" applyFont="1" applyFill="1" applyBorder="1"/>
    <xf numFmtId="0" fontId="14" fillId="9" borderId="9" xfId="0" applyFont="1" applyFill="1" applyBorder="1"/>
    <xf numFmtId="44" fontId="5" fillId="2" borderId="9" xfId="0" applyNumberFormat="1" applyFont="1" applyFill="1" applyBorder="1"/>
    <xf numFmtId="9" fontId="5" fillId="2" borderId="8" xfId="3" applyNumberFormat="1" applyFont="1" applyFill="1" applyBorder="1"/>
    <xf numFmtId="44" fontId="5" fillId="2" borderId="9" xfId="3" applyFont="1" applyFill="1" applyBorder="1"/>
    <xf numFmtId="0" fontId="11" fillId="2" borderId="0" xfId="0" applyFont="1" applyFill="1" applyBorder="1"/>
    <xf numFmtId="0" fontId="5" fillId="0" borderId="0" xfId="0" applyFont="1" applyFill="1"/>
    <xf numFmtId="0" fontId="11" fillId="0" borderId="0" xfId="0" applyFont="1" applyFill="1" applyBorder="1"/>
    <xf numFmtId="44" fontId="11" fillId="0" borderId="0" xfId="0" applyNumberFormat="1" applyFont="1" applyFill="1" applyBorder="1"/>
    <xf numFmtId="9" fontId="11" fillId="0" borderId="0" xfId="5" applyFont="1" applyFill="1" applyBorder="1"/>
    <xf numFmtId="1" fontId="11" fillId="0" borderId="0" xfId="2" applyNumberFormat="1" applyFont="1" applyFill="1" applyBorder="1"/>
    <xf numFmtId="0" fontId="0" fillId="0" borderId="0" xfId="0" pivotButton="1"/>
    <xf numFmtId="42" fontId="0" fillId="0" borderId="0" xfId="0" applyNumberFormat="1"/>
    <xf numFmtId="166" fontId="5" fillId="0" borderId="0" xfId="3" applyNumberFormat="1" applyFont="1"/>
    <xf numFmtId="166" fontId="5" fillId="0" borderId="6" xfId="3" applyNumberFormat="1" applyFont="1" applyBorder="1"/>
    <xf numFmtId="167" fontId="5" fillId="0" borderId="0" xfId="2" applyNumberFormat="1" applyFont="1"/>
    <xf numFmtId="167" fontId="5" fillId="0" borderId="6" xfId="2" applyNumberFormat="1" applyFont="1" applyBorder="1"/>
    <xf numFmtId="0" fontId="2" fillId="2" borderId="0" xfId="0" applyFont="1" applyFill="1"/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6" fillId="2" borderId="10" xfId="0" applyFont="1" applyFill="1" applyBorder="1" applyAlignment="1">
      <alignment horizontal="center"/>
    </xf>
    <xf numFmtId="43" fontId="6" fillId="2" borderId="10" xfId="2" applyNumberFormat="1" applyFont="1" applyFill="1" applyBorder="1" applyAlignment="1">
      <alignment horizontal="center"/>
    </xf>
    <xf numFmtId="166" fontId="11" fillId="2" borderId="0" xfId="0" applyNumberFormat="1" applyFont="1" applyFill="1" applyBorder="1"/>
    <xf numFmtId="166" fontId="11" fillId="2" borderId="11" xfId="0" applyNumberFormat="1" applyFont="1" applyFill="1" applyBorder="1"/>
    <xf numFmtId="9" fontId="11" fillId="2" borderId="11" xfId="5" applyFont="1" applyFill="1" applyBorder="1"/>
    <xf numFmtId="167" fontId="11" fillId="2" borderId="0" xfId="2" applyNumberFormat="1" applyFont="1" applyFill="1" applyBorder="1"/>
    <xf numFmtId="0" fontId="5" fillId="6" borderId="0" xfId="0" applyFont="1" applyFill="1"/>
    <xf numFmtId="166" fontId="5" fillId="6" borderId="0" xfId="3" applyNumberFormat="1" applyFont="1" applyFill="1"/>
    <xf numFmtId="9" fontId="5" fillId="6" borderId="0" xfId="5" applyFont="1" applyFill="1"/>
    <xf numFmtId="1" fontId="5" fillId="6" borderId="0" xfId="3" applyNumberFormat="1" applyFont="1" applyFill="1"/>
    <xf numFmtId="0" fontId="11" fillId="0" borderId="0" xfId="0" applyFont="1" applyFill="1" applyBorder="1" applyAlignment="1"/>
    <xf numFmtId="166" fontId="2" fillId="0" borderId="0" xfId="0" applyNumberFormat="1" applyFon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5" fillId="2" borderId="0" xfId="0" applyFont="1" applyFill="1"/>
    <xf numFmtId="44" fontId="2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44" fontId="5" fillId="2" borderId="0" xfId="0" applyNumberFormat="1" applyFont="1" applyFill="1"/>
    <xf numFmtId="10" fontId="5" fillId="2" borderId="0" xfId="0" applyNumberFormat="1" applyFont="1" applyFill="1"/>
    <xf numFmtId="0" fontId="0" fillId="2" borderId="0" xfId="0" applyFill="1" applyBorder="1"/>
    <xf numFmtId="44" fontId="1" fillId="2" borderId="0" xfId="0" applyNumberFormat="1" applyFont="1" applyFill="1"/>
    <xf numFmtId="44" fontId="1" fillId="0" borderId="0" xfId="0" applyNumberFormat="1" applyFont="1" applyAlignment="1">
      <alignment horizontal="left"/>
    </xf>
    <xf numFmtId="166" fontId="1" fillId="0" borderId="0" xfId="0" applyNumberFormat="1" applyFont="1"/>
    <xf numFmtId="166" fontId="0" fillId="0" borderId="0" xfId="0" applyNumberFormat="1"/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4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4" borderId="0" xfId="0" applyFont="1" applyFill="1" applyAlignment="1">
      <alignment horizontal="center" wrapText="1"/>
    </xf>
  </cellXfs>
  <cellStyles count="6">
    <cellStyle name="Hipervínculo" xfId="4" builtinId="8"/>
    <cellStyle name="Millares" xfId="2" builtinId="3"/>
    <cellStyle name="Moneda" xfId="3" builtinId="4"/>
    <cellStyle name="Normal" xfId="0" builtinId="0"/>
    <cellStyle name="Normal 3" xfId="1" xr:uid="{8F53062A-67EE-41F0-AC5B-03CBEEF10C8A}"/>
    <cellStyle name="Porcentaje" xfId="5" builtinId="5"/>
  </cellStyles>
  <dxfs count="157">
    <dxf>
      <numFmt numFmtId="164" formatCode="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left style="thin">
          <color theme="6" tint="0.39997558519241921"/>
        </left>
        <top style="thin">
          <color theme="6" tint="0.39997558519241921"/>
        </top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19" formatCode="d/m/yy"/>
      <alignment horizontal="left" vertical="bottom" textRotation="0" wrapText="0" indent="0" justifyLastLine="0" shrinkToFit="0" readingOrder="0"/>
    </dxf>
    <dxf>
      <numFmt numFmtId="19" formatCode="d/m/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numFmt numFmtId="166" formatCode="_-&quot;$&quot;* #,##0_-;\-&quot;$&quot;* #,##0_-;_-&quot;$&quot;* &quot;-&quot;??_-;_-@_-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34" formatCode="_-&quot;$&quot;* #,##0.00_-;\-&quot;$&quot;* #,##0.00_-;_-&quot;$&quot;* &quot;-&quot;??_-;_-@_-"/>
    </dxf>
    <dxf>
      <numFmt numFmtId="166" formatCode="_-&quot;$&quot;* #,##0_-;\-&quot;$&quot;* #,##0_-;_-&quot;$&quot;* &quot;-&quot;??_-;_-@_-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34" formatCode="_-&quot;$&quot;* #,##0.00_-;\-&quot;$&quot;* #,##0.00_-;_-&quot;$&quot;* &quot;-&quot;??_-;_-@_-"/>
    </dxf>
    <dxf>
      <numFmt numFmtId="13" formatCode="0%"/>
    </dxf>
    <dxf>
      <numFmt numFmtId="166" formatCode="_-&quot;$&quot;* #,##0_-;\-&quot;$&quot;* #,##0_-;_-&quot;$&quot;* &quot;-&quot;??_-;_-@_-"/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alignment wrapText="1"/>
    </dxf>
    <dxf>
      <alignment wrapText="1"/>
    </dxf>
    <dxf>
      <numFmt numFmtId="13" formatCode="0%"/>
    </dxf>
    <dxf>
      <numFmt numFmtId="166" formatCode="_-&quot;$&quot;* #,##0_-;\-&quot;$&quot;* #,##0_-;_-&quot;$&quot;* &quot;-&quot;??_-;_-@_-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numFmt numFmtId="13" formatCode="0%"/>
    </dxf>
    <dxf>
      <fill>
        <patternFill patternType="solid">
          <bgColor theme="8" tint="0.79998168889431442"/>
        </patternFill>
      </fill>
    </dxf>
    <dxf>
      <numFmt numFmtId="34" formatCode="_-&quot;$&quot;* #,##0.00_-;\-&quot;$&quot;* #,##0.00_-;_-&quot;$&quot;* &quot;-&quot;??_-;_-@_-"/>
    </dxf>
    <dxf>
      <numFmt numFmtId="166" formatCode="_-&quot;$&quot;* #,##0_-;\-&quot;$&quot;* #,##0_-;_-&quot;$&quot;* &quot;-&quot;??_-;_-@_-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&quot;$&quot;* #,##0_-;\-&quot;$&quot;* #,##0_-;_-&quot;$&quot;* &quot;-&quot;??_-;_-@_-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&quot;$&quot;* #,##0_-;\-&quot;$&quot;* #,##0_-;_-&quot;$&quot;* &quot;-&quot;??_-;_-@_-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&quot;$&quot;* #,##0_-;\-&quot;$&quot;* #,##0_-;_-&quot;$&quot;* &quot;-&quot;??_-;_-@_-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&quot;$&quot;* #,##0_-;\-&quot;$&quot;* #,##0_-;_-&quot;$&quot;* &quot;-&quot;??_-;_-@_-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&quot;$&quot;* #,##0_-;\-&quot;$&quot;* #,##0_-;_-&quot;$&quot;* &quot;-&quot;??_-;_-@_-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&quot;$&quot;* #,##0_-;\-&quot;$&quot;* #,##0_-;_-&quot;$&quot;* &quot;-&quot;??_-;_-@_-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&quot;$&quot;* #,##0_-;\-&quot;$&quot;* #,##0_-;_-&quot;$&quot;* &quot;-&quot;??_-;_-@_-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&quot;$&quot;* #,##0_-;\-&quot;$&quot;* #,##0_-;_-&quot;$&quot;* &quot;-&quot;??_-;_-@_-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&quot;$&quot;* #,##0_-;\-&quot;$&quot;* #,##0_-;_-&quot;$&quot;* &quot;-&quot;??_-;_-@_-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&quot;$&quot;* #,##0_-;\-&quot;$&quot;* #,##0_-;_-&quot;$&quot;* &quot;-&quot;??_-;_-@_-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border outline="0">
        <top style="thin">
          <color theme="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_-* #,##0_-;\-* #,##0_-;_-* &quot;-&quot;??_-;_-@_-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&quot;$&quot;* #,##0_-;\-&quot;$&quot;* #,##0_-;_-&quot;$&quot;* &quot;-&quot;??_-;_-@_-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&quot;$&quot;* #,##0_-;\-&quot;$&quot;* #,##0_-;_-&quot;$&quot;* &quot;-&quot;??_-;_-@_-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&quot;$&quot;* #,##0_-;\-&quot;$&quot;* #,##0_-;_-&quot;$&quot;* &quot;-&quot;??_-;_-@_-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&quot;$&quot;* #,##0_-;\-&quot;$&quot;* #,##0_-;_-&quot;$&quot;* &quot;-&quot;??_-;_-@_-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&quot;$&quot;* #,##0_-;\-&quot;$&quot;* #,##0_-;_-&quot;$&quot;* &quot;-&quot;??_-;_-@_-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top style="thin">
          <color theme="6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[PROYECTO EXCEL INTERMEDIO.xlsx]Dashboard!TablaDinámica5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s-ES_tradnl" b="1"/>
              <a:t>Ventas por Método de Pago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983200506613458E-2"/>
          <c:y val="0.16117838718436059"/>
          <c:w val="0.94122280238490674"/>
          <c:h val="0.679134461640570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Dashboard!$D$12</c:f>
              <c:strCache>
                <c:ptCount val="1"/>
                <c:pt idx="0">
                  <c:v>Suma de Ventas efectivo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Dashboard!$C$13:$C$18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Dashboard!$D$13:$D$18</c:f>
              <c:numCache>
                <c:formatCode>_("$"* #,##0_);_("$"* \(#,##0\);_("$"* "-"_);_(@_)</c:formatCode>
                <c:ptCount val="5"/>
                <c:pt idx="0">
                  <c:v>106391.34000000001</c:v>
                </c:pt>
                <c:pt idx="1">
                  <c:v>93424.17</c:v>
                </c:pt>
                <c:pt idx="2">
                  <c:v>103171.26999999999</c:v>
                </c:pt>
                <c:pt idx="3">
                  <c:v>104127.34</c:v>
                </c:pt>
                <c:pt idx="4">
                  <c:v>102113.44999999998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76-2541-A5A9-CDF8664C17B3}"/>
            </c:ext>
          </c:extLst>
        </c:ser>
        <c:ser>
          <c:idx val="1"/>
          <c:order val="1"/>
          <c:tx>
            <c:strRef>
              <c:f>Dashboard!$E$12</c:f>
              <c:strCache>
                <c:ptCount val="1"/>
                <c:pt idx="0">
                  <c:v>Suma de Ventas tarjeta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Dashboard!$C$13:$C$18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Dashboard!$E$13:$E$18</c:f>
              <c:numCache>
                <c:formatCode>_("$"* #,##0_);_("$"* \(#,##0\);_("$"* "-"_);_(@_)</c:formatCode>
                <c:ptCount val="5"/>
                <c:pt idx="0">
                  <c:v>11667.320000000002</c:v>
                </c:pt>
                <c:pt idx="1">
                  <c:v>17264.27</c:v>
                </c:pt>
                <c:pt idx="2">
                  <c:v>18080.920000000002</c:v>
                </c:pt>
                <c:pt idx="3">
                  <c:v>14429.87</c:v>
                </c:pt>
                <c:pt idx="4">
                  <c:v>18742.830000000002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76-2541-A5A9-CDF8664C17B3}"/>
            </c:ext>
          </c:extLst>
        </c:ser>
        <c:ser>
          <c:idx val="2"/>
          <c:order val="2"/>
          <c:tx>
            <c:strRef>
              <c:f>Dashboard!$F$12</c:f>
              <c:strCache>
                <c:ptCount val="1"/>
                <c:pt idx="0">
                  <c:v>Suma de Ventas transferencia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Dashboard!$C$13:$C$18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Dashboard!$F$13:$F$18</c:f>
              <c:numCache>
                <c:formatCode>_("$"* #,##0_);_("$"* \(#,##0\);_("$"* "-"_);_(@_)</c:formatCode>
                <c:ptCount val="5"/>
                <c:pt idx="0">
                  <c:v>5132.3599999999997</c:v>
                </c:pt>
                <c:pt idx="1">
                  <c:v>0</c:v>
                </c:pt>
                <c:pt idx="2">
                  <c:v>175</c:v>
                </c:pt>
                <c:pt idx="3">
                  <c:v>0</c:v>
                </c:pt>
                <c:pt idx="4">
                  <c:v>2149.33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76-2541-A5A9-CDF8664C17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63358448"/>
        <c:axId val="863362304"/>
      </c:barChart>
      <c:catAx>
        <c:axId val="8633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63362304"/>
        <c:crosses val="autoZero"/>
        <c:auto val="1"/>
        <c:lblAlgn val="ctr"/>
        <c:lblOffset val="100"/>
        <c:noMultiLvlLbl val="0"/>
      </c:catAx>
      <c:valAx>
        <c:axId val="863362304"/>
        <c:scaling>
          <c:orientation val="minMax"/>
        </c:scaling>
        <c:delete val="1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8633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44683536695318"/>
          <c:y val="0.92484025703683592"/>
          <c:w val="0.75510608986912653"/>
          <c:h val="7.5159742963164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[PROYECTO EXCEL INTERMEDIO.xlsx]Dashboard Comparativo!TablaDinámica2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Ventas por Método de Pago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A5A5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A5A5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A5A5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626990569883718E-2"/>
          <c:y val="0.16117838718436059"/>
          <c:w val="0.95457907088306271"/>
          <c:h val="0.679134461640570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 Comparativo'!$D$5</c:f>
              <c:strCache>
                <c:ptCount val="1"/>
                <c:pt idx="0">
                  <c:v>Total Ventas efectivo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Comparativo'!$C$6:$C$11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'Dashboard Comparativo'!$D$6:$D$11</c:f>
              <c:numCache>
                <c:formatCode>_-"$"* #,##0_-;\-"$"* #,##0_-;_-"$"* "-"??_-;_-@_-</c:formatCode>
                <c:ptCount val="5"/>
                <c:pt idx="0">
                  <c:v>106391.34000000001</c:v>
                </c:pt>
                <c:pt idx="1">
                  <c:v>93424.17</c:v>
                </c:pt>
                <c:pt idx="2">
                  <c:v>103171.26999999999</c:v>
                </c:pt>
                <c:pt idx="3">
                  <c:v>104127.34</c:v>
                </c:pt>
                <c:pt idx="4">
                  <c:v>102113.44999999998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14-3741-AA7B-7FF1231AE3F0}"/>
            </c:ext>
          </c:extLst>
        </c:ser>
        <c:ser>
          <c:idx val="1"/>
          <c:order val="1"/>
          <c:tx>
            <c:strRef>
              <c:f>'Dashboard Comparativo'!$E$5</c:f>
              <c:strCache>
                <c:ptCount val="1"/>
                <c:pt idx="0">
                  <c:v>Total Ventas tarjeta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Comparativo'!$C$6:$C$11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'Dashboard Comparativo'!$E$6:$E$11</c:f>
              <c:numCache>
                <c:formatCode>_-"$"* #,##0_-;\-"$"* #,##0_-;_-"$"* "-"??_-;_-@_-</c:formatCode>
                <c:ptCount val="5"/>
                <c:pt idx="0">
                  <c:v>11667.320000000002</c:v>
                </c:pt>
                <c:pt idx="1">
                  <c:v>17264.27</c:v>
                </c:pt>
                <c:pt idx="2">
                  <c:v>18080.920000000002</c:v>
                </c:pt>
                <c:pt idx="3">
                  <c:v>14429.87</c:v>
                </c:pt>
                <c:pt idx="4">
                  <c:v>18742.830000000002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14-3741-AA7B-7FF1231AE3F0}"/>
            </c:ext>
          </c:extLst>
        </c:ser>
        <c:ser>
          <c:idx val="2"/>
          <c:order val="2"/>
          <c:tx>
            <c:strRef>
              <c:f>'Dashboard Comparativo'!$F$5</c:f>
              <c:strCache>
                <c:ptCount val="1"/>
                <c:pt idx="0">
                  <c:v>Total Ventas transferencia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Comparativo'!$C$6:$C$11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'Dashboard Comparativo'!$F$6:$F$11</c:f>
              <c:numCache>
                <c:formatCode>_-"$"* #,##0_-;\-"$"* #,##0_-;_-"$"* "-"??_-;_-@_-</c:formatCode>
                <c:ptCount val="5"/>
                <c:pt idx="0">
                  <c:v>5132.3599999999997</c:v>
                </c:pt>
                <c:pt idx="1">
                  <c:v>0</c:v>
                </c:pt>
                <c:pt idx="2">
                  <c:v>175</c:v>
                </c:pt>
                <c:pt idx="3">
                  <c:v>0</c:v>
                </c:pt>
                <c:pt idx="4">
                  <c:v>2149.33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14-3741-AA7B-7FF1231AE3F0}"/>
            </c:ext>
          </c:extLst>
        </c:ser>
        <c:ser>
          <c:idx val="3"/>
          <c:order val="3"/>
          <c:tx>
            <c:strRef>
              <c:f>'Dashboard Comparativo'!$G$5</c:f>
              <c:strCache>
                <c:ptCount val="1"/>
                <c:pt idx="0">
                  <c:v>Total Ventas totales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Comparativo'!$C$6:$C$11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'Dashboard Comparativo'!$G$6:$G$11</c:f>
              <c:numCache>
                <c:formatCode>_-"$"* #,##0_-;\-"$"* #,##0_-;_-"$"* "-"??_-;_-@_-</c:formatCode>
                <c:ptCount val="5"/>
                <c:pt idx="0">
                  <c:v>123191.02</c:v>
                </c:pt>
                <c:pt idx="1">
                  <c:v>110688.44</c:v>
                </c:pt>
                <c:pt idx="2">
                  <c:v>121427.19</c:v>
                </c:pt>
                <c:pt idx="3">
                  <c:v>118557.21</c:v>
                </c:pt>
                <c:pt idx="4">
                  <c:v>125702.61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14-3741-AA7B-7FF1231AE3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863358448"/>
        <c:axId val="863362304"/>
      </c:barChart>
      <c:catAx>
        <c:axId val="8633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63362304"/>
        <c:crosses val="autoZero"/>
        <c:auto val="1"/>
        <c:lblAlgn val="ctr"/>
        <c:lblOffset val="100"/>
        <c:noMultiLvlLbl val="0"/>
      </c:catAx>
      <c:valAx>
        <c:axId val="863362304"/>
        <c:scaling>
          <c:orientation val="minMax"/>
        </c:scaling>
        <c:delete val="1"/>
        <c:axPos val="l"/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863358448"/>
        <c:crosses val="autoZero"/>
        <c:crossBetween val="between"/>
      </c:valAx>
      <c:spPr>
        <a:noFill/>
        <a:ln w="9525">
          <a:solidFill>
            <a:srgbClr val="00B0F0"/>
          </a:solidFill>
        </a:ln>
        <a:effectLst/>
      </c:spPr>
    </c:plotArea>
    <c:legend>
      <c:legendPos val="b"/>
      <c:layout>
        <c:manualLayout>
          <c:xMode val="edge"/>
          <c:yMode val="edge"/>
          <c:x val="0.12244683536695318"/>
          <c:y val="0.92484025703683592"/>
          <c:w val="0.7025182029753172"/>
          <c:h val="6.5395438288174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[PROYECTO EXCEL INTERMEDIO.xlsx]Dashboard Comparativo!TablaDinámica4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s-ES_tradnl" cap="none" baseline="0">
                <a:solidFill>
                  <a:schemeClr val="accent5"/>
                </a:solidFill>
              </a:rPr>
              <a:t>Gastos Mensuales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noFill/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noFill/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noFill/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'Dashboard Comparativo'!$D$88:$D$89</c:f>
              <c:strCache>
                <c:ptCount val="1"/>
                <c:pt idx="0">
                  <c:v>Etiquetas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Comparativo'!$C$90:$C$94</c:f>
              <c:strCache>
                <c:ptCount val="5"/>
                <c:pt idx="0">
                  <c:v>Gasto Enero</c:v>
                </c:pt>
                <c:pt idx="1">
                  <c:v>Gasto Febrero</c:v>
                </c:pt>
                <c:pt idx="2">
                  <c:v>Gasto Marzo</c:v>
                </c:pt>
                <c:pt idx="3">
                  <c:v>Gasto Abril</c:v>
                </c:pt>
                <c:pt idx="4">
                  <c:v>Gasto Mayo</c:v>
                </c:pt>
              </c:strCache>
            </c:strRef>
          </c:cat>
          <c:val>
            <c:numRef>
              <c:f>'Dashboard Comparativo'!$D$90:$D$94</c:f>
              <c:numCache>
                <c:formatCode>_-"$"* #,##0_-;\-"$"* #,##0_-;_-"$"* "-"??_-;_-@_-</c:formatCode>
                <c:ptCount val="5"/>
                <c:pt idx="0">
                  <c:v>2336.08</c:v>
                </c:pt>
                <c:pt idx="1">
                  <c:v>0</c:v>
                </c:pt>
                <c:pt idx="2">
                  <c:v>2397.6799999999998</c:v>
                </c:pt>
                <c:pt idx="3">
                  <c:v>2908.12</c:v>
                </c:pt>
                <c:pt idx="4">
                  <c:v>3887.16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FE-8A46-A94A-34F02C063CF8}"/>
            </c:ext>
          </c:extLst>
        </c:ser>
        <c:ser>
          <c:idx val="1"/>
          <c:order val="1"/>
          <c:tx>
            <c:strRef>
              <c:f>'Dashboard Comparativo'!$E$88:$E$89</c:f>
              <c:strCache>
                <c:ptCount val="1"/>
                <c:pt idx="0">
                  <c:v>Flete pedido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Comparativo'!$C$90:$C$94</c:f>
              <c:strCache>
                <c:ptCount val="5"/>
                <c:pt idx="0">
                  <c:v>Gasto Enero</c:v>
                </c:pt>
                <c:pt idx="1">
                  <c:v>Gasto Febrero</c:v>
                </c:pt>
                <c:pt idx="2">
                  <c:v>Gasto Marzo</c:v>
                </c:pt>
                <c:pt idx="3">
                  <c:v>Gasto Abril</c:v>
                </c:pt>
                <c:pt idx="4">
                  <c:v>Gasto Mayo</c:v>
                </c:pt>
              </c:strCache>
            </c:strRef>
          </c:cat>
          <c:val>
            <c:numRef>
              <c:f>'Dashboard Comparativo'!$E$90:$E$94</c:f>
              <c:numCache>
                <c:formatCode>_-"$"* #,##0_-;\-"$"* #,##0_-;_-"$"* "-"??_-;_-@_-</c:formatCode>
                <c:ptCount val="5"/>
                <c:pt idx="0">
                  <c:v>2433.36</c:v>
                </c:pt>
                <c:pt idx="1">
                  <c:v>2684.08</c:v>
                </c:pt>
                <c:pt idx="2">
                  <c:v>2240</c:v>
                </c:pt>
                <c:pt idx="3">
                  <c:v>2628</c:v>
                </c:pt>
                <c:pt idx="4">
                  <c:v>2623.5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4FE-8A46-A94A-34F02C063CF8}"/>
            </c:ext>
          </c:extLst>
        </c:ser>
        <c:ser>
          <c:idx val="2"/>
          <c:order val="2"/>
          <c:tx>
            <c:strRef>
              <c:f>'Dashboard Comparativo'!$F$88:$F$89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Comparativo'!$C$90:$C$94</c:f>
              <c:strCache>
                <c:ptCount val="5"/>
                <c:pt idx="0">
                  <c:v>Gasto Enero</c:v>
                </c:pt>
                <c:pt idx="1">
                  <c:v>Gasto Febrero</c:v>
                </c:pt>
                <c:pt idx="2">
                  <c:v>Gasto Marzo</c:v>
                </c:pt>
                <c:pt idx="3">
                  <c:v>Gasto Abril</c:v>
                </c:pt>
                <c:pt idx="4">
                  <c:v>Gasto Mayo</c:v>
                </c:pt>
              </c:strCache>
            </c:strRef>
          </c:cat>
          <c:val>
            <c:numRef>
              <c:f>'Dashboard Comparativo'!$F$90:$F$94</c:f>
              <c:numCache>
                <c:formatCode>_-"$"* #,##0_-;\-"$"* #,##0_-;_-"$"* "-"??_-;_-@_-</c:formatCode>
                <c:ptCount val="5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4FE-8A46-A94A-34F02C063CF8}"/>
            </c:ext>
          </c:extLst>
        </c:ser>
        <c:ser>
          <c:idx val="3"/>
          <c:order val="3"/>
          <c:tx>
            <c:strRef>
              <c:f>'Dashboard Comparativo'!$G$88:$G$89</c:f>
              <c:strCache>
                <c:ptCount val="1"/>
                <c:pt idx="0">
                  <c:v>Mantenimiento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Comparativo'!$C$90:$C$94</c:f>
              <c:strCache>
                <c:ptCount val="5"/>
                <c:pt idx="0">
                  <c:v>Gasto Enero</c:v>
                </c:pt>
                <c:pt idx="1">
                  <c:v>Gasto Febrero</c:v>
                </c:pt>
                <c:pt idx="2">
                  <c:v>Gasto Marzo</c:v>
                </c:pt>
                <c:pt idx="3">
                  <c:v>Gasto Abril</c:v>
                </c:pt>
                <c:pt idx="4">
                  <c:v>Gasto Mayo</c:v>
                </c:pt>
              </c:strCache>
            </c:strRef>
          </c:cat>
          <c:val>
            <c:numRef>
              <c:f>'Dashboard Comparativo'!$G$90:$G$94</c:f>
              <c:numCache>
                <c:formatCode>_-"$"* #,##0_-;\-"$"* #,##0_-;_-"$"* "-"??_-;_-@_-</c:formatCode>
                <c:ptCount val="5"/>
                <c:pt idx="0">
                  <c:v>152</c:v>
                </c:pt>
                <c:pt idx="1">
                  <c:v>119.5</c:v>
                </c:pt>
                <c:pt idx="2">
                  <c:v>290</c:v>
                </c:pt>
                <c:pt idx="3">
                  <c:v>917</c:v>
                </c:pt>
                <c:pt idx="4">
                  <c:v>354.5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4FE-8A46-A94A-34F02C063CF8}"/>
            </c:ext>
          </c:extLst>
        </c:ser>
        <c:ser>
          <c:idx val="4"/>
          <c:order val="4"/>
          <c:tx>
            <c:strRef>
              <c:f>'Dashboard Comparativo'!$H$88:$H$89</c:f>
              <c:strCache>
                <c:ptCount val="1"/>
                <c:pt idx="0">
                  <c:v>Otros gastos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Comparativo'!$C$90:$C$94</c:f>
              <c:strCache>
                <c:ptCount val="5"/>
                <c:pt idx="0">
                  <c:v>Gasto Enero</c:v>
                </c:pt>
                <c:pt idx="1">
                  <c:v>Gasto Febrero</c:v>
                </c:pt>
                <c:pt idx="2">
                  <c:v>Gasto Marzo</c:v>
                </c:pt>
                <c:pt idx="3">
                  <c:v>Gasto Abril</c:v>
                </c:pt>
                <c:pt idx="4">
                  <c:v>Gasto Mayo</c:v>
                </c:pt>
              </c:strCache>
            </c:strRef>
          </c:cat>
          <c:val>
            <c:numRef>
              <c:f>'Dashboard Comparativo'!$H$90:$H$94</c:f>
              <c:numCache>
                <c:formatCode>_-"$"* #,##0_-;\-"$"* #,##0_-;_-"$"* "-"??_-;_-@_-</c:formatCode>
                <c:ptCount val="5"/>
                <c:pt idx="0">
                  <c:v>305</c:v>
                </c:pt>
                <c:pt idx="1">
                  <c:v>381.56</c:v>
                </c:pt>
                <c:pt idx="2">
                  <c:v>62.5</c:v>
                </c:pt>
                <c:pt idx="3">
                  <c:v>818.5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4FE-8A46-A94A-34F02C063CF8}"/>
            </c:ext>
          </c:extLst>
        </c:ser>
        <c:ser>
          <c:idx val="5"/>
          <c:order val="5"/>
          <c:tx>
            <c:strRef>
              <c:f>'Dashboard Comparativo'!$I$88:$I$89</c:f>
              <c:strCache>
                <c:ptCount val="1"/>
                <c:pt idx="0">
                  <c:v>Redes sociales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Comparativo'!$C$90:$C$94</c:f>
              <c:strCache>
                <c:ptCount val="5"/>
                <c:pt idx="0">
                  <c:v>Gasto Enero</c:v>
                </c:pt>
                <c:pt idx="1">
                  <c:v>Gasto Febrero</c:v>
                </c:pt>
                <c:pt idx="2">
                  <c:v>Gasto Marzo</c:v>
                </c:pt>
                <c:pt idx="3">
                  <c:v>Gasto Abril</c:v>
                </c:pt>
                <c:pt idx="4">
                  <c:v>Gasto Mayo</c:v>
                </c:pt>
              </c:strCache>
            </c:strRef>
          </c:cat>
          <c:val>
            <c:numRef>
              <c:f>'Dashboard Comparativo'!$I$90:$I$94</c:f>
              <c:numCache>
                <c:formatCode>_-"$"* #,##0_-;\-"$"* #,##0_-;_-"$"* "-"??_-;_-@_-</c:formatCode>
                <c:ptCount val="5"/>
                <c:pt idx="0">
                  <c:v>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4FE-8A46-A94A-34F02C063CF8}"/>
            </c:ext>
          </c:extLst>
        </c:ser>
        <c:ser>
          <c:idx val="6"/>
          <c:order val="6"/>
          <c:tx>
            <c:strRef>
              <c:f>'Dashboard Comparativo'!$J$88:$J$89</c:f>
              <c:strCache>
                <c:ptCount val="1"/>
                <c:pt idx="0">
                  <c:v>Renta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Comparativo'!$C$90:$C$94</c:f>
              <c:strCache>
                <c:ptCount val="5"/>
                <c:pt idx="0">
                  <c:v>Gasto Enero</c:v>
                </c:pt>
                <c:pt idx="1">
                  <c:v>Gasto Febrero</c:v>
                </c:pt>
                <c:pt idx="2">
                  <c:v>Gasto Marzo</c:v>
                </c:pt>
                <c:pt idx="3">
                  <c:v>Gasto Abril</c:v>
                </c:pt>
                <c:pt idx="4">
                  <c:v>Gasto Mayo</c:v>
                </c:pt>
              </c:strCache>
            </c:strRef>
          </c:cat>
          <c:val>
            <c:numRef>
              <c:f>'Dashboard Comparativo'!$J$90:$J$94</c:f>
              <c:numCache>
                <c:formatCode>_-"$"* #,##0_-;\-"$"* #,##0_-;_-"$"* "-"??_-;_-@_-</c:formatCode>
                <c:ptCount val="5"/>
                <c:pt idx="0">
                  <c:v>9280</c:v>
                </c:pt>
                <c:pt idx="1">
                  <c:v>9280</c:v>
                </c:pt>
                <c:pt idx="2">
                  <c:v>9260</c:v>
                </c:pt>
                <c:pt idx="3">
                  <c:v>9280</c:v>
                </c:pt>
                <c:pt idx="4">
                  <c:v>9280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4FE-8A46-A94A-34F02C063CF8}"/>
            </c:ext>
          </c:extLst>
        </c:ser>
        <c:ser>
          <c:idx val="7"/>
          <c:order val="7"/>
          <c:tx>
            <c:strRef>
              <c:f>'Dashboard Comparativo'!$K$88:$K$89</c:f>
              <c:strCache>
                <c:ptCount val="1"/>
                <c:pt idx="0">
                  <c:v>Sistema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Comparativo'!$C$90:$C$94</c:f>
              <c:strCache>
                <c:ptCount val="5"/>
                <c:pt idx="0">
                  <c:v>Gasto Enero</c:v>
                </c:pt>
                <c:pt idx="1">
                  <c:v>Gasto Febrero</c:v>
                </c:pt>
                <c:pt idx="2">
                  <c:v>Gasto Marzo</c:v>
                </c:pt>
                <c:pt idx="3">
                  <c:v>Gasto Abril</c:v>
                </c:pt>
                <c:pt idx="4">
                  <c:v>Gasto Mayo</c:v>
                </c:pt>
              </c:strCache>
            </c:strRef>
          </c:cat>
          <c:val>
            <c:numRef>
              <c:f>'Dashboard Comparativo'!$K$90:$K$94</c:f>
              <c:numCache>
                <c:formatCode>_-"$"* #,##0_-;\-"$"* #,##0_-;_-"$"*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660.75</c:v>
                </c:pt>
                <c:pt idx="3">
                  <c:v>660.75</c:v>
                </c:pt>
                <c:pt idx="4">
                  <c:v>660.75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4FE-8A46-A94A-34F02C063CF8}"/>
            </c:ext>
          </c:extLst>
        </c:ser>
        <c:ser>
          <c:idx val="8"/>
          <c:order val="8"/>
          <c:tx>
            <c:strRef>
              <c:f>'Dashboard Comparativo'!$L$88:$L$89</c:f>
              <c:strCache>
                <c:ptCount val="1"/>
                <c:pt idx="0">
                  <c:v>Sueldos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Comparativo'!$C$90:$C$94</c:f>
              <c:strCache>
                <c:ptCount val="5"/>
                <c:pt idx="0">
                  <c:v>Gasto Enero</c:v>
                </c:pt>
                <c:pt idx="1">
                  <c:v>Gasto Febrero</c:v>
                </c:pt>
                <c:pt idx="2">
                  <c:v>Gasto Marzo</c:v>
                </c:pt>
                <c:pt idx="3">
                  <c:v>Gasto Abril</c:v>
                </c:pt>
                <c:pt idx="4">
                  <c:v>Gasto Mayo</c:v>
                </c:pt>
              </c:strCache>
            </c:strRef>
          </c:cat>
          <c:val>
            <c:numRef>
              <c:f>'Dashboard Comparativo'!$L$90:$L$94</c:f>
              <c:numCache>
                <c:formatCode>_-"$"* #,##0_-;\-"$"* #,##0_-;_-"$"* "-"??_-;_-@_-</c:formatCode>
                <c:ptCount val="5"/>
                <c:pt idx="0">
                  <c:v>13100</c:v>
                </c:pt>
                <c:pt idx="1">
                  <c:v>13050</c:v>
                </c:pt>
                <c:pt idx="2">
                  <c:v>15760</c:v>
                </c:pt>
                <c:pt idx="3">
                  <c:v>17432</c:v>
                </c:pt>
                <c:pt idx="4">
                  <c:v>15620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4FE-8A46-A94A-34F02C063C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141133807"/>
        <c:axId val="2140384175"/>
      </c:barChart>
      <c:catAx>
        <c:axId val="214113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40384175"/>
        <c:crosses val="autoZero"/>
        <c:auto val="1"/>
        <c:lblAlgn val="ctr"/>
        <c:lblOffset val="100"/>
        <c:noMultiLvlLbl val="0"/>
      </c:catAx>
      <c:valAx>
        <c:axId val="21403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4113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581762830621694"/>
          <c:y val="0.16480874682035476"/>
          <c:w val="7.418235345835282E-2"/>
          <c:h val="0.52564129046595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[PROYECTO EXCEL INTERMEDIO.xlsx]Dashboard Comparativo!TablaDinámica3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s-ES_tradnl">
                <a:solidFill>
                  <a:schemeClr val="accent5"/>
                </a:solidFill>
              </a:rPr>
              <a:t>Ventas</a:t>
            </a:r>
            <a:r>
              <a:rPr lang="es-ES_tradnl" baseline="0">
                <a:solidFill>
                  <a:schemeClr val="accent5"/>
                </a:solidFill>
              </a:rPr>
              <a:t> Mensuales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A5A5A5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5A5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A5A5A5">
              <a:lumMod val="75000"/>
            </a:srgb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A5A5A5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A5A5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A5A5A5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A5A5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024223117148527E-2"/>
          <c:y val="0.16117838718436059"/>
          <c:w val="0.8941818837530805"/>
          <c:h val="0.679134461640570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 Comparativo'!$D$45</c:f>
              <c:strCache>
                <c:ptCount val="1"/>
                <c:pt idx="0">
                  <c:v>Ventas enero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Comparativo'!$C$46:$C$47</c:f>
              <c:strCache>
                <c:ptCount val="1"/>
                <c:pt idx="0">
                  <c:v>JoseRomero</c:v>
                </c:pt>
              </c:strCache>
            </c:strRef>
          </c:cat>
          <c:val>
            <c:numRef>
              <c:f>'Dashboard Comparativo'!$D$46:$D$47</c:f>
              <c:numCache>
                <c:formatCode>_-"$"* #,##0_-;\-"$"* #,##0_-;_-"$"* "-"??_-;_-@_-</c:formatCode>
                <c:ptCount val="1"/>
                <c:pt idx="0">
                  <c:v>22174.383600000001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BE-2845-BBF7-7E4CC4E48B17}"/>
            </c:ext>
          </c:extLst>
        </c:ser>
        <c:ser>
          <c:idx val="1"/>
          <c:order val="1"/>
          <c:tx>
            <c:strRef>
              <c:f>'Dashboard Comparativo'!$E$45</c:f>
              <c:strCache>
                <c:ptCount val="1"/>
                <c:pt idx="0">
                  <c:v>Ventas febrero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Comparativo'!$C$46:$C$47</c:f>
              <c:strCache>
                <c:ptCount val="1"/>
                <c:pt idx="0">
                  <c:v>JoseRomero</c:v>
                </c:pt>
              </c:strCache>
            </c:strRef>
          </c:cat>
          <c:val>
            <c:numRef>
              <c:f>'Dashboard Comparativo'!$E$46:$E$47</c:f>
              <c:numCache>
                <c:formatCode>_-"$"* #,##0_-;\-"$"* #,##0_-;_-"$"* "-"??_-;_-@_-</c:formatCode>
                <c:ptCount val="1"/>
                <c:pt idx="0">
                  <c:v>23244.572400000001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BE-2845-BBF7-7E4CC4E48B17}"/>
            </c:ext>
          </c:extLst>
        </c:ser>
        <c:ser>
          <c:idx val="2"/>
          <c:order val="2"/>
          <c:tx>
            <c:strRef>
              <c:f>'Dashboard Comparativo'!$F$45</c:f>
              <c:strCache>
                <c:ptCount val="1"/>
                <c:pt idx="0">
                  <c:v>Ventas marzo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Comparativo'!$C$46:$C$47</c:f>
              <c:strCache>
                <c:ptCount val="1"/>
                <c:pt idx="0">
                  <c:v>JoseRomero</c:v>
                </c:pt>
              </c:strCache>
            </c:strRef>
          </c:cat>
          <c:val>
            <c:numRef>
              <c:f>'Dashboard Comparativo'!$F$46:$F$47</c:f>
              <c:numCache>
                <c:formatCode>_-"$"* #,##0_-;\-"$"* #,##0_-;_-"$"* "-"??_-;_-@_-</c:formatCode>
                <c:ptCount val="1"/>
                <c:pt idx="0">
                  <c:v>20642.622299999999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BE-2845-BBF7-7E4CC4E48B17}"/>
            </c:ext>
          </c:extLst>
        </c:ser>
        <c:ser>
          <c:idx val="3"/>
          <c:order val="3"/>
          <c:tx>
            <c:strRef>
              <c:f>'Dashboard Comparativo'!$G$45</c:f>
              <c:strCache>
                <c:ptCount val="1"/>
                <c:pt idx="0">
                  <c:v>Ventas abril</c:v>
                </c:pt>
              </c:strCache>
            </c:strRef>
          </c:tx>
          <c:spPr>
            <a:solidFill>
              <a:srgbClr val="A5A5A5">
                <a:lumMod val="7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Comparativo'!$C$46:$C$47</c:f>
              <c:strCache>
                <c:ptCount val="1"/>
                <c:pt idx="0">
                  <c:v>JoseRomero</c:v>
                </c:pt>
              </c:strCache>
            </c:strRef>
          </c:cat>
          <c:val>
            <c:numRef>
              <c:f>'Dashboard Comparativo'!$G$46:$G$47</c:f>
              <c:numCache>
                <c:formatCode>_-"$"* #,##0_-;\-"$"* #,##0_-;_-"$"* "-"??_-;_-@_-</c:formatCode>
                <c:ptCount val="1"/>
                <c:pt idx="0">
                  <c:v>24897.0141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BE-2845-BBF7-7E4CC4E48B17}"/>
            </c:ext>
          </c:extLst>
        </c:ser>
        <c:ser>
          <c:idx val="4"/>
          <c:order val="4"/>
          <c:tx>
            <c:strRef>
              <c:f>'Dashboard Comparativo'!$H$45</c:f>
              <c:strCache>
                <c:ptCount val="1"/>
                <c:pt idx="0">
                  <c:v>Ventas mayo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Comparativo'!$C$46:$C$47</c:f>
              <c:strCache>
                <c:ptCount val="1"/>
                <c:pt idx="0">
                  <c:v>JoseRomero</c:v>
                </c:pt>
              </c:strCache>
            </c:strRef>
          </c:cat>
          <c:val>
            <c:numRef>
              <c:f>'Dashboard Comparativo'!$H$46:$H$47</c:f>
              <c:numCache>
                <c:formatCode>_-"$"* #,##0_-;\-"$"* #,##0_-;_-"$"* "-"??_-;_-@_-</c:formatCode>
                <c:ptCount val="1"/>
                <c:pt idx="0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BE-2845-BBF7-7E4CC4E48B17}"/>
            </c:ext>
          </c:extLst>
        </c:ser>
        <c:ser>
          <c:idx val="5"/>
          <c:order val="5"/>
          <c:tx>
            <c:strRef>
              <c:f>'Dashboard Comparativo'!$I$45</c:f>
              <c:strCache>
                <c:ptCount val="1"/>
                <c:pt idx="0">
                  <c:v>Total por vendedor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Comparativo'!$C$46:$C$47</c:f>
              <c:strCache>
                <c:ptCount val="1"/>
                <c:pt idx="0">
                  <c:v>JoseRomero</c:v>
                </c:pt>
              </c:strCache>
            </c:strRef>
          </c:cat>
          <c:val>
            <c:numRef>
              <c:f>'Dashboard Comparativo'!$I$46:$I$47</c:f>
              <c:numCache>
                <c:formatCode>_-"$"* #,##0_-;\-"$"* #,##0_-;_-"$"* "-"??_-;_-@_-</c:formatCode>
                <c:ptCount val="1"/>
                <c:pt idx="0">
                  <c:v>116267.71720000001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BE-2845-BBF7-7E4CC4E48B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9"/>
        <c:axId val="863358448"/>
        <c:axId val="863362304"/>
      </c:barChart>
      <c:catAx>
        <c:axId val="8633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63362304"/>
        <c:crosses val="autoZero"/>
        <c:auto val="1"/>
        <c:lblAlgn val="ctr"/>
        <c:lblOffset val="100"/>
        <c:noMultiLvlLbl val="0"/>
      </c:catAx>
      <c:valAx>
        <c:axId val="863362304"/>
        <c:scaling>
          <c:orientation val="minMax"/>
        </c:scaling>
        <c:delete val="0"/>
        <c:axPos val="l"/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633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44683536695318"/>
          <c:y val="0.92484025703683592"/>
          <c:w val="0.66348770495766551"/>
          <c:h val="7.3735625672690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Costos Operacionales vs. Utilidad Bruta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779066962033646E-2"/>
          <c:y val="0.16117838718436059"/>
          <c:w val="0.96242701730528812"/>
          <c:h val="0.679134461640570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Dashboard!$H$2</c:f>
              <c:strCache>
                <c:ptCount val="1"/>
                <c:pt idx="0">
                  <c:v>Costos Operacionales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Dashboard!$C$3:$C$8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Total</c:v>
                </c:pt>
              </c:strCache>
            </c:strRef>
          </c:cat>
          <c:val>
            <c:numRef>
              <c:f>Dashboard!$H$3:$H$8</c:f>
              <c:numCache>
                <c:formatCode>_-"$"* #,##0_-;\-"$"* #,##0_-;_-"$"* "-"??_-;_-@_-</c:formatCode>
                <c:ptCount val="6"/>
                <c:pt idx="0">
                  <c:v>56296.37999999999</c:v>
                </c:pt>
                <c:pt idx="1">
                  <c:v>50695.119999999995</c:v>
                </c:pt>
                <c:pt idx="2">
                  <c:v>64292.87000000001</c:v>
                </c:pt>
                <c:pt idx="3">
                  <c:v>47832.770000000004</c:v>
                </c:pt>
                <c:pt idx="4">
                  <c:v>52889.020000000019</c:v>
                </c:pt>
                <c:pt idx="5">
                  <c:v>272006.16000000003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76-2541-A5A9-CDF8664C17B3}"/>
            </c:ext>
          </c:extLst>
        </c:ser>
        <c:ser>
          <c:idx val="1"/>
          <c:order val="1"/>
          <c:tx>
            <c:strRef>
              <c:f>Dashboard!$I$2</c:f>
              <c:strCache>
                <c:ptCount val="1"/>
                <c:pt idx="0">
                  <c:v>Utilidad Bruta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Dashboard!$C$3:$C$8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Total</c:v>
                </c:pt>
              </c:strCache>
            </c:strRef>
          </c:cat>
          <c:val>
            <c:numRef>
              <c:f>Dashboard!$I$3:$I$8</c:f>
              <c:numCache>
                <c:formatCode>_-"$"* #,##0_-;\-"$"* #,##0_-;_-"$"* "-"??_-;_-@_-</c:formatCode>
                <c:ptCount val="6"/>
                <c:pt idx="0">
                  <c:v>66894.640000000014</c:v>
                </c:pt>
                <c:pt idx="1">
                  <c:v>59993.320000000007</c:v>
                </c:pt>
                <c:pt idx="2">
                  <c:v>57134.319999999992</c:v>
                </c:pt>
                <c:pt idx="3">
                  <c:v>70724.44</c:v>
                </c:pt>
                <c:pt idx="4">
                  <c:v>72813.589999999982</c:v>
                </c:pt>
                <c:pt idx="5">
                  <c:v>327560.31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76-2541-A5A9-CDF8664C17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63358448"/>
        <c:axId val="863362304"/>
      </c:barChart>
      <c:catAx>
        <c:axId val="8633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63362304"/>
        <c:crosses val="autoZero"/>
        <c:auto val="1"/>
        <c:lblAlgn val="ctr"/>
        <c:lblOffset val="100"/>
        <c:noMultiLvlLbl val="0"/>
      </c:catAx>
      <c:valAx>
        <c:axId val="863362304"/>
        <c:scaling>
          <c:orientation val="minMax"/>
        </c:scaling>
        <c:delete val="1"/>
        <c:axPos val="l"/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8633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44683536695318"/>
          <c:y val="0.92484025703683592"/>
          <c:w val="0.75510608986912653"/>
          <c:h val="7.5159742963164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>
                <a:solidFill>
                  <a:schemeClr val="accent5"/>
                </a:solidFill>
              </a:rPr>
              <a:t>Porcentaje de Utilidad Bruta por Mes</a:t>
            </a:r>
          </a:p>
        </c:rich>
      </c:tx>
      <c:layout>
        <c:manualLayout>
          <c:xMode val="edge"/>
          <c:yMode val="edge"/>
          <c:x val="0.2221374045801526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>
              <a:lumMod val="60000"/>
              <a:lumOff val="4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F0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024223117148527E-2"/>
          <c:y val="0.16117838718436059"/>
          <c:w val="0.8941818837530805"/>
          <c:h val="0.67913446164057079"/>
        </c:manualLayout>
      </c:layout>
      <c:pieChart>
        <c:varyColors val="1"/>
        <c:ser>
          <c:idx val="0"/>
          <c:order val="0"/>
          <c:tx>
            <c:strRef>
              <c:f>Dashboard!$J$2</c:f>
              <c:strCache>
                <c:ptCount val="1"/>
                <c:pt idx="0">
                  <c:v>Porcentaje de Utilidad Bruta</c:v>
                </c:pt>
              </c:strCache>
            </c:strRef>
          </c:tx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A48-B943-B55E-6255341BC667}"/>
              </c:ext>
            </c:extLst>
          </c:dPt>
          <c:dPt>
            <c:idx val="1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48-B943-B55E-6255341BC6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A48-B943-B55E-6255341BC667}"/>
              </c:ext>
            </c:extLst>
          </c:dPt>
          <c:dPt>
            <c:idx val="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A48-B943-B55E-6255341BC667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48-B943-B55E-6255341BC667}"/>
              </c:ext>
            </c:extLst>
          </c:dPt>
          <c:dLbls>
            <c:dLbl>
              <c:idx val="0"/>
              <c:layout>
                <c:manualLayout>
                  <c:x val="-0.10130111598645589"/>
                  <c:y val="0.1534249052201808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48-B943-B55E-6255341BC667}"/>
                </c:ext>
              </c:extLst>
            </c:dLbl>
            <c:dLbl>
              <c:idx val="1"/>
              <c:layout>
                <c:manualLayout>
                  <c:x val="-0.14630742722045251"/>
                  <c:y val="-6.007582385535148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48-B943-B55E-6255341BC667}"/>
                </c:ext>
              </c:extLst>
            </c:dLbl>
            <c:dLbl>
              <c:idx val="2"/>
              <c:layout>
                <c:manualLayout>
                  <c:x val="-2.7217647412394155E-2"/>
                  <c:y val="-0.2092656751239428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48-B943-B55E-6255341BC667}"/>
                </c:ext>
              </c:extLst>
            </c:dLbl>
            <c:dLbl>
              <c:idx val="3"/>
              <c:layout>
                <c:manualLayout>
                  <c:x val="0.13434994289835903"/>
                  <c:y val="-9.203820355788859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48-B943-B55E-6255341BC667}"/>
                </c:ext>
              </c:extLst>
            </c:dLbl>
            <c:dLbl>
              <c:idx val="4"/>
              <c:layout>
                <c:manualLayout>
                  <c:x val="0.11066638616737794"/>
                  <c:y val="0.1414202391367745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48-B943-B55E-6255341BC6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Dashboard!$C$3:$C$7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Dashboard!$J$3:$J$7</c:f>
              <c:numCache>
                <c:formatCode>0%</c:formatCode>
                <c:ptCount val="5"/>
                <c:pt idx="0">
                  <c:v>0.54301555421815662</c:v>
                </c:pt>
                <c:pt idx="1">
                  <c:v>0.54200167605578331</c:v>
                </c:pt>
                <c:pt idx="2">
                  <c:v>0.47052328230604684</c:v>
                </c:pt>
                <c:pt idx="3">
                  <c:v>0.59654271553792471</c:v>
                </c:pt>
                <c:pt idx="4">
                  <c:v>0.57925280946831559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76-2541-A5A9-CDF8664C17B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30949089379094"/>
          <c:y val="0.89677690288713907"/>
          <c:w val="0.60462763719420565"/>
          <c:h val="6.988976377952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5"/>
                </a:solidFill>
              </a:rPr>
              <a:t>Flujo</a:t>
            </a:r>
            <a:r>
              <a:rPr lang="en-US" sz="1800" b="1" baseline="0">
                <a:solidFill>
                  <a:schemeClr val="accent5"/>
                </a:solidFill>
              </a:rPr>
              <a:t> Ventas Mensuales</a:t>
            </a:r>
          </a:p>
        </c:rich>
      </c:tx>
      <c:layout>
        <c:manualLayout>
          <c:xMode val="edge"/>
          <c:yMode val="edge"/>
          <c:x val="0.38300074008468504"/>
          <c:y val="4.1353383458646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Dashboard!$D$2</c:f>
              <c:strCache>
                <c:ptCount val="1"/>
                <c:pt idx="0">
                  <c:v> Ventas totales 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3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7199568081724763E-2"/>
                  <c:y val="-0.144379551240305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86-A840-88FB-B5A121CBA9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Dashboard!$C$3:$C$7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Dashboard!$D$3:$D$7</c:f>
              <c:numCache>
                <c:formatCode>_-"$"* #,##0_-;\-"$"* #,##0_-;_-"$"* "-"??_-;_-@_-</c:formatCode>
                <c:ptCount val="5"/>
                <c:pt idx="0">
                  <c:v>123191.02</c:v>
                </c:pt>
                <c:pt idx="1">
                  <c:v>110688.44</c:v>
                </c:pt>
                <c:pt idx="2">
                  <c:v>121427.19</c:v>
                </c:pt>
                <c:pt idx="3">
                  <c:v>118557.21</c:v>
                </c:pt>
                <c:pt idx="4">
                  <c:v>125702.61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6-A840-88FB-B5A121CBA9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57751264"/>
        <c:axId val="257785104"/>
      </c:lineChart>
      <c:catAx>
        <c:axId val="25775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785104"/>
        <c:crosses val="autoZero"/>
        <c:auto val="1"/>
        <c:lblAlgn val="ctr"/>
        <c:lblOffset val="100"/>
        <c:noMultiLvlLbl val="0"/>
      </c:catAx>
      <c:valAx>
        <c:axId val="257785104"/>
        <c:scaling>
          <c:orientation val="minMax"/>
        </c:scaling>
        <c:delete val="1"/>
        <c:axPos val="l"/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25775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Cantidad de Tickets Vendidos</a:t>
            </a:r>
          </a:p>
        </c:rich>
      </c:tx>
      <c:layout>
        <c:manualLayout>
          <c:xMode val="edge"/>
          <c:yMode val="edge"/>
          <c:x val="0.27520262948782781"/>
          <c:y val="5.673803755299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Dashboard!$K$2</c:f>
              <c:strCache>
                <c:ptCount val="1"/>
                <c:pt idx="0">
                  <c:v>Tickets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3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7199568081724763E-2"/>
                  <c:y val="-0.144379551240305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86-A840-88FB-B5A121CBA9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Dashboard!$C$3:$C$7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Dashboard!$K$3:$K$7</c:f>
              <c:numCache>
                <c:formatCode>_-* #,##0_-;\-* #,##0_-;_-* "-"??_-;_-@_-</c:formatCode>
                <c:ptCount val="5"/>
                <c:pt idx="0">
                  <c:v>1216</c:v>
                </c:pt>
                <c:pt idx="1">
                  <c:v>1025</c:v>
                </c:pt>
                <c:pt idx="2">
                  <c:v>1124</c:v>
                </c:pt>
                <c:pt idx="3">
                  <c:v>1100</c:v>
                </c:pt>
                <c:pt idx="4">
                  <c:v>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6-A840-88FB-B5A121CBA9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57751264"/>
        <c:axId val="257785104"/>
      </c:lineChart>
      <c:catAx>
        <c:axId val="25775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785104"/>
        <c:crosses val="autoZero"/>
        <c:auto val="1"/>
        <c:lblAlgn val="ctr"/>
        <c:lblOffset val="100"/>
        <c:noMultiLvlLbl val="0"/>
      </c:catAx>
      <c:valAx>
        <c:axId val="257785104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25775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Ventas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019890722018678E-2"/>
          <c:y val="0.16117838718436059"/>
          <c:w val="0.95318614521678946"/>
          <c:h val="0.679134461640570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Dashboard!$L$2</c:f>
              <c:strCache>
                <c:ptCount val="1"/>
                <c:pt idx="0">
                  <c:v>Tienda 1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Dashboard!$C$3:$C$7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Dashboard!$L$3:$L$7</c:f>
              <c:numCache>
                <c:formatCode>_-"$"* #,##0_-;\-"$"* #,##0_-;_-"$"* "-"??_-;_-@_-</c:formatCode>
                <c:ptCount val="5"/>
                <c:pt idx="0">
                  <c:v>45580.68</c:v>
                </c:pt>
                <c:pt idx="1">
                  <c:v>41884.949999999997</c:v>
                </c:pt>
                <c:pt idx="2">
                  <c:v>44348.77</c:v>
                </c:pt>
                <c:pt idx="3">
                  <c:v>43116.86</c:v>
                </c:pt>
                <c:pt idx="4">
                  <c:v>43116.86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76-2541-A5A9-CDF8664C17B3}"/>
            </c:ext>
          </c:extLst>
        </c:ser>
        <c:ser>
          <c:idx val="1"/>
          <c:order val="1"/>
          <c:tx>
            <c:strRef>
              <c:f>Dashboard!$M$2</c:f>
              <c:strCache>
                <c:ptCount val="1"/>
                <c:pt idx="0">
                  <c:v>Tienda 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Dashboard!$C$3:$C$7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Dashboard!$M$3:$M$7</c:f>
              <c:numCache>
                <c:formatCode>_-"$"* #,##0_-;\-"$"* #,##0_-;_-"$"* "-"??_-;_-@_-</c:formatCode>
                <c:ptCount val="5"/>
                <c:pt idx="0">
                  <c:v>34493.49</c:v>
                </c:pt>
                <c:pt idx="1">
                  <c:v>35725.4</c:v>
                </c:pt>
                <c:pt idx="2">
                  <c:v>36957.31</c:v>
                </c:pt>
                <c:pt idx="3">
                  <c:v>36957.31</c:v>
                </c:pt>
                <c:pt idx="4">
                  <c:v>34493.49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76-2541-A5A9-CDF8664C17B3}"/>
            </c:ext>
          </c:extLst>
        </c:ser>
        <c:ser>
          <c:idx val="2"/>
          <c:order val="2"/>
          <c:tx>
            <c:strRef>
              <c:f>Dashboard!$N$2</c:f>
              <c:strCache>
                <c:ptCount val="1"/>
                <c:pt idx="0">
                  <c:v>Tienda 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Dashboard!$C$3:$C$7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Dashboard!$N$3:$N$7</c:f>
              <c:numCache>
                <c:formatCode>_-"$"* #,##0_-;\-"$"* #,##0_-;_-"$"* "-"??_-;_-@_-</c:formatCode>
                <c:ptCount val="5"/>
                <c:pt idx="0">
                  <c:v>43116.86</c:v>
                </c:pt>
                <c:pt idx="1">
                  <c:v>33078.1</c:v>
                </c:pt>
                <c:pt idx="2">
                  <c:v>40121.120000000003</c:v>
                </c:pt>
                <c:pt idx="3">
                  <c:v>38483.050000000003</c:v>
                </c:pt>
                <c:pt idx="4">
                  <c:v>48092.27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76-2541-A5A9-CDF8664C17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63358448"/>
        <c:axId val="863362304"/>
      </c:barChart>
      <c:catAx>
        <c:axId val="8633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63362304"/>
        <c:crosses val="autoZero"/>
        <c:auto val="1"/>
        <c:lblAlgn val="ctr"/>
        <c:lblOffset val="100"/>
        <c:noMultiLvlLbl val="0"/>
      </c:catAx>
      <c:valAx>
        <c:axId val="863362304"/>
        <c:scaling>
          <c:orientation val="minMax"/>
        </c:scaling>
        <c:delete val="1"/>
        <c:axPos val="l"/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8633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44683536695318"/>
          <c:y val="0.92484025703683592"/>
          <c:w val="0.75510608986912653"/>
          <c:h val="7.5159742963164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Dashboard!$C$75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Dashboard!$E$74:$G$74</c:f>
              <c:strCache>
                <c:ptCount val="3"/>
                <c:pt idx="0">
                  <c:v>Ventas efectivo</c:v>
                </c:pt>
                <c:pt idx="1">
                  <c:v>Ventas tarjeta</c:v>
                </c:pt>
                <c:pt idx="2">
                  <c:v>Ventas transferencia</c:v>
                </c:pt>
              </c:strCache>
            </c:strRef>
          </c:cat>
          <c:val>
            <c:numRef>
              <c:f>Dashboard!$E$75:$G$75</c:f>
              <c:numCache>
                <c:formatCode>_-"$"* #,##0_-;\-"$"* #,##0_-;_-"$"* "-"??_-;_-@_-</c:formatCode>
                <c:ptCount val="3"/>
                <c:pt idx="0">
                  <c:v>104127.34</c:v>
                </c:pt>
                <c:pt idx="1">
                  <c:v>14429.87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0-084A-AF8D-F97C5CCFCE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15180480"/>
        <c:axId val="203835424"/>
      </c:barChart>
      <c:catAx>
        <c:axId val="31518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3835424"/>
        <c:crosses val="autoZero"/>
        <c:auto val="1"/>
        <c:lblAlgn val="ctr"/>
        <c:lblOffset val="100"/>
        <c:noMultiLvlLbl val="0"/>
      </c:catAx>
      <c:valAx>
        <c:axId val="20383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51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256764667006548E-2"/>
          <c:y val="0.16117838718436059"/>
          <c:w val="0.9349493004021977"/>
          <c:h val="0.679134461640570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Dashboard!$C$75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A5A5A5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835-174F-BB71-BC0E4852A9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Dashboard!$H$74:$I$74</c:f>
              <c:strCache>
                <c:ptCount val="2"/>
                <c:pt idx="0">
                  <c:v>Costos Operacionales</c:v>
                </c:pt>
                <c:pt idx="1">
                  <c:v>Utilidad Bruta</c:v>
                </c:pt>
              </c:strCache>
            </c:strRef>
          </c:cat>
          <c:val>
            <c:numRef>
              <c:f>Dashboard!$H$75:$I$75</c:f>
              <c:numCache>
                <c:formatCode>_-"$"* #,##0_-;\-"$"* #,##0_-;_-"$"* "-"??_-;_-@_-</c:formatCode>
                <c:ptCount val="2"/>
                <c:pt idx="0">
                  <c:v>47832.770000000004</c:v>
                </c:pt>
                <c:pt idx="1">
                  <c:v>70724.44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76-2541-A5A9-CDF8664C17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63358448"/>
        <c:axId val="863362304"/>
      </c:barChart>
      <c:catAx>
        <c:axId val="8633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63362304"/>
        <c:crosses val="autoZero"/>
        <c:auto val="1"/>
        <c:lblAlgn val="ctr"/>
        <c:lblOffset val="100"/>
        <c:noMultiLvlLbl val="0"/>
      </c:catAx>
      <c:valAx>
        <c:axId val="863362304"/>
        <c:scaling>
          <c:orientation val="minMax"/>
        </c:scaling>
        <c:delete val="1"/>
        <c:axPos val="l"/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8633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171623331256254"/>
          <c:y val="0.92436481877012333"/>
          <c:w val="0.50136350761910153"/>
          <c:h val="7.5635181229876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Ventas</a:t>
            </a:r>
            <a:r>
              <a:rPr lang="es-ES_tradnl" baseline="0"/>
              <a:t> por Tienda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024223117148527E-2"/>
          <c:y val="0.16117838718436059"/>
          <c:w val="0.8941818837530805"/>
          <c:h val="0.679134461640570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Dashboard!$L$74</c:f>
              <c:strCache>
                <c:ptCount val="1"/>
                <c:pt idx="0">
                  <c:v>Tienda 1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Dashboard!$C$75</c:f>
              <c:strCache>
                <c:ptCount val="1"/>
                <c:pt idx="0">
                  <c:v>abril</c:v>
                </c:pt>
              </c:strCache>
            </c:strRef>
          </c:cat>
          <c:val>
            <c:numRef>
              <c:f>Dashboard!$L$75</c:f>
              <c:numCache>
                <c:formatCode>_-"$"* #,##0_-;\-"$"* #,##0_-;_-"$"* "-"??_-;_-@_-</c:formatCode>
                <c:ptCount val="1"/>
                <c:pt idx="0">
                  <c:v>43116.86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76-2541-A5A9-CDF8664C17B3}"/>
            </c:ext>
          </c:extLst>
        </c:ser>
        <c:ser>
          <c:idx val="1"/>
          <c:order val="1"/>
          <c:tx>
            <c:strRef>
              <c:f>Dashboard!$M$74</c:f>
              <c:strCache>
                <c:ptCount val="1"/>
                <c:pt idx="0">
                  <c:v>Tienda 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Dashboard!$C$75</c:f>
              <c:strCache>
                <c:ptCount val="1"/>
                <c:pt idx="0">
                  <c:v>abril</c:v>
                </c:pt>
              </c:strCache>
            </c:strRef>
          </c:cat>
          <c:val>
            <c:numRef>
              <c:f>Dashboard!$M$75</c:f>
              <c:numCache>
                <c:formatCode>_-"$"* #,##0_-;\-"$"* #,##0_-;_-"$"* "-"??_-;_-@_-</c:formatCode>
                <c:ptCount val="1"/>
                <c:pt idx="0">
                  <c:v>36957.31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76-2541-A5A9-CDF8664C17B3}"/>
            </c:ext>
          </c:extLst>
        </c:ser>
        <c:ser>
          <c:idx val="2"/>
          <c:order val="2"/>
          <c:tx>
            <c:strRef>
              <c:f>Dashboard!$N$74</c:f>
              <c:strCache>
                <c:ptCount val="1"/>
                <c:pt idx="0">
                  <c:v>Tienda 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Dashboard!$C$75</c:f>
              <c:strCache>
                <c:ptCount val="1"/>
                <c:pt idx="0">
                  <c:v>abril</c:v>
                </c:pt>
              </c:strCache>
            </c:strRef>
          </c:cat>
          <c:val>
            <c:numRef>
              <c:f>Dashboard!$N$75</c:f>
              <c:numCache>
                <c:formatCode>_-"$"* #,##0_-;\-"$"* #,##0_-;_-"$"* "-"??_-;_-@_-</c:formatCode>
                <c:ptCount val="1"/>
                <c:pt idx="0">
                  <c:v>38483.050000000003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76-2541-A5A9-CDF8664C17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63358448"/>
        <c:axId val="863362304"/>
      </c:barChart>
      <c:catAx>
        <c:axId val="8633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63362304"/>
        <c:crosses val="autoZero"/>
        <c:auto val="1"/>
        <c:lblAlgn val="ctr"/>
        <c:lblOffset val="100"/>
        <c:noMultiLvlLbl val="0"/>
      </c:catAx>
      <c:valAx>
        <c:axId val="863362304"/>
        <c:scaling>
          <c:orientation val="minMax"/>
        </c:scaling>
        <c:delete val="1"/>
        <c:axPos val="l"/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8633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44683536695318"/>
          <c:y val="0.92484025703683592"/>
          <c:w val="0.75510608986912653"/>
          <c:h val="7.5159742963164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579582</xdr:colOff>
      <xdr:row>10</xdr:row>
      <xdr:rowOff>36945</xdr:rowOff>
    </xdr:from>
    <xdr:to>
      <xdr:col>16</xdr:col>
      <xdr:colOff>531089</xdr:colOff>
      <xdr:row>27</xdr:row>
      <xdr:rowOff>23091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9E69C4-60C5-D245-BD07-05F1472FB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229754</xdr:colOff>
      <xdr:row>28</xdr:row>
      <xdr:rowOff>25400</xdr:rowOff>
    </xdr:from>
    <xdr:to>
      <xdr:col>7</xdr:col>
      <xdr:colOff>1697181</xdr:colOff>
      <xdr:row>43</xdr:row>
      <xdr:rowOff>177800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609B28B-4840-384C-8610-CCD33E8BF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1527464</xdr:colOff>
      <xdr:row>45</xdr:row>
      <xdr:rowOff>13854</xdr:rowOff>
    </xdr:from>
    <xdr:to>
      <xdr:col>9</xdr:col>
      <xdr:colOff>955964</xdr:colOff>
      <xdr:row>61</xdr:row>
      <xdr:rowOff>158172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C21ED34-8455-0743-8BFA-00EE7B64C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249382</xdr:colOff>
      <xdr:row>10</xdr:row>
      <xdr:rowOff>0</xdr:rowOff>
    </xdr:from>
    <xdr:to>
      <xdr:col>7</xdr:col>
      <xdr:colOff>1674090</xdr:colOff>
      <xdr:row>27</xdr:row>
      <xdr:rowOff>34636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2956183-A25A-0045-9663-FBC0B648C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326736</xdr:colOff>
      <xdr:row>45</xdr:row>
      <xdr:rowOff>23090</xdr:rowOff>
    </xdr:from>
    <xdr:to>
      <xdr:col>5</xdr:col>
      <xdr:colOff>1114136</xdr:colOff>
      <xdr:row>61</xdr:row>
      <xdr:rowOff>73890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18C5EAF-DCD0-034F-83F8-3BA20E098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528205</xdr:colOff>
      <xdr:row>28</xdr:row>
      <xdr:rowOff>24245</xdr:rowOff>
    </xdr:from>
    <xdr:to>
      <xdr:col>16</xdr:col>
      <xdr:colOff>519544</xdr:colOff>
      <xdr:row>44</xdr:row>
      <xdr:rowOff>24245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E8F85A15-03C5-DC49-AA34-AD34CEC72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67541</xdr:colOff>
      <xdr:row>76</xdr:row>
      <xdr:rowOff>139701</xdr:rowOff>
    </xdr:from>
    <xdr:to>
      <xdr:col>6</xdr:col>
      <xdr:colOff>1438564</xdr:colOff>
      <xdr:row>91</xdr:row>
      <xdr:rowOff>184728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F07B46C6-44C7-8D43-867A-E8C8D4F53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76</xdr:row>
      <xdr:rowOff>127000</xdr:rowOff>
    </xdr:from>
    <xdr:to>
      <xdr:col>10</xdr:col>
      <xdr:colOff>1143000</xdr:colOff>
      <xdr:row>92</xdr:row>
      <xdr:rowOff>101600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C539459F-699C-DF4B-BFAF-8EEE3A934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379845</xdr:colOff>
      <xdr:row>76</xdr:row>
      <xdr:rowOff>93518</xdr:rowOff>
    </xdr:from>
    <xdr:to>
      <xdr:col>15</xdr:col>
      <xdr:colOff>901700</xdr:colOff>
      <xdr:row>92</xdr:row>
      <xdr:rowOff>30018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4DFEE56B-5BBD-7641-8E06-653DFC027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254000</xdr:colOff>
      <xdr:row>86</xdr:row>
      <xdr:rowOff>27710</xdr:rowOff>
    </xdr:from>
    <xdr:to>
      <xdr:col>15</xdr:col>
      <xdr:colOff>25399</xdr:colOff>
      <xdr:row>98</xdr:row>
      <xdr:rowOff>18180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osto 1">
              <a:extLst>
                <a:ext uri="{FF2B5EF4-FFF2-40B4-BE49-F238E27FC236}">
                  <a16:creationId xmlns:a16="http://schemas.microsoft.com/office/drawing/2014/main" id="{A2A8D64F-3E3F-3742-AD2A-1F7F0671FA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43182" y="18742892"/>
              <a:ext cx="1826490" cy="2484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426029</xdr:colOff>
      <xdr:row>4</xdr:row>
      <xdr:rowOff>87746</xdr:rowOff>
    </xdr:from>
    <xdr:to>
      <xdr:col>9</xdr:col>
      <xdr:colOff>196274</xdr:colOff>
      <xdr:row>13</xdr:row>
      <xdr:rowOff>92364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D5EBA47D-40E0-5F49-A134-A2227DE959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8029" y="953655"/>
              <a:ext cx="2240972" cy="1874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508000</xdr:colOff>
      <xdr:row>74</xdr:row>
      <xdr:rowOff>101601</xdr:rowOff>
    </xdr:from>
    <xdr:to>
      <xdr:col>12</xdr:col>
      <xdr:colOff>164715</xdr:colOff>
      <xdr:row>78</xdr:row>
      <xdr:rowOff>190502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es 1">
              <a:extLst>
                <a:ext uri="{FF2B5EF4-FFF2-40B4-BE49-F238E27FC236}">
                  <a16:creationId xmlns:a16="http://schemas.microsoft.com/office/drawing/2014/main" id="{F2BCA5CC-AC5D-FF4D-BBEF-E5A51C2CFD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56091" y="15514783"/>
              <a:ext cx="2981806" cy="1728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142009</xdr:colOff>
      <xdr:row>42</xdr:row>
      <xdr:rowOff>159330</xdr:rowOff>
    </xdr:from>
    <xdr:to>
      <xdr:col>12</xdr:col>
      <xdr:colOff>815108</xdr:colOff>
      <xdr:row>51</xdr:row>
      <xdr:rowOff>15011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eleccione vendedor/es 1">
              <a:extLst>
                <a:ext uri="{FF2B5EF4-FFF2-40B4-BE49-F238E27FC236}">
                  <a16:creationId xmlns:a16="http://schemas.microsoft.com/office/drawing/2014/main" id="{E735E13C-5D72-394A-9DFF-4325FFFFAB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leccione vendedor/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4736" y="8922330"/>
              <a:ext cx="2693554" cy="17260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23088</xdr:colOff>
      <xdr:row>21</xdr:row>
      <xdr:rowOff>25398</xdr:rowOff>
    </xdr:from>
    <xdr:to>
      <xdr:col>9</xdr:col>
      <xdr:colOff>23090</xdr:colOff>
      <xdr:row>40</xdr:row>
      <xdr:rowOff>57726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B489FBB-AF96-9547-8E57-8399B272A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733134</xdr:colOff>
      <xdr:row>98</xdr:row>
      <xdr:rowOff>36946</xdr:rowOff>
    </xdr:from>
    <xdr:to>
      <xdr:col>13</xdr:col>
      <xdr:colOff>80817</xdr:colOff>
      <xdr:row>118</xdr:row>
      <xdr:rowOff>92363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56D21D4-0B5F-F146-B206-A047A0477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673098</xdr:colOff>
      <xdr:row>51</xdr:row>
      <xdr:rowOff>36945</xdr:rowOff>
    </xdr:from>
    <xdr:to>
      <xdr:col>11</xdr:col>
      <xdr:colOff>11546</xdr:colOff>
      <xdr:row>68</xdr:row>
      <xdr:rowOff>34636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655CCC3-743C-0C4E-BA28-8EA3CF775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1</xdr:row>
      <xdr:rowOff>88900</xdr:rowOff>
    </xdr:from>
    <xdr:to>
      <xdr:col>8</xdr:col>
      <xdr:colOff>482600</xdr:colOff>
      <xdr:row>3</xdr:row>
      <xdr:rowOff>63500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4DF82BE1-C45C-C84F-BE98-10487BCE1D42}"/>
            </a:ext>
          </a:extLst>
        </xdr:cNvPr>
        <xdr:cNvSpPr/>
      </xdr:nvSpPr>
      <xdr:spPr>
        <a:xfrm>
          <a:off x="8712200" y="279400"/>
          <a:ext cx="342900" cy="3556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139700</xdr:colOff>
      <xdr:row>4</xdr:row>
      <xdr:rowOff>38100</xdr:rowOff>
    </xdr:from>
    <xdr:to>
      <xdr:col>8</xdr:col>
      <xdr:colOff>482600</xdr:colOff>
      <xdr:row>6</xdr:row>
      <xdr:rowOff>12700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40F925F4-B0B6-2C40-BF01-788C4B9FD686}"/>
            </a:ext>
          </a:extLst>
        </xdr:cNvPr>
        <xdr:cNvSpPr/>
      </xdr:nvSpPr>
      <xdr:spPr>
        <a:xfrm>
          <a:off x="8712200" y="800100"/>
          <a:ext cx="342900" cy="355600"/>
        </a:xfrm>
        <a:prstGeom prst="ellips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152400</xdr:colOff>
      <xdr:row>7</xdr:row>
      <xdr:rowOff>12700</xdr:rowOff>
    </xdr:from>
    <xdr:to>
      <xdr:col>8</xdr:col>
      <xdr:colOff>495300</xdr:colOff>
      <xdr:row>8</xdr:row>
      <xdr:rowOff>177800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F9FADDCC-3D18-3644-8AD9-1F40CC2B9A46}"/>
            </a:ext>
          </a:extLst>
        </xdr:cNvPr>
        <xdr:cNvSpPr/>
      </xdr:nvSpPr>
      <xdr:spPr>
        <a:xfrm>
          <a:off x="8724900" y="1346200"/>
          <a:ext cx="342900" cy="3556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amp/Dropbox/La%20Cosmetiqueria/15.%20Contabilidad/4.%20Finanzas%20Cosme/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2.518189814815" createdVersion="7" refreshedVersion="7" minRefreshableVersion="3" recordCount="9" xr:uid="{575DB8A1-4D76-9242-8143-9B9D0356EB17}">
  <cacheSource type="worksheet">
    <worksheetSource name="Tabla5"/>
  </cacheSource>
  <cacheFields count="7">
    <cacheField name="Costo" numFmtId="0">
      <sharedItems count="9">
        <s v="Renta"/>
        <s v="Etiquetas"/>
        <s v="Internet"/>
        <s v="Flete pedido"/>
        <s v="Redes sociales"/>
        <s v="Sistema"/>
        <s v="Sueldos"/>
        <s v="Otros gastos"/>
        <s v="Mantenimiento"/>
      </sharedItems>
    </cacheField>
    <cacheField name="Enero" numFmtId="44">
      <sharedItems containsSemiMixedTypes="0" containsString="0" containsNumber="1" minValue="0" maxValue="13100" count="8">
        <n v="9280"/>
        <n v="2336.08"/>
        <n v="550"/>
        <n v="2433.36"/>
        <n v="0"/>
        <n v="13100"/>
        <n v="305"/>
        <n v="152"/>
      </sharedItems>
    </cacheField>
    <cacheField name="Febrero" numFmtId="44">
      <sharedItems containsSemiMixedTypes="0" containsString="0" containsNumber="1" minValue="0" maxValue="13050" count="8">
        <n v="9280"/>
        <n v="0"/>
        <n v="550"/>
        <n v="2684.08"/>
        <n v="2500"/>
        <n v="13050"/>
        <n v="381.56"/>
        <n v="119.5"/>
      </sharedItems>
    </cacheField>
    <cacheField name="Marzo" numFmtId="44">
      <sharedItems containsSemiMixedTypes="0" containsString="0" containsNumber="1" minValue="62.5" maxValue="15760" count="9">
        <n v="9260"/>
        <n v="2397.6799999999998"/>
        <n v="550"/>
        <n v="2240"/>
        <n v="2500"/>
        <n v="660.75"/>
        <n v="15760"/>
        <n v="62.5"/>
        <n v="290"/>
      </sharedItems>
    </cacheField>
    <cacheField name="Abril" numFmtId="44">
      <sharedItems containsSemiMixedTypes="0" containsString="0" containsNumber="1" minValue="550" maxValue="17432" count="9">
        <n v="9280"/>
        <n v="2908.12"/>
        <n v="550"/>
        <n v="2628"/>
        <n v="2500"/>
        <n v="660.75"/>
        <n v="17432"/>
        <n v="818.5"/>
        <n v="917"/>
      </sharedItems>
    </cacheField>
    <cacheField name="Mayo" numFmtId="44">
      <sharedItems containsSemiMixedTypes="0" containsString="0" containsNumber="1" minValue="354.5" maxValue="15620" count="9">
        <n v="9280"/>
        <n v="3887.16"/>
        <n v="550"/>
        <n v="2623.5"/>
        <n v="2500"/>
        <n v="660.75"/>
        <n v="15620"/>
        <n v="700"/>
        <n v="354.5"/>
      </sharedItems>
    </cacheField>
    <cacheField name="% de incremento o decremento" numFmtId="0" formula=" (Enero-Febrero)/Enero" databaseField="0"/>
  </cacheFields>
  <extLst>
    <ext xmlns:x14="http://schemas.microsoft.com/office/spreadsheetml/2009/9/main" uri="{725AE2AE-9491-48be-B2B4-4EB974FC3084}">
      <x14:pivotCacheDefinition pivotCacheId="44639017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2.72006446759" createdVersion="7" refreshedVersion="7" minRefreshableVersion="3" recordCount="5" xr:uid="{BA7D112E-EB91-E540-AD29-5E065786459D}">
  <cacheSource type="worksheet">
    <worksheetSource name="Tabla4"/>
  </cacheSource>
  <cacheFields count="8">
    <cacheField name="Mes" numFmtId="0">
      <sharedItems count="5">
        <s v="enero"/>
        <s v="febrero"/>
        <s v="marzo"/>
        <s v="abril"/>
        <s v="mayo"/>
      </sharedItems>
    </cacheField>
    <cacheField name="Año" numFmtId="0">
      <sharedItems containsSemiMixedTypes="0" containsString="0" containsNumber="1" containsInteger="1" minValue="2022" maxValue="2022" count="1">
        <n v="2022"/>
      </sharedItems>
    </cacheField>
    <cacheField name="Total" numFmtId="44">
      <sharedItems containsSemiMixedTypes="0" containsString="0" containsNumber="1" minValue="110688.44" maxValue="133205.92000000001" count="5">
        <n v="123191.02"/>
        <n v="110688.44"/>
        <n v="121427.19"/>
        <n v="118557.21"/>
        <n v="133205.92000000001"/>
      </sharedItems>
    </cacheField>
    <cacheField name="Tienda 1" numFmtId="44">
      <sharedItems containsSemiMixedTypes="0" containsString="0" containsNumber="1" minValue="41884.949999999997" maxValue="45580.68" count="4">
        <n v="45580.68"/>
        <n v="41884.949999999997"/>
        <n v="44348.77"/>
        <n v="43116.86"/>
      </sharedItems>
    </cacheField>
    <cacheField name="Tienda 2" numFmtId="44">
      <sharedItems containsSemiMixedTypes="0" containsString="0" containsNumber="1" minValue="34493.49" maxValue="36957.31" count="3">
        <n v="34493.49"/>
        <n v="35725.4"/>
        <n v="36957.31"/>
      </sharedItems>
    </cacheField>
    <cacheField name="Tienda 3" numFmtId="44">
      <sharedItems containsSemiMixedTypes="0" containsString="0" containsNumber="1" minValue="33078.1" maxValue="48092.27" count="5">
        <n v="43116.86"/>
        <n v="33078.1"/>
        <n v="40121.120000000003"/>
        <n v="38483.050000000003"/>
        <n v="48092.27"/>
      </sharedItems>
    </cacheField>
    <cacheField name="Campo1" numFmtId="0" formula=" ('Tienda 2'-'Tienda 1')/'Tienda 1'" databaseField="0"/>
    <cacheField name="Campo2" numFmtId="0" formula=" ('Tienda 3'-'Tienda 2')/'Tienda 2'" databaseField="0"/>
  </cacheFields>
  <extLst>
    <ext xmlns:x14="http://schemas.microsoft.com/office/spreadsheetml/2009/9/main" uri="{725AE2AE-9491-48be-B2B4-4EB974FC3084}">
      <x14:pivotCacheDefinition pivotCacheId="176194510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3.606752893516" createdVersion="7" refreshedVersion="7" minRefreshableVersion="3" recordCount="5" xr:uid="{CEC5F207-5289-594C-AAE7-22479B26326C}">
  <cacheSource type="worksheet">
    <worksheetSource name="Tabla3"/>
  </cacheSource>
  <cacheFields count="12">
    <cacheField name="Vendedor" numFmtId="0">
      <sharedItems count="5">
        <s v="V-0001-JuanLopez"/>
        <s v="V-0002-MariaGonzález"/>
        <s v="V-0003-SandraBlanco"/>
        <s v="V-0004-JoseRomero"/>
        <s v="V-0005-RobertoMartinez"/>
      </sharedItems>
    </cacheField>
    <cacheField name="ID" numFmtId="0">
      <sharedItems/>
    </cacheField>
    <cacheField name="Nombre completo" numFmtId="0">
      <sharedItems count="5">
        <s v="JuanLopez"/>
        <s v="MariaGonzález"/>
        <s v="SandraBlanco"/>
        <s v="JoseRomero"/>
        <s v="RobertoMartinez"/>
      </sharedItems>
    </cacheField>
    <cacheField name="Nombre" numFmtId="0">
      <sharedItems/>
    </cacheField>
    <cacheField name="Apellido" numFmtId="0">
      <sharedItems/>
    </cacheField>
    <cacheField name="enero" numFmtId="43">
      <sharedItems containsSemiMixedTypes="0" containsString="0" containsNumber="1" minValue="14782.922399999999" maxValue="30797.755000000001"/>
    </cacheField>
    <cacheField name="febrero" numFmtId="43">
      <sharedItems containsSemiMixedTypes="0" containsString="0" containsNumber="1" minValue="19923.9192" maxValue="25458.341199999999"/>
    </cacheField>
    <cacheField name="marzo" numFmtId="43">
      <sharedItems containsSemiMixedTypes="0" containsString="0" containsNumber="1" minValue="20642.622299999999" maxValue="26713.981800000001"/>
    </cacheField>
    <cacheField name="abril" numFmtId="43">
      <sharedItems containsSemiMixedTypes="0" containsString="0" containsNumber="1" minValue="20154.725699999999" maxValue="27268.158299999999"/>
    </cacheField>
    <cacheField name="mayo" numFmtId="43">
      <sharedItems containsSemiMixedTypes="0" containsString="0" containsNumber="1" minValue="20469.93" maxValue="30637.3616"/>
    </cacheField>
    <cacheField name="% total de ventas" numFmtId="0" formula="enero+febrero+marzo+abril+mayo" databaseField="0"/>
    <cacheField name="Total" numFmtId="0" formula="enero+febrero+marzo+abril+mayo" databaseField="0"/>
  </cacheFields>
  <extLst>
    <ext xmlns:x14="http://schemas.microsoft.com/office/spreadsheetml/2009/9/main" uri="{725AE2AE-9491-48be-B2B4-4EB974FC3084}">
      <x14:pivotCacheDefinition pivotCacheId="2054350664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3.696215277778" createdVersion="7" refreshedVersion="7" minRefreshableVersion="3" recordCount="149" xr:uid="{0F6E2963-E6F4-814C-813B-C27C248CF6F6}">
  <cacheSource type="worksheet">
    <worksheetSource name="Tabla2"/>
  </cacheSource>
  <cacheFields count="15">
    <cacheField name="Fecha" numFmtId="14">
      <sharedItems containsSemiMixedTypes="0" containsNonDate="0" containsDate="1" containsString="0" minDate="2023-01-01T00:00:00" maxDate="2023-05-30T00:00:00" count="149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</sharedItems>
      <fieldGroup par="10" base="0">
        <rangePr groupBy="days" startDate="2023-01-01T00:00:00" endDate="2023-05-30T00:00:00"/>
        <groupItems count="368">
          <s v="&lt;1/1/23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5/23"/>
        </groupItems>
      </fieldGroup>
    </cacheField>
    <cacheField name="Mes" numFmtId="14">
      <sharedItems/>
    </cacheField>
    <cacheField name="Día" numFmtId="14">
      <sharedItems/>
    </cacheField>
    <cacheField name="Ventas totales" numFmtId="0">
      <sharedItems containsSemiMixedTypes="0" containsString="0" containsNumber="1" minValue="0" maxValue="10255.379999999999"/>
    </cacheField>
    <cacheField name="Ventas efectivo" numFmtId="0">
      <sharedItems containsMixedTypes="1" containsNumber="1" minValue="0" maxValue="8344.65" count="149">
        <n v="0"/>
        <n v="3459.57"/>
        <n v="4942.17"/>
        <n v="5108.04"/>
        <n v="5876.3"/>
        <n v="3962.21"/>
        <n v="4933.16"/>
        <n v="4907.66"/>
        <n v="1596.41"/>
        <n v="2347.08"/>
        <n v="3692.89"/>
        <n v="4172.46"/>
        <n v="3217.79"/>
        <n v="2831.55"/>
        <n v="5752.18"/>
        <n v="3216.57"/>
        <n v="3154.41"/>
        <n v="3388.37"/>
        <n v="3605.21"/>
        <n v="3706.63"/>
        <n v="2753.61"/>
        <n v="4991.5600000000004"/>
        <n v="2833.64"/>
        <n v="2721.46"/>
        <n v="2365.77"/>
        <n v="1714.15"/>
        <n v="1714.63"/>
        <n v="4286.07"/>
        <n v="2150.65"/>
        <n v="2819.89"/>
        <n v="4169.25"/>
        <n v="4360.6400000000003"/>
        <n v="4845.28"/>
        <n v="3305.74"/>
        <n v="2786.75"/>
        <n v="3462.69"/>
        <n v="1803.43"/>
        <n v="2012.41"/>
        <n v="1405.34"/>
        <n v="2472.89"/>
        <n v="2983.18"/>
        <n v="2384.7800000000002"/>
        <n v="4515.74"/>
        <n v="2031.79"/>
        <n v="2753.01"/>
        <n v="5314.25"/>
        <n v="4245.07"/>
        <n v="3842.05"/>
        <n v="2980.8"/>
        <n v="4623.34"/>
        <n v="2744.5"/>
        <n v="4085.99"/>
        <n v="4545.76"/>
        <n v="2997.29"/>
        <n v="3492.17"/>
        <n v="2489.85"/>
        <n v="4240.6499999999996"/>
        <n v="2716.03"/>
        <n v="3982.75"/>
        <n v="5792.44"/>
        <n v="2898.01"/>
        <n v="4636.5600000000004"/>
        <n v="3490.55"/>
        <n v="4348.95"/>
        <n v="2103.2800000000002"/>
        <n v="3377.27"/>
        <n v="4397.01"/>
        <n v="2361.6999999999998"/>
        <n v="3297.16"/>
        <n v="3666.12"/>
        <n v="2424.5"/>
        <n v="1323.77"/>
        <n v="3538.24"/>
        <n v="4967.13"/>
        <n v="3445.95"/>
        <n v="3801.2"/>
        <n v="3042.13"/>
        <n v="3434.56"/>
        <n v="2580.8000000000002"/>
        <n v="3020.49"/>
        <n v="1615.65"/>
        <n v="2371.16"/>
        <n v="2477.08"/>
        <n v="4293.55"/>
        <n v="4718.82"/>
        <n v="1371.44"/>
        <n v="3800.38"/>
        <n v="3196.76"/>
        <n v="2621.94"/>
        <n v="4756.67"/>
        <n v="8344.65"/>
        <n v="3256.02"/>
        <n v="1257.75"/>
        <n v="2723.13"/>
        <n v="3106.79"/>
        <n v="3143.27"/>
        <n v="4385.3500000000004"/>
        <n v="3970.51"/>
        <n v="3893.99"/>
        <n v="1637.17"/>
        <n v="3762.78"/>
        <n v="6415.1"/>
        <n v="7167.97"/>
        <n v="1467.32"/>
        <n v="2107.75"/>
        <n v="1915.96"/>
        <n v="3511.46"/>
        <n v="3719.02"/>
        <n v="4677.13"/>
        <n v="7326.64"/>
        <n v="3408.61"/>
        <n v="3038.84"/>
        <n v="2714.06"/>
        <n v="1497.54"/>
        <n v="3577.5"/>
        <n v="2496.5700000000002"/>
        <n v="2126.83"/>
        <n v="2741.14"/>
        <n v="2616.0300000000002"/>
        <n v="2120.46"/>
        <n v="1844.27"/>
        <n v="4914.97"/>
        <n v="3026.82"/>
        <n v="3769.1"/>
        <n v="3073.37"/>
        <n v="3097.47"/>
        <n v="3606.46"/>
        <n v="4121.76"/>
        <n v="4606.3999999999996"/>
        <n v="3274.09"/>
        <s v="2265.39"/>
        <n v="3192.75"/>
        <n v="5259.85"/>
        <n v="4850.71"/>
        <n v="2011.17"/>
        <n v="5687.98"/>
        <n v="2784.96"/>
        <n v="2886.69"/>
        <n v="3668.32"/>
        <n v="4466.4799999999996"/>
        <n v="4139.45"/>
        <n v="2363.54"/>
        <n v="1970.94"/>
        <n v="2560.34"/>
        <n v="5601.1"/>
        <n v="3574.25"/>
        <n v="4568.8100000000004"/>
        <n v="3228.34"/>
        <n v="3963.06"/>
      </sharedItems>
    </cacheField>
    <cacheField name="Ventas tarjeta" numFmtId="0">
      <sharedItems containsMixedTypes="1" containsNumber="1" minValue="0" maxValue="3265.36"/>
    </cacheField>
    <cacheField name="Ventas transferencia" numFmtId="0">
      <sharedItems containsSemiMixedTypes="0" containsString="0" containsNumber="1" minValue="0" maxValue="5132.3599999999997"/>
    </cacheField>
    <cacheField name="Utilidad" numFmtId="0">
      <sharedItems containsMixedTypes="1" containsNumber="1" minValue="0" maxValue="6062.86"/>
    </cacheField>
    <cacheField name="Tickets" numFmtId="0">
      <sharedItems containsSemiMixedTypes="0" containsString="0" containsNumber="1" containsInteger="1" minValue="0" maxValue="73"/>
    </cacheField>
    <cacheField name="Cumplimiento" numFmtId="2">
      <sharedItems/>
    </cacheField>
    <cacheField name="Meses" numFmtId="0" databaseField="0">
      <fieldGroup base="0">
        <rangePr groupBy="months" startDate="2023-01-01T00:00:00" endDate="2023-05-30T00:00:00"/>
        <groupItems count="14">
          <s v="&lt;1/1/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5/23"/>
        </groupItems>
      </fieldGroup>
    </cacheField>
    <cacheField name="Ventas por mes" numFmtId="0" formula=" 0" databaseField="0"/>
    <cacheField name="Costos totales" numFmtId="0" formula="'Ventas totales'-Utilidad" databaseField="0"/>
    <cacheField name="% de Utlidad del mes" numFmtId="0" formula="Utilidad/'Ventas totales'" databaseField="0"/>
    <cacheField name="Porcentaje de utilidad del mes" numFmtId="0" formula="Utilidad/'Ventas totales'" databaseField="0"/>
  </cacheFields>
  <extLst>
    <ext xmlns:x14="http://schemas.microsoft.com/office/spreadsheetml/2009/9/main" uri="{725AE2AE-9491-48be-B2B4-4EB974FC3084}">
      <x14:pivotCacheDefinition pivotCacheId="1322760482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4.476271180552" createdVersion="7" refreshedVersion="7" minRefreshableVersion="3" recordCount="5" xr:uid="{79F632DA-6265-F74C-96DF-4211E815BB3B}">
  <cacheSource type="worksheet">
    <worksheetSource ref="C2:O7" sheet="Dashboard"/>
  </cacheSource>
  <cacheFields count="13">
    <cacheField name="Mes" numFmtId="0">
      <sharedItems count="5">
        <s v="enero"/>
        <s v="febrero"/>
        <s v="marzo"/>
        <s v="abril"/>
        <s v="mayo"/>
      </sharedItems>
    </cacheField>
    <cacheField name="Ventas totales" numFmtId="44">
      <sharedItems containsSemiMixedTypes="0" containsString="0" containsNumber="1" minValue="110688.44" maxValue="125702.61"/>
    </cacheField>
    <cacheField name="Ventas efectivo" numFmtId="44">
      <sharedItems containsSemiMixedTypes="0" containsString="0" containsNumber="1" minValue="93424.17" maxValue="106391.34000000001" count="5">
        <n v="106391.34000000001"/>
        <n v="93424.17"/>
        <n v="103171.26999999999"/>
        <n v="104127.34"/>
        <n v="102113.44999999998"/>
      </sharedItems>
    </cacheField>
    <cacheField name="Ventas tarjeta" numFmtId="44">
      <sharedItems containsSemiMixedTypes="0" containsString="0" containsNumber="1" minValue="11667.320000000002" maxValue="18742.830000000002"/>
    </cacheField>
    <cacheField name="Ventas transferencia" numFmtId="44">
      <sharedItems containsSemiMixedTypes="0" containsString="0" containsNumber="1" minValue="0" maxValue="5132.3599999999997" count="4">
        <n v="5132.3599999999997"/>
        <n v="0"/>
        <n v="175"/>
        <n v="2149.33"/>
      </sharedItems>
    </cacheField>
    <cacheField name="Costos Operacionales" numFmtId="44">
      <sharedItems containsSemiMixedTypes="0" containsString="0" containsNumber="1" minValue="47832.770000000004" maxValue="64292.87000000001"/>
    </cacheField>
    <cacheField name="Utilidad" numFmtId="44">
      <sharedItems containsSemiMixedTypes="0" containsString="0" containsNumber="1" minValue="57134.319999999992" maxValue="72813.589999999982"/>
    </cacheField>
    <cacheField name="Porcentaje de Utilidad" numFmtId="9">
      <sharedItems containsSemiMixedTypes="0" containsString="0" containsNumber="1" minValue="0.47052328230604684" maxValue="0.59654271553792471"/>
    </cacheField>
    <cacheField name="Tickets" numFmtId="1">
      <sharedItems containsSemiMixedTypes="0" containsString="0" containsNumber="1" containsInteger="1" minValue="1025" maxValue="1216"/>
    </cacheField>
    <cacheField name="Tienda 1" numFmtId="44">
      <sharedItems containsSemiMixedTypes="0" containsString="0" containsNumber="1" minValue="41884.949999999997" maxValue="45580.68"/>
    </cacheField>
    <cacheField name="Tienda 2" numFmtId="44">
      <sharedItems containsSemiMixedTypes="0" containsString="0" containsNumber="1" minValue="34493.49" maxValue="36957.31"/>
    </cacheField>
    <cacheField name="Tienda 3" numFmtId="44">
      <sharedItems containsSemiMixedTypes="0" containsString="0" containsNumber="1" minValue="33078.1" maxValue="48092.27"/>
    </cacheField>
    <cacheField name="Gastos" numFmtId="44">
      <sharedItems containsSemiMixedTypes="0" containsString="0" containsNumber="1" minValue="28156.440000000002" maxValue="37694.36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  <r>
    <x v="5"/>
    <x v="4"/>
    <x v="1"/>
    <x v="5"/>
    <x v="5"/>
    <x v="5"/>
  </r>
  <r>
    <x v="6"/>
    <x v="5"/>
    <x v="5"/>
    <x v="6"/>
    <x v="6"/>
    <x v="6"/>
  </r>
  <r>
    <x v="7"/>
    <x v="6"/>
    <x v="6"/>
    <x v="7"/>
    <x v="7"/>
    <x v="7"/>
  </r>
  <r>
    <x v="8"/>
    <x v="7"/>
    <x v="7"/>
    <x v="8"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x v="0"/>
    <x v="0"/>
    <x v="0"/>
  </r>
  <r>
    <x v="1"/>
    <x v="0"/>
    <x v="1"/>
    <x v="1"/>
    <x v="1"/>
    <x v="1"/>
  </r>
  <r>
    <x v="2"/>
    <x v="0"/>
    <x v="2"/>
    <x v="2"/>
    <x v="2"/>
    <x v="2"/>
  </r>
  <r>
    <x v="3"/>
    <x v="0"/>
    <x v="3"/>
    <x v="3"/>
    <x v="2"/>
    <x v="3"/>
  </r>
  <r>
    <x v="4"/>
    <x v="0"/>
    <x v="4"/>
    <x v="3"/>
    <x v="0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V-0001"/>
    <x v="0"/>
    <s v="Juan"/>
    <s v="Lopez"/>
    <n v="28333.934600000001"/>
    <n v="21584.245800000001"/>
    <n v="24285.437999999998"/>
    <n v="22525.869900000002"/>
    <n v="20469.93"/>
  </r>
  <r>
    <x v="1"/>
    <s v="V-0002"/>
    <x v="1"/>
    <s v="María"/>
    <s v="González"/>
    <n v="14782.922399999999"/>
    <n v="19923.9192"/>
    <n v="26713.981800000001"/>
    <n v="20154.725699999999"/>
    <n v="26641.184000000001"/>
  </r>
  <r>
    <x v="2"/>
    <s v="V-0003"/>
    <x v="2"/>
    <s v="Sandra"/>
    <s v="Blanco"/>
    <n v="27102.024399999998"/>
    <n v="25458.341199999999"/>
    <n v="23071.166099999999"/>
    <n v="23711.441999999999"/>
    <n v="30637.3616"/>
  </r>
  <r>
    <x v="3"/>
    <s v="V-0004"/>
    <x v="3"/>
    <s v="José"/>
    <s v="Romero"/>
    <n v="22174.383600000001"/>
    <n v="23244.572400000001"/>
    <n v="20642.622299999999"/>
    <n v="24897.0141"/>
    <n v="25309.124800000001"/>
  </r>
  <r>
    <x v="4"/>
    <s v="V-0005"/>
    <x v="4"/>
    <s v="Roberto"/>
    <s v="Martínez"/>
    <n v="30797.755000000001"/>
    <n v="20477.361400000002"/>
    <n v="26713.981800000001"/>
    <n v="27268.158299999999"/>
    <n v="22645.0063999999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x v="0"/>
    <s v="enero"/>
    <s v="domingo"/>
    <n v="0"/>
    <x v="0"/>
    <n v="0"/>
    <n v="0"/>
    <n v="0"/>
    <n v="0"/>
    <s v="Ventas Muy Bajas"/>
  </r>
  <r>
    <x v="1"/>
    <s v="enero"/>
    <s v="lunes"/>
    <n v="3574.28"/>
    <x v="1"/>
    <n v="114.71"/>
    <n v="0"/>
    <n v="1908.81"/>
    <n v="25"/>
    <s v="Ventas Aceptables"/>
  </r>
  <r>
    <x v="2"/>
    <s v="enero"/>
    <s v="martes"/>
    <n v="4942.17"/>
    <x v="2"/>
    <n v="0"/>
    <n v="0"/>
    <n v="2553.7800000000002"/>
    <n v="47"/>
    <s v="Ventas Cumplidas"/>
  </r>
  <r>
    <x v="3"/>
    <s v="enero"/>
    <s v="miércoles"/>
    <n v="5551.82"/>
    <x v="3"/>
    <n v="443.78"/>
    <n v="0"/>
    <n v="2692.46"/>
    <n v="55"/>
    <s v="Ventas Cumplidas"/>
  </r>
  <r>
    <x v="4"/>
    <s v="enero"/>
    <s v="jueves"/>
    <n v="6001.55"/>
    <x v="4"/>
    <n v="125.25"/>
    <n v="0"/>
    <n v="3018.65"/>
    <n v="58"/>
    <s v="Ventas Cumplidas"/>
  </r>
  <r>
    <x v="5"/>
    <s v="enero"/>
    <s v="viernes"/>
    <n v="4118.8900000000003"/>
    <x v="5"/>
    <n v="156.68"/>
    <n v="0"/>
    <n v="2053.39"/>
    <n v="50"/>
    <s v="Ventas Cumplidas"/>
  </r>
  <r>
    <x v="6"/>
    <s v="enero"/>
    <s v="sábado"/>
    <n v="5649.31"/>
    <x v="6"/>
    <n v="716.15"/>
    <n v="0"/>
    <n v="2779.85"/>
    <n v="59"/>
    <s v="Ventas Cumplidas"/>
  </r>
  <r>
    <x v="7"/>
    <s v="enero"/>
    <s v="domingo"/>
    <n v="5302.13"/>
    <x v="7"/>
    <n v="394.47"/>
    <n v="0"/>
    <n v="2587.8000000000002"/>
    <n v="58"/>
    <s v="Ventas Cumplidas"/>
  </r>
  <r>
    <x v="8"/>
    <s v="enero"/>
    <s v="lunes"/>
    <n v="3478.01"/>
    <x v="8"/>
    <n v="1881.6"/>
    <n v="0"/>
    <n v="1746.17"/>
    <n v="32"/>
    <s v="Ventas Aceptables"/>
  </r>
  <r>
    <x v="9"/>
    <s v="enero"/>
    <s v="martes"/>
    <n v="7573.72"/>
    <x v="9"/>
    <n v="94.28"/>
    <n v="5132.3599999999997"/>
    <n v="3802.33"/>
    <n v="32"/>
    <s v="Ventas Cumplidas"/>
  </r>
  <r>
    <x v="10"/>
    <s v="enero"/>
    <s v="miércoles"/>
    <n v="4226.25"/>
    <x v="10"/>
    <n v="533.36"/>
    <n v="0"/>
    <n v="2411.77"/>
    <n v="46"/>
    <s v="Ventas Cumplidas"/>
  </r>
  <r>
    <x v="11"/>
    <s v="enero"/>
    <s v="jueves"/>
    <n v="4172.46"/>
    <x v="11"/>
    <n v="0"/>
    <n v="0"/>
    <n v="2291.9499999999998"/>
    <n v="48"/>
    <s v="Ventas Cumplidas"/>
  </r>
  <r>
    <x v="12"/>
    <s v="enero"/>
    <s v="viernes"/>
    <n v="3580.9"/>
    <x v="12"/>
    <n v="363.11"/>
    <n v="0"/>
    <n v="2032.93"/>
    <n v="39"/>
    <s v="Ventas Aceptables"/>
  </r>
  <r>
    <x v="13"/>
    <s v="enero"/>
    <s v="sábado"/>
    <n v="3503.12"/>
    <x v="13"/>
    <n v="671.57"/>
    <n v="0"/>
    <n v="1996.33"/>
    <n v="33"/>
    <s v="Ventas Aceptables"/>
  </r>
  <r>
    <x v="14"/>
    <s v="enero"/>
    <s v="domingo"/>
    <n v="6727.53"/>
    <x v="14"/>
    <n v="975.35"/>
    <n v="0"/>
    <n v="3750.84"/>
    <n v="48"/>
    <s v="Ventas Cumplidas"/>
  </r>
  <r>
    <x v="15"/>
    <s v="enero"/>
    <s v="lunes"/>
    <n v="3620.16"/>
    <x v="15"/>
    <n v="403.59"/>
    <n v="0"/>
    <n v="2127.77"/>
    <n v="28"/>
    <s v="Ventas Aceptables"/>
  </r>
  <r>
    <x v="16"/>
    <s v="enero"/>
    <s v="martes"/>
    <n v="3178.41"/>
    <x v="16"/>
    <n v="24"/>
    <n v="0"/>
    <n v="1826.18"/>
    <n v="34"/>
    <s v="Ventas Aceptables"/>
  </r>
  <r>
    <x v="17"/>
    <s v="enero"/>
    <s v="miércoles"/>
    <n v="3765.94"/>
    <x v="17"/>
    <n v="377.57"/>
    <n v="0"/>
    <n v="2082.56"/>
    <n v="40"/>
    <s v="Ventas Aceptables"/>
  </r>
  <r>
    <x v="18"/>
    <s v="enero"/>
    <s v="jueves"/>
    <n v="3966.48"/>
    <x v="18"/>
    <n v="361.27"/>
    <n v="0"/>
    <n v="2216.8200000000002"/>
    <n v="53"/>
    <s v="Ventas Aceptables"/>
  </r>
  <r>
    <x v="19"/>
    <s v="enero"/>
    <s v="viernes"/>
    <n v="3706.63"/>
    <x v="19"/>
    <n v="0"/>
    <n v="0"/>
    <n v="2076.33"/>
    <n v="42"/>
    <s v="Ventas Aceptables"/>
  </r>
  <r>
    <x v="20"/>
    <s v="enero"/>
    <s v="sábado"/>
    <n v="2753.61"/>
    <x v="20"/>
    <n v="0"/>
    <n v="0"/>
    <n v="1611.89"/>
    <n v="35"/>
    <s v="Ventas Aceptables"/>
  </r>
  <r>
    <x v="21"/>
    <s v="enero"/>
    <s v="domingo"/>
    <n v="6177.15"/>
    <x v="21"/>
    <n v="1185.5899999999999"/>
    <n v="0"/>
    <n v="3505.85"/>
    <n v="51"/>
    <s v="Ventas Cumplidas"/>
  </r>
  <r>
    <x v="22"/>
    <s v="enero"/>
    <s v="lunes"/>
    <n v="2919.39"/>
    <x v="22"/>
    <n v="85.75"/>
    <n v="0"/>
    <n v="1654.02"/>
    <n v="26"/>
    <s v="Ventas Aceptables"/>
  </r>
  <r>
    <x v="23"/>
    <s v="enero"/>
    <s v="martes"/>
    <n v="3034.94"/>
    <x v="23"/>
    <n v="313.48"/>
    <n v="0"/>
    <n v="1758.41"/>
    <n v="31"/>
    <s v="Ventas Aceptables"/>
  </r>
  <r>
    <x v="24"/>
    <s v="enero"/>
    <s v="miércoles"/>
    <n v="2491.39"/>
    <x v="24"/>
    <n v="125.62"/>
    <n v="0"/>
    <n v="1430.55"/>
    <n v="34"/>
    <s v="Ventas Muy Bajas"/>
  </r>
  <r>
    <x v="25"/>
    <s v="enero"/>
    <s v="jueves"/>
    <n v="1881.23"/>
    <x v="25"/>
    <n v="167.08"/>
    <n v="0"/>
    <n v="1141.31"/>
    <n v="24"/>
    <s v="Ventas Muy Bajas"/>
  </r>
  <r>
    <x v="26"/>
    <s v="enero"/>
    <s v="viernes"/>
    <n v="2533.27"/>
    <x v="26"/>
    <n v="818.64"/>
    <n v="0"/>
    <n v="1442.5"/>
    <n v="34"/>
    <s v="Ventas Aceptables"/>
  </r>
  <r>
    <x v="27"/>
    <s v="enero"/>
    <s v="sábado"/>
    <n v="4445.8599999999997"/>
    <x v="27"/>
    <n v="159.79"/>
    <n v="0"/>
    <n v="2488.38"/>
    <n v="45"/>
    <s v="Ventas Cumplidas"/>
  </r>
  <r>
    <x v="28"/>
    <s v="enero"/>
    <s v="domingo"/>
    <n v="3152.18"/>
    <x v="28"/>
    <n v="1001.53"/>
    <n v="0"/>
    <n v="1844.08"/>
    <n v="26"/>
    <s v="Ventas Aceptables"/>
  </r>
  <r>
    <x v="29"/>
    <s v="enero"/>
    <s v="lunes"/>
    <n v="2940.98"/>
    <x v="29"/>
    <n v="121.09"/>
    <n v="0"/>
    <n v="1669.58"/>
    <n v="29"/>
    <s v="Ventas Aceptables"/>
  </r>
  <r>
    <x v="30"/>
    <s v="enero"/>
    <s v="martes"/>
    <n v="4221.26"/>
    <x v="30"/>
    <n v="52.01"/>
    <n v="0"/>
    <n v="2391.35"/>
    <n v="54"/>
    <s v="Ventas Cumplidas"/>
  </r>
  <r>
    <x v="31"/>
    <s v="febrero"/>
    <s v="miércoles"/>
    <n v="4717.8500000000004"/>
    <x v="31"/>
    <n v="357.21"/>
    <n v="0"/>
    <n v="2616.06"/>
    <n v="47"/>
    <s v="Ventas Cumplidas"/>
  </r>
  <r>
    <x v="32"/>
    <s v="febrero"/>
    <s v="jueves"/>
    <n v="4845.28"/>
    <x v="32"/>
    <n v="0"/>
    <n v="0"/>
    <n v="2699.69"/>
    <n v="42"/>
    <s v="Ventas Cumplidas"/>
  </r>
  <r>
    <x v="33"/>
    <s v="febrero"/>
    <s v="viernes"/>
    <n v="3418.45"/>
    <x v="33"/>
    <n v="112.71"/>
    <n v="0"/>
    <n v="1962.65"/>
    <n v="33"/>
    <s v="Ventas Aceptables"/>
  </r>
  <r>
    <x v="34"/>
    <s v="febrero"/>
    <s v="sábado"/>
    <n v="3483.92"/>
    <x v="34"/>
    <n v="697.17"/>
    <n v="0"/>
    <n v="1975.94"/>
    <n v="39"/>
    <s v="Ventas Aceptables"/>
  </r>
  <r>
    <x v="35"/>
    <s v="febrero"/>
    <s v="domingo"/>
    <n v="4180.18"/>
    <x v="35"/>
    <n v="717.49"/>
    <n v="0"/>
    <n v="2371.66"/>
    <n v="38"/>
    <s v="Ventas Cumplidas"/>
  </r>
  <r>
    <x v="36"/>
    <s v="febrero"/>
    <s v="lunes"/>
    <n v="2630.46"/>
    <x v="36"/>
    <n v="827.03"/>
    <n v="0"/>
    <n v="1669.58"/>
    <n v="22"/>
    <s v="Ventas Aceptables"/>
  </r>
  <r>
    <x v="37"/>
    <s v="febrero"/>
    <s v="martes"/>
    <n v="2654.27"/>
    <x v="37"/>
    <n v="641.86"/>
    <n v="0"/>
    <n v="1524.11"/>
    <n v="31"/>
    <s v="Ventas Aceptables"/>
  </r>
  <r>
    <x v="38"/>
    <s v="febrero"/>
    <s v="miércoles"/>
    <n v="1405.34"/>
    <x v="38"/>
    <n v="0"/>
    <n v="0"/>
    <n v="824.49"/>
    <n v="14"/>
    <s v="Ventas Muy Bajas"/>
  </r>
  <r>
    <x v="39"/>
    <s v="febrero"/>
    <s v="jueves"/>
    <n v="3204.92"/>
    <x v="39"/>
    <n v="732.03"/>
    <n v="0"/>
    <n v="1810.88"/>
    <n v="27"/>
    <s v="Ventas Aceptables"/>
  </r>
  <r>
    <x v="40"/>
    <s v="febrero"/>
    <s v="viernes"/>
    <n v="3167.18"/>
    <x v="40"/>
    <n v="184"/>
    <n v="0"/>
    <n v="1773.28"/>
    <n v="30"/>
    <s v="Ventas Aceptables"/>
  </r>
  <r>
    <x v="41"/>
    <s v="febrero"/>
    <s v="sábado"/>
    <n v="2384.7800000000002"/>
    <x v="41"/>
    <n v="0"/>
    <n v="0"/>
    <n v="1326.82"/>
    <n v="24"/>
    <s v="Ventas Muy Bajas"/>
  </r>
  <r>
    <x v="42"/>
    <s v="febrero"/>
    <s v="domingo"/>
    <n v="4758.67"/>
    <x v="42"/>
    <n v="242.93"/>
    <n v="0"/>
    <n v="2747.11"/>
    <n v="40"/>
    <s v="Ventas Cumplidas"/>
  </r>
  <r>
    <x v="43"/>
    <s v="febrero"/>
    <s v="lunes"/>
    <n v="2562.7199999999998"/>
    <x v="43"/>
    <n v="530.92999999999995"/>
    <n v="0"/>
    <n v="1417.57"/>
    <n v="22"/>
    <s v="Ventas Aceptables"/>
  </r>
  <r>
    <x v="44"/>
    <s v="febrero"/>
    <s v="martes"/>
    <n v="2791.7"/>
    <x v="44"/>
    <n v="38.69"/>
    <n v="0"/>
    <n v="1599.99"/>
    <n v="26"/>
    <s v="Ventas Aceptables"/>
  </r>
  <r>
    <x v="45"/>
    <s v="febrero"/>
    <s v="miércoles"/>
    <n v="6054.22"/>
    <x v="45"/>
    <n v="739.97"/>
    <n v="0"/>
    <n v="3472.59"/>
    <n v="56"/>
    <s v="Ventas Cumplidas"/>
  </r>
  <r>
    <x v="46"/>
    <s v="febrero"/>
    <s v="jueves"/>
    <n v="4255.83"/>
    <x v="46"/>
    <n v="10.76"/>
    <n v="0"/>
    <n v="2387.1799999999998"/>
    <n v="44"/>
    <s v="Ventas Cumplidas"/>
  </r>
  <r>
    <x v="47"/>
    <s v="febrero"/>
    <s v="viernes"/>
    <n v="4820.66"/>
    <x v="47"/>
    <n v="978.61"/>
    <n v="0"/>
    <n v="2765.3"/>
    <n v="55"/>
    <s v="Ventas Cumplidas"/>
  </r>
  <r>
    <x v="48"/>
    <s v="febrero"/>
    <s v="sábado"/>
    <n v="2980.8"/>
    <x v="48"/>
    <n v="0"/>
    <n v="0"/>
    <n v="1736.15"/>
    <n v="37"/>
    <s v="Ventas Aceptables"/>
  </r>
  <r>
    <x v="49"/>
    <s v="febrero"/>
    <s v="domingo"/>
    <n v="5728.46"/>
    <x v="49"/>
    <n v="1105.1199999999999"/>
    <n v="0"/>
    <n v="3210.62"/>
    <n v="44"/>
    <s v="Ventas Cumplidas"/>
  </r>
  <r>
    <x v="50"/>
    <s v="febrero"/>
    <s v="lunes"/>
    <n v="5559.94"/>
    <x v="50"/>
    <n v="2815.44"/>
    <n v="0"/>
    <n v="1440.61"/>
    <n v="33"/>
    <s v="Ventas Cumplidas"/>
  </r>
  <r>
    <x v="51"/>
    <s v="febrero"/>
    <s v="martes"/>
    <n v="4966.54"/>
    <x v="51"/>
    <n v="880.55"/>
    <n v="0"/>
    <n v="2924.42"/>
    <n v="35"/>
    <s v="Ventas Cumplidas"/>
  </r>
  <r>
    <x v="52"/>
    <s v="febrero"/>
    <s v="miércoles"/>
    <n v="4648.99"/>
    <x v="52"/>
    <n v="103.23"/>
    <n v="0"/>
    <n v="2535.5100000000002"/>
    <n v="49"/>
    <s v="Ventas Cumplidas"/>
  </r>
  <r>
    <x v="53"/>
    <s v="febrero"/>
    <s v="jueves"/>
    <n v="3440.66"/>
    <x v="53"/>
    <n v="443.37"/>
    <n v="0"/>
    <n v="1976.46"/>
    <n v="43"/>
    <s v="Ventas Aceptables"/>
  </r>
  <r>
    <x v="54"/>
    <s v="febrero"/>
    <s v="viernes"/>
    <n v="4088.09"/>
    <x v="54"/>
    <n v="595.91999999999996"/>
    <n v="0"/>
    <n v="2317.0700000000002"/>
    <n v="40"/>
    <s v="Ventas Cumplidas"/>
  </r>
  <r>
    <x v="55"/>
    <s v="febrero"/>
    <s v="sábado"/>
    <n v="2918.34"/>
    <x v="55"/>
    <n v="428.49"/>
    <n v="0"/>
    <n v="1668.94"/>
    <n v="34"/>
    <s v="Ventas Aceptables"/>
  </r>
  <r>
    <x v="56"/>
    <s v="febrero"/>
    <s v="domingo"/>
    <n v="7506.01"/>
    <x v="56"/>
    <n v="3265.36"/>
    <n v="0"/>
    <n v="4222.74"/>
    <n v="49"/>
    <s v="Ventas Cumplidas"/>
  </r>
  <r>
    <x v="57"/>
    <s v="febrero"/>
    <s v="lunes"/>
    <n v="3184.52"/>
    <x v="57"/>
    <n v="468.49"/>
    <n v="0"/>
    <n v="3015.9"/>
    <n v="31"/>
    <s v="Ventas Aceptables"/>
  </r>
  <r>
    <x v="58"/>
    <s v="febrero"/>
    <s v="martes"/>
    <n v="4329.66"/>
    <x v="58"/>
    <n v="346.91"/>
    <n v="0"/>
    <n v="0"/>
    <n v="40"/>
    <s v="Ventas Cumplidas"/>
  </r>
  <r>
    <x v="59"/>
    <s v="marzo"/>
    <s v="miércoles"/>
    <n v="6669.52"/>
    <x v="59"/>
    <n v="877.08"/>
    <n v="0"/>
    <n v="0"/>
    <n v="60"/>
    <s v="Ventas Cumplidas"/>
  </r>
  <r>
    <x v="60"/>
    <s v="marzo"/>
    <s v="jueves"/>
    <n v="2966.54"/>
    <x v="60"/>
    <n v="68.53"/>
    <n v="0"/>
    <n v="0"/>
    <n v="29"/>
    <s v="Ventas Aceptables"/>
  </r>
  <r>
    <x v="61"/>
    <s v="marzo"/>
    <s v="viernes"/>
    <n v="6080.77"/>
    <x v="61"/>
    <n v="1444.21"/>
    <n v="0"/>
    <n v="0"/>
    <n v="50"/>
    <s v="Ventas Cumplidas"/>
  </r>
  <r>
    <x v="62"/>
    <s v="marzo"/>
    <s v="sábado"/>
    <n v="3690.55"/>
    <x v="62"/>
    <n v="200"/>
    <n v="0"/>
    <n v="0"/>
    <n v="38"/>
    <s v="Ventas Aceptables"/>
  </r>
  <r>
    <x v="63"/>
    <s v="marzo"/>
    <s v="domingo"/>
    <n v="5746.1"/>
    <x v="63"/>
    <n v="1397.15"/>
    <n v="0"/>
    <n v="0"/>
    <n v="48"/>
    <s v="Ventas Cumplidas"/>
  </r>
  <r>
    <x v="64"/>
    <s v="marzo"/>
    <s v="lunes"/>
    <n v="3095.82"/>
    <x v="64"/>
    <n v="992.54"/>
    <n v="0"/>
    <n v="1751.75"/>
    <n v="28"/>
    <s v="Ventas Aceptables"/>
  </r>
  <r>
    <x v="65"/>
    <s v="marzo"/>
    <s v="martes"/>
    <n v="3740.32"/>
    <x v="65"/>
    <n v="363.05"/>
    <n v="0"/>
    <n v="2132.7800000000002"/>
    <n v="40"/>
    <s v="Ventas Aceptables"/>
  </r>
  <r>
    <x v="66"/>
    <s v="marzo"/>
    <s v="miércoles"/>
    <n v="5725.4"/>
    <x v="66"/>
    <n v="1328.39"/>
    <n v="0"/>
    <n v="3161.2"/>
    <n v="40"/>
    <s v="Ventas Cumplidas"/>
  </r>
  <r>
    <x v="67"/>
    <s v="marzo"/>
    <s v="jueves"/>
    <n v="2361.6999999999998"/>
    <x v="67"/>
    <n v="0"/>
    <n v="0"/>
    <n v="1436.16"/>
    <n v="29"/>
    <s v="Ventas Muy Bajas"/>
  </r>
  <r>
    <x v="68"/>
    <s v="marzo"/>
    <s v="viernes"/>
    <n v="3606.48"/>
    <x v="68"/>
    <n v="309.32"/>
    <n v="0"/>
    <n v="2165.2199999999998"/>
    <n v="44"/>
    <s v="Ventas Aceptables"/>
  </r>
  <r>
    <x v="69"/>
    <s v="marzo"/>
    <s v="sábado"/>
    <n v="4566.46"/>
    <x v="69"/>
    <n v="725.34"/>
    <n v="175"/>
    <n v="2708.65"/>
    <n v="41"/>
    <s v="Ventas Cumplidas"/>
  </r>
  <r>
    <x v="70"/>
    <s v="marzo"/>
    <s v="domingo"/>
    <n v="2883.33"/>
    <x v="70"/>
    <n v="458.83"/>
    <n v="0"/>
    <n v="1764.21"/>
    <n v="28"/>
    <s v="Ventas Aceptables"/>
  </r>
  <r>
    <x v="71"/>
    <s v="marzo"/>
    <s v="lunes"/>
    <n v="1853.87"/>
    <x v="71"/>
    <n v="530.1"/>
    <n v="0"/>
    <n v="1137.25"/>
    <n v="17"/>
    <s v="Ventas Muy Bajas"/>
  </r>
  <r>
    <x v="72"/>
    <s v="marzo"/>
    <s v="martes"/>
    <n v="5483.77"/>
    <x v="72"/>
    <n v="1945.53"/>
    <n v="0"/>
    <n v="3209.25"/>
    <n v="45"/>
    <s v="Ventas Cumplidas"/>
  </r>
  <r>
    <x v="73"/>
    <s v="marzo"/>
    <s v="miércoles"/>
    <n v="5135.18"/>
    <x v="73"/>
    <n v="168.05"/>
    <n v="0"/>
    <n v="3103.21"/>
    <n v="40"/>
    <s v="Ventas Cumplidas"/>
  </r>
  <r>
    <x v="74"/>
    <s v="marzo"/>
    <s v="jueves"/>
    <n v="3445.95"/>
    <x v="74"/>
    <n v="0"/>
    <n v="0"/>
    <n v="2116.91"/>
    <n v="28"/>
    <s v="Ventas Aceptables"/>
  </r>
  <r>
    <x v="75"/>
    <s v="marzo"/>
    <s v="viernes"/>
    <n v="4681.26"/>
    <x v="75"/>
    <n v="880.06"/>
    <n v="0"/>
    <n v="2789.94"/>
    <n v="33"/>
    <s v="Ventas Cumplidas"/>
  </r>
  <r>
    <x v="76"/>
    <s v="marzo"/>
    <s v="sábado"/>
    <n v="4252.0200000000004"/>
    <x v="76"/>
    <n v="1209.8900000000001"/>
    <n v="0"/>
    <n v="2512.66"/>
    <n v="40"/>
    <s v="Ventas Cumplidas"/>
  </r>
  <r>
    <x v="77"/>
    <s v="marzo"/>
    <s v="domingo"/>
    <n v="3686.54"/>
    <x v="77"/>
    <n v="251.98"/>
    <n v="0"/>
    <n v="2280.5"/>
    <n v="38"/>
    <s v="Ventas Aceptables"/>
  </r>
  <r>
    <x v="78"/>
    <s v="marzo"/>
    <s v="lunes"/>
    <n v="3334.67"/>
    <x v="78"/>
    <n v="753.87"/>
    <n v="0"/>
    <n v="2009.86"/>
    <n v="32"/>
    <s v="Ventas Aceptables"/>
  </r>
  <r>
    <x v="79"/>
    <s v="marzo"/>
    <s v="martes"/>
    <n v="3020.49"/>
    <x v="79"/>
    <n v="0"/>
    <n v="0"/>
    <n v="1712.65"/>
    <n v="31"/>
    <s v="Ventas Aceptables"/>
  </r>
  <r>
    <x v="80"/>
    <s v="marzo"/>
    <s v="miércoles"/>
    <n v="1648.64"/>
    <x v="80"/>
    <n v="32.99"/>
    <n v="0"/>
    <n v="1045.55"/>
    <n v="27"/>
    <s v="Ventas Muy Bajas"/>
  </r>
  <r>
    <x v="81"/>
    <s v="marzo"/>
    <s v="jueves"/>
    <n v="2574.2399999999998"/>
    <x v="81"/>
    <n v="203.08"/>
    <n v="0"/>
    <n v="1536.1"/>
    <n v="27"/>
    <s v="Ventas Aceptables"/>
  </r>
  <r>
    <x v="82"/>
    <s v="marzo"/>
    <s v="viernes"/>
    <n v="2477.08"/>
    <x v="82"/>
    <n v="0"/>
    <n v="0"/>
    <n v="1449.1"/>
    <n v="25"/>
    <s v="Ventas Muy Bajas"/>
  </r>
  <r>
    <x v="83"/>
    <s v="marzo"/>
    <s v="sábado"/>
    <n v="4972.6000000000004"/>
    <x v="83"/>
    <n v="679.05"/>
    <n v="0"/>
    <n v="3010.9"/>
    <n v="46"/>
    <s v="Ventas Cumplidas"/>
  </r>
  <r>
    <x v="84"/>
    <s v="marzo"/>
    <s v="domingo"/>
    <n v="5208.8999999999996"/>
    <x v="84"/>
    <n v="490.08"/>
    <n v="0"/>
    <n v="3079.53"/>
    <n v="44"/>
    <s v="Ventas Cumplidas"/>
  </r>
  <r>
    <x v="85"/>
    <s v="marzo"/>
    <s v="lunes"/>
    <n v="1700.68"/>
    <x v="85"/>
    <n v="329.24"/>
    <n v="0"/>
    <n v="996.19"/>
    <n v="16"/>
    <s v="Ventas Muy Bajas"/>
  </r>
  <r>
    <x v="86"/>
    <s v="marzo"/>
    <s v="martes"/>
    <n v="4589.2700000000004"/>
    <x v="86"/>
    <n v="788.89"/>
    <n v="0"/>
    <n v="2821.77"/>
    <n v="44"/>
    <s v="Ventas Cumplidas"/>
  </r>
  <r>
    <x v="87"/>
    <s v="marzo"/>
    <s v="miércoles"/>
    <n v="3952.03"/>
    <x v="87"/>
    <n v="755.27"/>
    <n v="0"/>
    <n v="2391.38"/>
    <n v="39"/>
    <s v="Ventas Aceptables"/>
  </r>
  <r>
    <x v="88"/>
    <s v="marzo"/>
    <s v="jueves"/>
    <n v="2922.44"/>
    <x v="88"/>
    <n v="300.5"/>
    <n v="0"/>
    <n v="1680.93"/>
    <n v="29"/>
    <s v="Ventas Aceptables"/>
  </r>
  <r>
    <x v="89"/>
    <s v="marzo"/>
    <s v="viernes"/>
    <n v="5354.57"/>
    <x v="89"/>
    <n v="597.9"/>
    <n v="0"/>
    <n v="3130.67"/>
    <n v="48"/>
    <s v="Ventas Cumplidas"/>
  </r>
  <r>
    <x v="90"/>
    <s v="abril"/>
    <s v="sábado"/>
    <n v="10255.379999999999"/>
    <x v="90"/>
    <n v="1910.73"/>
    <n v="0"/>
    <n v="6062.86"/>
    <n v="73"/>
    <s v="Ventas Cumplidas"/>
  </r>
  <r>
    <x v="91"/>
    <s v="abril"/>
    <s v="domingo"/>
    <n v="3892.35"/>
    <x v="91"/>
    <n v="636.33000000000004"/>
    <n v="0"/>
    <n v="2363.4"/>
    <n v="31"/>
    <s v="Ventas Aceptables"/>
  </r>
  <r>
    <x v="92"/>
    <s v="abril"/>
    <s v="lunes"/>
    <n v="1394.7"/>
    <x v="92"/>
    <n v="136.94999999999999"/>
    <n v="0"/>
    <n v="849.14"/>
    <n v="19"/>
    <s v="Ventas Muy Bajas"/>
  </r>
  <r>
    <x v="93"/>
    <s v="abril"/>
    <s v="martes"/>
    <n v="2904.19"/>
    <x v="93"/>
    <n v="181.06"/>
    <n v="0"/>
    <n v="1778.45"/>
    <n v="35"/>
    <s v="Ventas Aceptables"/>
  </r>
  <r>
    <x v="94"/>
    <s v="abril"/>
    <s v="miércoles"/>
    <n v="3574.76"/>
    <x v="94"/>
    <n v="467.97"/>
    <n v="0"/>
    <n v="2169.77"/>
    <n v="46"/>
    <s v="Ventas Aceptables"/>
  </r>
  <r>
    <x v="95"/>
    <s v="abril"/>
    <s v="jueves"/>
    <n v="3552.24"/>
    <x v="95"/>
    <n v="408.97"/>
    <n v="0"/>
    <n v="2140.11"/>
    <n v="32"/>
    <s v="Ventas Aceptables"/>
  </r>
  <r>
    <x v="96"/>
    <s v="abril"/>
    <s v="viernes"/>
    <n v="4385.3500000000004"/>
    <x v="96"/>
    <n v="0"/>
    <n v="0"/>
    <n v="2619.86"/>
    <n v="36"/>
    <s v="Ventas Cumplidas"/>
  </r>
  <r>
    <x v="97"/>
    <s v="abril"/>
    <s v="sábado"/>
    <n v="4999.97"/>
    <x v="97"/>
    <n v="1029.46"/>
    <n v="0"/>
    <n v="2937.99"/>
    <n v="39"/>
    <s v="Ventas Cumplidas"/>
  </r>
  <r>
    <x v="98"/>
    <s v="abril"/>
    <s v="domingo"/>
    <n v="4886.8999999999996"/>
    <x v="98"/>
    <n v="992.91"/>
    <n v="0"/>
    <n v="2862.35"/>
    <n v="44"/>
    <s v="Ventas Cumplidas"/>
  </r>
  <r>
    <x v="99"/>
    <s v="abril"/>
    <s v="lunes"/>
    <n v="2396.5700000000002"/>
    <x v="99"/>
    <n v="759.4"/>
    <n v="0"/>
    <n v="1412"/>
    <n v="21"/>
    <s v="Ventas Muy Bajas"/>
  </r>
  <r>
    <x v="100"/>
    <s v="abril"/>
    <s v="martes"/>
    <n v="3934.62"/>
    <x v="100"/>
    <n v="171.84"/>
    <n v="0"/>
    <n v="2347.96"/>
    <n v="45"/>
    <s v="Ventas Aceptables"/>
  </r>
  <r>
    <x v="101"/>
    <s v="abril"/>
    <s v="miércoles"/>
    <n v="7285.53"/>
    <x v="101"/>
    <n v="870.43"/>
    <n v="0"/>
    <n v="4354.87"/>
    <n v="61"/>
    <s v="Ventas Cumplidas"/>
  </r>
  <r>
    <x v="102"/>
    <s v="abril"/>
    <s v="jueves"/>
    <n v="7784.47"/>
    <x v="102"/>
    <n v="616.5"/>
    <n v="0"/>
    <n v="4730.93"/>
    <n v="66"/>
    <s v="Ventas Cumplidas"/>
  </r>
  <r>
    <x v="103"/>
    <s v="abril"/>
    <s v="viernes"/>
    <n v="2113.21"/>
    <x v="103"/>
    <n v="645.89"/>
    <n v="0"/>
    <n v="1275.03"/>
    <n v="22"/>
    <s v="Ventas Muy Bajas"/>
  </r>
  <r>
    <x v="104"/>
    <s v="abril"/>
    <s v="sábado"/>
    <n v="2323.02"/>
    <x v="104"/>
    <n v="215.27"/>
    <n v="0"/>
    <n v="1364.52"/>
    <n v="19"/>
    <s v="Ventas Muy Bajas"/>
  </r>
  <r>
    <x v="105"/>
    <s v="abril"/>
    <s v="domingo"/>
    <n v="2517.63"/>
    <x v="105"/>
    <n v="601.66999999999996"/>
    <n v="0"/>
    <n v="1519.54"/>
    <n v="30"/>
    <s v="Ventas Aceptables"/>
  </r>
  <r>
    <x v="106"/>
    <s v="abril"/>
    <s v="lunes"/>
    <n v="3773.66"/>
    <x v="106"/>
    <n v="262.2"/>
    <n v="0"/>
    <n v="2285.61"/>
    <n v="22"/>
    <s v="Ventas Aceptables"/>
  </r>
  <r>
    <x v="107"/>
    <s v="abril"/>
    <s v="martes"/>
    <n v="4332.58"/>
    <x v="107"/>
    <n v="613.55999999999995"/>
    <n v="0"/>
    <n v="2577.2800000000002"/>
    <n v="47"/>
    <s v="Ventas Cumplidas"/>
  </r>
  <r>
    <x v="108"/>
    <s v="abril"/>
    <s v="miércoles"/>
    <n v="4677.13"/>
    <x v="108"/>
    <n v="0"/>
    <n v="0"/>
    <n v="2738.63"/>
    <n v="57"/>
    <s v="Ventas Cumplidas"/>
  </r>
  <r>
    <x v="109"/>
    <s v="abril"/>
    <s v="jueves"/>
    <n v="7803.19"/>
    <x v="109"/>
    <n v="476.55"/>
    <n v="0"/>
    <n v="4624.54"/>
    <n v="44"/>
    <s v="Ventas Cumplidas"/>
  </r>
  <r>
    <x v="110"/>
    <s v="abril"/>
    <s v="viernes"/>
    <n v="4054.63"/>
    <x v="110"/>
    <n v="646.02"/>
    <n v="0"/>
    <n v="2478.44"/>
    <n v="42"/>
    <s v="Ventas Cumplidas"/>
  </r>
  <r>
    <x v="111"/>
    <s v="abril"/>
    <s v="sábado"/>
    <n v="3629.81"/>
    <x v="111"/>
    <n v="590.97"/>
    <n v="0"/>
    <n v="2063.79"/>
    <n v="32"/>
    <s v="Ventas Aceptables"/>
  </r>
  <r>
    <x v="112"/>
    <s v="abril"/>
    <s v="domingo"/>
    <n v="2972.21"/>
    <x v="112"/>
    <n v="258.14999999999998"/>
    <n v="0"/>
    <n v="1788.48"/>
    <n v="37"/>
    <s v="Ventas Aceptables"/>
  </r>
  <r>
    <x v="113"/>
    <s v="abril"/>
    <s v="lunes"/>
    <n v="1497.54"/>
    <x v="113"/>
    <n v="0"/>
    <n v="0"/>
    <n v="882.46"/>
    <n v="15"/>
    <s v="Ventas Muy Bajas"/>
  </r>
  <r>
    <x v="114"/>
    <s v="abril"/>
    <s v="martes"/>
    <n v="3894.87"/>
    <x v="114"/>
    <n v="317.37"/>
    <n v="0"/>
    <n v="2377.1"/>
    <n v="33"/>
    <s v="Ventas Aceptables"/>
  </r>
  <r>
    <x v="115"/>
    <s v="abril"/>
    <s v="miércoles"/>
    <n v="2496.5700000000002"/>
    <x v="115"/>
    <n v="0"/>
    <n v="0"/>
    <n v="1464.89"/>
    <n v="25"/>
    <s v="Ventas Muy Bajas"/>
  </r>
  <r>
    <x v="116"/>
    <s v="abril"/>
    <s v="jueves"/>
    <n v="2155.31"/>
    <x v="116"/>
    <n v="28.48"/>
    <n v="0"/>
    <n v="1304.44"/>
    <n v="28"/>
    <s v="Ventas Muy Bajas"/>
  </r>
  <r>
    <x v="117"/>
    <s v="abril"/>
    <s v="viernes"/>
    <n v="3407.9"/>
    <x v="117"/>
    <n v="666.76"/>
    <n v="0"/>
    <n v="2015.66"/>
    <n v="36"/>
    <s v="Ventas Aceptables"/>
  </r>
  <r>
    <x v="118"/>
    <s v="abril"/>
    <s v="sábado"/>
    <n v="2724.02"/>
    <x v="118"/>
    <n v="107.99"/>
    <n v="0"/>
    <n v="1600.48"/>
    <n v="32"/>
    <s v="Ventas Aceptables"/>
  </r>
  <r>
    <x v="119"/>
    <s v="abril"/>
    <s v="domingo"/>
    <n v="2936.9"/>
    <x v="119"/>
    <n v="816.44"/>
    <n v="0"/>
    <n v="1733.86"/>
    <n v="31"/>
    <s v="Ventas Aceptables"/>
  </r>
  <r>
    <x v="120"/>
    <s v="mayo"/>
    <s v="lunes"/>
    <n v="2299.4899999999998"/>
    <x v="120"/>
    <n v="455.22"/>
    <n v="0"/>
    <n v="1358.02"/>
    <n v="25"/>
    <s v="Ventas Muy Bajas"/>
  </r>
  <r>
    <x v="121"/>
    <s v="mayo"/>
    <s v="martes"/>
    <n v="5005.97"/>
    <x v="121"/>
    <n v="91"/>
    <n v="0"/>
    <n v="2991.38"/>
    <n v="44"/>
    <s v="Ventas Cumplidas"/>
  </r>
  <r>
    <x v="122"/>
    <s v="mayo"/>
    <s v="miércoles"/>
    <n v="3559.06"/>
    <x v="122"/>
    <n v="532.24"/>
    <n v="0"/>
    <n v="2125.69"/>
    <n v="35"/>
    <s v="Ventas Aceptables"/>
  </r>
  <r>
    <x v="123"/>
    <s v="mayo"/>
    <s v="jueves"/>
    <n v="3769.1"/>
    <x v="123"/>
    <n v="0"/>
    <n v="0"/>
    <n v="2195.29"/>
    <n v="31"/>
    <s v="Ventas Aceptables"/>
  </r>
  <r>
    <x v="124"/>
    <s v="mayo"/>
    <s v="viernes"/>
    <n v="4005.34"/>
    <x v="124"/>
    <n v="931.97"/>
    <n v="0"/>
    <n v="2362.7600000000002"/>
    <n v="45"/>
    <s v="Ventas Cumplidas"/>
  </r>
  <r>
    <x v="125"/>
    <s v="mayo"/>
    <s v="sábado"/>
    <n v="3641.77"/>
    <x v="125"/>
    <n v="544.29999999999995"/>
    <n v="0"/>
    <n v="2215.27"/>
    <n v="36"/>
    <s v="Ventas Aceptables"/>
  </r>
  <r>
    <x v="126"/>
    <s v="mayo"/>
    <s v="domingo"/>
    <n v="3771.87"/>
    <x v="126"/>
    <n v="165.41"/>
    <n v="0"/>
    <n v="2210.9"/>
    <n v="37"/>
    <s v="Ventas Aceptables"/>
  </r>
  <r>
    <x v="127"/>
    <s v="mayo"/>
    <s v="lunes"/>
    <n v="4323.88"/>
    <x v="127"/>
    <n v="202.12"/>
    <n v="0"/>
    <n v="2500.27"/>
    <n v="34"/>
    <s v="Ventas Cumplidas"/>
  </r>
  <r>
    <x v="128"/>
    <s v="mayo"/>
    <s v="martes"/>
    <n v="6576.87"/>
    <x v="128"/>
    <n v="1970.47"/>
    <n v="0"/>
    <n v="3815.44"/>
    <n v="47"/>
    <s v="Ventas Cumplidas"/>
  </r>
  <r>
    <x v="129"/>
    <s v="mayo"/>
    <s v="miércoles"/>
    <n v="4187.87"/>
    <x v="129"/>
    <n v="546.08000000000004"/>
    <n v="367.7"/>
    <n v="2428.3000000000002"/>
    <n v="34"/>
    <s v="Ventas Cumplidas"/>
  </r>
  <r>
    <x v="130"/>
    <s v="mayo"/>
    <s v="jueves"/>
    <n v="2697"/>
    <x v="130"/>
    <s v="431.61"/>
    <n v="0"/>
    <s v="1614.29"/>
    <n v="33"/>
    <s v="Ventas Aceptables"/>
  </r>
  <r>
    <x v="131"/>
    <s v="mayo"/>
    <s v="viernes"/>
    <n v="5016.97"/>
    <x v="131"/>
    <n v="1824.22"/>
    <n v="0"/>
    <n v="2935.17"/>
    <n v="48"/>
    <s v="Ventas Cumplidas"/>
  </r>
  <r>
    <x v="132"/>
    <s v="mayo"/>
    <s v="sábado"/>
    <n v="6800.97"/>
    <x v="132"/>
    <n v="1541.12"/>
    <n v="0"/>
    <n v="4028.82"/>
    <n v="42"/>
    <s v="Ventas Cumplidas"/>
  </r>
  <r>
    <x v="133"/>
    <s v="mayo"/>
    <s v="domingo"/>
    <n v="6474.39"/>
    <x v="133"/>
    <n v="1400.68"/>
    <n v="223"/>
    <n v="3760.14"/>
    <n v="45"/>
    <s v="Ventas Cumplidas"/>
  </r>
  <r>
    <x v="134"/>
    <s v="mayo"/>
    <s v="lunes"/>
    <n v="2278.7600000000002"/>
    <x v="134"/>
    <n v="267.58999999999997"/>
    <n v="0"/>
    <n v="1349.34"/>
    <n v="26"/>
    <s v="Ventas Muy Bajas"/>
  </r>
  <r>
    <x v="135"/>
    <s v="mayo"/>
    <s v="martes"/>
    <n v="6836.33"/>
    <x v="135"/>
    <n v="1148.3499999999999"/>
    <n v="0"/>
    <n v="4091.26"/>
    <n v="60"/>
    <s v="Ventas Cumplidas"/>
  </r>
  <r>
    <x v="136"/>
    <s v="mayo"/>
    <s v="miércoles"/>
    <n v="2978.96"/>
    <x v="136"/>
    <n v="194"/>
    <n v="0"/>
    <n v="1801.97"/>
    <n v="36"/>
    <s v="Ventas Aceptables"/>
  </r>
  <r>
    <x v="137"/>
    <s v="mayo"/>
    <s v="jueves"/>
    <n v="3994.34"/>
    <x v="137"/>
    <n v="1107.6500000000001"/>
    <n v="0"/>
    <n v="2329.9499999999998"/>
    <n v="42"/>
    <s v="Ventas Aceptables"/>
  </r>
  <r>
    <x v="138"/>
    <s v="mayo"/>
    <s v="viernes"/>
    <n v="3841.43"/>
    <x v="138"/>
    <n v="173.11"/>
    <n v="0"/>
    <n v="2337.63"/>
    <n v="40"/>
    <s v="Ventas Aceptables"/>
  </r>
  <r>
    <x v="139"/>
    <s v="mayo"/>
    <s v="sábado"/>
    <n v="5256.21"/>
    <x v="139"/>
    <n v="318.81"/>
    <n v="470.92"/>
    <n v="3190.74"/>
    <n v="46"/>
    <s v="Ventas Cumplidas"/>
  </r>
  <r>
    <x v="140"/>
    <s v="mayo"/>
    <s v="domingo"/>
    <n v="4876.71"/>
    <x v="140"/>
    <n v="737.26"/>
    <n v="0"/>
    <n v="2880.41"/>
    <n v="31"/>
    <s v="Ventas Cumplidas"/>
  </r>
  <r>
    <x v="141"/>
    <s v="mayo"/>
    <s v="lunes"/>
    <n v="3625.34"/>
    <x v="141"/>
    <n v="1261.8"/>
    <n v="0"/>
    <n v="2172.88"/>
    <n v="24"/>
    <s v="Ventas Aceptables"/>
  </r>
  <r>
    <x v="142"/>
    <s v="mayo"/>
    <s v="martes"/>
    <n v="2353.56"/>
    <x v="142"/>
    <n v="382.62"/>
    <n v="0"/>
    <n v="1398.95"/>
    <n v="34"/>
    <s v="Ventas Muy Bajas"/>
  </r>
  <r>
    <x v="143"/>
    <s v="mayo"/>
    <s v="miércoles"/>
    <n v="2837.77"/>
    <x v="143"/>
    <n v="277.43"/>
    <n v="0"/>
    <n v="1671.61"/>
    <n v="33"/>
    <s v="Ventas Aceptables"/>
  </r>
  <r>
    <x v="144"/>
    <s v="mayo"/>
    <s v="jueves"/>
    <n v="6485.35"/>
    <x v="144"/>
    <n v="884.25"/>
    <n v="0"/>
    <n v="3843.54"/>
    <n v="53"/>
    <s v="Ventas Cumplidas"/>
  </r>
  <r>
    <x v="145"/>
    <s v="mayo"/>
    <s v="viernes"/>
    <n v="4079.26"/>
    <x v="145"/>
    <n v="505.01"/>
    <n v="0"/>
    <n v="2365.6"/>
    <n v="35"/>
    <s v="Ventas Cumplidas"/>
  </r>
  <r>
    <x v="146"/>
    <s v="mayo"/>
    <s v="sábado"/>
    <n v="6378.39"/>
    <x v="146"/>
    <n v="903.56"/>
    <n v="906.02"/>
    <n v="3894.37"/>
    <n v="60"/>
    <s v="Ventas Cumplidas"/>
  </r>
  <r>
    <x v="147"/>
    <s v="mayo"/>
    <s v="domingo"/>
    <n v="3786.59"/>
    <x v="147"/>
    <n v="376.56"/>
    <n v="181.69"/>
    <n v="2274.87"/>
    <n v="42"/>
    <s v="Ventas Aceptables"/>
  </r>
  <r>
    <x v="148"/>
    <s v="mayo"/>
    <s v="lunes"/>
    <n v="3963.06"/>
    <x v="148"/>
    <n v="0"/>
    <n v="0"/>
    <n v="2283.02"/>
    <n v="34"/>
    <s v="Ventas Aceptables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23191.02"/>
    <x v="0"/>
    <n v="11667.320000000002"/>
    <x v="0"/>
    <n v="56296.37999999999"/>
    <n v="66894.640000000014"/>
    <n v="0.54301555421815662"/>
    <n v="1216"/>
    <n v="45580.68"/>
    <n v="34493.49"/>
    <n v="43116.86"/>
    <n v="28156.440000000002"/>
  </r>
  <r>
    <x v="1"/>
    <n v="110688.44"/>
    <x v="1"/>
    <n v="17264.27"/>
    <x v="1"/>
    <n v="50695.119999999995"/>
    <n v="59993.320000000007"/>
    <n v="0.54200167605578331"/>
    <n v="1025"/>
    <n v="41884.949999999997"/>
    <n v="35725.4"/>
    <n v="33078.1"/>
    <n v="28565.140000000003"/>
  </r>
  <r>
    <x v="2"/>
    <n v="121427.19"/>
    <x v="2"/>
    <n v="18080.920000000002"/>
    <x v="2"/>
    <n v="64292.87000000001"/>
    <n v="57134.319999999992"/>
    <n v="0.47052328230604684"/>
    <n v="1124"/>
    <n v="44348.77"/>
    <n v="36957.31"/>
    <n v="40121.120000000003"/>
    <n v="33720.93"/>
  </r>
  <r>
    <x v="3"/>
    <n v="118557.21"/>
    <x v="3"/>
    <n v="14429.87"/>
    <x v="1"/>
    <n v="47832.770000000004"/>
    <n v="70724.44"/>
    <n v="0.59654271553792471"/>
    <n v="1100"/>
    <n v="43116.86"/>
    <n v="36957.31"/>
    <n v="38483.050000000003"/>
    <n v="37694.369999999995"/>
  </r>
  <r>
    <x v="4"/>
    <n v="125702.61"/>
    <x v="4"/>
    <n v="18742.830000000002"/>
    <x v="3"/>
    <n v="52889.020000000019"/>
    <n v="72813.589999999982"/>
    <n v="0.57925280946831559"/>
    <n v="1132"/>
    <n v="43116.86"/>
    <n v="34493.49"/>
    <n v="48092.27"/>
    <n v="36175.91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3B738-CEB6-234A-B7F7-E5B572368F2F}" name="TablaDinámica5" cacheId="3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C12:F18" firstHeaderRow="0" firstDataRow="1" firstDataCol="1"/>
  <pivotFields count="13">
    <pivotField axis="axisRow" showAll="0">
      <items count="6">
        <item x="0"/>
        <item x="1"/>
        <item x="2"/>
        <item x="3"/>
        <item x="4"/>
        <item t="default"/>
      </items>
    </pivotField>
    <pivotField numFmtId="44" showAll="0"/>
    <pivotField dataField="1" numFmtId="44" showAll="0">
      <items count="6">
        <item x="1"/>
        <item x="4"/>
        <item x="2"/>
        <item x="3"/>
        <item x="0"/>
        <item t="default"/>
      </items>
    </pivotField>
    <pivotField dataField="1" numFmtId="44" showAll="0"/>
    <pivotField dataField="1" numFmtId="44" showAll="0">
      <items count="5">
        <item x="1"/>
        <item x="2"/>
        <item x="3"/>
        <item x="0"/>
        <item t="default"/>
      </items>
    </pivotField>
    <pivotField numFmtId="44" showAll="0"/>
    <pivotField numFmtId="44" showAll="0"/>
    <pivotField numFmtId="9" showAll="0"/>
    <pivotField numFmtId="1" showAll="0"/>
    <pivotField numFmtId="44" showAll="0"/>
    <pivotField numFmtId="44" showAll="0"/>
    <pivotField numFmtId="44" showAll="0"/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entas efectivo" fld="2" baseField="0" baseItem="0" numFmtId="42"/>
    <dataField name="Suma de Ventas tarjeta" fld="3" baseField="0" baseItem="0" numFmtId="42"/>
    <dataField name="Suma de Ventas transferencia" fld="4" baseField="0" baseItem="0" numFmtId="42"/>
  </dataFields>
  <formats count="3">
    <format dxfId="156">
      <pivotArea collapsedLevelsAreSubtotals="1" fieldPosition="0">
        <references count="2">
          <reference field="4294967294" count="2" selected="0">
            <x v="1"/>
            <x v="2"/>
          </reference>
          <reference field="0" count="3">
            <x v="0"/>
            <x v="1"/>
            <x v="2"/>
          </reference>
        </references>
      </pivotArea>
    </format>
    <format dxfId="155">
      <pivotArea outline="0" fieldPosition="0">
        <references count="1">
          <reference field="4294967294" count="1">
            <x v="1"/>
          </reference>
        </references>
      </pivotArea>
    </format>
    <format dxfId="154">
      <pivotArea outline="0" fieldPosition="0">
        <references count="1">
          <reference field="4294967294" count="1">
            <x v="2"/>
          </reference>
        </references>
      </pivotArea>
    </format>
  </formats>
  <chartFormats count="6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6F89C-7A0A-8C49-B802-7EC064A3E2AC}" name="TablaDinámica2" cacheId="34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8" rowHeaderCaption="Mes">
  <location ref="C5:G11" firstHeaderRow="0" firstDataRow="1" firstDataCol="1"/>
  <pivotFields count="1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Ventas efectivo" fld="4" baseField="0" baseItem="0"/>
    <dataField name="Total Ventas tarjeta" fld="5" baseField="0" baseItem="0"/>
    <dataField name="Total Ventas transferencia" fld="6" baseField="0" baseItem="0"/>
    <dataField name="Total Ventas totales" fld="3" baseField="0" baseItem="0"/>
  </dataFields>
  <formats count="16">
    <format dxfId="69">
      <pivotArea outline="0" collapsedLevelsAreSubtotals="1" fieldPosition="0"/>
    </format>
    <format dxfId="68">
      <pivotArea field="10" type="button" dataOnly="0" labelOnly="1" outline="0" axis="axisRow" fieldPosition="0"/>
    </format>
    <format dxfId="67">
      <pivotArea field="10" type="button" dataOnly="0" labelOnly="1" outline="0" axis="axisRow" fieldPosition="0"/>
    </format>
    <format dxfId="6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5">
      <pivotArea outline="0" collapsedLevelsAreSubtotals="1" fieldPosition="0"/>
    </format>
    <format dxfId="64">
      <pivotArea dataOnly="0" labelOnly="1" fieldPosition="0">
        <references count="1">
          <reference field="10" count="5">
            <x v="1"/>
            <x v="2"/>
            <x v="3"/>
            <x v="4"/>
            <x v="5"/>
          </reference>
        </references>
      </pivotArea>
    </format>
    <format dxfId="63">
      <pivotArea dataOnly="0" labelOnly="1" grandRow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10" type="button" dataOnly="0" labelOnly="1" outline="0" axis="axisRow" fieldPosition="0"/>
    </format>
    <format dxfId="59">
      <pivotArea dataOnly="0" labelOnly="1" fieldPosition="0">
        <references count="1">
          <reference field="10" count="5">
            <x v="1"/>
            <x v="2"/>
            <x v="3"/>
            <x v="4"/>
            <x v="5"/>
          </reference>
        </references>
      </pivotArea>
    </format>
    <format dxfId="58">
      <pivotArea dataOnly="0" labelOnly="1" grandRow="1" outline="0" fieldPosition="0"/>
    </format>
    <format dxfId="5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6">
      <pivotArea outline="0" collapsedLevelsAreSubtotals="1" fieldPosition="0"/>
    </format>
    <format dxfId="55">
      <pivotArea field="10" type="button" dataOnly="0" labelOnly="1" outline="0" axis="axisRow" fieldPosition="0"/>
    </format>
    <format dxfId="5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8">
    <chartFormat chart="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A7B90-1BF5-D447-8EBD-91576098338D}" name="TablaDinámica3" cacheId="3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C45:I47" firstHeaderRow="0" firstDataRow="1" firstDataCol="1"/>
  <pivotFields count="12"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6">
        <item x="3"/>
        <item h="1" x="0"/>
        <item h="1" x="1"/>
        <item h="1" x="4"/>
        <item h="1" x="2"/>
        <item t="default"/>
      </items>
    </pivotField>
    <pivotField showAll="0"/>
    <pivotField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Ventas enero" fld="5" baseField="0" baseItem="0"/>
    <dataField name="Ventas febrero" fld="6" baseField="0" baseItem="0"/>
    <dataField name="Ventas marzo" fld="7" baseField="0" baseItem="0"/>
    <dataField name="Ventas abril" fld="8" baseField="0" baseItem="0"/>
    <dataField name="Ventas mayo" fld="9" baseField="0" baseItem="0"/>
    <dataField name="Total por vendedor" fld="11" baseField="0" baseItem="0" numFmtId="43"/>
  </dataFields>
  <formats count="9">
    <format dxfId="78">
      <pivotArea outline="0" collapsedLevelsAreSubtotals="1" fieldPosition="0"/>
    </format>
    <format dxfId="7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dataOnly="0" labelOnly="1" grandRow="1" outline="0" fieldPosition="0"/>
    </format>
    <format dxfId="7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70">
      <pivotArea outline="0" collapsedLevelsAreSubtotals="1" fieldPosition="0"/>
    </format>
  </formats>
  <chartFormats count="13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7FA38-1DF6-1C44-81E4-1FADB06CD359}" name="TablaDinámica1" cacheId="3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C75:H81" firstHeaderRow="0" firstDataRow="1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2">
        <item x="0"/>
        <item t="default"/>
      </items>
    </pivotField>
    <pivotField numFmtId="44" showAll="0">
      <items count="6">
        <item x="1"/>
        <item x="3"/>
        <item x="2"/>
        <item x="0"/>
        <item x="4"/>
        <item t="default"/>
      </items>
    </pivotField>
    <pivotField dataField="1" numFmtId="44" showAll="0">
      <items count="5">
        <item x="1"/>
        <item x="3"/>
        <item x="2"/>
        <item x="0"/>
        <item t="default"/>
      </items>
    </pivotField>
    <pivotField dataField="1" numFmtId="44" showAll="0">
      <items count="4">
        <item x="0"/>
        <item x="1"/>
        <item x="2"/>
        <item t="default"/>
      </items>
    </pivotField>
    <pivotField dataField="1" numFmtId="44" showAll="0">
      <items count="6">
        <item x="1"/>
        <item x="3"/>
        <item x="2"/>
        <item x="0"/>
        <item x="4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Tienda 1" fld="3" baseField="0" baseItem="0" numFmtId="166"/>
    <dataField name="Total Tienda 2" fld="4" baseField="0" baseItem="0" numFmtId="166"/>
    <dataField name="% de Comparación de ventas entre Tienda 2 y Tienda 1 en el mes" fld="6" baseField="0" baseItem="0" numFmtId="9"/>
    <dataField name="Total Tienda 3" fld="5" baseField="0" baseItem="0" numFmtId="166"/>
    <dataField name="% de Comparación de ventas entre Tienda 3 y Tienda 2 en el mes" fld="7" baseField="0" baseItem="0" numFmtId="9"/>
  </dataFields>
  <formats count="9">
    <format dxfId="8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84">
      <pivotArea field="0" type="button" dataOnly="0" labelOnly="1" outline="0" axis="axisRow" fieldPosition="0"/>
    </format>
    <format dxfId="8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2">
      <pivotArea field="0" type="button" dataOnly="0" labelOnly="1" outline="0" axis="axisRow" fieldPosition="0"/>
    </format>
    <format dxfId="8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0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7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4B354-EF33-F841-8D02-4C1FF9996274}" name="TablaDinámica9" cacheId="34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6" rowHeaderCaption="Mes">
  <location ref="C14:G20" firstHeaderRow="0" firstDataRow="1" firstDataCol="1"/>
  <pivotFields count="1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1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Costos totales" fld="12" baseField="0" baseItem="0" numFmtId="166"/>
    <dataField name="Utilidad del mes" fld="7" baseField="0" baseItem="0" numFmtId="166"/>
    <dataField name="Porcentaje de Utlidad Bruta del mes" fld="13" baseField="0" baseItem="0" numFmtId="9"/>
    <dataField name="Promedio de Tickets" fld="8" subtotal="average" baseField="0" baseItem="0"/>
  </dataFields>
  <formats count="15">
    <format dxfId="102">
      <pivotArea outline="0" collapsedLevelsAreSubtotals="1" fieldPosition="0"/>
    </format>
    <format dxfId="101">
      <pivotArea field="10" type="button" dataOnly="0" labelOnly="1" outline="0" axis="axisRow" fieldPosition="0"/>
    </format>
    <format dxfId="10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99">
      <pivotArea field="10" type="button" dataOnly="0" labelOnly="1" outline="0" axis="axisRow" fieldPosition="0"/>
    </format>
    <format dxfId="9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7">
      <pivotArea outline="0" collapsedLevelsAreSubtotals="1" fieldPosition="0"/>
    </format>
    <format dxfId="96">
      <pivotArea dataOnly="0" labelOnly="1" fieldPosition="0">
        <references count="1">
          <reference field="10" count="5">
            <x v="1"/>
            <x v="2"/>
            <x v="3"/>
            <x v="4"/>
            <x v="5"/>
          </reference>
        </references>
      </pivotArea>
    </format>
    <format dxfId="95">
      <pivotArea dataOnly="0" labelOnly="1" grandRow="1" outline="0" fieldPosition="0"/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10" type="button" dataOnly="0" labelOnly="1" outline="0" axis="axisRow" fieldPosition="0"/>
    </format>
    <format dxfId="91">
      <pivotArea dataOnly="0" labelOnly="1" fieldPosition="0">
        <references count="1">
          <reference field="10" count="5">
            <x v="1"/>
            <x v="2"/>
            <x v="3"/>
            <x v="4"/>
            <x v="5"/>
          </reference>
        </references>
      </pivotArea>
    </format>
    <format dxfId="90">
      <pivotArea dataOnly="0" labelOnly="1" grandRow="1" outline="0" fieldPosition="0"/>
    </format>
    <format dxfId="8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chartFormats count="20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1585D8-3555-E143-9606-FD674DF72D78}" name="TablaDinámica4" cacheId="31" dataOnRows="1" dataPosition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C88:M94" firstHeaderRow="1" firstDataRow="2" firstDataCol="1"/>
  <pivotFields count="7">
    <pivotField axis="axisCol" showAll="0">
      <items count="10">
        <item x="1"/>
        <item x="3"/>
        <item x="2"/>
        <item x="8"/>
        <item x="7"/>
        <item x="4"/>
        <item x="0"/>
        <item x="5"/>
        <item x="6"/>
        <item t="default"/>
      </items>
    </pivotField>
    <pivotField dataField="1" numFmtId="44" showAll="0">
      <items count="9">
        <item x="4"/>
        <item x="7"/>
        <item x="6"/>
        <item x="2"/>
        <item x="1"/>
        <item x="3"/>
        <item x="0"/>
        <item x="5"/>
        <item t="default"/>
      </items>
    </pivotField>
    <pivotField dataField="1" numFmtId="44" showAll="0">
      <items count="9">
        <item x="1"/>
        <item x="7"/>
        <item x="6"/>
        <item x="2"/>
        <item x="4"/>
        <item x="3"/>
        <item x="0"/>
        <item x="5"/>
        <item t="default"/>
      </items>
    </pivotField>
    <pivotField dataField="1" numFmtId="44" showAll="0">
      <items count="10">
        <item x="7"/>
        <item x="8"/>
        <item x="2"/>
        <item x="5"/>
        <item x="3"/>
        <item x="1"/>
        <item x="4"/>
        <item x="0"/>
        <item x="6"/>
        <item t="default"/>
      </items>
    </pivotField>
    <pivotField dataField="1" numFmtId="44" showAll="0">
      <items count="10">
        <item x="2"/>
        <item x="5"/>
        <item x="7"/>
        <item x="8"/>
        <item x="4"/>
        <item x="3"/>
        <item x="1"/>
        <item x="0"/>
        <item x="6"/>
        <item t="default"/>
      </items>
    </pivotField>
    <pivotField dataField="1" numFmtId="44" showAll="0">
      <items count="10">
        <item x="8"/>
        <item x="2"/>
        <item x="5"/>
        <item x="7"/>
        <item x="4"/>
        <item x="3"/>
        <item x="1"/>
        <item x="0"/>
        <item x="6"/>
        <item t="default"/>
      </items>
    </pivotField>
    <pivotField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5">
    <dataField name="Gasto Enero" fld="1" baseField="0" baseItem="0" numFmtId="44"/>
    <dataField name="Gasto Febrero" fld="2" baseField="0" baseItem="0" numFmtId="44"/>
    <dataField name="Gasto Marzo" fld="3" baseField="0" baseItem="0" numFmtId="44"/>
    <dataField name="Gasto Abril" fld="4" baseField="0" baseItem="0" numFmtId="44"/>
    <dataField name="Gasto Mayo" fld="5" baseField="0" baseItem="0" numFmtId="44"/>
  </dataFields>
  <formats count="17">
    <format dxfId="119">
      <pivotArea type="all" dataOnly="0" outline="0" fieldPosition="0"/>
    </format>
    <format dxfId="118">
      <pivotArea type="origin" dataOnly="0" labelOnly="1" outline="0" fieldPosition="0"/>
    </format>
    <format dxfId="117">
      <pivotArea field="0" type="button" dataOnly="0" labelOnly="1" outline="0" axis="axisCol" fieldPosition="0"/>
    </format>
    <format dxfId="116">
      <pivotArea type="topRight" dataOnly="0" labelOnly="1" outline="0" fieldPosition="0"/>
    </format>
    <format dxfId="115">
      <pivotArea field="-2" type="button" dataOnly="0" labelOnly="1" outline="0" axis="axisRow" fieldPosition="0"/>
    </format>
    <format dxfId="114">
      <pivotArea dataOnly="0" labelOnly="1" fieldPosition="0">
        <references count="1">
          <reference field="0" count="0"/>
        </references>
      </pivotArea>
    </format>
    <format dxfId="113">
      <pivotArea dataOnly="0" labelOnly="1" grandCol="1" outline="0" fieldPosition="0"/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type="origin" dataOnly="0" labelOnly="1" outline="0" fieldPosition="0"/>
    </format>
    <format dxfId="109">
      <pivotArea field="0" type="button" dataOnly="0" labelOnly="1" outline="0" axis="axisCol" fieldPosition="0"/>
    </format>
    <format dxfId="108">
      <pivotArea type="topRight" dataOnly="0" labelOnly="1" outline="0" fieldPosition="0"/>
    </format>
    <format dxfId="107">
      <pivotArea field="-2" type="button" dataOnly="0" labelOnly="1" outline="0" axis="axisRow" fieldPosition="0"/>
    </format>
    <format dxfId="10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05">
      <pivotArea dataOnly="0" labelOnly="1" fieldPosition="0">
        <references count="1">
          <reference field="0" count="0"/>
        </references>
      </pivotArea>
    </format>
    <format dxfId="104">
      <pivotArea dataOnly="0" labelOnly="1" grandCol="1" outline="0" fieldPosition="0"/>
    </format>
    <format dxfId="103">
      <pivotArea outline="0" collapsedLevelsAreSubtotals="1" fieldPosition="0"/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sto1" xr10:uid="{7B48C5CF-6B47-354A-A14D-DC34B01DCA99}" sourceName="Costo">
  <pivotTables>
    <pivotTable tabId="10" name="TablaDinámica4"/>
  </pivotTables>
  <data>
    <tabular pivotCacheId="446390179">
      <items count="9">
        <i x="1" s="1"/>
        <i x="3" s="1"/>
        <i x="2" s="1"/>
        <i x="8" s="1"/>
        <i x="7" s="1"/>
        <i x="4" s="1"/>
        <i x="0" s="1"/>
        <i x="5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1" xr10:uid="{616BCB35-CC4F-DE47-B0BF-10F633F2B5E9}" sourceName="Mes">
  <pivotTables>
    <pivotTable tabId="10" name="TablaDinámica1"/>
  </pivotTables>
  <data>
    <tabular pivotCacheId="1761945102">
      <items count="5">
        <i x="0" s="1"/>
        <i x="1" s="1"/>
        <i x="2" s="1"/>
        <i x="3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completo1" xr10:uid="{33F1FD99-76FF-1044-A71B-D29F41F6D92E}" sourceName="Nombre completo">
  <pivotTables>
    <pivotTable tabId="10" name="TablaDinámica3"/>
  </pivotTables>
  <data>
    <tabular pivotCacheId="2054350664">
      <items count="5">
        <i x="3" s="1"/>
        <i x="0"/>
        <i x="1"/>
        <i x="4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sto 1" xr10:uid="{320487B8-C649-DB4E-8E34-860ED0D62F39}" cache="SegmentaciónDeDatos_Costo1" caption="Seleccione Costo" style="SlicerStyleLight5" rowHeight="230716"/>
  <slicer name="Mes 1" xr10:uid="{D5510D36-5480-4848-B34E-6FBB5CB0F477}" cache="SegmentaciónDeDatos_Mes1" caption="Selecciones mes o meses" style="SlicerStyleLight5" rowHeight="230716"/>
  <slicer name="Seleccione vendedor/es 1" xr10:uid="{52D187A2-040B-A24F-AC17-DBBFDA7A7948}" cache="SegmentaciónDeDatos_Nombre_completo1" caption="Selecciones vendedor/es" style="SlicerStyleLight5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C34077-B22F-0747-9EE7-AAE6927B313A}" name="Tabla9" displayName="Tabla9" ref="C2:O8" totalsRowShown="0" headerRowDxfId="153" dataDxfId="151" headerRowBorderDxfId="152" tableBorderDxfId="150" dataCellStyle="Moneda">
  <autoFilter ref="C2:O8" xr:uid="{B9C34077-B22F-0747-9EE7-AAE6927B313A}"/>
  <tableColumns count="13">
    <tableColumn id="1" xr3:uid="{4C5E1C4B-C45B-2441-955B-6A40DA9C3EBF}" name="Mes" dataDxfId="149"/>
    <tableColumn id="2" xr3:uid="{CDA922B4-E181-B847-BE8A-88FB94CD51FA}" name="Ventas totales" dataDxfId="148" dataCellStyle="Moneda"/>
    <tableColumn id="3" xr3:uid="{B7105946-A13B-EB49-9C67-F82F389DDFCC}" name="Ventas efectivo" dataDxfId="147" dataCellStyle="Moneda"/>
    <tableColumn id="4" xr3:uid="{9C26D847-403E-BC4A-B9B0-6EAB9BC2AFAA}" name="Ventas tarjeta" dataDxfId="146" dataCellStyle="Moneda"/>
    <tableColumn id="5" xr3:uid="{27208558-890E-644D-BA81-7E8EAD22AC21}" name="Ventas transferencia" dataDxfId="145" dataCellStyle="Moneda"/>
    <tableColumn id="6" xr3:uid="{7CBCA6B3-2162-7C4F-9C1D-CA1F3794D008}" name="Costos Operacionales" dataDxfId="144" dataCellStyle="Moneda"/>
    <tableColumn id="7" xr3:uid="{9B0DF19F-5B77-4D45-9D6E-BE1FA3F938FC}" name="Utilidad Bruta" dataDxfId="143" dataCellStyle="Moneda"/>
    <tableColumn id="8" xr3:uid="{26D810CB-862E-1B41-AB90-9CFA9F1801BB}" name="Porcentaje de Utilidad Bruta" dataDxfId="142" dataCellStyle="Porcentaje">
      <calculatedColumnFormula>I3/D3</calculatedColumnFormula>
    </tableColumn>
    <tableColumn id="9" xr3:uid="{708F88E2-6753-1847-A273-BA7DB125EF16}" name="Tickets" dataDxfId="141" dataCellStyle="Millares"/>
    <tableColumn id="10" xr3:uid="{F9785C82-D323-A443-AE61-39354CC72A4D}" name="Tienda 1" dataDxfId="140" dataCellStyle="Moneda"/>
    <tableColumn id="11" xr3:uid="{73B66311-FB48-EF47-BD1A-C156488C397A}" name="Tienda 2" dataDxfId="139" dataCellStyle="Moneda"/>
    <tableColumn id="12" xr3:uid="{16AF8A69-27EE-F74B-907B-5398CD5B74E4}" name="Tienda 3" dataDxfId="138" dataCellStyle="Moneda"/>
    <tableColumn id="13" xr3:uid="{416747CE-C641-434A-84D9-E6FB24FAE412}" name="Gastos" dataDxfId="137" dataCellStyle="Moneda"/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36530B-D832-6E47-A2BE-97B3608BFD20}" name="Tabla10" displayName="Tabla10" ref="B15:D32" totalsRowShown="0" headerRowDxfId="5" tableBorderDxfId="4">
  <autoFilter ref="B15:D32" xr:uid="{6C36530B-D832-6E47-A2BE-97B3608BFD20}"/>
  <tableColumns count="3">
    <tableColumn id="1" xr3:uid="{46138184-5893-9749-9CDC-C61CD171B2A2}" name="Gastos" dataDxfId="3"/>
    <tableColumn id="2" xr3:uid="{959864E2-A5F7-9040-AF6D-543E66C712DD}" name="Mes" dataDxfId="2"/>
    <tableColumn id="3" xr3:uid="{8D7AFE67-76CC-0343-BE71-81B9FFE6889D}" name="Valor" dataDxfId="1" dataCellStyle="Moneda">
      <calculatedColumnFormula>INDEX(Tabla5[[enero]:[mayo]],MATCH('Gastos Mensuales'!$B16,Tabla5[Gastos],0),MATCH('Gastos Mensuales'!$C16,Tabla5[[#Headers],[enero]:[mayo]],0))</calculatedColumnFormula>
    </tableColumn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2E5BA4-69B2-5D4A-B6AB-DDDEB08528F3}" name="Tabla7" displayName="Tabla7" ref="A3:H32" totalsRowShown="0">
  <autoFilter ref="A3:H32" xr:uid="{F62E5BA4-69B2-5D4A-B6AB-DDDEB08528F3}"/>
  <tableColumns count="8">
    <tableColumn id="1" xr3:uid="{26A1574E-FEBD-EE4F-A2B8-28B42E0226E6}" name="Columna1"/>
    <tableColumn id="2" xr3:uid="{39F082B6-AB58-674E-8741-449C0BE75DE8}" name="Columna2" dataDxfId="0"/>
    <tableColumn id="3" xr3:uid="{BABC4FD2-2F70-624A-A1EF-D5D10A3E5F57}" name="Columna3"/>
    <tableColumn id="4" xr3:uid="{47814881-576C-6F44-8691-75821E898D04}" name="Columna4"/>
    <tableColumn id="5" xr3:uid="{0DA89F75-6296-4449-9EBD-DE2A675C6881}" name="Columna5"/>
    <tableColumn id="6" xr3:uid="{55D3F1B0-EF5D-394E-8F97-EE97EEE1580C}" name="Columna6"/>
    <tableColumn id="7" xr3:uid="{2F5B48BF-A90E-1D44-A580-A0CBB168F11B}" name="Columna7"/>
    <tableColumn id="8" xr3:uid="{C7901DB7-DE5A-A745-8237-B0B4801DFDFB}" name="Columna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20B817C-007E-A74F-90CA-745100C4BA62}" name="Tabla11" displayName="Tabla11" ref="C74:O75" totalsRowShown="0" headerRowDxfId="136" dataDxfId="134" headerRowBorderDxfId="135" tableBorderDxfId="133" dataCellStyle="Moneda">
  <autoFilter ref="C74:O75" xr:uid="{320B817C-007E-A74F-90CA-745100C4BA62}"/>
  <tableColumns count="13">
    <tableColumn id="1" xr3:uid="{5E6F9B99-8920-7C42-B235-A72E51118D0C}" name="Mes" dataDxfId="132">
      <calculatedColumnFormula>D66</calculatedColumnFormula>
    </tableColumn>
    <tableColumn id="2" xr3:uid="{AA5947F1-A5E5-7F4B-82E1-6CEAFE3F8153}" name="Ventas totales" dataDxfId="131" dataCellStyle="Moneda">
      <calculatedColumnFormula>INDEX(D3:O7,MATCH(C75,C3:C7,0),MATCH(D74,D2:O2,0))</calculatedColumnFormula>
    </tableColumn>
    <tableColumn id="3" xr3:uid="{5F5228DE-F443-0A4F-9DF1-AC3E1D56BBD7}" name="Ventas efectivo" dataDxfId="130" dataCellStyle="Moneda">
      <calculatedColumnFormula>INDEX($D$3:$O$7,MATCH($C$75,$C$3:$C$7,0), MATCH(E74,$D$2:$O$2,0))</calculatedColumnFormula>
    </tableColumn>
    <tableColumn id="4" xr3:uid="{094183AB-55D1-2C4E-99D6-B8432B2C95D0}" name="Ventas tarjeta" dataDxfId="129" dataCellStyle="Moneda">
      <calculatedColumnFormula>INDEX($D$3:$O$7,MATCH($C$75,$C$3:$C$7,0), MATCH(F74,$D$2:$O$2,0))</calculatedColumnFormula>
    </tableColumn>
    <tableColumn id="5" xr3:uid="{9BCBA7DC-9EFF-6940-B631-E51C7FFD32AA}" name="Ventas transferencia" dataDxfId="128" dataCellStyle="Moneda">
      <calculatedColumnFormula>INDEX($D$3:$O$7,MATCH($C$75,$C$3:$C$7,0), MATCH(G74,$D$2:$O$2,0))</calculatedColumnFormula>
    </tableColumn>
    <tableColumn id="6" xr3:uid="{EC482D2D-0C52-FF4D-B838-D601EB6E210B}" name="Costos Operacionales" dataDxfId="127" dataCellStyle="Moneda">
      <calculatedColumnFormula>INDEX($D$3:$O$7,MATCH($C$75,$C$3:$C$7,0),MATCH(H74,$D$2:$O$2,0))</calculatedColumnFormula>
    </tableColumn>
    <tableColumn id="7" xr3:uid="{000B0A41-91F2-FF46-A26A-633C4BCA6C35}" name="Utilidad Bruta" dataDxfId="126" dataCellStyle="Moneda">
      <calculatedColumnFormula>INDEX($D$3:$O$7,MATCH($C$75,$C$3:$C$7,0),MATCH(I74,$D$2:$O$2,0))</calculatedColumnFormula>
    </tableColumn>
    <tableColumn id="8" xr3:uid="{BFB78A43-C345-2F4E-A749-66DD2EDFC066}" name="Porcentaje de Utilidad Bruta" dataDxfId="125" dataCellStyle="Porcentaje">
      <calculatedColumnFormula>INDEX($D$3:$O$7,MATCH($C$75,$C$3:$C$7,0),MATCH(J74,$D$2:$O$2,0))</calculatedColumnFormula>
    </tableColumn>
    <tableColumn id="9" xr3:uid="{5441585E-6C3C-C44E-8BB9-630D20CD76DD}" name="Tickets" dataDxfId="124" dataCellStyle="Moneda">
      <calculatedColumnFormula>INDEX($D$3:$O$7,MATCH($C$75,$C$3:$C$7,0), MATCH(K74,$D$2:$O$2,0))</calculatedColumnFormula>
    </tableColumn>
    <tableColumn id="10" xr3:uid="{9D51A2EB-78BD-5548-90E7-6CBE848F9A5D}" name="Tienda 1" dataDxfId="123" dataCellStyle="Moneda">
      <calculatedColumnFormula>INDEX($D$3:$O$7,MATCH($C$75,$C$3:$C$7,0), MATCH(L74,$D$2:$O$2,0))</calculatedColumnFormula>
    </tableColumn>
    <tableColumn id="11" xr3:uid="{219BF372-F6E7-4D42-BF26-31EC6E63FB8F}" name="Tienda 2" dataDxfId="122" dataCellStyle="Moneda">
      <calculatedColumnFormula>INDEX($D$3:$O$7,MATCH($C$75,$C$3:$C$7,0), MATCH(M74,$D$2:$O$2,0))</calculatedColumnFormula>
    </tableColumn>
    <tableColumn id="12" xr3:uid="{2EA8FC05-300C-3049-B304-C427CCD96945}" name="Tienda 3" dataDxfId="121" dataCellStyle="Moneda">
      <calculatedColumnFormula>INDEX($D$3:$O$7,MATCH($C$75,$C$3:$C$7,0), MATCH(N74,$D$2:$O$2,0))</calculatedColumnFormula>
    </tableColumn>
    <tableColumn id="13" xr3:uid="{4A674CA2-42CF-4D48-AFA2-2524AD52D314}" name="Gastos" dataDxfId="120" dataCellStyle="Moneda">
      <calculatedColumnFormula>INDEX($D$3:$O$7,MATCH($C$75,$C$3:$C$7,0), MATCH(O74,$D$2:$O$2,0))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56DE97-249D-3E4D-85DD-E1F6368F1546}" name="Tabla2" displayName="Tabla2" ref="A1:J150" totalsRowShown="0" headerRowDxfId="50" dataDxfId="49">
  <autoFilter ref="A1:J150" xr:uid="{C856DE97-249D-3E4D-85DD-E1F6368F1546}"/>
  <sortState xmlns:xlrd2="http://schemas.microsoft.com/office/spreadsheetml/2017/richdata2" ref="A2:I30">
    <sortCondition ref="B1:B150"/>
  </sortState>
  <tableColumns count="10">
    <tableColumn id="1" xr3:uid="{82DA6A6A-0B44-0747-8043-8589BDFDCE88}" name="Fecha" dataDxfId="48"/>
    <tableColumn id="9" xr3:uid="{23832B7E-2397-4249-8E3F-A60A94ABC2BE}" name="Mes" dataDxfId="47">
      <calculatedColumnFormula>TEXT(A:A,"MMMM")</calculatedColumnFormula>
    </tableColumn>
    <tableColumn id="8" xr3:uid="{2071DF36-B0ED-B24C-8DCD-F7D73D225B8E}" name="Día" dataDxfId="46">
      <calculatedColumnFormula>TEXT(Tabla2[[#This Row],[Fecha]],"DDDD")</calculatedColumnFormula>
    </tableColumn>
    <tableColumn id="2" xr3:uid="{F9CB5A3A-A605-A047-BD6B-73CE60845698}" name="Ventas totales" dataDxfId="45" dataCellStyle="Millares"/>
    <tableColumn id="3" xr3:uid="{A3E39747-44F5-B146-972B-2212421B6C22}" name="Ventas efectivo" dataDxfId="44" dataCellStyle="Millares"/>
    <tableColumn id="4" xr3:uid="{09EB10F3-78D8-0846-A9DC-126DC41671F0}" name="Ventas tarjeta" dataDxfId="43" dataCellStyle="Millares"/>
    <tableColumn id="5" xr3:uid="{9280777F-50FA-B44B-BBED-68A061356AD4}" name="Ventas transferencia" dataDxfId="42" dataCellStyle="Millares"/>
    <tableColumn id="6" xr3:uid="{BEAD6353-58BF-2C4C-ADBE-AFC9781E2CF3}" name="Utilidad" dataDxfId="41" dataCellStyle="Millares"/>
    <tableColumn id="7" xr3:uid="{48242980-6422-1740-B388-DFCA86AF941E}" name="Tickets" dataDxfId="40" dataCellStyle="Millares"/>
    <tableColumn id="10" xr3:uid="{293D217C-B7FA-A246-A315-D3B66C8C6F62}" name="Cumplimiento" dataDxfId="39" dataCellStyle="Millares">
      <calculatedColumnFormula>IF(Tabla2[[#This Row],[Ventas totales]] &lt; 2500, "Ventas Muy Bajas", IF(Tabla2[[#This Row],[Ventas totales]] &lt;= 3999, "Ventas Aceptables", "Ventas Cumplidas"))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06D492-0595-0E46-9F9E-E7EA841AFCBE}" name="Tabla6" displayName="Tabla6" ref="N7:R35" totalsRowShown="0" headerRowDxfId="38">
  <autoFilter ref="N7:R35" xr:uid="{C006D492-0595-0E46-9F9E-E7EA841AFCBE}"/>
  <tableColumns count="5">
    <tableColumn id="1" xr3:uid="{E96D6881-0415-E842-B3FE-B6659B2BA725}" name="Mes"/>
    <tableColumn id="2" xr3:uid="{75D349BD-BB23-AF42-A5CF-0877725F1391}" name="Día"/>
    <tableColumn id="3" xr3:uid="{01BEF42E-C906-DE4D-A4C1-B26F52B6468F}" name="Ventas totales"/>
    <tableColumn id="4" xr3:uid="{FCA3C042-E86B-2D43-8FD1-F374BA508AC6}" name="Promedio"/>
    <tableColumn id="5" xr3:uid="{FC1A1EE8-25FE-F74F-A44C-C0DC4AC85E8B}" name="cantidad de veces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37423A-FF74-8E49-8AFF-8E33625A0D38}" name="Tabla3" displayName="Tabla3" ref="A1:J6" totalsRowShown="0" headerRowDxfId="34">
  <autoFilter ref="A1:J6" xr:uid="{4E37423A-FF74-8E49-8AFF-8E33625A0D38}"/>
  <tableColumns count="10">
    <tableColumn id="1" xr3:uid="{87F2DE93-114B-E04B-80BA-1C6194EC5DD4}" name="Vendedor"/>
    <tableColumn id="2" xr3:uid="{C1F6BD0B-8358-6645-9319-92069586282C}" name="ID">
      <calculatedColumnFormula>MID(A2,1,6)</calculatedColumnFormula>
    </tableColumn>
    <tableColumn id="3" xr3:uid="{DAFFB425-3782-2943-B27D-111DFF1A31E1}" name="Nombre completo">
      <calculatedColumnFormula>MID(A2,8,90)</calculatedColumnFormula>
    </tableColumn>
    <tableColumn id="10" xr3:uid="{0E356B89-3438-FA4A-9E7E-5570DBD6F9B3}" name="Nombre" dataDxfId="33">
      <calculatedColumnFormula>e</calculatedColumnFormula>
    </tableColumn>
    <tableColumn id="4" xr3:uid="{383FAA11-2742-D845-B908-24715477CFA2}" name="Apellido"/>
    <tableColumn id="5" xr3:uid="{EF36604A-6327-F24E-9EA2-F97AEE4012EC}" name="enero" totalsRowDxfId="32" dataCellStyle="Millares" totalsRowCellStyle="Millares"/>
    <tableColumn id="6" xr3:uid="{BFFB1C47-C202-AF4F-825E-A2D59147873F}" name="febrero" totalsRowDxfId="31" dataCellStyle="Millares" totalsRowCellStyle="Millares"/>
    <tableColumn id="7" xr3:uid="{CF8A450D-C791-9640-80EE-E8B6726DA9BD}" name="marzo" totalsRowDxfId="30" dataCellStyle="Millares" totalsRowCellStyle="Millares"/>
    <tableColumn id="8" xr3:uid="{1D82E8AD-5681-6D43-ADEE-9F134520E540}" name="abril" totalsRowDxfId="29" dataCellStyle="Millares" totalsRowCellStyle="Millares"/>
    <tableColumn id="9" xr3:uid="{DE6229AE-7410-B246-B9EF-4BBF2153C9A7}" name="mayo" totalsRowDxfId="28" dataCellStyle="Millares" totalsRowCellStyle="Millares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D81153-A7CD-DD4F-BD8A-1AC0F3E6ED62}" name="Tabla1" displayName="Tabla1" ref="F10:I39" totalsRowShown="0" headerRowDxfId="27">
  <autoFilter ref="F10:I39" xr:uid="{C6D81153-A7CD-DD4F-BD8A-1AC0F3E6ED62}"/>
  <tableColumns count="4">
    <tableColumn id="1" xr3:uid="{E7E76BAE-2B66-A24F-B77E-C4D5AB42BEB7}" name="Vendedor"/>
    <tableColumn id="2" xr3:uid="{8728E146-9BAA-8E4C-ABAE-9F5495C5AD20}" name="Mes"/>
    <tableColumn id="3" xr3:uid="{248483B1-E43F-054C-896F-60A090C2EB33}" name="Total ventas" dataCellStyle="Moneda">
      <calculatedColumnFormula>INDEX(Tabla3[[enero]:[mayo]], MATCH(Tabla1[[#This Row],[Vendedor]],Tabla3[Nombre completo],0), MATCH(Tabla1[[#This Row],[Mes]],Tabla3[[#Headers],[enero]:[mayo]],0))</calculatedColumnFormula>
    </tableColumn>
    <tableColumn id="4" xr3:uid="{3841ECF1-D022-F147-BDE0-9E425C357D1B}" name="Estado de la ventas" dataDxfId="26">
      <calculatedColumnFormula>IF(Tabla1[[#This Row],[Total ventas]] &lt; 20000, "Ventas Muy Bajas", IF(Tabla1[[#This Row],[Total ventas]] &lt; 25000, "Ventas Regular", "Ventas Cumplidas"))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DAA490-3550-B444-AA94-2408D47318EA}" name="Tabla4" displayName="Tabla4" ref="A1:F6" totalsRowShown="0" headerRowDxfId="22" dataDxfId="21" dataCellStyle="Moneda">
  <autoFilter ref="A1:F6" xr:uid="{89DAA490-3550-B444-AA94-2408D47318EA}"/>
  <tableColumns count="6">
    <tableColumn id="1" xr3:uid="{79C52D5E-F01C-1B45-9F70-1320B6B18610}" name="Mes" dataDxfId="20"/>
    <tableColumn id="2" xr3:uid="{6BEE05AD-E53D-D240-A1E4-E2478020A8BE}" name="Año" dataDxfId="19"/>
    <tableColumn id="3" xr3:uid="{568D4AF2-E976-A543-BBE1-090E865D029E}" name="Total" dataDxfId="18" dataCellStyle="Moneda"/>
    <tableColumn id="4" xr3:uid="{E2F122C1-324C-3643-ACDB-763B54045040}" name="Tienda 1" dataDxfId="17" dataCellStyle="Moneda"/>
    <tableColumn id="5" xr3:uid="{31435391-0691-7E4A-B74C-956175509037}" name="Tienda 2" dataDxfId="16" dataCellStyle="Moneda"/>
    <tableColumn id="6" xr3:uid="{AA0C7C31-EE99-1D45-8BED-E37AE4917934}" name="Tienda 3" dataDxfId="15" dataCellStyle="Moneda"/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036DD-E028-5D4D-A892-7D805C9BDF3E}" name="Tabla8" displayName="Tabla8" ref="D12:G30" totalsRowShown="0">
  <autoFilter ref="D12:G30" xr:uid="{4DB036DD-E028-5D4D-A892-7D805C9BDF3E}"/>
  <tableColumns count="4">
    <tableColumn id="1" xr3:uid="{E0E67E7A-2044-DB42-86F6-0AC4C6F6E545}" name="Tienda"/>
    <tableColumn id="2" xr3:uid="{17E01049-B8BC-5148-B04F-F371B2C3E808}" name="Mes"/>
    <tableColumn id="3" xr3:uid="{7629033D-8F21-9B43-8409-3AC9DB06E9E5}" name="Ventas" dataDxfId="14" dataCellStyle="Moneda">
      <calculatedColumnFormula>INDEX(Tabla4[[Tienda 1]:[Tienda 3]],MATCH(Tabla8[[#This Row],[Mes]],Tabla4[Mes],0),MATCH(Tabla8[[#This Row],[Tienda]],Tabla4[[#Headers],[Tienda 1]:[Tienda 3]],0))</calculatedColumnFormula>
    </tableColumn>
    <tableColumn id="4" xr3:uid="{FCDF0D31-0096-E944-93B3-926327F3FCF4}" name="Estado" dataDxfId="13">
      <calculatedColumnFormula>IF(Tabla8[[#This Row],[Ventas]] &lt; K4, "Ventas no aceptables", IF(Tabla8[[#This Row],[Ventas]] &lt; K2, "Ventas Aceptables", "Ventas Objetivo"))</calculatedColumnFormula>
    </tableColumn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1CE68A-24E3-7544-8985-C6FAA3FF9A11}" name="Tabla5" displayName="Tabla5" ref="A1:F10" totalsRowShown="0" headerRowDxfId="12" dataDxfId="11" dataCellStyle="Moneda">
  <autoFilter ref="A1:F10" xr:uid="{B51CE68A-24E3-7544-8985-C6FAA3FF9A11}"/>
  <tableColumns count="6">
    <tableColumn id="1" xr3:uid="{F721FF75-D2C4-1F4D-A3A5-260A52224E0C}" name="Gastos"/>
    <tableColumn id="2" xr3:uid="{02539D96-7CA0-A64B-80B6-3D27FB9B217E}" name="enero" dataDxfId="10" dataCellStyle="Moneda"/>
    <tableColumn id="3" xr3:uid="{7B08DF2F-D7B2-D247-AE6B-F869D87CA7EE}" name="febrero" dataDxfId="9" dataCellStyle="Moneda"/>
    <tableColumn id="4" xr3:uid="{B9CFF97A-8C58-6648-ACB4-B0910BCA6A2B}" name="marzo" dataDxfId="8" dataCellStyle="Moneda"/>
    <tableColumn id="5" xr3:uid="{063BA2B0-6F51-9042-9230-DB65050A15E6}" name="abril" dataDxfId="7" dataCellStyle="Moneda"/>
    <tableColumn id="6" xr3:uid="{858DE098-277D-A14F-B4DB-942A6A81F43A}" name="mayo" dataDxfId="6" dataCellStyle="Moneda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10850159-97FE-C445-B7A0-A53A7AD2F131}" sourceName="Fecha">
  <pivotTables>
    <pivotTable tabId="10" name="TablaDinámica2"/>
    <pivotTable tabId="10" name="TablaDinámica9"/>
  </pivotTables>
  <state minimalRefreshVersion="6" lastRefreshVersion="6" pivotCacheId="1322760482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58E988AB-C405-B24B-8071-2F1D8B26CD0E}" cache="NativeTimeline_Fecha1" caption="Seleccionar períodos" level="2" selectionLevel="2" scrollPosition="2023-01-01T00:00:00" style="TimeSlicerStyleLight5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11/relationships/timeline" Target="../timelines/timeline1.xml"/><Relationship Id="rId3" Type="http://schemas.openxmlformats.org/officeDocument/2006/relationships/pivotTable" Target="../pivotTables/pivotTable4.xml"/><Relationship Id="rId7" Type="http://schemas.microsoft.com/office/2007/relationships/slicer" Target="../slicers/slicer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hyperlink" Target="mailto:par@hotmail.ec" TargetMode="External"/><Relationship Id="rId1" Type="http://schemas.openxmlformats.org/officeDocument/2006/relationships/hyperlink" Target="mailto:robm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AB2A-AEE8-3D4A-82AA-84217D391C6D}">
  <dimension ref="A1:R94"/>
  <sheetViews>
    <sheetView showGridLines="0" zoomScale="110" zoomScaleNormal="110" workbookViewId="0">
      <selection activeCell="O2" sqref="O2"/>
    </sheetView>
  </sheetViews>
  <sheetFormatPr baseColWidth="10" defaultRowHeight="16" x14ac:dyDescent="0.2"/>
  <cols>
    <col min="1" max="1" width="3" style="59" customWidth="1"/>
    <col min="2" max="2" width="10.83203125" style="59"/>
    <col min="3" max="3" width="24.83203125" style="59" bestFit="1" customWidth="1"/>
    <col min="4" max="4" width="20.33203125" style="59" bestFit="1" customWidth="1"/>
    <col min="5" max="5" width="19" style="59" bestFit="1" customWidth="1"/>
    <col min="6" max="6" width="26.33203125" style="59" bestFit="1" customWidth="1"/>
    <col min="7" max="7" width="22.1640625" style="59" bestFit="1" customWidth="1"/>
    <col min="8" max="8" width="22.6640625" style="59" bestFit="1" customWidth="1"/>
    <col min="9" max="9" width="17.1640625" style="59" bestFit="1" customWidth="1"/>
    <col min="10" max="10" width="28.33203125" style="59" bestFit="1" customWidth="1"/>
    <col min="11" max="11" width="11.5" style="59" bestFit="1" customWidth="1"/>
    <col min="12" max="12" width="12.6640625" style="59" bestFit="1" customWidth="1"/>
    <col min="13" max="13" width="13.33203125" style="59" bestFit="1" customWidth="1"/>
    <col min="14" max="14" width="12.6640625" style="59" bestFit="1" customWidth="1"/>
    <col min="15" max="15" width="11.1640625" style="59" bestFit="1" customWidth="1"/>
    <col min="16" max="17" width="20.33203125" style="59" bestFit="1" customWidth="1"/>
    <col min="18" max="18" width="2.5" style="59" customWidth="1"/>
    <col min="19" max="19" width="19.1640625" style="59" bestFit="1" customWidth="1"/>
    <col min="20" max="20" width="18" style="59" bestFit="1" customWidth="1"/>
    <col min="21" max="21" width="16.83203125" style="59" bestFit="1" customWidth="1"/>
    <col min="22" max="24" width="13.83203125" style="59" bestFit="1" customWidth="1"/>
    <col min="25" max="25" width="23" style="59" bestFit="1" customWidth="1"/>
    <col min="26" max="26" width="24.1640625" style="59" bestFit="1" customWidth="1"/>
    <col min="27" max="27" width="23" style="59" bestFit="1" customWidth="1"/>
    <col min="28" max="28" width="18" style="59" bestFit="1" customWidth="1"/>
    <col min="29" max="29" width="19.1640625" style="59" bestFit="1" customWidth="1"/>
    <col min="30" max="30" width="18" style="59" bestFit="1" customWidth="1"/>
    <col min="31" max="83" width="8.1640625" style="59" bestFit="1" customWidth="1"/>
    <col min="84" max="84" width="7.1640625" style="59" bestFit="1" customWidth="1"/>
    <col min="85" max="139" width="8.1640625" style="59" bestFit="1" customWidth="1"/>
    <col min="140" max="140" width="7.6640625" style="59" bestFit="1" customWidth="1"/>
    <col min="141" max="141" width="19" style="59" bestFit="1" customWidth="1"/>
    <col min="142" max="145" width="7.1640625" style="59" bestFit="1" customWidth="1"/>
    <col min="146" max="155" width="8.1640625" style="59" bestFit="1" customWidth="1"/>
    <col min="156" max="156" width="6.1640625" style="59" bestFit="1" customWidth="1"/>
    <col min="157" max="160" width="8.1640625" style="59" bestFit="1" customWidth="1"/>
    <col min="161" max="162" width="7.1640625" style="59" bestFit="1" customWidth="1"/>
    <col min="163" max="165" width="8.1640625" style="59" bestFit="1" customWidth="1"/>
    <col min="166" max="166" width="7.1640625" style="59" bestFit="1" customWidth="1"/>
    <col min="167" max="209" width="8.1640625" style="59" bestFit="1" customWidth="1"/>
    <col min="210" max="210" width="7.1640625" style="59" bestFit="1" customWidth="1"/>
    <col min="211" max="213" width="8.1640625" style="59" bestFit="1" customWidth="1"/>
    <col min="214" max="214" width="7.1640625" style="59" bestFit="1" customWidth="1"/>
    <col min="215" max="222" width="8.1640625" style="59" bestFit="1" customWidth="1"/>
    <col min="223" max="224" width="7.1640625" style="59" bestFit="1" customWidth="1"/>
    <col min="225" max="225" width="8.1640625" style="59" bestFit="1" customWidth="1"/>
    <col min="226" max="226" width="7.1640625" style="59" bestFit="1" customWidth="1"/>
    <col min="227" max="230" width="8.1640625" style="59" bestFit="1" customWidth="1"/>
    <col min="231" max="231" width="7.1640625" style="59" bestFit="1" customWidth="1"/>
    <col min="232" max="238" width="8.1640625" style="59" bestFit="1" customWidth="1"/>
    <col min="239" max="239" width="7.1640625" style="59" bestFit="1" customWidth="1"/>
    <col min="240" max="246" width="8.1640625" style="59" bestFit="1" customWidth="1"/>
    <col min="247" max="247" width="7.1640625" style="59" bestFit="1" customWidth="1"/>
    <col min="248" max="256" width="8.1640625" style="59" bestFit="1" customWidth="1"/>
    <col min="257" max="258" width="7.1640625" style="59" bestFit="1" customWidth="1"/>
    <col min="259" max="281" width="8.1640625" style="59" bestFit="1" customWidth="1"/>
    <col min="282" max="282" width="7.6640625" style="59" bestFit="1" customWidth="1"/>
    <col min="283" max="283" width="24.1640625" style="59" bestFit="1" customWidth="1"/>
    <col min="284" max="287" width="7.1640625" style="59" bestFit="1" customWidth="1"/>
    <col min="288" max="297" width="8.1640625" style="59" bestFit="1" customWidth="1"/>
    <col min="298" max="298" width="5.1640625" style="59" bestFit="1" customWidth="1"/>
    <col min="299" max="302" width="8.1640625" style="59" bestFit="1" customWidth="1"/>
    <col min="303" max="304" width="7.1640625" style="59" bestFit="1" customWidth="1"/>
    <col min="305" max="307" width="8.1640625" style="59" bestFit="1" customWidth="1"/>
    <col min="308" max="308" width="7.1640625" style="59" bestFit="1" customWidth="1"/>
    <col min="309" max="351" width="8.1640625" style="59" bestFit="1" customWidth="1"/>
    <col min="352" max="352" width="7.1640625" style="59" bestFit="1" customWidth="1"/>
    <col min="353" max="355" width="8.1640625" style="59" bestFit="1" customWidth="1"/>
    <col min="356" max="356" width="7.1640625" style="59" bestFit="1" customWidth="1"/>
    <col min="357" max="364" width="8.1640625" style="59" bestFit="1" customWidth="1"/>
    <col min="365" max="366" width="7.1640625" style="59" bestFit="1" customWidth="1"/>
    <col min="367" max="367" width="8.1640625" style="59" bestFit="1" customWidth="1"/>
    <col min="368" max="368" width="7.1640625" style="59" bestFit="1" customWidth="1"/>
    <col min="369" max="372" width="8.1640625" style="59" bestFit="1" customWidth="1"/>
    <col min="373" max="373" width="7.1640625" style="59" bestFit="1" customWidth="1"/>
    <col min="374" max="380" width="8.1640625" style="59" bestFit="1" customWidth="1"/>
    <col min="381" max="381" width="7.1640625" style="59" bestFit="1" customWidth="1"/>
    <col min="382" max="388" width="8.1640625" style="59" bestFit="1" customWidth="1"/>
    <col min="389" max="389" width="7.1640625" style="59" bestFit="1" customWidth="1"/>
    <col min="390" max="398" width="8.1640625" style="59" bestFit="1" customWidth="1"/>
    <col min="399" max="400" width="7.1640625" style="59" bestFit="1" customWidth="1"/>
    <col min="401" max="404" width="8.1640625" style="59" bestFit="1" customWidth="1"/>
    <col min="405" max="405" width="7.1640625" style="59" bestFit="1" customWidth="1"/>
    <col min="406" max="423" width="8.1640625" style="59" bestFit="1" customWidth="1"/>
    <col min="424" max="424" width="7.6640625" style="59" bestFit="1" customWidth="1"/>
    <col min="425" max="425" width="24.5" style="59" bestFit="1" customWidth="1"/>
    <col min="426" max="426" width="23.33203125" style="59" bestFit="1" customWidth="1"/>
    <col min="427" max="427" width="28.5" style="59" bestFit="1" customWidth="1"/>
    <col min="428" max="16384" width="10.83203125" style="59"/>
  </cols>
  <sheetData>
    <row r="1" spans="1:18" ht="19" x14ac:dyDescent="0.25">
      <c r="A1" s="43"/>
      <c r="B1" s="44" t="s">
        <v>139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8" ht="17" thickBot="1" x14ac:dyDescent="0.25">
      <c r="A2" s="43"/>
      <c r="B2" s="18"/>
      <c r="C2" s="74" t="s">
        <v>32</v>
      </c>
      <c r="D2" s="75" t="s">
        <v>7</v>
      </c>
      <c r="E2" s="74" t="s">
        <v>8</v>
      </c>
      <c r="F2" s="74" t="s">
        <v>9</v>
      </c>
      <c r="G2" s="74" t="s">
        <v>10</v>
      </c>
      <c r="H2" s="74" t="s">
        <v>143</v>
      </c>
      <c r="I2" s="74" t="s">
        <v>147</v>
      </c>
      <c r="J2" s="74" t="s">
        <v>148</v>
      </c>
      <c r="K2" s="74" t="s">
        <v>12</v>
      </c>
      <c r="L2" s="74" t="s">
        <v>35</v>
      </c>
      <c r="M2" s="74" t="s">
        <v>36</v>
      </c>
      <c r="N2" s="74" t="s">
        <v>37</v>
      </c>
      <c r="O2" s="74" t="s">
        <v>140</v>
      </c>
      <c r="P2" s="18"/>
      <c r="Q2" s="18"/>
      <c r="R2" s="43"/>
    </row>
    <row r="3" spans="1:18" x14ac:dyDescent="0.2">
      <c r="A3" s="43"/>
      <c r="B3" s="18"/>
      <c r="C3" s="45" t="s">
        <v>16</v>
      </c>
      <c r="D3" s="66">
        <f ca="1">SUMIF(Ventas!$B:$B,Dashboard!$C3,Tabla2[[#Headers],[Ventas totales]])</f>
        <v>123191.02</v>
      </c>
      <c r="E3" s="66">
        <f ca="1">SUMIF(Ventas!$B:$B,Dashboard!$C3,Tabla2[[#Headers],[Ventas efectivo]])</f>
        <v>106391.34000000001</v>
      </c>
      <c r="F3" s="66">
        <f ca="1">SUMIF(Ventas!$B:$B,Dashboard!$C3,Tabla2[[#Headers],[Ventas tarjeta]])</f>
        <v>11667.320000000002</v>
      </c>
      <c r="G3" s="66">
        <f ca="1">SUMIF(Ventas!$B:$B,Dashboard!$C3,Tabla2[[#Headers],[Ventas transferencia]])</f>
        <v>5132.3599999999997</v>
      </c>
      <c r="H3" s="66">
        <f ca="1">D3-I3</f>
        <v>56296.37999999999</v>
      </c>
      <c r="I3" s="66">
        <f ca="1">SUMIF(Ventas!$B:$B,Dashboard!$C3,Tabla2[[#Headers],[Utilidad]])</f>
        <v>66894.640000000014</v>
      </c>
      <c r="J3" s="47">
        <f ca="1">I3/D3</f>
        <v>0.54301555421815662</v>
      </c>
      <c r="K3" s="68">
        <f ca="1">SUMIF(Ventas!$B:$B,Dashboard!$C3,Tabla2[[#Headers],[Tickets]])</f>
        <v>1216</v>
      </c>
      <c r="L3" s="66">
        <f>VLOOKUP($C3,Tabla4[#All],4,FALSE)</f>
        <v>45580.68</v>
      </c>
      <c r="M3" s="66">
        <f>VLOOKUP(C3,Tabla4[#All],5,FALSE)</f>
        <v>34493.49</v>
      </c>
      <c r="N3" s="66">
        <f>INDEX(Tabla4[[Total]:[Tienda 3]],MATCH(Dashboard!C3,Tabla4[Mes],0),MATCH(Tabla4[[#Headers],[Tienda 3]],Tabla4[[#Headers],[Total]:[Tienda 3]],0))</f>
        <v>43116.86</v>
      </c>
      <c r="O3" s="66">
        <f>DSUM(Tabla5[#All],Dashboard!C3,Tabla5[[#All],[Gastos]])</f>
        <v>28156.440000000002</v>
      </c>
      <c r="P3" s="18"/>
      <c r="Q3" s="18"/>
      <c r="R3" s="43"/>
    </row>
    <row r="4" spans="1:18" x14ac:dyDescent="0.2">
      <c r="A4" s="43"/>
      <c r="B4" s="18"/>
      <c r="C4" s="45" t="s">
        <v>17</v>
      </c>
      <c r="D4" s="66">
        <f ca="1">SUMIF(Ventas!$B:$B,Dashboard!$C4,Tabla2[[#Headers],[Ventas totales]])</f>
        <v>110688.44</v>
      </c>
      <c r="E4" s="66">
        <f>SUMIF(Ventas!$B:$B,Dashboard!$C4,Ventas!E:E)</f>
        <v>93424.17</v>
      </c>
      <c r="F4" s="66">
        <f>SUMIF(Ventas!$B:$B,Dashboard!$C4,Ventas!F:F)</f>
        <v>17264.27</v>
      </c>
      <c r="G4" s="66">
        <f>SUMIF(Ventas!$B:$B,Dashboard!$C4,Ventas!G:G)</f>
        <v>0</v>
      </c>
      <c r="H4" s="66">
        <f t="shared" ref="H4:H7" ca="1" si="0">D4-I4</f>
        <v>50695.119999999995</v>
      </c>
      <c r="I4" s="66">
        <f>SUMIF(Ventas!$B:$B,Dashboard!$C4,Ventas!H:H)</f>
        <v>59993.320000000007</v>
      </c>
      <c r="J4" s="47">
        <f ca="1">I4/D4</f>
        <v>0.54200167605578331</v>
      </c>
      <c r="K4" s="68">
        <f>SUMIF(Ventas!$B:$B,Dashboard!$C4,Ventas!I:I)</f>
        <v>1025</v>
      </c>
      <c r="L4" s="66">
        <f>VLOOKUP($C4,Tabla4[#All],4,FALSE)</f>
        <v>41884.949999999997</v>
      </c>
      <c r="M4" s="66">
        <f>VLOOKUP(C4,Tabla4[#All],5,FALSE)</f>
        <v>35725.4</v>
      </c>
      <c r="N4" s="66">
        <f>INDEX(Tabla4[[Total]:[Tienda 3]],MATCH(Dashboard!C4,Tabla4[Mes],0),MATCH(Tabla4[[#Headers],[Tienda 3]],Tabla4[[#Headers],[Total]:[Tienda 3]],0))</f>
        <v>33078.1</v>
      </c>
      <c r="O4" s="66">
        <f>DSUM(Tabla5[#All],Dashboard!C4,Tabla5[[#All],[Gastos]])</f>
        <v>28565.140000000003</v>
      </c>
      <c r="P4" s="18"/>
      <c r="Q4" s="18"/>
      <c r="R4" s="43"/>
    </row>
    <row r="5" spans="1:18" x14ac:dyDescent="0.2">
      <c r="A5" s="43"/>
      <c r="B5" s="18"/>
      <c r="C5" s="45" t="s">
        <v>18</v>
      </c>
      <c r="D5" s="66">
        <f ca="1">SUMIF(Ventas!$B:$B,Dashboard!$C5,Tabla2[[#Headers],[Ventas totales]])</f>
        <v>121427.19</v>
      </c>
      <c r="E5" s="66">
        <f ca="1">SUMIF(Ventas!$B:$B,Dashboard!$C5,Tabla2[[#Headers],[Ventas efectivo]])</f>
        <v>103171.26999999999</v>
      </c>
      <c r="F5" s="66">
        <f ca="1">SUMIF(Ventas!$B:$B,Dashboard!$C5,Tabla2[[#Headers],[Ventas tarjeta]])</f>
        <v>18080.920000000002</v>
      </c>
      <c r="G5" s="66">
        <f ca="1">SUMIF(Ventas!$B:$B,Dashboard!$C5,Tabla2[[#Headers],[Ventas transferencia]])</f>
        <v>175</v>
      </c>
      <c r="H5" s="66">
        <f t="shared" ca="1" si="0"/>
        <v>64292.87000000001</v>
      </c>
      <c r="I5" s="66">
        <f ca="1">SUMIF(Ventas!$B:$B,Dashboard!$C5,Tabla2[[#Headers],[Utilidad]])</f>
        <v>57134.319999999992</v>
      </c>
      <c r="J5" s="47">
        <f t="shared" ref="J5:J8" ca="1" si="1">I5/D5</f>
        <v>0.47052328230604684</v>
      </c>
      <c r="K5" s="68">
        <f ca="1">SUMIF(Ventas!$B:$B,Dashboard!$C5,Tabla2[[#Headers],[Tickets]])</f>
        <v>1124</v>
      </c>
      <c r="L5" s="66">
        <f>VLOOKUP($C5,Tabla4[#All],4,FALSE)</f>
        <v>44348.77</v>
      </c>
      <c r="M5" s="66">
        <f>VLOOKUP(C5,Tabla4[#All],5,FALSE)</f>
        <v>36957.31</v>
      </c>
      <c r="N5" s="66">
        <f>INDEX(Tabla4[[Total]:[Tienda 3]],MATCH(Dashboard!C5,Tabla4[Mes],0),MATCH(Tabla4[[#Headers],[Tienda 3]],Tabla4[[#Headers],[Total]:[Tienda 3]],0))</f>
        <v>40121.120000000003</v>
      </c>
      <c r="O5" s="66">
        <f>DSUM(Tabla5[#All],Dashboard!C5,Tabla5[[#All],[Gastos]])</f>
        <v>33720.93</v>
      </c>
      <c r="P5" s="18"/>
      <c r="Q5" s="18"/>
      <c r="R5" s="43"/>
    </row>
    <row r="6" spans="1:18" x14ac:dyDescent="0.2">
      <c r="A6" s="43"/>
      <c r="B6" s="18"/>
      <c r="C6" s="45" t="s">
        <v>19</v>
      </c>
      <c r="D6" s="66">
        <f ca="1">SUMIF(Ventas!$B:$B,Dashboard!$C6,Tabla2[[#Headers],[Ventas totales]])</f>
        <v>118557.21</v>
      </c>
      <c r="E6" s="66">
        <f ca="1">SUMIF(Ventas!$B:$B,Dashboard!$C6,Tabla2[[#Headers],[Ventas efectivo]])</f>
        <v>104127.34</v>
      </c>
      <c r="F6" s="66">
        <f ca="1">SUMIF(Ventas!$B:$B,Dashboard!$C6,Tabla2[[#Headers],[Ventas tarjeta]])</f>
        <v>14429.87</v>
      </c>
      <c r="G6" s="66">
        <f ca="1">SUMIF(Ventas!$B:$B,Dashboard!$C6,Tabla2[[#Headers],[Ventas transferencia]])</f>
        <v>0</v>
      </c>
      <c r="H6" s="66">
        <f t="shared" ca="1" si="0"/>
        <v>47832.770000000004</v>
      </c>
      <c r="I6" s="66">
        <f ca="1">SUMIF(Ventas!$B:$B,Dashboard!$C6,Tabla2[[#Headers],[Utilidad]])</f>
        <v>70724.44</v>
      </c>
      <c r="J6" s="47">
        <f t="shared" ca="1" si="1"/>
        <v>0.59654271553792471</v>
      </c>
      <c r="K6" s="68">
        <f ca="1">SUMIF(Ventas!$B:$B,Dashboard!$C6,Tabla2[[#Headers],[Tickets]])</f>
        <v>1100</v>
      </c>
      <c r="L6" s="66">
        <f>VLOOKUP($C6,Tabla4[#All],4,FALSE)</f>
        <v>43116.86</v>
      </c>
      <c r="M6" s="66">
        <f>VLOOKUP(C6,Tabla4[#All],5,FALSE)</f>
        <v>36957.31</v>
      </c>
      <c r="N6" s="66">
        <f>INDEX(Tabla4[[Total]:[Tienda 3]],MATCH(Dashboard!C6,Tabla4[Mes],0),MATCH(Tabla4[[#Headers],[Tienda 3]],Tabla4[[#Headers],[Total]:[Tienda 3]],0))</f>
        <v>38483.050000000003</v>
      </c>
      <c r="O6" s="66">
        <f>DSUM(Tabla5[#All],Dashboard!C6,Tabla5[[#All],[Gastos]])</f>
        <v>37694.369999999995</v>
      </c>
      <c r="P6" s="18"/>
      <c r="Q6" s="18"/>
      <c r="R6" s="43"/>
    </row>
    <row r="7" spans="1:18" x14ac:dyDescent="0.2">
      <c r="A7" s="43"/>
      <c r="B7" s="18"/>
      <c r="C7" s="46" t="s">
        <v>20</v>
      </c>
      <c r="D7" s="67">
        <f ca="1">SUMIF(Ventas!$B:$B,Dashboard!$C7,Tabla2[[#Headers],[Ventas totales]])</f>
        <v>125702.61</v>
      </c>
      <c r="E7" s="67">
        <f ca="1">SUMIF(Ventas!$B:$B,Dashboard!$C7,Tabla2[[#Headers],[Ventas efectivo]])</f>
        <v>102113.44999999998</v>
      </c>
      <c r="F7" s="67">
        <f ca="1">SUMIF(Ventas!$B:$B,Dashboard!$C7,Tabla2[[#Headers],[Ventas tarjeta]])</f>
        <v>18742.830000000002</v>
      </c>
      <c r="G7" s="67">
        <f ca="1">SUMIF(Ventas!$B:$B,Dashboard!$C7,Tabla2[[#Headers],[Ventas transferencia]])</f>
        <v>2149.33</v>
      </c>
      <c r="H7" s="66">
        <f t="shared" ca="1" si="0"/>
        <v>52889.020000000019</v>
      </c>
      <c r="I7" s="67">
        <f ca="1">SUMIF(Ventas!$B:$B,Dashboard!$C7,Tabla2[[#Headers],[Utilidad]])</f>
        <v>72813.589999999982</v>
      </c>
      <c r="J7" s="47">
        <f t="shared" ca="1" si="1"/>
        <v>0.57925280946831559</v>
      </c>
      <c r="K7" s="69">
        <f ca="1">SUMIF(Ventas!$B:$B,Dashboard!$C7,Tabla2[[#Headers],[Tickets]])</f>
        <v>1132</v>
      </c>
      <c r="L7" s="66">
        <f>VLOOKUP($C7,Tabla4[#All],4,FALSE)</f>
        <v>43116.86</v>
      </c>
      <c r="M7" s="66">
        <f>VLOOKUP(C7,Tabla4[#All],5,FALSE)</f>
        <v>34493.49</v>
      </c>
      <c r="N7" s="66">
        <f>INDEX(Tabla4[[Total]:[Tienda 3]],MATCH(Dashboard!C7,Tabla4[Mes],0),MATCH(Tabla4[[#Headers],[Tienda 3]],Tabla4[[#Headers],[Total]:[Tienda 3]],0))</f>
        <v>48092.27</v>
      </c>
      <c r="O7" s="66">
        <f>DSUM(Tabla5[#All],Dashboard!C7,Tabla5[[#All],[Gastos]])</f>
        <v>36175.910000000003</v>
      </c>
      <c r="P7" s="18"/>
      <c r="Q7" s="18"/>
      <c r="R7" s="43"/>
    </row>
    <row r="8" spans="1:18" x14ac:dyDescent="0.2">
      <c r="A8" s="43"/>
      <c r="B8" s="18"/>
      <c r="C8" s="58" t="s">
        <v>34</v>
      </c>
      <c r="D8" s="76">
        <f ca="1">SUM(D3:D7)</f>
        <v>599566.47000000009</v>
      </c>
      <c r="E8" s="76">
        <f t="shared" ref="E8:O8" ca="1" si="2">SUM(E3:E7)</f>
        <v>509227.56999999995</v>
      </c>
      <c r="F8" s="76">
        <f t="shared" ca="1" si="2"/>
        <v>80185.210000000021</v>
      </c>
      <c r="G8" s="76">
        <f t="shared" ca="1" si="2"/>
        <v>7456.69</v>
      </c>
      <c r="H8" s="77">
        <f ca="1">SUM(H3:H7)</f>
        <v>272006.16000000003</v>
      </c>
      <c r="I8" s="76">
        <f t="shared" ca="1" si="2"/>
        <v>327560.31</v>
      </c>
      <c r="J8" s="78">
        <f t="shared" ca="1" si="1"/>
        <v>0.54632859972973469</v>
      </c>
      <c r="K8" s="79">
        <f t="shared" ca="1" si="2"/>
        <v>5597</v>
      </c>
      <c r="L8" s="77">
        <f>SUM(L3:L7)</f>
        <v>218048.12</v>
      </c>
      <c r="M8" s="77">
        <f t="shared" si="2"/>
        <v>178627</v>
      </c>
      <c r="N8" s="77">
        <f t="shared" si="2"/>
        <v>202891.4</v>
      </c>
      <c r="O8" s="77">
        <f t="shared" si="2"/>
        <v>164312.79</v>
      </c>
      <c r="P8" s="18"/>
      <c r="Q8" s="18"/>
      <c r="R8" s="43"/>
    </row>
    <row r="9" spans="1:18" x14ac:dyDescent="0.2">
      <c r="A9" s="43"/>
      <c r="C9" s="60"/>
      <c r="D9" s="61"/>
      <c r="E9" s="61"/>
      <c r="F9" s="61"/>
      <c r="G9" s="61"/>
      <c r="H9" s="61"/>
      <c r="I9" s="61"/>
      <c r="J9" s="62"/>
      <c r="K9" s="63"/>
      <c r="L9" s="61"/>
      <c r="M9" s="61"/>
      <c r="N9" s="61"/>
      <c r="O9" s="61"/>
      <c r="R9" s="43"/>
    </row>
    <row r="10" spans="1:18" x14ac:dyDescent="0.2">
      <c r="A10" s="43"/>
      <c r="C10" s="60"/>
      <c r="D10" s="61"/>
      <c r="E10" s="61"/>
      <c r="F10" s="61"/>
      <c r="G10" s="61"/>
      <c r="R10" s="43"/>
    </row>
    <row r="11" spans="1:18" x14ac:dyDescent="0.2">
      <c r="A11" s="43"/>
      <c r="C11" s="60"/>
      <c r="D11" s="61"/>
      <c r="E11" s="61"/>
      <c r="F11" s="61"/>
      <c r="G11" s="61"/>
      <c r="R11" s="43"/>
    </row>
    <row r="12" spans="1:18" x14ac:dyDescent="0.2">
      <c r="A12" s="43"/>
      <c r="C12" s="64" t="s">
        <v>69</v>
      </c>
      <c r="D12" t="s">
        <v>144</v>
      </c>
      <c r="E12" t="s">
        <v>145</v>
      </c>
      <c r="F12" t="s">
        <v>146</v>
      </c>
      <c r="G12" s="61"/>
      <c r="R12" s="43"/>
    </row>
    <row r="13" spans="1:18" x14ac:dyDescent="0.2">
      <c r="A13" s="43"/>
      <c r="C13" s="30" t="s">
        <v>16</v>
      </c>
      <c r="D13" s="65">
        <v>106391.34000000001</v>
      </c>
      <c r="E13" s="65">
        <v>11667.320000000002</v>
      </c>
      <c r="F13" s="65">
        <v>5132.3599999999997</v>
      </c>
      <c r="G13" s="61"/>
      <c r="R13" s="43"/>
    </row>
    <row r="14" spans="1:18" x14ac:dyDescent="0.2">
      <c r="A14" s="43"/>
      <c r="C14" s="30" t="s">
        <v>17</v>
      </c>
      <c r="D14" s="65">
        <v>93424.17</v>
      </c>
      <c r="E14" s="65">
        <v>17264.27</v>
      </c>
      <c r="F14" s="65">
        <v>0</v>
      </c>
      <c r="G14" s="61"/>
      <c r="R14" s="43"/>
    </row>
    <row r="15" spans="1:18" x14ac:dyDescent="0.2">
      <c r="A15" s="43"/>
      <c r="C15" s="30" t="s">
        <v>18</v>
      </c>
      <c r="D15" s="65">
        <v>103171.26999999999</v>
      </c>
      <c r="E15" s="65">
        <v>18080.920000000002</v>
      </c>
      <c r="F15" s="65">
        <v>175</v>
      </c>
      <c r="G15" s="61"/>
      <c r="R15" s="43"/>
    </row>
    <row r="16" spans="1:18" x14ac:dyDescent="0.2">
      <c r="A16" s="43"/>
      <c r="C16" s="30" t="s">
        <v>19</v>
      </c>
      <c r="D16" s="65">
        <v>104127.34</v>
      </c>
      <c r="E16" s="65">
        <v>14429.87</v>
      </c>
      <c r="F16" s="65">
        <v>0</v>
      </c>
      <c r="G16" s="61"/>
      <c r="R16" s="43"/>
    </row>
    <row r="17" spans="1:18" x14ac:dyDescent="0.2">
      <c r="A17" s="43"/>
      <c r="C17" s="30" t="s">
        <v>20</v>
      </c>
      <c r="D17" s="65">
        <v>102113.44999999998</v>
      </c>
      <c r="E17" s="65">
        <v>18742.830000000002</v>
      </c>
      <c r="F17" s="65">
        <v>2149.33</v>
      </c>
      <c r="G17" s="61"/>
      <c r="R17" s="43"/>
    </row>
    <row r="18" spans="1:18" x14ac:dyDescent="0.2">
      <c r="A18" s="43"/>
      <c r="C18" s="30" t="s">
        <v>70</v>
      </c>
      <c r="D18" s="65">
        <v>509227.56999999995</v>
      </c>
      <c r="E18" s="65">
        <v>80185.210000000021</v>
      </c>
      <c r="F18" s="65">
        <v>7456.69</v>
      </c>
      <c r="G18" s="61"/>
      <c r="R18" s="43"/>
    </row>
    <row r="19" spans="1:18" x14ac:dyDescent="0.2">
      <c r="A19" s="43"/>
      <c r="C19"/>
      <c r="D19"/>
      <c r="E19"/>
      <c r="F19" s="61"/>
      <c r="G19" s="61"/>
      <c r="R19" s="43"/>
    </row>
    <row r="20" spans="1:18" x14ac:dyDescent="0.2">
      <c r="A20" s="43"/>
      <c r="C20"/>
      <c r="D20"/>
      <c r="E20"/>
      <c r="F20" s="61"/>
      <c r="G20" s="61"/>
      <c r="R20" s="43"/>
    </row>
    <row r="21" spans="1:18" x14ac:dyDescent="0.2">
      <c r="A21" s="43"/>
      <c r="C21"/>
      <c r="D21"/>
      <c r="E21"/>
      <c r="F21" s="61"/>
      <c r="G21" s="61"/>
      <c r="R21" s="43"/>
    </row>
    <row r="22" spans="1:18" x14ac:dyDescent="0.2">
      <c r="A22" s="43"/>
      <c r="C22"/>
      <c r="D22"/>
      <c r="E22"/>
      <c r="F22" s="61"/>
      <c r="G22" s="61"/>
      <c r="R22" s="43"/>
    </row>
    <row r="23" spans="1:18" x14ac:dyDescent="0.2">
      <c r="A23" s="43"/>
      <c r="C23"/>
      <c r="D23"/>
      <c r="E23"/>
      <c r="F23" s="61"/>
      <c r="G23" s="61"/>
      <c r="H23" s="61"/>
      <c r="I23"/>
      <c r="J23"/>
      <c r="K23"/>
      <c r="L23"/>
      <c r="M23"/>
      <c r="N23"/>
      <c r="O23"/>
      <c r="R23" s="43"/>
    </row>
    <row r="24" spans="1:18" x14ac:dyDescent="0.2">
      <c r="A24" s="43"/>
      <c r="C24"/>
      <c r="D24"/>
      <c r="E24"/>
      <c r="F24" s="61"/>
      <c r="G24" s="61"/>
      <c r="H24" s="61"/>
      <c r="I24"/>
      <c r="J24"/>
      <c r="K24"/>
      <c r="L24"/>
      <c r="M24"/>
      <c r="N24"/>
      <c r="O24"/>
      <c r="R24" s="43"/>
    </row>
    <row r="25" spans="1:18" x14ac:dyDescent="0.2">
      <c r="A25" s="43"/>
      <c r="C25"/>
      <c r="D25"/>
      <c r="E25"/>
      <c r="F25" s="61"/>
      <c r="G25" s="61"/>
      <c r="H25" s="61"/>
      <c r="I25"/>
      <c r="J25"/>
      <c r="K25"/>
      <c r="L25" s="61"/>
      <c r="M25" s="61"/>
      <c r="N25" s="61"/>
      <c r="O25" s="61"/>
      <c r="R25" s="43"/>
    </row>
    <row r="26" spans="1:18" x14ac:dyDescent="0.2">
      <c r="A26" s="43"/>
      <c r="C26"/>
      <c r="D26"/>
      <c r="E26"/>
      <c r="F26" s="61"/>
      <c r="G26" s="61"/>
      <c r="H26" s="61"/>
      <c r="I26"/>
      <c r="J26"/>
      <c r="K26"/>
      <c r="L26" s="61"/>
      <c r="M26" s="61"/>
      <c r="N26" s="61"/>
      <c r="O26" s="61"/>
      <c r="R26" s="43"/>
    </row>
    <row r="27" spans="1:18" x14ac:dyDescent="0.2">
      <c r="A27" s="43"/>
      <c r="C27"/>
      <c r="D27"/>
      <c r="E27"/>
      <c r="F27" s="61"/>
      <c r="G27" s="61"/>
      <c r="H27" s="61"/>
      <c r="I27"/>
      <c r="J27"/>
      <c r="K27"/>
      <c r="L27" s="61"/>
      <c r="M27" s="61"/>
      <c r="N27" s="61"/>
      <c r="O27" s="61"/>
      <c r="R27" s="43"/>
    </row>
    <row r="28" spans="1:18" x14ac:dyDescent="0.2">
      <c r="A28" s="43"/>
      <c r="C28"/>
      <c r="D28"/>
      <c r="E28"/>
      <c r="F28" s="61"/>
      <c r="G28" s="61"/>
      <c r="H28" s="61"/>
      <c r="I28" s="61"/>
      <c r="J28" s="62"/>
      <c r="K28" s="63"/>
      <c r="L28" s="61"/>
      <c r="M28" s="61"/>
      <c r="N28" s="61"/>
      <c r="O28" s="61"/>
      <c r="R28" s="43"/>
    </row>
    <row r="29" spans="1:18" x14ac:dyDescent="0.2">
      <c r="A29" s="43"/>
      <c r="C29"/>
      <c r="D29"/>
      <c r="E29"/>
      <c r="F29" s="61"/>
      <c r="G29" s="61"/>
      <c r="H29" s="61"/>
      <c r="I29" s="61"/>
      <c r="J29" s="62"/>
      <c r="K29" s="63"/>
      <c r="L29" s="61"/>
      <c r="M29" s="61"/>
      <c r="N29" s="61"/>
      <c r="O29" s="61"/>
      <c r="R29" s="43"/>
    </row>
    <row r="30" spans="1:18" x14ac:dyDescent="0.2">
      <c r="A30" s="43"/>
      <c r="C30" s="60"/>
      <c r="D30" s="61"/>
      <c r="E30" s="61"/>
      <c r="F30" s="61"/>
      <c r="G30" s="61"/>
      <c r="H30" s="61"/>
      <c r="I30" s="61"/>
      <c r="J30" s="62"/>
      <c r="K30" s="63"/>
      <c r="L30" s="61"/>
      <c r="M30" s="61"/>
      <c r="N30" s="61"/>
      <c r="O30" s="61"/>
      <c r="R30" s="43"/>
    </row>
    <row r="31" spans="1:18" x14ac:dyDescent="0.2">
      <c r="A31" s="43"/>
      <c r="C31" s="60"/>
      <c r="D31" s="61"/>
      <c r="E31" s="61"/>
      <c r="F31" s="61"/>
      <c r="G31" s="61"/>
      <c r="H31" s="61"/>
      <c r="I31" s="61"/>
      <c r="J31" s="62"/>
      <c r="K31" s="63"/>
      <c r="L31" s="61"/>
      <c r="M31" s="61"/>
      <c r="N31" s="61"/>
      <c r="O31" s="61"/>
      <c r="R31" s="43"/>
    </row>
    <row r="32" spans="1:18" x14ac:dyDescent="0.2">
      <c r="A32" s="43"/>
      <c r="C32" s="60"/>
      <c r="D32" s="61"/>
      <c r="E32" s="61"/>
      <c r="F32" s="61"/>
      <c r="G32" s="61"/>
      <c r="H32" s="61"/>
      <c r="I32" s="61"/>
      <c r="J32" s="62"/>
      <c r="K32" s="63"/>
      <c r="L32" s="61"/>
      <c r="M32" s="61"/>
      <c r="N32" s="61"/>
      <c r="O32" s="61"/>
      <c r="R32" s="43"/>
    </row>
    <row r="33" spans="1:18" x14ac:dyDescent="0.2">
      <c r="A33" s="43"/>
      <c r="C33" s="60"/>
      <c r="D33" s="61"/>
      <c r="E33" s="61"/>
      <c r="F33" s="61"/>
      <c r="G33" s="61"/>
      <c r="H33" s="61"/>
      <c r="I33" s="61"/>
      <c r="J33" s="62"/>
      <c r="K33" s="63"/>
      <c r="L33" s="61"/>
      <c r="M33" s="61"/>
      <c r="N33" s="61"/>
      <c r="O33" s="61"/>
      <c r="R33" s="43"/>
    </row>
    <row r="34" spans="1:18" x14ac:dyDescent="0.2">
      <c r="A34" s="43"/>
      <c r="C34" s="60"/>
      <c r="D34" s="61"/>
      <c r="E34" s="61"/>
      <c r="F34" s="61"/>
      <c r="G34" s="61"/>
      <c r="H34" s="61"/>
      <c r="I34" s="61"/>
      <c r="J34" s="62"/>
      <c r="K34" s="63"/>
      <c r="L34" s="61"/>
      <c r="M34" s="61"/>
      <c r="N34" s="61"/>
      <c r="O34" s="61"/>
      <c r="R34" s="43"/>
    </row>
    <row r="35" spans="1:18" x14ac:dyDescent="0.2">
      <c r="A35" s="43"/>
      <c r="C35" s="60"/>
      <c r="D35" s="61"/>
      <c r="E35" s="61"/>
      <c r="F35" s="61"/>
      <c r="G35" s="61"/>
      <c r="H35" s="61"/>
      <c r="I35" s="61"/>
      <c r="J35" s="62"/>
      <c r="K35" s="63"/>
      <c r="L35" s="61"/>
      <c r="M35" s="61"/>
      <c r="N35" s="61"/>
      <c r="O35" s="61"/>
      <c r="R35" s="43"/>
    </row>
    <row r="36" spans="1:18" x14ac:dyDescent="0.2">
      <c r="A36" s="43"/>
      <c r="C36" s="60"/>
      <c r="D36" s="61"/>
      <c r="E36" s="61"/>
      <c r="F36" s="61"/>
      <c r="G36" s="61"/>
      <c r="H36" s="61"/>
      <c r="I36" s="61"/>
      <c r="J36" s="62"/>
      <c r="K36" s="63"/>
      <c r="L36" s="61"/>
      <c r="M36" s="61"/>
      <c r="N36" s="61"/>
      <c r="O36" s="61"/>
      <c r="R36" s="43"/>
    </row>
    <row r="37" spans="1:18" x14ac:dyDescent="0.2">
      <c r="A37" s="43"/>
      <c r="C37" s="60"/>
      <c r="D37" s="61"/>
      <c r="E37" s="61"/>
      <c r="F37" s="61"/>
      <c r="G37" s="61"/>
      <c r="H37" s="61"/>
      <c r="I37" s="61"/>
      <c r="J37" s="62"/>
      <c r="K37" s="63"/>
      <c r="L37" s="61"/>
      <c r="M37" s="61"/>
      <c r="N37" s="61"/>
      <c r="O37" s="61"/>
      <c r="R37" s="43"/>
    </row>
    <row r="38" spans="1:18" x14ac:dyDescent="0.2">
      <c r="A38" s="43"/>
      <c r="C38" s="60"/>
      <c r="D38" s="61"/>
      <c r="E38" s="61"/>
      <c r="F38" s="61"/>
      <c r="G38" s="61"/>
      <c r="H38" s="61"/>
      <c r="I38" s="61"/>
      <c r="J38" s="62"/>
      <c r="K38" s="63"/>
      <c r="L38" s="61"/>
      <c r="M38" s="61"/>
      <c r="N38" s="61"/>
      <c r="O38" s="61"/>
      <c r="R38" s="43"/>
    </row>
    <row r="39" spans="1:18" x14ac:dyDescent="0.2">
      <c r="A39" s="43"/>
      <c r="C39" s="60"/>
      <c r="D39" s="61"/>
      <c r="E39" s="61"/>
      <c r="F39" s="61"/>
      <c r="G39" s="61"/>
      <c r="H39" s="61"/>
      <c r="I39" s="61"/>
      <c r="J39" s="62"/>
      <c r="K39" s="63"/>
      <c r="L39" s="61"/>
      <c r="M39" s="61"/>
      <c r="N39" s="61"/>
      <c r="O39" s="61"/>
      <c r="R39" s="43"/>
    </row>
    <row r="40" spans="1:18" x14ac:dyDescent="0.2">
      <c r="A40" s="43"/>
      <c r="C40" s="60"/>
      <c r="D40" s="61"/>
      <c r="E40" s="61"/>
      <c r="F40" s="61"/>
      <c r="G40" s="61"/>
      <c r="H40" s="61"/>
      <c r="I40" s="61"/>
      <c r="J40" s="62"/>
      <c r="K40" s="63"/>
      <c r="L40" s="61"/>
      <c r="M40" s="61"/>
      <c r="N40" s="61"/>
      <c r="O40" s="61"/>
      <c r="R40" s="43"/>
    </row>
    <row r="41" spans="1:18" x14ac:dyDescent="0.2">
      <c r="A41" s="43"/>
      <c r="C41" s="60"/>
      <c r="D41" s="61"/>
      <c r="E41" s="61"/>
      <c r="F41" s="61"/>
      <c r="G41" s="61"/>
      <c r="H41" s="61"/>
      <c r="I41" s="61"/>
      <c r="J41" s="62"/>
      <c r="K41" s="63"/>
      <c r="L41" s="61"/>
      <c r="M41" s="61"/>
      <c r="N41" s="61"/>
      <c r="O41" s="61"/>
      <c r="R41" s="43"/>
    </row>
    <row r="42" spans="1:18" x14ac:dyDescent="0.2">
      <c r="A42" s="43"/>
      <c r="C42" s="60"/>
      <c r="D42" s="61"/>
      <c r="E42" s="61"/>
      <c r="F42" s="61"/>
      <c r="G42" s="61"/>
      <c r="H42" s="61"/>
      <c r="I42" s="61"/>
      <c r="J42" s="62"/>
      <c r="K42" s="63"/>
      <c r="L42" s="61"/>
      <c r="M42" s="61"/>
      <c r="N42" s="61"/>
      <c r="O42" s="61"/>
      <c r="R42" s="43"/>
    </row>
    <row r="43" spans="1:18" x14ac:dyDescent="0.2">
      <c r="A43" s="4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43"/>
    </row>
    <row r="44" spans="1:18" x14ac:dyDescent="0.2">
      <c r="A44" s="4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43"/>
    </row>
    <row r="45" spans="1:18" x14ac:dyDescent="0.2">
      <c r="A45" s="4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43"/>
    </row>
    <row r="46" spans="1:18" x14ac:dyDescent="0.2">
      <c r="A46" s="4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43"/>
    </row>
    <row r="47" spans="1:18" x14ac:dyDescent="0.2">
      <c r="A47" s="4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43"/>
    </row>
    <row r="48" spans="1:18" x14ac:dyDescent="0.2">
      <c r="A48" s="4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43"/>
    </row>
    <row r="49" spans="1:18" x14ac:dyDescent="0.2">
      <c r="A49" s="4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43"/>
    </row>
    <row r="50" spans="1:18" x14ac:dyDescent="0.2">
      <c r="A50" s="4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43"/>
    </row>
    <row r="51" spans="1:18" x14ac:dyDescent="0.2">
      <c r="A51" s="4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43"/>
    </row>
    <row r="52" spans="1:18" x14ac:dyDescent="0.2">
      <c r="A52" s="4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43"/>
    </row>
    <row r="53" spans="1:18" x14ac:dyDescent="0.2">
      <c r="A53" s="4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43"/>
    </row>
    <row r="54" spans="1:18" x14ac:dyDescent="0.2">
      <c r="A54" s="4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43"/>
    </row>
    <row r="55" spans="1:18" x14ac:dyDescent="0.2">
      <c r="A55" s="4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43"/>
    </row>
    <row r="56" spans="1:18" x14ac:dyDescent="0.2">
      <c r="A56" s="4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43"/>
    </row>
    <row r="57" spans="1:18" x14ac:dyDescent="0.2">
      <c r="A57" s="4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43"/>
    </row>
    <row r="58" spans="1:18" x14ac:dyDescent="0.2">
      <c r="A58" s="4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43"/>
    </row>
    <row r="59" spans="1:18" x14ac:dyDescent="0.2">
      <c r="A59" s="4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43"/>
    </row>
    <row r="60" spans="1:18" x14ac:dyDescent="0.2">
      <c r="A60" s="4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43"/>
    </row>
    <row r="61" spans="1:18" x14ac:dyDescent="0.2">
      <c r="A61" s="4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43"/>
    </row>
    <row r="62" spans="1:18" x14ac:dyDescent="0.2">
      <c r="A62" s="4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43"/>
    </row>
    <row r="63" spans="1:18" x14ac:dyDescent="0.2">
      <c r="A63" s="4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43"/>
    </row>
    <row r="64" spans="1:18" ht="19" x14ac:dyDescent="0.25">
      <c r="A64" s="43"/>
      <c r="B64" s="44" t="s">
        <v>141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</row>
    <row r="65" spans="1:18" x14ac:dyDescent="0.2">
      <c r="A65" s="43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43"/>
    </row>
    <row r="66" spans="1:18" x14ac:dyDescent="0.2">
      <c r="A66" s="43"/>
      <c r="B66" s="18"/>
      <c r="C66" s="51" t="s">
        <v>32</v>
      </c>
      <c r="D66" s="49" t="s">
        <v>19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43"/>
    </row>
    <row r="67" spans="1:18" x14ac:dyDescent="0.2">
      <c r="A67" s="4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43"/>
    </row>
    <row r="68" spans="1:18" x14ac:dyDescent="0.2">
      <c r="A68" s="43"/>
      <c r="B68" s="18"/>
      <c r="C68" s="52" t="s">
        <v>142</v>
      </c>
      <c r="D68" s="50">
        <f ca="1">D75</f>
        <v>118557.21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43"/>
    </row>
    <row r="69" spans="1:18" x14ac:dyDescent="0.2">
      <c r="A69" s="43"/>
      <c r="B69" s="18"/>
      <c r="C69" s="54" t="str">
        <f>H74</f>
        <v>Costos Operacionales</v>
      </c>
      <c r="D69" s="55">
        <f ca="1">H75</f>
        <v>47832.770000000004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43"/>
    </row>
    <row r="70" spans="1:18" x14ac:dyDescent="0.2">
      <c r="A70" s="43"/>
      <c r="B70" s="18"/>
      <c r="C70" s="54" t="s">
        <v>147</v>
      </c>
      <c r="D70" s="57">
        <f ca="1">I75</f>
        <v>70724.44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43"/>
    </row>
    <row r="71" spans="1:18" x14ac:dyDescent="0.2">
      <c r="A71" s="43"/>
      <c r="B71" s="18"/>
      <c r="C71" s="53" t="str">
        <f>J74</f>
        <v>Porcentaje de Utilidad Bruta</v>
      </c>
      <c r="D71" s="56">
        <f ca="1">J75</f>
        <v>0.59654271553792471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43"/>
    </row>
    <row r="72" spans="1:18" x14ac:dyDescent="0.2">
      <c r="A72" s="43"/>
      <c r="B72" s="18"/>
      <c r="C72" s="4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43"/>
    </row>
    <row r="73" spans="1:18" x14ac:dyDescent="0.2">
      <c r="A73" s="4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43"/>
    </row>
    <row r="74" spans="1:18" ht="17" thickBot="1" x14ac:dyDescent="0.25">
      <c r="A74" s="43"/>
      <c r="B74" s="18"/>
      <c r="C74" s="74" t="s">
        <v>32</v>
      </c>
      <c r="D74" s="74" t="s">
        <v>7</v>
      </c>
      <c r="E74" s="74" t="s">
        <v>8</v>
      </c>
      <c r="F74" s="74" t="s">
        <v>9</v>
      </c>
      <c r="G74" s="74" t="s">
        <v>10</v>
      </c>
      <c r="H74" s="74" t="s">
        <v>143</v>
      </c>
      <c r="I74" s="74" t="s">
        <v>147</v>
      </c>
      <c r="J74" s="74" t="s">
        <v>148</v>
      </c>
      <c r="K74" s="74" t="s">
        <v>12</v>
      </c>
      <c r="L74" s="74" t="s">
        <v>35</v>
      </c>
      <c r="M74" s="74" t="s">
        <v>36</v>
      </c>
      <c r="N74" s="74" t="s">
        <v>37</v>
      </c>
      <c r="O74" s="74" t="s">
        <v>140</v>
      </c>
      <c r="P74" s="18"/>
      <c r="Q74" s="18"/>
      <c r="R74" s="43"/>
    </row>
    <row r="75" spans="1:18" x14ac:dyDescent="0.2">
      <c r="A75" s="43"/>
      <c r="B75" s="18"/>
      <c r="C75" s="80" t="str">
        <f>D66</f>
        <v>abril</v>
      </c>
      <c r="D75" s="81">
        <f ca="1">INDEX(D3:O7,MATCH(C75,C3:C7,0),MATCH(D74,D2:O2,0))</f>
        <v>118557.21</v>
      </c>
      <c r="E75" s="81">
        <f ca="1">INDEX($D$3:$O$7,MATCH($C$75,$C$3:$C$7,0), MATCH(E74,$D$2:$O$2,0))</f>
        <v>104127.34</v>
      </c>
      <c r="F75" s="81">
        <f ca="1">INDEX($D$3:$O$7,MATCH($C$75,$C$3:$C$7,0), MATCH(F74,$D$2:$O$2,0))</f>
        <v>14429.87</v>
      </c>
      <c r="G75" s="81">
        <f ca="1">INDEX($D$3:$O$7,MATCH($C$75,$C$3:$C$7,0), MATCH(G74,$D$2:$O$2,0))</f>
        <v>0</v>
      </c>
      <c r="H75" s="81">
        <f ca="1">INDEX($D$3:$O$7,MATCH($C$75,$C$3:$C$7,0),MATCH(H74,$D$2:$O$2,0))</f>
        <v>47832.770000000004</v>
      </c>
      <c r="I75" s="81">
        <f ca="1">INDEX($D$3:$O$7,MATCH($C$75,$C$3:$C$7,0),MATCH(I74,$D$2:$O$2,0))</f>
        <v>70724.44</v>
      </c>
      <c r="J75" s="82">
        <f ca="1">INDEX($D$3:$O$7,MATCH($C$75,$C$3:$C$7,0),MATCH(J74,$D$2:$O$2,0))</f>
        <v>0.59654271553792471</v>
      </c>
      <c r="K75" s="83">
        <f ca="1">INDEX($D$3:$O$7,MATCH($C$75,$C$3:$C$7,0), MATCH(K74,$D$2:$O$2,0))</f>
        <v>1100</v>
      </c>
      <c r="L75" s="81">
        <f>INDEX($D$3:$O$7,MATCH($C$75,$C$3:$C$7,0), MATCH(L74,$D$2:$O$2,0))</f>
        <v>43116.86</v>
      </c>
      <c r="M75" s="81">
        <f>INDEX($D$3:$O$7,MATCH($C$75,$C$3:$C$7,0), MATCH(M74,$D$2:$O$2,0))</f>
        <v>36957.31</v>
      </c>
      <c r="N75" s="81">
        <f>INDEX($D$3:$O$7,MATCH($C$75,$C$3:$C$7,0), MATCH(N74,$D$2:$O$2,0))</f>
        <v>38483.050000000003</v>
      </c>
      <c r="O75" s="81">
        <f>INDEX($D$3:$O$7,MATCH($C$75,$C$3:$C$7,0), MATCH(O74,$D$2:$O$2,0))</f>
        <v>37694.369999999995</v>
      </c>
      <c r="P75" s="18"/>
      <c r="Q75" s="18"/>
      <c r="R75" s="43"/>
    </row>
    <row r="76" spans="1:18" x14ac:dyDescent="0.2">
      <c r="A76" s="4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43"/>
    </row>
    <row r="77" spans="1:18" x14ac:dyDescent="0.2">
      <c r="A77" s="4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43"/>
    </row>
    <row r="78" spans="1:18" x14ac:dyDescent="0.2">
      <c r="A78" s="4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43"/>
    </row>
    <row r="79" spans="1:18" x14ac:dyDescent="0.2">
      <c r="A79" s="4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43"/>
    </row>
    <row r="80" spans="1:18" x14ac:dyDescent="0.2">
      <c r="A80" s="4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43"/>
    </row>
    <row r="81" spans="1:18" x14ac:dyDescent="0.2">
      <c r="A81" s="4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43"/>
    </row>
    <row r="82" spans="1:18" x14ac:dyDescent="0.2">
      <c r="A82" s="4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43"/>
    </row>
    <row r="83" spans="1:18" x14ac:dyDescent="0.2">
      <c r="A83" s="4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43"/>
    </row>
    <row r="84" spans="1:18" x14ac:dyDescent="0.2">
      <c r="A84" s="4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43"/>
    </row>
    <row r="85" spans="1:18" x14ac:dyDescent="0.2">
      <c r="A85" s="4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43"/>
    </row>
    <row r="86" spans="1:18" x14ac:dyDescent="0.2">
      <c r="A86" s="4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43"/>
    </row>
    <row r="87" spans="1:18" x14ac:dyDescent="0.2">
      <c r="A87" s="4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43"/>
    </row>
    <row r="88" spans="1:18" x14ac:dyDescent="0.2">
      <c r="A88" s="4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43"/>
    </row>
    <row r="89" spans="1:18" x14ac:dyDescent="0.2">
      <c r="A89" s="4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43"/>
    </row>
    <row r="90" spans="1:18" x14ac:dyDescent="0.2">
      <c r="A90" s="4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43"/>
    </row>
    <row r="91" spans="1:18" x14ac:dyDescent="0.2">
      <c r="A91" s="4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43"/>
    </row>
    <row r="92" spans="1:18" x14ac:dyDescent="0.2">
      <c r="A92" s="4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43"/>
    </row>
    <row r="93" spans="1:18" x14ac:dyDescent="0.2">
      <c r="A93" s="4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43"/>
    </row>
    <row r="94" spans="1:18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</row>
  </sheetData>
  <conditionalFormatting sqref="D2">
    <cfRule type="iconSet" priority="11">
      <iconSet iconSet="3Arrows">
        <cfvo type="percent" val="0"/>
        <cfvo type="num" val="2500"/>
        <cfvo type="num" val="4000"/>
      </iconSet>
    </cfRule>
    <cfRule type="colorScale" priority="12">
      <colorScale>
        <cfvo type="num" val="2500"/>
        <cfvo type="num" val="3999"/>
        <cfvo type="num" val="4000"/>
        <color theme="8" tint="0.79998168889431442"/>
        <color theme="8" tint="0.39997558519241921"/>
        <color rgb="FF00B0F0"/>
      </colorScale>
    </cfRule>
  </conditionalFormatting>
  <conditionalFormatting sqref="F2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G2:H2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I2:J2">
    <cfRule type="dataBar" priority="20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{016ECE69-5486-BB4E-8E1C-F1C19EE9A280}</x14:id>
        </ext>
      </extLst>
    </cfRule>
  </conditionalFormatting>
  <dataValidations count="1">
    <dataValidation type="list" showInputMessage="1" showErrorMessage="1" promptTitle="Seleccionar mes" prompt="Selecciona de la lista el mes a observar" sqref="D66 D72" xr:uid="{81C10677-6D62-8F4E-93E2-C50816E17CC6}">
      <formula1>$C$3:$C$7</formula1>
    </dataValidation>
  </dataValidations>
  <pageMargins left="0.7" right="0.7" top="0.75" bottom="0.75" header="0.3" footer="0.3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6ECE69-5486-BB4E-8E1C-F1C19EE9A28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I2:J2</xm:sqref>
        </x14:conditionalFormatting>
        <x14:conditionalFormatting xmlns:xm="http://schemas.microsoft.com/office/excel/2006/main">
          <x14:cfRule type="iconSet" priority="19" id="{E57F41AA-B946-784B-AA47-D9FD521BCA7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G2:H2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6844-CC93-E24A-8129-83605F0D53E9}">
  <dimension ref="A1:P120"/>
  <sheetViews>
    <sheetView tabSelected="1" topLeftCell="A10" zoomScale="110" zoomScaleNormal="110" workbookViewId="0">
      <selection activeCell="F121" sqref="F121"/>
    </sheetView>
  </sheetViews>
  <sheetFormatPr baseColWidth="10" defaultRowHeight="16" x14ac:dyDescent="0.2"/>
  <cols>
    <col min="1" max="1" width="3.33203125" style="59" customWidth="1"/>
    <col min="2" max="2" width="3.1640625" style="59" customWidth="1"/>
    <col min="3" max="3" width="15.83203125" style="59" bestFit="1" customWidth="1"/>
    <col min="4" max="4" width="20.33203125" style="59" bestFit="1" customWidth="1"/>
    <col min="5" max="5" width="17.6640625" style="59" bestFit="1" customWidth="1"/>
    <col min="6" max="6" width="31.5" style="59" bestFit="1" customWidth="1"/>
    <col min="7" max="7" width="18" style="59" bestFit="1" customWidth="1"/>
    <col min="8" max="8" width="15.33203125" style="59" bestFit="1" customWidth="1"/>
    <col min="9" max="9" width="17.1640625" style="59" bestFit="1" customWidth="1"/>
    <col min="10" max="10" width="8" style="59" bestFit="1" customWidth="1"/>
    <col min="11" max="12" width="9.1640625" style="59" bestFit="1" customWidth="1"/>
    <col min="13" max="13" width="13.33203125" style="59" bestFit="1" customWidth="1"/>
    <col min="14" max="15" width="13.5" style="59" bestFit="1" customWidth="1"/>
    <col min="16" max="16" width="3.33203125" style="59" customWidth="1"/>
    <col min="17" max="17" width="20.33203125" style="59" bestFit="1" customWidth="1"/>
    <col min="18" max="18" width="18" style="59" bestFit="1" customWidth="1"/>
    <col min="19" max="19" width="19.1640625" style="59" bestFit="1" customWidth="1"/>
    <col min="20" max="20" width="18" style="59" bestFit="1" customWidth="1"/>
    <col min="21" max="21" width="16.83203125" style="59" bestFit="1" customWidth="1"/>
    <col min="22" max="24" width="13.83203125" style="59" bestFit="1" customWidth="1"/>
    <col min="25" max="25" width="23" style="59" bestFit="1" customWidth="1"/>
    <col min="26" max="26" width="24.1640625" style="59" bestFit="1" customWidth="1"/>
    <col min="27" max="27" width="23" style="59" bestFit="1" customWidth="1"/>
    <col min="28" max="28" width="18" style="59" bestFit="1" customWidth="1"/>
    <col min="29" max="29" width="19.1640625" style="59" bestFit="1" customWidth="1"/>
    <col min="30" max="30" width="18" style="59" bestFit="1" customWidth="1"/>
    <col min="31" max="83" width="8.1640625" style="59" bestFit="1" customWidth="1"/>
    <col min="84" max="84" width="7.1640625" style="59" bestFit="1" customWidth="1"/>
    <col min="85" max="139" width="8.1640625" style="59" bestFit="1" customWidth="1"/>
    <col min="140" max="140" width="7.6640625" style="59" bestFit="1" customWidth="1"/>
    <col min="141" max="141" width="19" style="59" bestFit="1" customWidth="1"/>
    <col min="142" max="145" width="7.1640625" style="59" bestFit="1" customWidth="1"/>
    <col min="146" max="155" width="8.1640625" style="59" bestFit="1" customWidth="1"/>
    <col min="156" max="156" width="6.1640625" style="59" bestFit="1" customWidth="1"/>
    <col min="157" max="160" width="8.1640625" style="59" bestFit="1" customWidth="1"/>
    <col min="161" max="162" width="7.1640625" style="59" bestFit="1" customWidth="1"/>
    <col min="163" max="165" width="8.1640625" style="59" bestFit="1" customWidth="1"/>
    <col min="166" max="166" width="7.1640625" style="59" bestFit="1" customWidth="1"/>
    <col min="167" max="209" width="8.1640625" style="59" bestFit="1" customWidth="1"/>
    <col min="210" max="210" width="7.1640625" style="59" bestFit="1" customWidth="1"/>
    <col min="211" max="213" width="8.1640625" style="59" bestFit="1" customWidth="1"/>
    <col min="214" max="214" width="7.1640625" style="59" bestFit="1" customWidth="1"/>
    <col min="215" max="222" width="8.1640625" style="59" bestFit="1" customWidth="1"/>
    <col min="223" max="224" width="7.1640625" style="59" bestFit="1" customWidth="1"/>
    <col min="225" max="225" width="8.1640625" style="59" bestFit="1" customWidth="1"/>
    <col min="226" max="226" width="7.1640625" style="59" bestFit="1" customWidth="1"/>
    <col min="227" max="230" width="8.1640625" style="59" bestFit="1" customWidth="1"/>
    <col min="231" max="231" width="7.1640625" style="59" bestFit="1" customWidth="1"/>
    <col min="232" max="238" width="8.1640625" style="59" bestFit="1" customWidth="1"/>
    <col min="239" max="239" width="7.1640625" style="59" bestFit="1" customWidth="1"/>
    <col min="240" max="246" width="8.1640625" style="59" bestFit="1" customWidth="1"/>
    <col min="247" max="247" width="7.1640625" style="59" bestFit="1" customWidth="1"/>
    <col min="248" max="256" width="8.1640625" style="59" bestFit="1" customWidth="1"/>
    <col min="257" max="258" width="7.1640625" style="59" bestFit="1" customWidth="1"/>
    <col min="259" max="281" width="8.1640625" style="59" bestFit="1" customWidth="1"/>
    <col min="282" max="282" width="7.6640625" style="59" bestFit="1" customWidth="1"/>
    <col min="283" max="283" width="24.1640625" style="59" bestFit="1" customWidth="1"/>
    <col min="284" max="287" width="7.1640625" style="59" bestFit="1" customWidth="1"/>
    <col min="288" max="297" width="8.1640625" style="59" bestFit="1" customWidth="1"/>
    <col min="298" max="298" width="5.1640625" style="59" bestFit="1" customWidth="1"/>
    <col min="299" max="302" width="8.1640625" style="59" bestFit="1" customWidth="1"/>
    <col min="303" max="304" width="7.1640625" style="59" bestFit="1" customWidth="1"/>
    <col min="305" max="307" width="8.1640625" style="59" bestFit="1" customWidth="1"/>
    <col min="308" max="308" width="7.1640625" style="59" bestFit="1" customWidth="1"/>
    <col min="309" max="351" width="8.1640625" style="59" bestFit="1" customWidth="1"/>
    <col min="352" max="352" width="7.1640625" style="59" bestFit="1" customWidth="1"/>
    <col min="353" max="355" width="8.1640625" style="59" bestFit="1" customWidth="1"/>
    <col min="356" max="356" width="7.1640625" style="59" bestFit="1" customWidth="1"/>
    <col min="357" max="364" width="8.1640625" style="59" bestFit="1" customWidth="1"/>
    <col min="365" max="366" width="7.1640625" style="59" bestFit="1" customWidth="1"/>
    <col min="367" max="367" width="8.1640625" style="59" bestFit="1" customWidth="1"/>
    <col min="368" max="368" width="7.1640625" style="59" bestFit="1" customWidth="1"/>
    <col min="369" max="372" width="8.1640625" style="59" bestFit="1" customWidth="1"/>
    <col min="373" max="373" width="7.1640625" style="59" bestFit="1" customWidth="1"/>
    <col min="374" max="380" width="8.1640625" style="59" bestFit="1" customWidth="1"/>
    <col min="381" max="381" width="7.1640625" style="59" bestFit="1" customWidth="1"/>
    <col min="382" max="388" width="8.1640625" style="59" bestFit="1" customWidth="1"/>
    <col min="389" max="389" width="7.1640625" style="59" bestFit="1" customWidth="1"/>
    <col min="390" max="398" width="8.1640625" style="59" bestFit="1" customWidth="1"/>
    <col min="399" max="400" width="7.1640625" style="59" bestFit="1" customWidth="1"/>
    <col min="401" max="404" width="8.1640625" style="59" bestFit="1" customWidth="1"/>
    <col min="405" max="405" width="7.1640625" style="59" bestFit="1" customWidth="1"/>
    <col min="406" max="423" width="8.1640625" style="59" bestFit="1" customWidth="1"/>
    <col min="424" max="424" width="7.6640625" style="59" bestFit="1" customWidth="1"/>
    <col min="425" max="425" width="24.5" style="59" bestFit="1" customWidth="1"/>
    <col min="426" max="426" width="23.33203125" style="59" bestFit="1" customWidth="1"/>
    <col min="427" max="427" width="28.5" style="59" bestFit="1" customWidth="1"/>
    <col min="428" max="16384" width="10.83203125" style="59"/>
  </cols>
  <sheetData>
    <row r="1" spans="1:16" ht="19" x14ac:dyDescent="0.25">
      <c r="A1" s="43"/>
      <c r="B1" s="44" t="s">
        <v>156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x14ac:dyDescent="0.2">
      <c r="A2" s="43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3"/>
    </row>
    <row r="3" spans="1:16" x14ac:dyDescent="0.2">
      <c r="A3" s="43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43"/>
    </row>
    <row r="4" spans="1:16" x14ac:dyDescent="0.2">
      <c r="A4" s="43"/>
      <c r="B4" s="18"/>
      <c r="C4" s="101" t="s">
        <v>149</v>
      </c>
      <c r="D4" s="102"/>
      <c r="E4" s="102"/>
      <c r="F4" s="102"/>
      <c r="G4" s="103"/>
      <c r="H4" s="18"/>
      <c r="I4" s="18"/>
      <c r="J4" s="18"/>
      <c r="K4" s="18"/>
      <c r="L4" s="18"/>
      <c r="M4" s="18"/>
      <c r="N4" s="18"/>
      <c r="O4" s="18"/>
      <c r="P4" s="43"/>
    </row>
    <row r="5" spans="1:16" x14ac:dyDescent="0.2">
      <c r="A5" s="43"/>
      <c r="B5" s="18"/>
      <c r="C5" s="90" t="s">
        <v>32</v>
      </c>
      <c r="D5" s="90" t="s">
        <v>82</v>
      </c>
      <c r="E5" s="90" t="s">
        <v>83</v>
      </c>
      <c r="F5" s="90" t="s">
        <v>84</v>
      </c>
      <c r="G5" s="90" t="s">
        <v>85</v>
      </c>
      <c r="H5"/>
      <c r="I5" s="18"/>
      <c r="J5" s="18"/>
      <c r="K5" s="18"/>
      <c r="L5" s="18"/>
      <c r="M5" s="18"/>
      <c r="N5" s="18"/>
      <c r="O5" s="18"/>
      <c r="P5" s="43"/>
    </row>
    <row r="6" spans="1:16" x14ac:dyDescent="0.2">
      <c r="A6" s="43"/>
      <c r="B6" s="18"/>
      <c r="C6" s="71" t="s">
        <v>72</v>
      </c>
      <c r="D6" s="85">
        <v>106391.34000000001</v>
      </c>
      <c r="E6" s="85">
        <v>11667.320000000002</v>
      </c>
      <c r="F6" s="85">
        <v>5132.3599999999997</v>
      </c>
      <c r="G6" s="85">
        <v>123191.02</v>
      </c>
      <c r="H6"/>
      <c r="I6" s="18"/>
      <c r="J6" s="18"/>
      <c r="K6" s="18"/>
      <c r="L6" s="18"/>
      <c r="M6" s="18"/>
      <c r="N6" s="18"/>
      <c r="O6" s="18"/>
      <c r="P6" s="43"/>
    </row>
    <row r="7" spans="1:16" x14ac:dyDescent="0.2">
      <c r="A7" s="43"/>
      <c r="B7" s="18"/>
      <c r="C7" s="71" t="s">
        <v>73</v>
      </c>
      <c r="D7" s="85">
        <v>93424.17</v>
      </c>
      <c r="E7" s="85">
        <v>17264.27</v>
      </c>
      <c r="F7" s="85">
        <v>0</v>
      </c>
      <c r="G7" s="85">
        <v>110688.44</v>
      </c>
      <c r="H7"/>
      <c r="I7" s="18"/>
      <c r="J7" s="18"/>
      <c r="K7" s="18"/>
      <c r="L7" s="18"/>
      <c r="M7" s="18"/>
      <c r="N7" s="18"/>
      <c r="O7" s="18"/>
      <c r="P7" s="43"/>
    </row>
    <row r="8" spans="1:16" x14ac:dyDescent="0.2">
      <c r="A8" s="43"/>
      <c r="B8" s="18"/>
      <c r="C8" s="71" t="s">
        <v>74</v>
      </c>
      <c r="D8" s="85">
        <v>103171.26999999999</v>
      </c>
      <c r="E8" s="85">
        <v>18080.920000000002</v>
      </c>
      <c r="F8" s="85">
        <v>175</v>
      </c>
      <c r="G8" s="85">
        <v>121427.19</v>
      </c>
      <c r="H8"/>
      <c r="I8" s="18"/>
      <c r="J8" s="18"/>
      <c r="K8" s="18"/>
      <c r="L8" s="18"/>
      <c r="M8" s="18"/>
      <c r="N8" s="18"/>
      <c r="O8" s="18"/>
      <c r="P8" s="43"/>
    </row>
    <row r="9" spans="1:16" x14ac:dyDescent="0.2">
      <c r="A9" s="43"/>
      <c r="B9" s="18"/>
      <c r="C9" s="71" t="s">
        <v>75</v>
      </c>
      <c r="D9" s="85">
        <v>104127.34</v>
      </c>
      <c r="E9" s="85">
        <v>14429.87</v>
      </c>
      <c r="F9" s="85">
        <v>0</v>
      </c>
      <c r="G9" s="85">
        <v>118557.21</v>
      </c>
      <c r="H9"/>
      <c r="I9" s="18"/>
      <c r="J9" s="18"/>
      <c r="K9" s="18"/>
      <c r="L9" s="18"/>
      <c r="M9" s="18"/>
      <c r="N9" s="18"/>
      <c r="O9" s="18"/>
      <c r="P9" s="43"/>
    </row>
    <row r="10" spans="1:16" x14ac:dyDescent="0.2">
      <c r="A10" s="43"/>
      <c r="B10" s="18"/>
      <c r="C10" s="71" t="s">
        <v>76</v>
      </c>
      <c r="D10" s="85">
        <v>102113.44999999998</v>
      </c>
      <c r="E10" s="85">
        <v>18742.830000000002</v>
      </c>
      <c r="F10" s="85">
        <v>2149.33</v>
      </c>
      <c r="G10" s="85">
        <v>125702.61</v>
      </c>
      <c r="H10"/>
      <c r="I10" s="18"/>
      <c r="J10" s="18"/>
      <c r="K10" s="18"/>
      <c r="L10" s="18"/>
      <c r="M10" s="18"/>
      <c r="N10" s="18"/>
      <c r="O10" s="18"/>
      <c r="P10" s="43"/>
    </row>
    <row r="11" spans="1:16" x14ac:dyDescent="0.2">
      <c r="A11" s="43"/>
      <c r="B11" s="18"/>
      <c r="C11" s="71" t="s">
        <v>70</v>
      </c>
      <c r="D11" s="85">
        <v>509227.56999999995</v>
      </c>
      <c r="E11" s="85">
        <v>80185.210000000021</v>
      </c>
      <c r="F11" s="85">
        <v>7456.69</v>
      </c>
      <c r="G11" s="85">
        <v>599566.47000000009</v>
      </c>
      <c r="H11"/>
      <c r="I11" s="18"/>
      <c r="J11" s="18"/>
      <c r="K11" s="18"/>
      <c r="L11" s="18"/>
      <c r="M11" s="18"/>
      <c r="N11" s="18"/>
      <c r="O11" s="18"/>
      <c r="P11" s="43"/>
    </row>
    <row r="12" spans="1:16" x14ac:dyDescent="0.2">
      <c r="A12" s="43"/>
      <c r="B12" s="18"/>
      <c r="C12" s="71"/>
      <c r="D12" s="72"/>
      <c r="E12" s="72"/>
      <c r="F12" s="72"/>
      <c r="G12" s="72"/>
      <c r="H12"/>
      <c r="I12" s="18"/>
      <c r="J12" s="18"/>
      <c r="K12" s="18"/>
      <c r="L12" s="18"/>
      <c r="M12" s="18"/>
      <c r="N12" s="18"/>
      <c r="O12" s="18"/>
      <c r="P12" s="43"/>
    </row>
    <row r="13" spans="1:16" x14ac:dyDescent="0.2">
      <c r="A13" s="43"/>
      <c r="B13" s="18"/>
      <c r="C13" s="101" t="s">
        <v>150</v>
      </c>
      <c r="D13" s="102"/>
      <c r="E13" s="102"/>
      <c r="F13" s="102"/>
      <c r="G13" s="103"/>
      <c r="H13"/>
      <c r="I13" s="18"/>
      <c r="J13" s="18"/>
      <c r="K13" s="18"/>
      <c r="L13" s="18"/>
      <c r="M13" s="18"/>
      <c r="N13" s="18"/>
      <c r="O13" s="18"/>
      <c r="P13" s="43"/>
    </row>
    <row r="14" spans="1:16" x14ac:dyDescent="0.2">
      <c r="A14" s="43"/>
      <c r="B14" s="18"/>
      <c r="C14" s="70" t="s">
        <v>32</v>
      </c>
      <c r="D14" s="70" t="s">
        <v>86</v>
      </c>
      <c r="E14" s="70" t="s">
        <v>87</v>
      </c>
      <c r="F14" s="70" t="s">
        <v>158</v>
      </c>
      <c r="G14" s="70" t="s">
        <v>77</v>
      </c>
      <c r="H14"/>
      <c r="I14" s="18"/>
      <c r="J14" s="18"/>
      <c r="K14" s="18"/>
      <c r="L14" s="18"/>
      <c r="M14" s="18"/>
      <c r="N14" s="18"/>
      <c r="O14" s="18"/>
      <c r="P14" s="43"/>
    </row>
    <row r="15" spans="1:16" x14ac:dyDescent="0.2">
      <c r="A15" s="43"/>
      <c r="B15" s="18"/>
      <c r="C15" s="71" t="s">
        <v>72</v>
      </c>
      <c r="D15" s="85">
        <v>56296.37999999999</v>
      </c>
      <c r="E15" s="85">
        <v>66894.640000000014</v>
      </c>
      <c r="F15" s="73">
        <v>0.54301555421815662</v>
      </c>
      <c r="G15" s="72">
        <v>39.225806451612904</v>
      </c>
      <c r="H15"/>
      <c r="I15" s="18"/>
      <c r="J15" s="18"/>
      <c r="K15" s="18"/>
      <c r="L15" s="18"/>
      <c r="M15" s="18"/>
      <c r="N15" s="18"/>
      <c r="O15" s="18"/>
      <c r="P15" s="43"/>
    </row>
    <row r="16" spans="1:16" x14ac:dyDescent="0.2">
      <c r="A16" s="43"/>
      <c r="B16" s="18"/>
      <c r="C16" s="71" t="s">
        <v>73</v>
      </c>
      <c r="D16" s="85">
        <v>50695.119999999995</v>
      </c>
      <c r="E16" s="85">
        <v>59993.320000000007</v>
      </c>
      <c r="F16" s="73">
        <v>0.54200167605578331</v>
      </c>
      <c r="G16" s="72">
        <v>36.607142857142854</v>
      </c>
      <c r="H16"/>
      <c r="I16" s="18"/>
      <c r="J16" s="18"/>
      <c r="K16" s="18"/>
      <c r="L16" s="18"/>
      <c r="M16" s="18"/>
      <c r="N16" s="18"/>
      <c r="O16" s="18"/>
      <c r="P16" s="43"/>
    </row>
    <row r="17" spans="1:16" x14ac:dyDescent="0.2">
      <c r="A17" s="43"/>
      <c r="B17" s="18"/>
      <c r="C17" s="71" t="s">
        <v>74</v>
      </c>
      <c r="D17" s="85">
        <v>64292.87000000001</v>
      </c>
      <c r="E17" s="85">
        <v>57134.319999999992</v>
      </c>
      <c r="F17" s="73">
        <v>0.47052328230604684</v>
      </c>
      <c r="G17" s="72">
        <v>36.258064516129032</v>
      </c>
      <c r="H17"/>
      <c r="I17" s="18"/>
      <c r="J17" s="18"/>
      <c r="K17" s="18"/>
      <c r="L17" s="18"/>
      <c r="M17" s="18"/>
      <c r="N17" s="18"/>
      <c r="O17" s="18"/>
      <c r="P17" s="43"/>
    </row>
    <row r="18" spans="1:16" x14ac:dyDescent="0.2">
      <c r="A18" s="43"/>
      <c r="B18" s="18"/>
      <c r="C18" s="71" t="s">
        <v>75</v>
      </c>
      <c r="D18" s="85">
        <v>47832.770000000004</v>
      </c>
      <c r="E18" s="85">
        <v>70724.44</v>
      </c>
      <c r="F18" s="73">
        <v>0.59654271553792471</v>
      </c>
      <c r="G18" s="72">
        <v>36.666666666666664</v>
      </c>
      <c r="H18"/>
      <c r="I18" s="18"/>
      <c r="J18" s="18"/>
      <c r="K18" s="18"/>
      <c r="L18" s="18"/>
      <c r="M18" s="18"/>
      <c r="N18" s="18"/>
      <c r="O18" s="18"/>
      <c r="P18" s="43"/>
    </row>
    <row r="19" spans="1:16" x14ac:dyDescent="0.2">
      <c r="A19" s="43"/>
      <c r="B19" s="18"/>
      <c r="C19" s="71" t="s">
        <v>76</v>
      </c>
      <c r="D19" s="85">
        <v>52889.020000000019</v>
      </c>
      <c r="E19" s="85">
        <v>72813.589999999982</v>
      </c>
      <c r="F19" s="73">
        <v>0.57925280946831559</v>
      </c>
      <c r="G19" s="72">
        <v>39.03448275862069</v>
      </c>
      <c r="H19"/>
      <c r="I19" s="18"/>
      <c r="J19" s="18"/>
      <c r="K19" s="18"/>
      <c r="L19" s="18"/>
      <c r="M19" s="18"/>
      <c r="N19" s="18"/>
      <c r="O19" s="18"/>
      <c r="P19" s="43"/>
    </row>
    <row r="20" spans="1:16" x14ac:dyDescent="0.2">
      <c r="A20" s="43"/>
      <c r="B20" s="18"/>
      <c r="C20" s="71" t="s">
        <v>70</v>
      </c>
      <c r="D20" s="85">
        <v>272006.16000000009</v>
      </c>
      <c r="E20" s="85">
        <v>327560.31</v>
      </c>
      <c r="F20" s="73">
        <v>0.54632859972973469</v>
      </c>
      <c r="G20" s="72">
        <v>37.563758389261743</v>
      </c>
      <c r="H20"/>
      <c r="I20" s="18"/>
      <c r="J20" s="18"/>
      <c r="K20" s="18"/>
      <c r="L20" s="18"/>
      <c r="M20" s="18"/>
      <c r="N20" s="18"/>
      <c r="O20" s="18"/>
      <c r="P20" s="43"/>
    </row>
    <row r="21" spans="1:16" x14ac:dyDescent="0.2">
      <c r="A21" s="43"/>
      <c r="B21" s="18"/>
      <c r="C21" s="71"/>
      <c r="D21" s="72"/>
      <c r="E21" s="72"/>
      <c r="F21" s="72"/>
      <c r="G21" s="72"/>
      <c r="H21"/>
      <c r="I21" s="18"/>
      <c r="J21" s="18"/>
      <c r="K21" s="18"/>
      <c r="L21" s="18"/>
      <c r="M21" s="18"/>
      <c r="N21" s="18"/>
      <c r="O21" s="18"/>
      <c r="P21" s="43"/>
    </row>
    <row r="22" spans="1:16" x14ac:dyDescent="0.2">
      <c r="A22" s="43"/>
      <c r="B22" s="18"/>
      <c r="C22" s="71"/>
      <c r="D22" s="72"/>
      <c r="E22" s="72"/>
      <c r="F22" s="72"/>
      <c r="G22" s="72"/>
      <c r="H22"/>
      <c r="I22" s="18"/>
      <c r="J22" s="18"/>
      <c r="K22" s="18"/>
      <c r="L22" s="18"/>
      <c r="M22" s="18"/>
      <c r="N22" s="18"/>
      <c r="O22" s="18"/>
      <c r="P22" s="43"/>
    </row>
    <row r="23" spans="1:16" x14ac:dyDescent="0.2">
      <c r="A23" s="43"/>
      <c r="B23" s="18"/>
      <c r="C23" s="71"/>
      <c r="D23" s="72"/>
      <c r="E23" s="72"/>
      <c r="F23" s="72"/>
      <c r="G23" s="72"/>
      <c r="H23"/>
      <c r="I23" s="18"/>
      <c r="J23" s="18"/>
      <c r="K23" s="18"/>
      <c r="L23" s="18"/>
      <c r="M23" s="18"/>
      <c r="N23" s="18"/>
      <c r="O23" s="18"/>
      <c r="P23" s="43"/>
    </row>
    <row r="24" spans="1:16" x14ac:dyDescent="0.2">
      <c r="A24" s="43"/>
      <c r="B24" s="18"/>
      <c r="C24" s="71"/>
      <c r="D24" s="72"/>
      <c r="E24" s="72"/>
      <c r="F24" s="72"/>
      <c r="G24" s="72"/>
      <c r="H24"/>
      <c r="I24" s="18"/>
      <c r="J24" s="18"/>
      <c r="K24" s="18"/>
      <c r="L24" s="18"/>
      <c r="M24" s="18"/>
      <c r="N24" s="18"/>
      <c r="O24" s="18"/>
      <c r="P24" s="43"/>
    </row>
    <row r="25" spans="1:16" x14ac:dyDescent="0.2">
      <c r="A25" s="43"/>
      <c r="B25" s="18"/>
      <c r="C25" s="71"/>
      <c r="D25" s="72"/>
      <c r="E25" s="72"/>
      <c r="F25" s="72"/>
      <c r="G25" s="72"/>
      <c r="H25"/>
      <c r="I25" s="18"/>
      <c r="J25" s="18"/>
      <c r="K25" s="18"/>
      <c r="L25" s="18"/>
      <c r="M25" s="18"/>
      <c r="N25" s="18"/>
      <c r="O25" s="18"/>
      <c r="P25" s="43"/>
    </row>
    <row r="26" spans="1:16" x14ac:dyDescent="0.2">
      <c r="A26" s="43"/>
      <c r="B26" s="18"/>
      <c r="C26" s="71"/>
      <c r="D26" s="72"/>
      <c r="E26" s="72"/>
      <c r="F26" s="72"/>
      <c r="G26" s="72"/>
      <c r="H26"/>
      <c r="I26" s="18"/>
      <c r="J26" s="18"/>
      <c r="K26" s="18"/>
      <c r="L26" s="18"/>
      <c r="M26" s="18"/>
      <c r="N26" s="18"/>
      <c r="O26" s="18"/>
      <c r="P26" s="43"/>
    </row>
    <row r="27" spans="1:16" x14ac:dyDescent="0.2">
      <c r="A27" s="43"/>
      <c r="B27" s="18"/>
      <c r="C27" s="71"/>
      <c r="D27" s="72"/>
      <c r="E27" s="72"/>
      <c r="F27" s="72"/>
      <c r="G27" s="72"/>
      <c r="H27"/>
      <c r="I27" s="18"/>
      <c r="J27" s="18"/>
      <c r="K27" s="18"/>
      <c r="L27" s="18"/>
      <c r="M27" s="18"/>
      <c r="N27" s="18"/>
      <c r="O27" s="18"/>
      <c r="P27" s="43"/>
    </row>
    <row r="28" spans="1:16" x14ac:dyDescent="0.2">
      <c r="A28" s="43"/>
      <c r="B28" s="18"/>
      <c r="C28" s="71"/>
      <c r="D28" s="72"/>
      <c r="E28" s="72"/>
      <c r="F28" s="72"/>
      <c r="G28" s="72"/>
      <c r="H28"/>
      <c r="I28" s="18"/>
      <c r="J28" s="18"/>
      <c r="K28" s="18"/>
      <c r="L28" s="18"/>
      <c r="M28" s="18"/>
      <c r="N28" s="18"/>
      <c r="O28" s="18"/>
      <c r="P28" s="43"/>
    </row>
    <row r="29" spans="1:16" x14ac:dyDescent="0.2">
      <c r="A29" s="43"/>
      <c r="B29" s="18"/>
      <c r="C29" s="71"/>
      <c r="D29" s="72"/>
      <c r="E29" s="72"/>
      <c r="F29" s="72"/>
      <c r="G29" s="72"/>
      <c r="H29"/>
      <c r="I29" s="18"/>
      <c r="J29" s="18"/>
      <c r="K29" s="18"/>
      <c r="L29" s="18"/>
      <c r="M29" s="18"/>
      <c r="N29" s="18"/>
      <c r="O29" s="18"/>
      <c r="P29" s="43"/>
    </row>
    <row r="30" spans="1:16" x14ac:dyDescent="0.2">
      <c r="A30" s="43"/>
      <c r="B30" s="18"/>
      <c r="C30" s="71"/>
      <c r="D30" s="72"/>
      <c r="E30" s="72"/>
      <c r="F30" s="72"/>
      <c r="G30" s="72"/>
      <c r="H30"/>
      <c r="I30" s="18"/>
      <c r="J30" s="18"/>
      <c r="K30" s="18"/>
      <c r="L30" s="18"/>
      <c r="M30" s="18"/>
      <c r="N30" s="18"/>
      <c r="O30" s="18"/>
      <c r="P30" s="43"/>
    </row>
    <row r="31" spans="1:16" x14ac:dyDescent="0.2">
      <c r="A31" s="43"/>
      <c r="B31" s="18"/>
      <c r="C31" s="71"/>
      <c r="D31" s="72"/>
      <c r="E31" s="72"/>
      <c r="F31" s="72"/>
      <c r="G31" s="72"/>
      <c r="H31"/>
      <c r="I31" s="18"/>
      <c r="J31" s="18"/>
      <c r="K31" s="18"/>
      <c r="L31" s="18"/>
      <c r="M31" s="18"/>
      <c r="N31" s="18"/>
      <c r="O31" s="18"/>
      <c r="P31" s="43"/>
    </row>
    <row r="32" spans="1:16" x14ac:dyDescent="0.2">
      <c r="A32" s="43"/>
      <c r="B32" s="18"/>
      <c r="C32" s="71"/>
      <c r="D32" s="72"/>
      <c r="E32" s="72"/>
      <c r="F32" s="72"/>
      <c r="G32" s="72"/>
      <c r="H32"/>
      <c r="I32" s="18"/>
      <c r="J32" s="18"/>
      <c r="K32" s="18"/>
      <c r="L32" s="18"/>
      <c r="M32" s="18"/>
      <c r="N32" s="18"/>
      <c r="O32" s="18"/>
      <c r="P32" s="43"/>
    </row>
    <row r="33" spans="1:16" x14ac:dyDescent="0.2">
      <c r="A33" s="43"/>
      <c r="B33" s="18"/>
      <c r="C33" s="71"/>
      <c r="D33" s="72"/>
      <c r="E33" s="72"/>
      <c r="F33" s="72"/>
      <c r="G33" s="72"/>
      <c r="H33"/>
      <c r="I33" s="18"/>
      <c r="J33" s="18"/>
      <c r="K33" s="18"/>
      <c r="L33" s="18"/>
      <c r="M33" s="18"/>
      <c r="N33" s="18"/>
      <c r="O33" s="18"/>
      <c r="P33" s="43"/>
    </row>
    <row r="34" spans="1:16" x14ac:dyDescent="0.2">
      <c r="A34" s="43"/>
      <c r="B34" s="18"/>
      <c r="C34" s="71"/>
      <c r="D34" s="72"/>
      <c r="E34" s="72"/>
      <c r="F34" s="72"/>
      <c r="G34" s="72"/>
      <c r="H34"/>
      <c r="I34" s="18"/>
      <c r="J34" s="18"/>
      <c r="K34" s="18"/>
      <c r="L34" s="18"/>
      <c r="M34" s="18"/>
      <c r="N34" s="18"/>
      <c r="O34" s="18"/>
      <c r="P34" s="43"/>
    </row>
    <row r="35" spans="1:16" x14ac:dyDescent="0.2">
      <c r="A35" s="43"/>
      <c r="B35" s="18"/>
      <c r="C35" s="71"/>
      <c r="D35" s="72"/>
      <c r="E35" s="72"/>
      <c r="F35" s="72"/>
      <c r="G35" s="72"/>
      <c r="H35"/>
      <c r="I35" s="18"/>
      <c r="J35" s="18"/>
      <c r="K35" s="18"/>
      <c r="L35" s="18"/>
      <c r="M35" s="18"/>
      <c r="N35" s="18"/>
      <c r="O35" s="18"/>
      <c r="P35" s="43"/>
    </row>
    <row r="36" spans="1:16" x14ac:dyDescent="0.2">
      <c r="A36" s="43"/>
      <c r="B36" s="18"/>
      <c r="C36" s="71"/>
      <c r="D36" s="72"/>
      <c r="E36" s="72"/>
      <c r="F36" s="72"/>
      <c r="G36" s="72"/>
      <c r="H36"/>
      <c r="I36" s="18"/>
      <c r="J36" s="18"/>
      <c r="K36" s="18"/>
      <c r="L36" s="18"/>
      <c r="M36" s="18"/>
      <c r="N36" s="18"/>
      <c r="O36" s="18"/>
      <c r="P36" s="43"/>
    </row>
    <row r="37" spans="1:16" x14ac:dyDescent="0.2">
      <c r="A37" s="43"/>
      <c r="B37" s="18"/>
      <c r="C37" s="71"/>
      <c r="D37" s="72"/>
      <c r="E37" s="72"/>
      <c r="F37" s="72"/>
      <c r="G37" s="72"/>
      <c r="H37"/>
      <c r="I37" s="18"/>
      <c r="J37" s="18"/>
      <c r="K37" s="18"/>
      <c r="L37" s="18"/>
      <c r="M37" s="18"/>
      <c r="N37" s="18"/>
      <c r="O37" s="18"/>
      <c r="P37" s="43"/>
    </row>
    <row r="38" spans="1:16" x14ac:dyDescent="0.2">
      <c r="A38" s="43"/>
      <c r="B38" s="18"/>
      <c r="C38" s="71"/>
      <c r="D38" s="72"/>
      <c r="E38" s="72"/>
      <c r="F38" s="72"/>
      <c r="G38" s="72"/>
      <c r="H38"/>
      <c r="I38" s="18"/>
      <c r="J38" s="18"/>
      <c r="K38" s="18"/>
      <c r="L38" s="18"/>
      <c r="M38" s="18"/>
      <c r="N38" s="18"/>
      <c r="O38" s="18"/>
      <c r="P38" s="43"/>
    </row>
    <row r="39" spans="1:16" x14ac:dyDescent="0.2">
      <c r="A39" s="43"/>
      <c r="B39" s="18"/>
      <c r="C39" s="71"/>
      <c r="D39" s="72"/>
      <c r="E39" s="72"/>
      <c r="F39" s="72"/>
      <c r="G39" s="72"/>
      <c r="H39"/>
      <c r="I39" s="18"/>
      <c r="J39" s="18"/>
      <c r="K39" s="18"/>
      <c r="L39" s="18"/>
      <c r="M39" s="18"/>
      <c r="N39" s="18"/>
      <c r="O39" s="18"/>
      <c r="P39" s="43"/>
    </row>
    <row r="40" spans="1:16" x14ac:dyDescent="0.2">
      <c r="A40" s="43"/>
      <c r="B40" s="18"/>
      <c r="C40" s="71"/>
      <c r="D40" s="72"/>
      <c r="E40" s="72"/>
      <c r="F40" s="72"/>
      <c r="G40" s="72"/>
      <c r="H40"/>
      <c r="I40" s="18"/>
      <c r="J40" s="18"/>
      <c r="K40" s="18"/>
      <c r="L40" s="18"/>
      <c r="M40" s="18"/>
      <c r="N40" s="18"/>
      <c r="O40" s="18"/>
      <c r="P40" s="43"/>
    </row>
    <row r="41" spans="1:16" x14ac:dyDescent="0.2">
      <c r="A41" s="43"/>
      <c r="B41" s="18"/>
      <c r="C41" s="71"/>
      <c r="D41" s="72"/>
      <c r="E41" s="72"/>
      <c r="F41" s="72"/>
      <c r="G41" s="72"/>
      <c r="H41"/>
      <c r="I41" s="18"/>
      <c r="J41" s="18"/>
      <c r="K41" s="18"/>
      <c r="L41" s="18"/>
      <c r="M41" s="18"/>
      <c r="N41" s="18"/>
      <c r="O41" s="18"/>
      <c r="P41" s="43"/>
    </row>
    <row r="42" spans="1:16" x14ac:dyDescent="0.2">
      <c r="A42" s="43"/>
      <c r="B42" s="91"/>
      <c r="C42" s="90"/>
      <c r="D42" s="92"/>
      <c r="E42" s="92"/>
      <c r="F42" s="92"/>
      <c r="G42" s="92"/>
      <c r="H42" s="86"/>
      <c r="I42" s="91"/>
      <c r="J42" s="91"/>
      <c r="K42" s="91"/>
      <c r="L42" s="91"/>
      <c r="M42" s="91"/>
      <c r="N42" s="91"/>
      <c r="O42" s="91"/>
      <c r="P42" s="43"/>
    </row>
    <row r="43" spans="1:16" x14ac:dyDescent="0.2">
      <c r="A43" s="4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3"/>
    </row>
    <row r="44" spans="1:16" x14ac:dyDescent="0.2">
      <c r="A44" s="43"/>
      <c r="B44" s="18"/>
      <c r="C44" s="101" t="s">
        <v>157</v>
      </c>
      <c r="D44" s="102"/>
      <c r="E44" s="102"/>
      <c r="F44" s="102"/>
      <c r="G44" s="102"/>
      <c r="H44" s="102"/>
      <c r="I44" s="103"/>
      <c r="J44" s="18"/>
      <c r="K44" s="18"/>
      <c r="L44" s="18"/>
      <c r="M44" s="18"/>
      <c r="N44" s="18"/>
      <c r="O44" s="18"/>
      <c r="P44" s="43"/>
    </row>
    <row r="45" spans="1:16" x14ac:dyDescent="0.2">
      <c r="A45" s="43"/>
      <c r="B45" s="18"/>
      <c r="C45" s="89" t="s">
        <v>69</v>
      </c>
      <c r="D45" s="87" t="s">
        <v>88</v>
      </c>
      <c r="E45" s="87" t="s">
        <v>89</v>
      </c>
      <c r="F45" s="87" t="s">
        <v>90</v>
      </c>
      <c r="G45" s="87" t="s">
        <v>91</v>
      </c>
      <c r="H45" s="87" t="s">
        <v>92</v>
      </c>
      <c r="I45" s="19" t="s">
        <v>93</v>
      </c>
      <c r="J45" s="18"/>
      <c r="K45" s="18"/>
      <c r="L45" s="18"/>
      <c r="M45" s="18"/>
      <c r="N45" s="18"/>
      <c r="O45" s="18"/>
      <c r="P45" s="43"/>
    </row>
    <row r="46" spans="1:16" x14ac:dyDescent="0.2">
      <c r="A46" s="43"/>
      <c r="B46" s="18"/>
      <c r="C46" s="88" t="s">
        <v>78</v>
      </c>
      <c r="D46" s="99">
        <v>22174.383600000001</v>
      </c>
      <c r="E46" s="99">
        <v>23244.572400000001</v>
      </c>
      <c r="F46" s="99">
        <v>20642.622299999999</v>
      </c>
      <c r="G46" s="99">
        <v>24897.0141</v>
      </c>
      <c r="H46" s="99">
        <v>25309.124800000001</v>
      </c>
      <c r="I46" s="99">
        <v>116267.71720000001</v>
      </c>
      <c r="J46" s="18"/>
      <c r="K46" s="18"/>
      <c r="L46" s="18"/>
      <c r="M46" s="18"/>
      <c r="N46" s="18"/>
      <c r="O46" s="18"/>
      <c r="P46" s="43"/>
    </row>
    <row r="47" spans="1:16" x14ac:dyDescent="0.2">
      <c r="A47" s="43"/>
      <c r="B47" s="18"/>
      <c r="C47" s="88" t="s">
        <v>70</v>
      </c>
      <c r="D47" s="99">
        <v>22174.383600000001</v>
      </c>
      <c r="E47" s="99">
        <v>23244.572400000001</v>
      </c>
      <c r="F47" s="99">
        <v>20642.622299999999</v>
      </c>
      <c r="G47" s="99">
        <v>24897.0141</v>
      </c>
      <c r="H47" s="99">
        <v>25309.124800000001</v>
      </c>
      <c r="I47" s="99">
        <v>116267.71720000001</v>
      </c>
      <c r="J47" s="18"/>
      <c r="K47" s="18"/>
      <c r="L47" s="18"/>
      <c r="M47" s="18"/>
      <c r="N47" s="18"/>
      <c r="O47" s="18"/>
      <c r="P47" s="43"/>
    </row>
    <row r="48" spans="1:16" x14ac:dyDescent="0.2">
      <c r="A48" s="43"/>
      <c r="B48" s="18"/>
      <c r="C48"/>
      <c r="D48"/>
      <c r="E48"/>
      <c r="F48"/>
      <c r="G48"/>
      <c r="H48"/>
      <c r="I48"/>
      <c r="J48" s="18"/>
      <c r="K48" s="18"/>
      <c r="L48" s="18"/>
      <c r="M48" s="18"/>
      <c r="N48" s="18"/>
      <c r="O48" s="18"/>
      <c r="P48" s="43"/>
    </row>
    <row r="49" spans="1:16" x14ac:dyDescent="0.2">
      <c r="A49" s="43"/>
      <c r="B49" s="18"/>
      <c r="C49"/>
      <c r="D49"/>
      <c r="E49"/>
      <c r="F49"/>
      <c r="G49"/>
      <c r="H49"/>
      <c r="I49"/>
      <c r="J49" s="18"/>
      <c r="K49" s="18"/>
      <c r="L49" s="18"/>
      <c r="M49" s="18"/>
      <c r="N49" s="18"/>
      <c r="O49" s="18"/>
      <c r="P49" s="43"/>
    </row>
    <row r="50" spans="1:16" x14ac:dyDescent="0.2">
      <c r="A50" s="43"/>
      <c r="B50" s="18"/>
      <c r="C50"/>
      <c r="D50"/>
      <c r="E50"/>
      <c r="F50"/>
      <c r="G50"/>
      <c r="H50"/>
      <c r="I50"/>
      <c r="J50" s="18"/>
      <c r="K50" s="18"/>
      <c r="L50" s="18"/>
      <c r="M50" s="18"/>
      <c r="N50" s="18"/>
      <c r="O50" s="18"/>
      <c r="P50" s="43"/>
    </row>
    <row r="51" spans="1:16" x14ac:dyDescent="0.2">
      <c r="A51" s="43"/>
      <c r="B51" s="18"/>
      <c r="C51"/>
      <c r="D51"/>
      <c r="E51"/>
      <c r="F51"/>
      <c r="G51"/>
      <c r="H51"/>
      <c r="I51"/>
      <c r="J51" s="18"/>
      <c r="K51" s="18"/>
      <c r="L51" s="18"/>
      <c r="M51" s="18"/>
      <c r="N51" s="18"/>
      <c r="O51" s="18"/>
      <c r="P51" s="43"/>
    </row>
    <row r="52" spans="1:16" x14ac:dyDescent="0.2">
      <c r="A52" s="43"/>
      <c r="B52" s="18"/>
      <c r="C52" s="42"/>
      <c r="D52" s="40"/>
      <c r="E52" s="40"/>
      <c r="F52" s="40"/>
      <c r="G52" s="40"/>
      <c r="H52" s="40"/>
      <c r="I52" s="40"/>
      <c r="J52" s="18"/>
      <c r="K52" s="18"/>
      <c r="L52" s="18"/>
      <c r="M52" s="18"/>
      <c r="N52" s="18"/>
      <c r="O52" s="18"/>
      <c r="P52" s="43"/>
    </row>
    <row r="53" spans="1:16" x14ac:dyDescent="0.2">
      <c r="A53" s="43"/>
      <c r="B53" s="18"/>
      <c r="C53" s="104"/>
      <c r="D53" s="104"/>
      <c r="E53" s="84"/>
      <c r="F53" s="84"/>
      <c r="G53" s="84"/>
      <c r="H53" s="84"/>
      <c r="I53" s="84"/>
      <c r="J53" s="18"/>
      <c r="K53" s="18"/>
      <c r="L53" s="18"/>
      <c r="M53" s="18"/>
      <c r="N53" s="18"/>
      <c r="O53" s="18"/>
      <c r="P53" s="43"/>
    </row>
    <row r="54" spans="1:16" x14ac:dyDescent="0.2">
      <c r="A54" s="43"/>
      <c r="B54" s="18"/>
      <c r="C54"/>
      <c r="D54"/>
      <c r="E54"/>
      <c r="F54"/>
      <c r="G54"/>
      <c r="H54"/>
      <c r="I54"/>
      <c r="J54"/>
      <c r="K54" s="18"/>
      <c r="L54" s="18"/>
      <c r="M54" s="18"/>
      <c r="N54" s="18"/>
      <c r="O54" s="18"/>
      <c r="P54" s="43"/>
    </row>
    <row r="55" spans="1:16" x14ac:dyDescent="0.2">
      <c r="A55" s="43"/>
      <c r="B55" s="18"/>
      <c r="C55"/>
      <c r="D55"/>
      <c r="E55"/>
      <c r="F55"/>
      <c r="G55"/>
      <c r="H55"/>
      <c r="I55"/>
      <c r="J55"/>
      <c r="K55" s="18"/>
      <c r="L55" s="18"/>
      <c r="M55" s="18"/>
      <c r="N55" s="18"/>
      <c r="O55" s="18"/>
      <c r="P55" s="43"/>
    </row>
    <row r="56" spans="1:16" x14ac:dyDescent="0.2">
      <c r="A56" s="43"/>
      <c r="B56" s="18"/>
      <c r="C56"/>
      <c r="D56"/>
      <c r="E56"/>
      <c r="F56"/>
      <c r="G56"/>
      <c r="H56"/>
      <c r="I56"/>
      <c r="J56"/>
      <c r="K56" s="18"/>
      <c r="L56" s="18"/>
      <c r="M56" s="18"/>
      <c r="N56" s="18"/>
      <c r="O56" s="18"/>
      <c r="P56" s="43"/>
    </row>
    <row r="57" spans="1:16" x14ac:dyDescent="0.2">
      <c r="A57" s="43"/>
      <c r="B57" s="18"/>
      <c r="C57"/>
      <c r="D57"/>
      <c r="E57"/>
      <c r="F57"/>
      <c r="G57"/>
      <c r="H57"/>
      <c r="I57"/>
      <c r="J57"/>
      <c r="K57" s="18"/>
      <c r="L57" s="18"/>
      <c r="M57" s="18"/>
      <c r="N57" s="18"/>
      <c r="O57" s="18"/>
      <c r="P57" s="43"/>
    </row>
    <row r="58" spans="1:16" x14ac:dyDescent="0.2">
      <c r="A58" s="43"/>
      <c r="B58" s="18"/>
      <c r="C58"/>
      <c r="D58"/>
      <c r="E58"/>
      <c r="F58"/>
      <c r="G58"/>
      <c r="H58"/>
      <c r="I58"/>
      <c r="J58"/>
      <c r="K58" s="18"/>
      <c r="L58" s="18"/>
      <c r="M58" s="18"/>
      <c r="N58" s="18"/>
      <c r="O58" s="18"/>
      <c r="P58" s="43"/>
    </row>
    <row r="59" spans="1:16" x14ac:dyDescent="0.2">
      <c r="A59" s="43"/>
      <c r="B59" s="18"/>
      <c r="C59"/>
      <c r="D59"/>
      <c r="E59"/>
      <c r="F59"/>
      <c r="G59"/>
      <c r="H59"/>
      <c r="I59"/>
      <c r="J59"/>
      <c r="K59" s="18"/>
      <c r="L59" s="18"/>
      <c r="M59" s="18"/>
      <c r="N59" s="18"/>
      <c r="O59" s="18"/>
      <c r="P59" s="43"/>
    </row>
    <row r="60" spans="1:16" x14ac:dyDescent="0.2">
      <c r="A60" s="43"/>
      <c r="B60" s="18"/>
      <c r="C60"/>
      <c r="D60"/>
      <c r="E60"/>
      <c r="F60"/>
      <c r="G60"/>
      <c r="H60"/>
      <c r="I60"/>
      <c r="J60"/>
      <c r="K60" s="18"/>
      <c r="L60" s="18"/>
      <c r="M60" s="18"/>
      <c r="N60" s="18"/>
      <c r="O60" s="18"/>
      <c r="P60" s="43"/>
    </row>
    <row r="61" spans="1:16" x14ac:dyDescent="0.2">
      <c r="A61" s="43"/>
      <c r="B61" s="18"/>
      <c r="C61" s="42"/>
      <c r="D61" s="40"/>
      <c r="E61" s="40"/>
      <c r="F61" s="40"/>
      <c r="G61" s="40"/>
      <c r="H61" s="40"/>
      <c r="I61" s="40"/>
      <c r="J61" s="41"/>
      <c r="K61" s="18"/>
      <c r="L61" s="18"/>
      <c r="M61" s="18"/>
      <c r="N61" s="18"/>
      <c r="O61" s="18"/>
      <c r="P61" s="43"/>
    </row>
    <row r="62" spans="1:16" x14ac:dyDescent="0.2">
      <c r="A62" s="43"/>
      <c r="B62" s="18"/>
      <c r="C62" s="42"/>
      <c r="D62" s="40"/>
      <c r="E62" s="40"/>
      <c r="F62" s="40"/>
      <c r="G62" s="40"/>
      <c r="H62" s="40"/>
      <c r="I62" s="40"/>
      <c r="J62" s="41"/>
      <c r="K62" s="18"/>
      <c r="L62" s="18"/>
      <c r="M62" s="18"/>
      <c r="N62" s="18"/>
      <c r="O62" s="18"/>
      <c r="P62" s="43"/>
    </row>
    <row r="63" spans="1:16" x14ac:dyDescent="0.2">
      <c r="A63" s="43"/>
      <c r="B63" s="18"/>
      <c r="C63" s="42"/>
      <c r="D63" s="40"/>
      <c r="E63" s="40"/>
      <c r="F63" s="40"/>
      <c r="G63" s="40"/>
      <c r="H63" s="40"/>
      <c r="I63" s="40"/>
      <c r="J63" s="41"/>
      <c r="K63" s="18"/>
      <c r="L63" s="18"/>
      <c r="M63" s="18"/>
      <c r="N63" s="18"/>
      <c r="O63" s="18"/>
      <c r="P63" s="43"/>
    </row>
    <row r="64" spans="1:16" x14ac:dyDescent="0.2">
      <c r="A64" s="43"/>
      <c r="B64" s="18"/>
      <c r="C64" s="42"/>
      <c r="D64" s="40"/>
      <c r="E64" s="40"/>
      <c r="F64" s="40"/>
      <c r="G64" s="40"/>
      <c r="H64" s="40"/>
      <c r="I64" s="40"/>
      <c r="J64" s="41"/>
      <c r="K64" s="18"/>
      <c r="L64" s="18"/>
      <c r="M64" s="18"/>
      <c r="N64" s="18"/>
      <c r="O64" s="18"/>
      <c r="P64" s="43"/>
    </row>
    <row r="65" spans="1:16" x14ac:dyDescent="0.2">
      <c r="A65" s="43"/>
      <c r="B65" s="18"/>
      <c r="C65" s="42"/>
      <c r="D65" s="40"/>
      <c r="E65" s="40"/>
      <c r="F65" s="40"/>
      <c r="G65" s="40"/>
      <c r="H65" s="40"/>
      <c r="I65" s="40"/>
      <c r="J65" s="41"/>
      <c r="K65" s="18"/>
      <c r="L65" s="18"/>
      <c r="M65" s="18"/>
      <c r="N65" s="18"/>
      <c r="O65" s="18"/>
      <c r="P65" s="43"/>
    </row>
    <row r="66" spans="1:16" x14ac:dyDescent="0.2">
      <c r="A66" s="43"/>
      <c r="B66" s="18"/>
      <c r="C66" s="42"/>
      <c r="D66" s="40"/>
      <c r="E66" s="40"/>
      <c r="F66" s="40"/>
      <c r="G66" s="40"/>
      <c r="H66" s="40"/>
      <c r="I66" s="40"/>
      <c r="J66" s="41"/>
      <c r="K66" s="18"/>
      <c r="L66" s="18"/>
      <c r="M66" s="18"/>
      <c r="N66" s="18"/>
      <c r="O66" s="18"/>
      <c r="P66" s="43"/>
    </row>
    <row r="67" spans="1:16" x14ac:dyDescent="0.2">
      <c r="A67" s="43"/>
      <c r="B67" s="18"/>
      <c r="C67" s="42"/>
      <c r="D67" s="40"/>
      <c r="E67" s="40"/>
      <c r="F67" s="40"/>
      <c r="G67" s="40"/>
      <c r="H67" s="40"/>
      <c r="I67" s="40"/>
      <c r="J67" s="41"/>
      <c r="K67" s="18"/>
      <c r="L67" s="18"/>
      <c r="M67" s="18"/>
      <c r="N67" s="18"/>
      <c r="O67" s="18"/>
      <c r="P67" s="43"/>
    </row>
    <row r="68" spans="1:16" x14ac:dyDescent="0.2">
      <c r="A68" s="43"/>
      <c r="B68" s="18"/>
      <c r="C68" s="20"/>
      <c r="D68" s="21"/>
      <c r="E68" s="21"/>
      <c r="F68" s="21"/>
      <c r="G68" s="21"/>
      <c r="H68" s="21"/>
      <c r="I68" s="21"/>
      <c r="J68" s="22"/>
      <c r="K68" s="18"/>
      <c r="L68" s="18"/>
      <c r="M68" s="18"/>
      <c r="N68" s="18"/>
      <c r="O68" s="18"/>
      <c r="P68" s="43"/>
    </row>
    <row r="69" spans="1:16" x14ac:dyDescent="0.2">
      <c r="A69" s="43"/>
      <c r="B69" s="18"/>
      <c r="C69" s="20"/>
      <c r="D69" s="21"/>
      <c r="E69" s="21"/>
      <c r="F69" s="21"/>
      <c r="G69" s="21"/>
      <c r="H69" s="21"/>
      <c r="I69" s="21"/>
      <c r="J69" s="22"/>
      <c r="K69" s="18"/>
      <c r="L69" s="18"/>
      <c r="M69" s="18"/>
      <c r="N69" s="18"/>
      <c r="O69" s="18"/>
      <c r="P69" s="43"/>
    </row>
    <row r="70" spans="1:16" x14ac:dyDescent="0.2">
      <c r="A70" s="43"/>
      <c r="B70" s="18"/>
      <c r="C70" s="20"/>
      <c r="D70" s="21"/>
      <c r="E70" s="21"/>
      <c r="F70" s="21"/>
      <c r="G70" s="21"/>
      <c r="H70" s="21"/>
      <c r="I70" s="21"/>
      <c r="J70" s="22"/>
      <c r="K70" s="18"/>
      <c r="L70" s="18"/>
      <c r="M70" s="18"/>
      <c r="N70" s="18"/>
      <c r="O70" s="18"/>
      <c r="P70" s="43"/>
    </row>
    <row r="71" spans="1:16" x14ac:dyDescent="0.2">
      <c r="A71" s="43"/>
      <c r="B71" s="91"/>
      <c r="C71" s="93"/>
      <c r="D71" s="94"/>
      <c r="E71" s="94"/>
      <c r="F71" s="94"/>
      <c r="G71" s="94"/>
      <c r="H71" s="94"/>
      <c r="I71" s="94"/>
      <c r="J71" s="95"/>
      <c r="K71" s="91"/>
      <c r="L71" s="91"/>
      <c r="M71" s="91"/>
      <c r="N71" s="91"/>
      <c r="O71" s="91"/>
      <c r="P71" s="43"/>
    </row>
    <row r="72" spans="1:16" x14ac:dyDescent="0.2">
      <c r="A72" s="43"/>
      <c r="B72" s="18"/>
      <c r="C72" s="20"/>
      <c r="D72" s="21"/>
      <c r="E72" s="21"/>
      <c r="F72" s="21"/>
      <c r="G72" s="21"/>
      <c r="H72" s="21"/>
      <c r="I72" s="21"/>
      <c r="J72" s="22"/>
      <c r="K72" s="18"/>
      <c r="L72" s="18"/>
      <c r="M72" s="18"/>
      <c r="N72" s="18"/>
      <c r="O72" s="18"/>
      <c r="P72" s="43"/>
    </row>
    <row r="73" spans="1:16" x14ac:dyDescent="0.2">
      <c r="A73" s="43"/>
      <c r="B73" s="18"/>
      <c r="C73" s="20"/>
      <c r="D73" s="21"/>
      <c r="E73" s="21"/>
      <c r="F73" s="21"/>
      <c r="G73" s="21"/>
      <c r="H73" s="21"/>
      <c r="I73" s="21"/>
      <c r="J73" s="22"/>
      <c r="K73" s="18"/>
      <c r="L73" s="18"/>
      <c r="M73" s="18"/>
      <c r="N73" s="18"/>
      <c r="O73" s="18"/>
      <c r="P73" s="43"/>
    </row>
    <row r="74" spans="1:16" x14ac:dyDescent="0.2">
      <c r="A74" s="43"/>
      <c r="B74" s="18"/>
      <c r="C74" s="105" t="s">
        <v>120</v>
      </c>
      <c r="D74" s="105"/>
      <c r="E74" s="105"/>
      <c r="F74" s="105"/>
      <c r="G74" s="105"/>
      <c r="H74" s="105"/>
      <c r="I74" s="21"/>
      <c r="J74" s="22"/>
      <c r="K74" s="18"/>
      <c r="L74" s="18"/>
      <c r="M74" s="18"/>
      <c r="N74" s="18"/>
      <c r="O74" s="18"/>
      <c r="P74" s="43"/>
    </row>
    <row r="75" spans="1:16" ht="64" x14ac:dyDescent="0.2">
      <c r="A75" s="43"/>
      <c r="B75" s="18"/>
      <c r="C75" s="5" t="s">
        <v>69</v>
      </c>
      <c r="D75" s="5" t="s">
        <v>115</v>
      </c>
      <c r="E75" s="5" t="s">
        <v>116</v>
      </c>
      <c r="F75" s="32" t="s">
        <v>119</v>
      </c>
      <c r="G75" s="5" t="s">
        <v>117</v>
      </c>
      <c r="H75" s="32" t="s">
        <v>118</v>
      </c>
      <c r="I75"/>
      <c r="J75"/>
      <c r="K75"/>
      <c r="L75"/>
      <c r="M75"/>
      <c r="N75"/>
      <c r="O75"/>
      <c r="P75" s="43"/>
    </row>
    <row r="76" spans="1:16" x14ac:dyDescent="0.2">
      <c r="A76" s="43"/>
      <c r="B76" s="18"/>
      <c r="C76" s="30" t="s">
        <v>16</v>
      </c>
      <c r="D76" s="100">
        <v>45580.68</v>
      </c>
      <c r="E76" s="100">
        <v>34493.49</v>
      </c>
      <c r="F76" s="31">
        <v>-0.24324318987781671</v>
      </c>
      <c r="G76" s="100">
        <v>43116.86</v>
      </c>
      <c r="H76" s="31">
        <v>0.24999992752255579</v>
      </c>
      <c r="I76"/>
      <c r="J76"/>
      <c r="K76"/>
      <c r="L76"/>
      <c r="M76"/>
      <c r="N76"/>
      <c r="O76"/>
      <c r="P76" s="43"/>
    </row>
    <row r="77" spans="1:16" x14ac:dyDescent="0.2">
      <c r="A77" s="43"/>
      <c r="B77" s="18"/>
      <c r="C77" s="30" t="s">
        <v>17</v>
      </c>
      <c r="D77" s="100">
        <v>41884.949999999997</v>
      </c>
      <c r="E77" s="100">
        <v>35725.4</v>
      </c>
      <c r="F77" s="31">
        <v>-0.14705878841922926</v>
      </c>
      <c r="G77" s="100">
        <v>33078.1</v>
      </c>
      <c r="H77" s="31">
        <v>-7.4101339663096927E-2</v>
      </c>
      <c r="I77"/>
      <c r="J77"/>
      <c r="K77"/>
      <c r="L77"/>
      <c r="M77"/>
      <c r="N77"/>
      <c r="O77"/>
      <c r="P77" s="43"/>
    </row>
    <row r="78" spans="1:16" x14ac:dyDescent="0.2">
      <c r="A78" s="43"/>
      <c r="B78" s="18"/>
      <c r="C78" s="30" t="s">
        <v>18</v>
      </c>
      <c r="D78" s="100">
        <v>44348.77</v>
      </c>
      <c r="E78" s="100">
        <v>36957.31</v>
      </c>
      <c r="F78" s="31">
        <v>-0.16666662908576721</v>
      </c>
      <c r="G78" s="100">
        <v>40121.120000000003</v>
      </c>
      <c r="H78" s="31">
        <v>8.5607150520424918E-2</v>
      </c>
      <c r="I78"/>
      <c r="J78"/>
      <c r="K78"/>
      <c r="L78"/>
      <c r="M78"/>
      <c r="N78"/>
      <c r="O78"/>
      <c r="P78" s="43"/>
    </row>
    <row r="79" spans="1:16" x14ac:dyDescent="0.2">
      <c r="A79" s="43"/>
      <c r="B79" s="18"/>
      <c r="C79" s="30" t="s">
        <v>19</v>
      </c>
      <c r="D79" s="100">
        <v>43116.86</v>
      </c>
      <c r="E79" s="100">
        <v>36957.31</v>
      </c>
      <c r="F79" s="31">
        <v>-0.14285710972459503</v>
      </c>
      <c r="G79" s="100">
        <v>38483.050000000003</v>
      </c>
      <c r="H79" s="31">
        <v>4.1283848851553465E-2</v>
      </c>
      <c r="I79"/>
      <c r="J79"/>
      <c r="K79"/>
      <c r="L79"/>
      <c r="M79"/>
      <c r="N79"/>
      <c r="O79"/>
      <c r="P79" s="43"/>
    </row>
    <row r="80" spans="1:16" x14ac:dyDescent="0.2">
      <c r="A80" s="43"/>
      <c r="B80" s="18"/>
      <c r="C80" s="30" t="s">
        <v>20</v>
      </c>
      <c r="D80" s="100">
        <v>43116.86</v>
      </c>
      <c r="E80" s="100">
        <v>34493.49</v>
      </c>
      <c r="F80" s="31">
        <v>-0.19999995361443301</v>
      </c>
      <c r="G80" s="100">
        <v>48092.27</v>
      </c>
      <c r="H80" s="31">
        <v>0.39424192796959656</v>
      </c>
      <c r="I80"/>
      <c r="J80"/>
      <c r="K80"/>
      <c r="L80"/>
      <c r="M80"/>
      <c r="N80"/>
      <c r="O80"/>
      <c r="P80" s="43"/>
    </row>
    <row r="81" spans="1:16" x14ac:dyDescent="0.2">
      <c r="A81" s="43"/>
      <c r="B81" s="18"/>
      <c r="C81" s="30" t="s">
        <v>70</v>
      </c>
      <c r="D81" s="100">
        <v>218048.12</v>
      </c>
      <c r="E81" s="100">
        <v>178627</v>
      </c>
      <c r="F81" s="31">
        <v>-0.18079091899531166</v>
      </c>
      <c r="G81" s="100">
        <v>202891.4</v>
      </c>
      <c r="H81" s="31">
        <v>0.1358383671001584</v>
      </c>
      <c r="I81"/>
      <c r="J81"/>
      <c r="K81"/>
      <c r="L81"/>
      <c r="M81"/>
      <c r="N81"/>
      <c r="O81"/>
      <c r="P81" s="43"/>
    </row>
    <row r="82" spans="1:16" x14ac:dyDescent="0.2">
      <c r="A82" s="43"/>
      <c r="B82" s="18"/>
      <c r="C82"/>
      <c r="D82"/>
      <c r="E82"/>
      <c r="F82"/>
      <c r="G82"/>
      <c r="H82"/>
      <c r="I82"/>
      <c r="J82"/>
      <c r="K82"/>
      <c r="L82"/>
      <c r="M82"/>
      <c r="N82"/>
      <c r="O82"/>
      <c r="P82" s="43"/>
    </row>
    <row r="83" spans="1:16" x14ac:dyDescent="0.2">
      <c r="A83" s="43"/>
      <c r="B83" s="18"/>
      <c r="C83"/>
      <c r="D83"/>
      <c r="E83"/>
      <c r="F83"/>
      <c r="G83"/>
      <c r="H83"/>
      <c r="I83"/>
      <c r="J83"/>
      <c r="K83"/>
      <c r="L83"/>
      <c r="M83"/>
      <c r="N83"/>
      <c r="O83"/>
      <c r="P83" s="43"/>
    </row>
    <row r="84" spans="1:16" x14ac:dyDescent="0.2">
      <c r="A84" s="43"/>
      <c r="B84" s="91"/>
      <c r="C84" s="96"/>
      <c r="D84" s="96"/>
      <c r="E84" s="96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43"/>
    </row>
    <row r="85" spans="1:16" x14ac:dyDescent="0.2">
      <c r="A85" s="43"/>
      <c r="B85" s="18"/>
      <c r="C85" s="23"/>
      <c r="D85" s="23"/>
      <c r="E85" s="23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3"/>
    </row>
    <row r="86" spans="1:16" x14ac:dyDescent="0.2">
      <c r="A86" s="4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3"/>
    </row>
    <row r="87" spans="1:16" x14ac:dyDescent="0.2">
      <c r="A87" s="43"/>
      <c r="B87" s="18"/>
      <c r="C87" s="106" t="s">
        <v>95</v>
      </c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8"/>
      <c r="O87" s="18"/>
      <c r="P87" s="43"/>
    </row>
    <row r="88" spans="1:16" x14ac:dyDescent="0.2">
      <c r="A88" s="43"/>
      <c r="B88" s="18"/>
      <c r="C88" s="97"/>
      <c r="D88" s="97" t="s">
        <v>71</v>
      </c>
      <c r="E88" s="97"/>
      <c r="F88" s="97"/>
      <c r="G88" s="97"/>
      <c r="H88" s="97"/>
      <c r="I88" s="97"/>
      <c r="J88" s="97"/>
      <c r="K88" s="97"/>
      <c r="L88" s="97"/>
      <c r="M88" s="97"/>
      <c r="N88" s="18"/>
      <c r="O88" s="18"/>
      <c r="P88" s="43"/>
    </row>
    <row r="89" spans="1:16" x14ac:dyDescent="0.2">
      <c r="A89" s="43"/>
      <c r="B89" s="18"/>
      <c r="C89" s="97" t="s">
        <v>94</v>
      </c>
      <c r="D89" s="97" t="s">
        <v>41</v>
      </c>
      <c r="E89" s="97" t="s">
        <v>43</v>
      </c>
      <c r="F89" s="97" t="s">
        <v>42</v>
      </c>
      <c r="G89" s="97" t="s">
        <v>48</v>
      </c>
      <c r="H89" s="97" t="s">
        <v>47</v>
      </c>
      <c r="I89" s="97" t="s">
        <v>44</v>
      </c>
      <c r="J89" s="97" t="s">
        <v>40</v>
      </c>
      <c r="K89" s="97" t="s">
        <v>45</v>
      </c>
      <c r="L89" s="97" t="s">
        <v>46</v>
      </c>
      <c r="M89" s="97" t="s">
        <v>70</v>
      </c>
      <c r="N89" s="18"/>
      <c r="O89" s="18"/>
      <c r="P89" s="43"/>
    </row>
    <row r="90" spans="1:16" x14ac:dyDescent="0.2">
      <c r="A90" s="43"/>
      <c r="B90" s="18"/>
      <c r="C90" s="98" t="s">
        <v>151</v>
      </c>
      <c r="D90" s="99">
        <v>2336.08</v>
      </c>
      <c r="E90" s="99">
        <v>2433.36</v>
      </c>
      <c r="F90" s="99">
        <v>550</v>
      </c>
      <c r="G90" s="99">
        <v>152</v>
      </c>
      <c r="H90" s="99">
        <v>305</v>
      </c>
      <c r="I90" s="99">
        <v>0</v>
      </c>
      <c r="J90" s="99">
        <v>9280</v>
      </c>
      <c r="K90" s="99">
        <v>0</v>
      </c>
      <c r="L90" s="99">
        <v>13100</v>
      </c>
      <c r="M90" s="99">
        <v>28156.440000000002</v>
      </c>
      <c r="N90" s="18"/>
      <c r="O90" s="18"/>
      <c r="P90" s="43"/>
    </row>
    <row r="91" spans="1:16" x14ac:dyDescent="0.2">
      <c r="A91" s="43"/>
      <c r="B91" s="18"/>
      <c r="C91" s="98" t="s">
        <v>152</v>
      </c>
      <c r="D91" s="99">
        <v>0</v>
      </c>
      <c r="E91" s="99">
        <v>2684.08</v>
      </c>
      <c r="F91" s="99">
        <v>550</v>
      </c>
      <c r="G91" s="99">
        <v>119.5</v>
      </c>
      <c r="H91" s="99">
        <v>381.56</v>
      </c>
      <c r="I91" s="99">
        <v>2500</v>
      </c>
      <c r="J91" s="99">
        <v>9280</v>
      </c>
      <c r="K91" s="99">
        <v>0</v>
      </c>
      <c r="L91" s="99">
        <v>13050</v>
      </c>
      <c r="M91" s="99">
        <v>28565.14</v>
      </c>
      <c r="N91" s="18"/>
      <c r="O91" s="18"/>
      <c r="P91" s="43"/>
    </row>
    <row r="92" spans="1:16" x14ac:dyDescent="0.2">
      <c r="A92" s="43"/>
      <c r="B92" s="18"/>
      <c r="C92" s="98" t="s">
        <v>154</v>
      </c>
      <c r="D92" s="99">
        <v>2397.6799999999998</v>
      </c>
      <c r="E92" s="99">
        <v>2240</v>
      </c>
      <c r="F92" s="99">
        <v>550</v>
      </c>
      <c r="G92" s="99">
        <v>290</v>
      </c>
      <c r="H92" s="99">
        <v>62.5</v>
      </c>
      <c r="I92" s="99">
        <v>2500</v>
      </c>
      <c r="J92" s="99">
        <v>9260</v>
      </c>
      <c r="K92" s="99">
        <v>660.75</v>
      </c>
      <c r="L92" s="99">
        <v>15760</v>
      </c>
      <c r="M92" s="99">
        <v>33720.93</v>
      </c>
      <c r="N92" s="18"/>
      <c r="O92" s="18"/>
      <c r="P92" s="43"/>
    </row>
    <row r="93" spans="1:16" x14ac:dyDescent="0.2">
      <c r="A93" s="43"/>
      <c r="B93" s="18"/>
      <c r="C93" s="98" t="s">
        <v>153</v>
      </c>
      <c r="D93" s="99">
        <v>2908.12</v>
      </c>
      <c r="E93" s="99">
        <v>2628</v>
      </c>
      <c r="F93" s="99">
        <v>550</v>
      </c>
      <c r="G93" s="99">
        <v>917</v>
      </c>
      <c r="H93" s="99">
        <v>818.5</v>
      </c>
      <c r="I93" s="99">
        <v>2500</v>
      </c>
      <c r="J93" s="99">
        <v>9280</v>
      </c>
      <c r="K93" s="99">
        <v>660.75</v>
      </c>
      <c r="L93" s="99">
        <v>17432</v>
      </c>
      <c r="M93" s="99">
        <v>37694.369999999995</v>
      </c>
      <c r="N93" s="18"/>
      <c r="O93" s="18"/>
      <c r="P93" s="43"/>
    </row>
    <row r="94" spans="1:16" x14ac:dyDescent="0.2">
      <c r="A94" s="43"/>
      <c r="B94" s="18"/>
      <c r="C94" s="98" t="s">
        <v>155</v>
      </c>
      <c r="D94" s="99">
        <v>3887.16</v>
      </c>
      <c r="E94" s="99">
        <v>2623.5</v>
      </c>
      <c r="F94" s="99">
        <v>550</v>
      </c>
      <c r="G94" s="99">
        <v>354.5</v>
      </c>
      <c r="H94" s="99">
        <v>700</v>
      </c>
      <c r="I94" s="99">
        <v>2500</v>
      </c>
      <c r="J94" s="99">
        <v>9280</v>
      </c>
      <c r="K94" s="99">
        <v>660.75</v>
      </c>
      <c r="L94" s="99">
        <v>15620</v>
      </c>
      <c r="M94" s="99">
        <v>36175.910000000003</v>
      </c>
      <c r="N94" s="18"/>
      <c r="O94" s="18"/>
      <c r="P94" s="43"/>
    </row>
    <row r="95" spans="1:16" x14ac:dyDescent="0.2">
      <c r="A95" s="4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3"/>
    </row>
    <row r="96" spans="1:16" x14ac:dyDescent="0.2">
      <c r="A96" s="4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3"/>
    </row>
    <row r="97" spans="1:16" x14ac:dyDescent="0.2">
      <c r="A97" s="4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3"/>
    </row>
    <row r="98" spans="1:16" x14ac:dyDescent="0.2">
      <c r="A98" s="4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3"/>
    </row>
    <row r="99" spans="1:16" x14ac:dyDescent="0.2">
      <c r="A99" s="4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3"/>
    </row>
    <row r="100" spans="1:16" x14ac:dyDescent="0.2">
      <c r="A100" s="4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3"/>
    </row>
    <row r="101" spans="1:16" x14ac:dyDescent="0.2">
      <c r="A101" s="43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3"/>
    </row>
    <row r="102" spans="1:16" x14ac:dyDescent="0.2">
      <c r="A102" s="4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3"/>
    </row>
    <row r="103" spans="1:16" x14ac:dyDescent="0.2">
      <c r="A103" s="43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3"/>
    </row>
    <row r="104" spans="1:16" x14ac:dyDescent="0.2">
      <c r="A104" s="4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3"/>
    </row>
    <row r="105" spans="1:16" x14ac:dyDescent="0.2">
      <c r="A105" s="43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3"/>
    </row>
    <row r="106" spans="1:16" x14ac:dyDescent="0.2">
      <c r="A106" s="43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3"/>
    </row>
    <row r="107" spans="1:16" x14ac:dyDescent="0.2">
      <c r="A107" s="43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3"/>
    </row>
    <row r="108" spans="1:16" x14ac:dyDescent="0.2">
      <c r="A108" s="4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3"/>
    </row>
    <row r="109" spans="1:16" x14ac:dyDescent="0.2">
      <c r="A109" s="4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3"/>
    </row>
    <row r="110" spans="1:16" x14ac:dyDescent="0.2">
      <c r="A110" s="4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3"/>
    </row>
    <row r="111" spans="1:16" x14ac:dyDescent="0.2">
      <c r="A111" s="4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3"/>
    </row>
    <row r="112" spans="1:16" x14ac:dyDescent="0.2">
      <c r="A112" s="4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3"/>
    </row>
    <row r="113" spans="1:16" x14ac:dyDescent="0.2">
      <c r="A113" s="4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3"/>
    </row>
    <row r="114" spans="1:16" x14ac:dyDescent="0.2">
      <c r="A114" s="4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3"/>
    </row>
    <row r="115" spans="1:16" x14ac:dyDescent="0.2">
      <c r="A115" s="4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3"/>
    </row>
    <row r="116" spans="1:16" x14ac:dyDescent="0.2">
      <c r="A116" s="4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3"/>
    </row>
    <row r="117" spans="1:16" x14ac:dyDescent="0.2">
      <c r="A117" s="4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3"/>
    </row>
    <row r="118" spans="1:16" x14ac:dyDescent="0.2">
      <c r="A118" s="4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3"/>
    </row>
    <row r="119" spans="1:16" x14ac:dyDescent="0.2">
      <c r="A119" s="4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3"/>
    </row>
    <row r="120" spans="1:16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</row>
  </sheetData>
  <mergeCells count="6">
    <mergeCell ref="C87:M87"/>
    <mergeCell ref="C4:G4"/>
    <mergeCell ref="C13:G13"/>
    <mergeCell ref="C44:I44"/>
    <mergeCell ref="C53:D53"/>
    <mergeCell ref="C74:H74"/>
  </mergeCells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  <ext xmlns:x15="http://schemas.microsoft.com/office/spreadsheetml/2010/11/main" uri="{7E03D99C-DC04-49d9-9315-930204A7B6E9}">
      <x15:timelineRefs>
        <x15:timelineRef r:id="rId8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R150"/>
  <sheetViews>
    <sheetView showGridLines="0" zoomScaleNormal="100" workbookViewId="0">
      <selection activeCell="N6" sqref="N6:R6"/>
    </sheetView>
  </sheetViews>
  <sheetFormatPr baseColWidth="10" defaultColWidth="10.83203125" defaultRowHeight="15" x14ac:dyDescent="0.2"/>
  <cols>
    <col min="4" max="4" width="14.5" customWidth="1"/>
    <col min="5" max="5" width="15.5" customWidth="1"/>
    <col min="6" max="6" width="14.33203125" customWidth="1"/>
    <col min="7" max="7" width="19.33203125" customWidth="1"/>
    <col min="8" max="8" width="14.6640625" bestFit="1" customWidth="1"/>
    <col min="9" max="9" width="11.1640625" bestFit="1" customWidth="1"/>
    <col min="10" max="10" width="18.83203125" customWidth="1"/>
    <col min="16" max="16" width="14.5" customWidth="1"/>
    <col min="17" max="17" width="11.1640625" customWidth="1"/>
    <col min="18" max="18" width="17.1640625" customWidth="1"/>
  </cols>
  <sheetData>
    <row r="1" spans="1:18" x14ac:dyDescent="0.2">
      <c r="A1" s="5" t="s">
        <v>6</v>
      </c>
      <c r="B1" s="5" t="s">
        <v>32</v>
      </c>
      <c r="C1" s="5" t="s">
        <v>102</v>
      </c>
      <c r="D1" s="6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128</v>
      </c>
    </row>
    <row r="2" spans="1:18" x14ac:dyDescent="0.2">
      <c r="A2" s="14">
        <v>44927</v>
      </c>
      <c r="B2" s="14" t="str">
        <f t="shared" ref="B2:B30" si="0">TEXT(A:A,"MMMM")</f>
        <v>enero</v>
      </c>
      <c r="C2" s="14" t="str">
        <f>TEXT(Tabla2[[#This Row],[Fecha]],"DDDD")</f>
        <v>domingo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 t="str">
        <f>IF(Tabla2[[#This Row],[Ventas totales]] &lt; 2500, "Ventas Muy Bajas", IF(Tabla2[[#This Row],[Ventas totales]] &lt;= 3999, "Ventas Aceptables", "Ventas Cumplidas"))</f>
        <v>Ventas Muy Bajas</v>
      </c>
    </row>
    <row r="3" spans="1:18" x14ac:dyDescent="0.2">
      <c r="A3" s="14">
        <v>44928</v>
      </c>
      <c r="B3" s="14" t="str">
        <f t="shared" si="0"/>
        <v>enero</v>
      </c>
      <c r="C3" s="14" t="str">
        <f>TEXT(Tabla2[[#This Row],[Fecha]],"DDDD")</f>
        <v>lunes</v>
      </c>
      <c r="D3" s="9">
        <v>3574.28</v>
      </c>
      <c r="E3" s="9">
        <v>3459.57</v>
      </c>
      <c r="F3" s="9">
        <v>114.71</v>
      </c>
      <c r="G3" s="9">
        <v>0</v>
      </c>
      <c r="H3" s="9">
        <v>1908.81</v>
      </c>
      <c r="I3" s="9">
        <v>25</v>
      </c>
      <c r="J3" s="8" t="str">
        <f>IF(Tabla2[[#This Row],[Ventas totales]] &lt; 2500, "Ventas Muy Bajas", IF(Tabla2[[#This Row],[Ventas totales]] &lt;= 3999, "Ventas Aceptables", "Ventas Cumplidas"))</f>
        <v>Ventas Aceptables</v>
      </c>
      <c r="K3" s="10" t="s">
        <v>53</v>
      </c>
      <c r="L3" s="10"/>
      <c r="M3" s="10"/>
    </row>
    <row r="4" spans="1:18" x14ac:dyDescent="0.2">
      <c r="A4" s="14">
        <v>44929</v>
      </c>
      <c r="B4" s="14" t="str">
        <f t="shared" si="0"/>
        <v>enero</v>
      </c>
      <c r="C4" s="14" t="str">
        <f>TEXT(Tabla2[[#This Row],[Fecha]],"DDDD")</f>
        <v>martes</v>
      </c>
      <c r="D4" s="9">
        <v>4942.17</v>
      </c>
      <c r="E4" s="9">
        <v>4942.17</v>
      </c>
      <c r="F4" s="9">
        <v>0</v>
      </c>
      <c r="G4" s="9">
        <v>0</v>
      </c>
      <c r="H4" s="9">
        <v>2553.7800000000002</v>
      </c>
      <c r="I4" s="9">
        <v>47</v>
      </c>
      <c r="J4" s="8" t="str">
        <f>IF(Tabla2[[#This Row],[Ventas totales]] &lt; 2500, "Ventas Muy Bajas", IF(Tabla2[[#This Row],[Ventas totales]] &lt;= 3999, "Ventas Aceptables", "Ventas Cumplidas"))</f>
        <v>Ventas Cumplidas</v>
      </c>
      <c r="K4" s="11" t="s">
        <v>54</v>
      </c>
      <c r="L4" s="11"/>
      <c r="M4" s="11"/>
    </row>
    <row r="5" spans="1:18" x14ac:dyDescent="0.2">
      <c r="A5" s="14">
        <v>44930</v>
      </c>
      <c r="B5" s="14" t="str">
        <f t="shared" si="0"/>
        <v>enero</v>
      </c>
      <c r="C5" s="14" t="str">
        <f>TEXT(Tabla2[[#This Row],[Fecha]],"DDDD")</f>
        <v>miércoles</v>
      </c>
      <c r="D5" s="9">
        <v>5551.82</v>
      </c>
      <c r="E5" s="9">
        <v>5108.04</v>
      </c>
      <c r="F5" s="9">
        <v>443.78</v>
      </c>
      <c r="G5" s="9">
        <v>0</v>
      </c>
      <c r="H5" s="9">
        <v>2692.46</v>
      </c>
      <c r="I5" s="9">
        <v>55</v>
      </c>
      <c r="J5" s="8" t="str">
        <f>IF(Tabla2[[#This Row],[Ventas totales]] &lt; 2500, "Ventas Muy Bajas", IF(Tabla2[[#This Row],[Ventas totales]] &lt;= 3999, "Ventas Aceptables", "Ventas Cumplidas"))</f>
        <v>Ventas Cumplidas</v>
      </c>
      <c r="K5" s="24" t="s">
        <v>130</v>
      </c>
      <c r="L5" s="24"/>
      <c r="M5" s="24"/>
    </row>
    <row r="6" spans="1:18" x14ac:dyDescent="0.2">
      <c r="A6" s="14">
        <v>44931</v>
      </c>
      <c r="B6" s="14" t="str">
        <f t="shared" si="0"/>
        <v>enero</v>
      </c>
      <c r="C6" s="14" t="str">
        <f>TEXT(Tabla2[[#This Row],[Fecha]],"DDDD")</f>
        <v>jueves</v>
      </c>
      <c r="D6" s="9">
        <v>6001.55</v>
      </c>
      <c r="E6" s="9">
        <v>5876.3</v>
      </c>
      <c r="F6" s="9">
        <v>125.25</v>
      </c>
      <c r="G6" s="9">
        <v>0</v>
      </c>
      <c r="H6" s="9">
        <v>3018.65</v>
      </c>
      <c r="I6" s="9">
        <v>58</v>
      </c>
      <c r="J6" s="8" t="str">
        <f>IF(Tabla2[[#This Row],[Ventas totales]] &lt; 2500, "Ventas Muy Bajas", IF(Tabla2[[#This Row],[Ventas totales]] &lt;= 3999, "Ventas Aceptables", "Ventas Cumplidas"))</f>
        <v>Ventas Cumplidas</v>
      </c>
      <c r="N6" s="107" t="s">
        <v>129</v>
      </c>
      <c r="O6" s="107"/>
      <c r="P6" s="107"/>
      <c r="Q6" s="107"/>
      <c r="R6" s="107"/>
    </row>
    <row r="7" spans="1:18" x14ac:dyDescent="0.2">
      <c r="A7" s="14">
        <v>44932</v>
      </c>
      <c r="B7" s="14" t="str">
        <f t="shared" si="0"/>
        <v>enero</v>
      </c>
      <c r="C7" s="14" t="str">
        <f>TEXT(Tabla2[[#This Row],[Fecha]],"DDDD")</f>
        <v>viernes</v>
      </c>
      <c r="D7" s="9">
        <v>4118.8900000000003</v>
      </c>
      <c r="E7" s="9">
        <v>3962.21</v>
      </c>
      <c r="F7" s="9">
        <v>156.68</v>
      </c>
      <c r="G7" s="9">
        <v>0</v>
      </c>
      <c r="H7" s="9">
        <v>2053.39</v>
      </c>
      <c r="I7" s="9">
        <v>50</v>
      </c>
      <c r="J7" s="8" t="str">
        <f>IF(Tabla2[[#This Row],[Ventas totales]] &lt; 2500, "Ventas Muy Bajas", IF(Tabla2[[#This Row],[Ventas totales]] &lt;= 3999, "Ventas Aceptables", "Ventas Cumplidas"))</f>
        <v>Ventas Cumplidas</v>
      </c>
      <c r="N7" s="25" t="s">
        <v>32</v>
      </c>
      <c r="O7" s="25" t="s">
        <v>102</v>
      </c>
      <c r="P7" s="25" t="s">
        <v>7</v>
      </c>
      <c r="Q7" s="25" t="s">
        <v>104</v>
      </c>
      <c r="R7" s="25" t="s">
        <v>105</v>
      </c>
    </row>
    <row r="8" spans="1:18" x14ac:dyDescent="0.2">
      <c r="A8" s="14">
        <v>44933</v>
      </c>
      <c r="B8" s="14" t="str">
        <f t="shared" si="0"/>
        <v>enero</v>
      </c>
      <c r="C8" s="14" t="str">
        <f>TEXT(Tabla2[[#This Row],[Fecha]],"DDDD")</f>
        <v>sábado</v>
      </c>
      <c r="D8" s="9">
        <v>5649.31</v>
      </c>
      <c r="E8" s="9">
        <v>4933.16</v>
      </c>
      <c r="F8" s="9">
        <v>716.15</v>
      </c>
      <c r="G8" s="9">
        <v>0</v>
      </c>
      <c r="H8" s="9">
        <v>2779.85</v>
      </c>
      <c r="I8" s="9">
        <v>59</v>
      </c>
      <c r="J8" s="8" t="str">
        <f>IF(Tabla2[[#This Row],[Ventas totales]] &lt; 2500, "Ventas Muy Bajas", IF(Tabla2[[#This Row],[Ventas totales]] &lt;= 3999, "Ventas Aceptables", "Ventas Cumplidas"))</f>
        <v>Ventas Cumplidas</v>
      </c>
      <c r="N8" t="s">
        <v>16</v>
      </c>
      <c r="O8" t="s">
        <v>103</v>
      </c>
      <c r="P8" s="4">
        <f>SUMIFS(D:D,B:B,N8,C:C,O8)</f>
        <v>16532.82</v>
      </c>
      <c r="Q8" s="4">
        <f>AVERAGEIFS(D:D,B:B,N8,C:C,O8)</f>
        <v>3306.5639999999999</v>
      </c>
      <c r="R8">
        <f>COUNTIFS(B:B,N8,C:C,O8)</f>
        <v>5</v>
      </c>
    </row>
    <row r="9" spans="1:18" x14ac:dyDescent="0.2">
      <c r="A9" s="14">
        <v>44934</v>
      </c>
      <c r="B9" s="14" t="str">
        <f t="shared" si="0"/>
        <v>enero</v>
      </c>
      <c r="C9" s="14" t="str">
        <f>TEXT(Tabla2[[#This Row],[Fecha]],"DDDD")</f>
        <v>domingo</v>
      </c>
      <c r="D9" s="9">
        <v>5302.13</v>
      </c>
      <c r="E9" s="9">
        <v>4907.66</v>
      </c>
      <c r="F9" s="9">
        <v>394.47</v>
      </c>
      <c r="G9" s="9">
        <v>0</v>
      </c>
      <c r="H9" s="9">
        <v>2587.8000000000002</v>
      </c>
      <c r="I9" s="9">
        <v>58</v>
      </c>
      <c r="J9" s="8" t="str">
        <f>IF(Tabla2[[#This Row],[Ventas totales]] &lt; 2500, "Ventas Muy Bajas", IF(Tabla2[[#This Row],[Ventas totales]] &lt;= 3999, "Ventas Aceptables", "Ventas Cumplidas"))</f>
        <v>Ventas Cumplidas</v>
      </c>
      <c r="N9" t="s">
        <v>17</v>
      </c>
      <c r="O9" t="s">
        <v>106</v>
      </c>
      <c r="P9" s="4">
        <f t="shared" ref="P9:P14" si="1">SUMIFS(D:D,B:B,N9,C:C,O9)</f>
        <v>15746.689999999999</v>
      </c>
      <c r="Q9" s="4">
        <f t="shared" ref="Q9:Q14" si="2">AVERAGEIFS(D:D,B:B,N9,C:C,O9)</f>
        <v>3936.6724999999997</v>
      </c>
      <c r="R9">
        <f t="shared" ref="R9:R14" si="3">COUNTIFS(B:B,N9,C:C,O9)</f>
        <v>4</v>
      </c>
    </row>
    <row r="10" spans="1:18" x14ac:dyDescent="0.2">
      <c r="A10" s="14">
        <v>44935</v>
      </c>
      <c r="B10" s="14" t="str">
        <f t="shared" si="0"/>
        <v>enero</v>
      </c>
      <c r="C10" s="14" t="str">
        <f>TEXT(Tabla2[[#This Row],[Fecha]],"DDDD")</f>
        <v>lunes</v>
      </c>
      <c r="D10" s="9">
        <v>3478.01</v>
      </c>
      <c r="E10" s="9">
        <v>1596.41</v>
      </c>
      <c r="F10" s="9">
        <v>1881.6</v>
      </c>
      <c r="G10" s="9">
        <v>0</v>
      </c>
      <c r="H10" s="9">
        <v>1746.17</v>
      </c>
      <c r="I10" s="9">
        <v>32</v>
      </c>
      <c r="J10" s="8" t="str">
        <f>IF(Tabla2[[#This Row],[Ventas totales]] &lt; 2500, "Ventas Muy Bajas", IF(Tabla2[[#This Row],[Ventas totales]] &lt;= 3999, "Ventas Aceptables", "Ventas Cumplidas"))</f>
        <v>Ventas Aceptables</v>
      </c>
      <c r="N10" t="s">
        <v>17</v>
      </c>
      <c r="O10" t="s">
        <v>103</v>
      </c>
      <c r="P10" s="4">
        <f t="shared" si="1"/>
        <v>13937.64</v>
      </c>
      <c r="Q10" s="4">
        <f t="shared" si="2"/>
        <v>3484.41</v>
      </c>
      <c r="R10">
        <f t="shared" si="3"/>
        <v>4</v>
      </c>
    </row>
    <row r="11" spans="1:18" x14ac:dyDescent="0.2">
      <c r="A11" s="14">
        <v>44936</v>
      </c>
      <c r="B11" s="14" t="str">
        <f t="shared" si="0"/>
        <v>enero</v>
      </c>
      <c r="C11" s="14" t="str">
        <f>TEXT(Tabla2[[#This Row],[Fecha]],"DDDD")</f>
        <v>martes</v>
      </c>
      <c r="D11" s="9">
        <v>7573.72</v>
      </c>
      <c r="E11" s="9">
        <v>2347.08</v>
      </c>
      <c r="F11" s="9">
        <v>94.28</v>
      </c>
      <c r="G11" s="9">
        <v>5132.3599999999997</v>
      </c>
      <c r="H11" s="9">
        <v>3802.33</v>
      </c>
      <c r="I11" s="9">
        <v>32</v>
      </c>
      <c r="J11" s="8" t="str">
        <f>IF(Tabla2[[#This Row],[Ventas totales]] &lt; 2500, "Ventas Muy Bajas", IF(Tabla2[[#This Row],[Ventas totales]] &lt;= 3999, "Ventas Aceptables", "Ventas Cumplidas"))</f>
        <v>Ventas Cumplidas</v>
      </c>
      <c r="N11" t="s">
        <v>18</v>
      </c>
      <c r="O11" t="s">
        <v>107</v>
      </c>
      <c r="P11" s="4">
        <f t="shared" si="1"/>
        <v>16833.849999999999</v>
      </c>
      <c r="Q11" s="4">
        <f t="shared" si="2"/>
        <v>4208.4624999999996</v>
      </c>
      <c r="R11">
        <f t="shared" si="3"/>
        <v>4</v>
      </c>
    </row>
    <row r="12" spans="1:18" x14ac:dyDescent="0.2">
      <c r="A12" s="14">
        <v>44937</v>
      </c>
      <c r="B12" s="14" t="str">
        <f t="shared" si="0"/>
        <v>enero</v>
      </c>
      <c r="C12" s="14" t="str">
        <f>TEXT(Tabla2[[#This Row],[Fecha]],"DDDD")</f>
        <v>miércoles</v>
      </c>
      <c r="D12" s="9">
        <v>4226.25</v>
      </c>
      <c r="E12" s="9">
        <v>3692.89</v>
      </c>
      <c r="F12" s="9">
        <v>533.36</v>
      </c>
      <c r="G12" s="9">
        <v>0</v>
      </c>
      <c r="H12" s="9">
        <v>2411.77</v>
      </c>
      <c r="I12" s="9">
        <v>46</v>
      </c>
      <c r="J12" s="8" t="str">
        <f>IF(Tabla2[[#This Row],[Ventas totales]] &lt; 2500, "Ventas Muy Bajas", IF(Tabla2[[#This Row],[Ventas totales]] &lt;= 3999, "Ventas Aceptables", "Ventas Cumplidas"))</f>
        <v>Ventas Cumplidas</v>
      </c>
      <c r="N12" t="s">
        <v>18</v>
      </c>
      <c r="O12" t="s">
        <v>108</v>
      </c>
      <c r="P12" s="4">
        <f t="shared" si="1"/>
        <v>23130.769999999997</v>
      </c>
      <c r="Q12" s="4">
        <f t="shared" si="2"/>
        <v>4626.1539999999995</v>
      </c>
      <c r="R12">
        <f t="shared" si="3"/>
        <v>5</v>
      </c>
    </row>
    <row r="13" spans="1:18" x14ac:dyDescent="0.2">
      <c r="A13" s="14">
        <v>44938</v>
      </c>
      <c r="B13" s="14" t="str">
        <f t="shared" si="0"/>
        <v>enero</v>
      </c>
      <c r="C13" s="14" t="str">
        <f>TEXT(Tabla2[[#This Row],[Fecha]],"DDDD")</f>
        <v>jueves</v>
      </c>
      <c r="D13" s="9">
        <v>4172.46</v>
      </c>
      <c r="E13" s="9">
        <v>4172.46</v>
      </c>
      <c r="F13" s="9">
        <v>0</v>
      </c>
      <c r="G13" s="9">
        <v>0</v>
      </c>
      <c r="H13" s="9">
        <v>2291.9499999999998</v>
      </c>
      <c r="I13" s="9">
        <v>48</v>
      </c>
      <c r="J13" s="8" t="str">
        <f>IF(Tabla2[[#This Row],[Ventas totales]] &lt; 2500, "Ventas Muy Bajas", IF(Tabla2[[#This Row],[Ventas totales]] &lt;= 3999, "Ventas Aceptables", "Ventas Cumplidas"))</f>
        <v>Ventas Cumplidas</v>
      </c>
      <c r="N13" t="s">
        <v>19</v>
      </c>
      <c r="O13" t="s">
        <v>109</v>
      </c>
      <c r="P13" s="4">
        <f t="shared" si="1"/>
        <v>17205.990000000002</v>
      </c>
      <c r="Q13" s="4">
        <f t="shared" si="2"/>
        <v>3441.1980000000003</v>
      </c>
      <c r="R13">
        <f t="shared" si="3"/>
        <v>5</v>
      </c>
    </row>
    <row r="14" spans="1:18" x14ac:dyDescent="0.2">
      <c r="A14" s="14">
        <v>44939</v>
      </c>
      <c r="B14" s="14" t="str">
        <f t="shared" si="0"/>
        <v>enero</v>
      </c>
      <c r="C14" s="14" t="str">
        <f>TEXT(Tabla2[[#This Row],[Fecha]],"DDDD")</f>
        <v>viernes</v>
      </c>
      <c r="D14" s="9">
        <v>3580.9</v>
      </c>
      <c r="E14" s="9">
        <v>3217.79</v>
      </c>
      <c r="F14" s="9">
        <v>363.11</v>
      </c>
      <c r="G14" s="9">
        <v>0</v>
      </c>
      <c r="H14" s="9">
        <v>2032.93</v>
      </c>
      <c r="I14" s="9">
        <v>39</v>
      </c>
      <c r="J14" s="8" t="str">
        <f>IF(Tabla2[[#This Row],[Ventas totales]] &lt; 2500, "Ventas Muy Bajas", IF(Tabla2[[#This Row],[Ventas totales]] &lt;= 3999, "Ventas Aceptables", "Ventas Cumplidas"))</f>
        <v>Ventas Aceptables</v>
      </c>
      <c r="N14" t="s">
        <v>20</v>
      </c>
      <c r="O14" t="s">
        <v>110</v>
      </c>
      <c r="P14" s="4">
        <f t="shared" si="1"/>
        <v>22077.34</v>
      </c>
      <c r="Q14" s="4">
        <f t="shared" si="2"/>
        <v>5519.335</v>
      </c>
      <c r="R14">
        <f t="shared" si="3"/>
        <v>4</v>
      </c>
    </row>
    <row r="15" spans="1:18" x14ac:dyDescent="0.2">
      <c r="A15" s="14">
        <v>44940</v>
      </c>
      <c r="B15" s="14" t="str">
        <f t="shared" si="0"/>
        <v>enero</v>
      </c>
      <c r="C15" s="14" t="str">
        <f>TEXT(Tabla2[[#This Row],[Fecha]],"DDDD")</f>
        <v>sábado</v>
      </c>
      <c r="D15" s="9">
        <v>3503.12</v>
      </c>
      <c r="E15" s="9">
        <v>2831.55</v>
      </c>
      <c r="F15" s="9">
        <v>671.57</v>
      </c>
      <c r="G15" s="9">
        <v>0</v>
      </c>
      <c r="H15" s="9">
        <v>1996.33</v>
      </c>
      <c r="I15" s="9">
        <v>33</v>
      </c>
      <c r="J15" s="8" t="str">
        <f>IF(Tabla2[[#This Row],[Ventas totales]] &lt; 2500, "Ventas Muy Bajas", IF(Tabla2[[#This Row],[Ventas totales]] &lt;= 3999, "Ventas Aceptables", "Ventas Cumplidas"))</f>
        <v>Ventas Aceptables</v>
      </c>
    </row>
    <row r="16" spans="1:18" x14ac:dyDescent="0.2">
      <c r="A16" s="14">
        <v>44941</v>
      </c>
      <c r="B16" s="14" t="str">
        <f t="shared" si="0"/>
        <v>enero</v>
      </c>
      <c r="C16" s="14" t="str">
        <f>TEXT(Tabla2[[#This Row],[Fecha]],"DDDD")</f>
        <v>domingo</v>
      </c>
      <c r="D16" s="9">
        <v>6727.53</v>
      </c>
      <c r="E16" s="9">
        <v>5752.18</v>
      </c>
      <c r="F16" s="9">
        <v>975.35</v>
      </c>
      <c r="G16" s="9">
        <v>0</v>
      </c>
      <c r="H16" s="9">
        <v>3750.84</v>
      </c>
      <c r="I16" s="9">
        <v>48</v>
      </c>
      <c r="J16" s="8" t="str">
        <f>IF(Tabla2[[#This Row],[Ventas totales]] &lt; 2500, "Ventas Muy Bajas", IF(Tabla2[[#This Row],[Ventas totales]] &lt;= 3999, "Ventas Aceptables", "Ventas Cumplidas"))</f>
        <v>Ventas Cumplidas</v>
      </c>
    </row>
    <row r="17" spans="1:10" x14ac:dyDescent="0.2">
      <c r="A17" s="14">
        <v>44942</v>
      </c>
      <c r="B17" s="14" t="str">
        <f t="shared" si="0"/>
        <v>enero</v>
      </c>
      <c r="C17" s="14" t="str">
        <f>TEXT(Tabla2[[#This Row],[Fecha]],"DDDD")</f>
        <v>lunes</v>
      </c>
      <c r="D17" s="9">
        <v>3620.16</v>
      </c>
      <c r="E17" s="9">
        <v>3216.57</v>
      </c>
      <c r="F17" s="9">
        <v>403.59</v>
      </c>
      <c r="G17" s="9">
        <v>0</v>
      </c>
      <c r="H17" s="9">
        <v>2127.77</v>
      </c>
      <c r="I17" s="9">
        <v>28</v>
      </c>
      <c r="J17" s="8" t="str">
        <f>IF(Tabla2[[#This Row],[Ventas totales]] &lt; 2500, "Ventas Muy Bajas", IF(Tabla2[[#This Row],[Ventas totales]] &lt;= 3999, "Ventas Aceptables", "Ventas Cumplidas"))</f>
        <v>Ventas Aceptables</v>
      </c>
    </row>
    <row r="18" spans="1:10" x14ac:dyDescent="0.2">
      <c r="A18" s="14">
        <v>44943</v>
      </c>
      <c r="B18" s="14" t="str">
        <f t="shared" si="0"/>
        <v>enero</v>
      </c>
      <c r="C18" s="14" t="str">
        <f>TEXT(Tabla2[[#This Row],[Fecha]],"DDDD")</f>
        <v>martes</v>
      </c>
      <c r="D18" s="9">
        <v>3178.41</v>
      </c>
      <c r="E18" s="9">
        <v>3154.41</v>
      </c>
      <c r="F18" s="9">
        <v>24</v>
      </c>
      <c r="G18" s="9">
        <v>0</v>
      </c>
      <c r="H18" s="9">
        <v>1826.18</v>
      </c>
      <c r="I18" s="9">
        <v>34</v>
      </c>
      <c r="J18" s="8" t="str">
        <f>IF(Tabla2[[#This Row],[Ventas totales]] &lt; 2500, "Ventas Muy Bajas", IF(Tabla2[[#This Row],[Ventas totales]] &lt;= 3999, "Ventas Aceptables", "Ventas Cumplidas"))</f>
        <v>Ventas Aceptables</v>
      </c>
    </row>
    <row r="19" spans="1:10" x14ac:dyDescent="0.2">
      <c r="A19" s="14">
        <v>44944</v>
      </c>
      <c r="B19" s="14" t="str">
        <f t="shared" si="0"/>
        <v>enero</v>
      </c>
      <c r="C19" s="14" t="str">
        <f>TEXT(Tabla2[[#This Row],[Fecha]],"DDDD")</f>
        <v>miércoles</v>
      </c>
      <c r="D19" s="9">
        <v>3765.94</v>
      </c>
      <c r="E19" s="9">
        <v>3388.37</v>
      </c>
      <c r="F19" s="9">
        <v>377.57</v>
      </c>
      <c r="G19" s="9">
        <v>0</v>
      </c>
      <c r="H19" s="9">
        <v>2082.56</v>
      </c>
      <c r="I19" s="9">
        <v>40</v>
      </c>
      <c r="J19" s="8" t="str">
        <f>IF(Tabla2[[#This Row],[Ventas totales]] &lt; 2500, "Ventas Muy Bajas", IF(Tabla2[[#This Row],[Ventas totales]] &lt;= 3999, "Ventas Aceptables", "Ventas Cumplidas"))</f>
        <v>Ventas Aceptables</v>
      </c>
    </row>
    <row r="20" spans="1:10" x14ac:dyDescent="0.2">
      <c r="A20" s="14">
        <v>44945</v>
      </c>
      <c r="B20" s="14" t="str">
        <f t="shared" si="0"/>
        <v>enero</v>
      </c>
      <c r="C20" s="14" t="str">
        <f>TEXT(Tabla2[[#This Row],[Fecha]],"DDDD")</f>
        <v>jueves</v>
      </c>
      <c r="D20" s="9">
        <v>3966.48</v>
      </c>
      <c r="E20" s="9">
        <v>3605.21</v>
      </c>
      <c r="F20" s="9">
        <v>361.27</v>
      </c>
      <c r="G20" s="9">
        <v>0</v>
      </c>
      <c r="H20" s="9">
        <v>2216.8200000000002</v>
      </c>
      <c r="I20" s="9">
        <v>53</v>
      </c>
      <c r="J20" s="8" t="str">
        <f>IF(Tabla2[[#This Row],[Ventas totales]] &lt; 2500, "Ventas Muy Bajas", IF(Tabla2[[#This Row],[Ventas totales]] &lt;= 3999, "Ventas Aceptables", "Ventas Cumplidas"))</f>
        <v>Ventas Aceptables</v>
      </c>
    </row>
    <row r="21" spans="1:10" x14ac:dyDescent="0.2">
      <c r="A21" s="14">
        <v>44946</v>
      </c>
      <c r="B21" s="14" t="str">
        <f t="shared" si="0"/>
        <v>enero</v>
      </c>
      <c r="C21" s="14" t="str">
        <f>TEXT(Tabla2[[#This Row],[Fecha]],"DDDD")</f>
        <v>viernes</v>
      </c>
      <c r="D21" s="9">
        <v>3706.63</v>
      </c>
      <c r="E21" s="9">
        <v>3706.63</v>
      </c>
      <c r="F21" s="9">
        <v>0</v>
      </c>
      <c r="G21" s="9">
        <v>0</v>
      </c>
      <c r="H21" s="9">
        <v>2076.33</v>
      </c>
      <c r="I21" s="9">
        <v>42</v>
      </c>
      <c r="J21" s="8" t="str">
        <f>IF(Tabla2[[#This Row],[Ventas totales]] &lt; 2500, "Ventas Muy Bajas", IF(Tabla2[[#This Row],[Ventas totales]] &lt;= 3999, "Ventas Aceptables", "Ventas Cumplidas"))</f>
        <v>Ventas Aceptables</v>
      </c>
    </row>
    <row r="22" spans="1:10" x14ac:dyDescent="0.2">
      <c r="A22" s="14">
        <v>44947</v>
      </c>
      <c r="B22" s="14" t="str">
        <f t="shared" si="0"/>
        <v>enero</v>
      </c>
      <c r="C22" s="14" t="str">
        <f>TEXT(Tabla2[[#This Row],[Fecha]],"DDDD")</f>
        <v>sábado</v>
      </c>
      <c r="D22" s="9">
        <v>2753.61</v>
      </c>
      <c r="E22" s="9">
        <v>2753.61</v>
      </c>
      <c r="F22" s="9">
        <v>0</v>
      </c>
      <c r="G22" s="9">
        <v>0</v>
      </c>
      <c r="H22" s="9">
        <v>1611.89</v>
      </c>
      <c r="I22" s="9">
        <v>35</v>
      </c>
      <c r="J22" s="8" t="str">
        <f>IF(Tabla2[[#This Row],[Ventas totales]] &lt; 2500, "Ventas Muy Bajas", IF(Tabla2[[#This Row],[Ventas totales]] &lt;= 3999, "Ventas Aceptables", "Ventas Cumplidas"))</f>
        <v>Ventas Aceptables</v>
      </c>
    </row>
    <row r="23" spans="1:10" x14ac:dyDescent="0.2">
      <c r="A23" s="14">
        <v>44948</v>
      </c>
      <c r="B23" s="14" t="str">
        <f t="shared" si="0"/>
        <v>enero</v>
      </c>
      <c r="C23" s="14" t="str">
        <f>TEXT(Tabla2[[#This Row],[Fecha]],"DDDD")</f>
        <v>domingo</v>
      </c>
      <c r="D23" s="9">
        <v>6177.15</v>
      </c>
      <c r="E23" s="9">
        <v>4991.5600000000004</v>
      </c>
      <c r="F23" s="9">
        <v>1185.5899999999999</v>
      </c>
      <c r="G23" s="9">
        <v>0</v>
      </c>
      <c r="H23" s="9">
        <v>3505.85</v>
      </c>
      <c r="I23" s="9">
        <v>51</v>
      </c>
      <c r="J23" s="8" t="str">
        <f>IF(Tabla2[[#This Row],[Ventas totales]] &lt; 2500, "Ventas Muy Bajas", IF(Tabla2[[#This Row],[Ventas totales]] &lt;= 3999, "Ventas Aceptables", "Ventas Cumplidas"))</f>
        <v>Ventas Cumplidas</v>
      </c>
    </row>
    <row r="24" spans="1:10" x14ac:dyDescent="0.2">
      <c r="A24" s="14">
        <v>44949</v>
      </c>
      <c r="B24" s="14" t="str">
        <f t="shared" si="0"/>
        <v>enero</v>
      </c>
      <c r="C24" s="14" t="str">
        <f>TEXT(Tabla2[[#This Row],[Fecha]],"DDDD")</f>
        <v>lunes</v>
      </c>
      <c r="D24" s="9">
        <v>2919.39</v>
      </c>
      <c r="E24" s="9">
        <v>2833.64</v>
      </c>
      <c r="F24" s="9">
        <v>85.75</v>
      </c>
      <c r="G24" s="9">
        <v>0</v>
      </c>
      <c r="H24" s="9">
        <v>1654.02</v>
      </c>
      <c r="I24" s="9">
        <v>26</v>
      </c>
      <c r="J24" s="8" t="str">
        <f>IF(Tabla2[[#This Row],[Ventas totales]] &lt; 2500, "Ventas Muy Bajas", IF(Tabla2[[#This Row],[Ventas totales]] &lt;= 3999, "Ventas Aceptables", "Ventas Cumplidas"))</f>
        <v>Ventas Aceptables</v>
      </c>
    </row>
    <row r="25" spans="1:10" x14ac:dyDescent="0.2">
      <c r="A25" s="14">
        <v>44950</v>
      </c>
      <c r="B25" s="14" t="str">
        <f t="shared" si="0"/>
        <v>enero</v>
      </c>
      <c r="C25" s="14" t="str">
        <f>TEXT(Tabla2[[#This Row],[Fecha]],"DDDD")</f>
        <v>martes</v>
      </c>
      <c r="D25" s="9">
        <v>3034.94</v>
      </c>
      <c r="E25" s="9">
        <v>2721.46</v>
      </c>
      <c r="F25" s="9">
        <v>313.48</v>
      </c>
      <c r="G25" s="9">
        <v>0</v>
      </c>
      <c r="H25" s="9">
        <v>1758.41</v>
      </c>
      <c r="I25" s="9">
        <v>31</v>
      </c>
      <c r="J25" s="8" t="str">
        <f>IF(Tabla2[[#This Row],[Ventas totales]] &lt; 2500, "Ventas Muy Bajas", IF(Tabla2[[#This Row],[Ventas totales]] &lt;= 3999, "Ventas Aceptables", "Ventas Cumplidas"))</f>
        <v>Ventas Aceptables</v>
      </c>
    </row>
    <row r="26" spans="1:10" x14ac:dyDescent="0.2">
      <c r="A26" s="14">
        <v>44951</v>
      </c>
      <c r="B26" s="14" t="str">
        <f t="shared" si="0"/>
        <v>enero</v>
      </c>
      <c r="C26" s="14" t="str">
        <f>TEXT(Tabla2[[#This Row],[Fecha]],"DDDD")</f>
        <v>miércoles</v>
      </c>
      <c r="D26" s="9">
        <v>2491.39</v>
      </c>
      <c r="E26" s="9">
        <v>2365.77</v>
      </c>
      <c r="F26" s="9">
        <v>125.62</v>
      </c>
      <c r="G26" s="9">
        <v>0</v>
      </c>
      <c r="H26" s="9">
        <v>1430.55</v>
      </c>
      <c r="I26" s="9">
        <v>34</v>
      </c>
      <c r="J26" s="8" t="str">
        <f>IF(Tabla2[[#This Row],[Ventas totales]] &lt; 2500, "Ventas Muy Bajas", IF(Tabla2[[#This Row],[Ventas totales]] &lt;= 3999, "Ventas Aceptables", "Ventas Cumplidas"))</f>
        <v>Ventas Muy Bajas</v>
      </c>
    </row>
    <row r="27" spans="1:10" x14ac:dyDescent="0.2">
      <c r="A27" s="14">
        <v>44952</v>
      </c>
      <c r="B27" s="14" t="str">
        <f t="shared" si="0"/>
        <v>enero</v>
      </c>
      <c r="C27" s="14" t="str">
        <f>TEXT(Tabla2[[#This Row],[Fecha]],"DDDD")</f>
        <v>jueves</v>
      </c>
      <c r="D27" s="9">
        <v>1881.23</v>
      </c>
      <c r="E27" s="9">
        <v>1714.15</v>
      </c>
      <c r="F27" s="9">
        <v>167.08</v>
      </c>
      <c r="G27" s="9">
        <v>0</v>
      </c>
      <c r="H27" s="9">
        <v>1141.31</v>
      </c>
      <c r="I27" s="9">
        <v>24</v>
      </c>
      <c r="J27" s="8" t="str">
        <f>IF(Tabla2[[#This Row],[Ventas totales]] &lt; 2500, "Ventas Muy Bajas", IF(Tabla2[[#This Row],[Ventas totales]] &lt;= 3999, "Ventas Aceptables", "Ventas Cumplidas"))</f>
        <v>Ventas Muy Bajas</v>
      </c>
    </row>
    <row r="28" spans="1:10" x14ac:dyDescent="0.2">
      <c r="A28" s="14">
        <v>44953</v>
      </c>
      <c r="B28" s="14" t="str">
        <f t="shared" si="0"/>
        <v>enero</v>
      </c>
      <c r="C28" s="14" t="str">
        <f>TEXT(Tabla2[[#This Row],[Fecha]],"DDDD")</f>
        <v>viernes</v>
      </c>
      <c r="D28" s="9">
        <v>2533.27</v>
      </c>
      <c r="E28" s="9">
        <v>1714.63</v>
      </c>
      <c r="F28" s="9">
        <v>818.64</v>
      </c>
      <c r="G28" s="9">
        <v>0</v>
      </c>
      <c r="H28" s="9">
        <v>1442.5</v>
      </c>
      <c r="I28" s="9">
        <v>34</v>
      </c>
      <c r="J28" s="8" t="str">
        <f>IF(Tabla2[[#This Row],[Ventas totales]] &lt; 2500, "Ventas Muy Bajas", IF(Tabla2[[#This Row],[Ventas totales]] &lt;= 3999, "Ventas Aceptables", "Ventas Cumplidas"))</f>
        <v>Ventas Aceptables</v>
      </c>
    </row>
    <row r="29" spans="1:10" x14ac:dyDescent="0.2">
      <c r="A29" s="14">
        <v>44954</v>
      </c>
      <c r="B29" s="14" t="str">
        <f t="shared" si="0"/>
        <v>enero</v>
      </c>
      <c r="C29" s="14" t="str">
        <f>TEXT(Tabla2[[#This Row],[Fecha]],"DDDD")</f>
        <v>sábado</v>
      </c>
      <c r="D29" s="9">
        <v>4445.8599999999997</v>
      </c>
      <c r="E29" s="9">
        <v>4286.07</v>
      </c>
      <c r="F29" s="9">
        <v>159.79</v>
      </c>
      <c r="G29" s="9">
        <v>0</v>
      </c>
      <c r="H29" s="9">
        <v>2488.38</v>
      </c>
      <c r="I29" s="9">
        <v>45</v>
      </c>
      <c r="J29" s="8" t="str">
        <f>IF(Tabla2[[#This Row],[Ventas totales]] &lt; 2500, "Ventas Muy Bajas", IF(Tabla2[[#This Row],[Ventas totales]] &lt;= 3999, "Ventas Aceptables", "Ventas Cumplidas"))</f>
        <v>Ventas Cumplidas</v>
      </c>
    </row>
    <row r="30" spans="1:10" x14ac:dyDescent="0.2">
      <c r="A30" s="14">
        <v>44955</v>
      </c>
      <c r="B30" s="14" t="str">
        <f t="shared" si="0"/>
        <v>enero</v>
      </c>
      <c r="C30" s="14" t="str">
        <f>TEXT(Tabla2[[#This Row],[Fecha]],"DDDD")</f>
        <v>domingo</v>
      </c>
      <c r="D30" s="9">
        <v>3152.18</v>
      </c>
      <c r="E30" s="9">
        <v>2150.65</v>
      </c>
      <c r="F30" s="9">
        <v>1001.53</v>
      </c>
      <c r="G30" s="9">
        <v>0</v>
      </c>
      <c r="H30" s="9">
        <v>1844.08</v>
      </c>
      <c r="I30" s="9">
        <v>26</v>
      </c>
      <c r="J30" s="8" t="str">
        <f>IF(Tabla2[[#This Row],[Ventas totales]] &lt; 2500, "Ventas Muy Bajas", IF(Tabla2[[#This Row],[Ventas totales]] &lt;= 3999, "Ventas Aceptables", "Ventas Cumplidas"))</f>
        <v>Ventas Aceptables</v>
      </c>
    </row>
    <row r="31" spans="1:10" x14ac:dyDescent="0.2">
      <c r="A31" s="14">
        <v>44956</v>
      </c>
      <c r="B31" s="14" t="str">
        <f t="shared" ref="B31:B33" si="4">TEXT(A:A,"MMMM")</f>
        <v>enero</v>
      </c>
      <c r="C31" s="14" t="str">
        <f>TEXT(Tabla2[[#This Row],[Fecha]],"DDDD")</f>
        <v>lunes</v>
      </c>
      <c r="D31" s="9">
        <v>2940.98</v>
      </c>
      <c r="E31" s="9">
        <v>2819.89</v>
      </c>
      <c r="F31" s="9">
        <v>121.09</v>
      </c>
      <c r="G31" s="9">
        <v>0</v>
      </c>
      <c r="H31" s="9">
        <v>1669.58</v>
      </c>
      <c r="I31" s="9">
        <v>29</v>
      </c>
      <c r="J31" s="8" t="str">
        <f>IF(Tabla2[[#This Row],[Ventas totales]] &lt; 2500, "Ventas Muy Bajas", IF(Tabla2[[#This Row],[Ventas totales]] &lt;= 3999, "Ventas Aceptables", "Ventas Cumplidas"))</f>
        <v>Ventas Aceptables</v>
      </c>
    </row>
    <row r="32" spans="1:10" x14ac:dyDescent="0.2">
      <c r="A32" s="14">
        <v>44957</v>
      </c>
      <c r="B32" s="14" t="str">
        <f t="shared" si="4"/>
        <v>enero</v>
      </c>
      <c r="C32" s="14" t="str">
        <f>TEXT(Tabla2[[#This Row],[Fecha]],"DDDD")</f>
        <v>martes</v>
      </c>
      <c r="D32" s="9">
        <v>4221.26</v>
      </c>
      <c r="E32" s="9">
        <v>4169.25</v>
      </c>
      <c r="F32" s="9">
        <v>52.01</v>
      </c>
      <c r="G32" s="9">
        <v>0</v>
      </c>
      <c r="H32" s="9">
        <v>2391.35</v>
      </c>
      <c r="I32" s="9">
        <v>54</v>
      </c>
      <c r="J32" s="8" t="str">
        <f>IF(Tabla2[[#This Row],[Ventas totales]] &lt; 2500, "Ventas Muy Bajas", IF(Tabla2[[#This Row],[Ventas totales]] &lt;= 3999, "Ventas Aceptables", "Ventas Cumplidas"))</f>
        <v>Ventas Cumplidas</v>
      </c>
    </row>
    <row r="33" spans="1:10" x14ac:dyDescent="0.2">
      <c r="A33" s="14">
        <v>44958</v>
      </c>
      <c r="B33" s="14" t="str">
        <f t="shared" si="4"/>
        <v>febrero</v>
      </c>
      <c r="C33" s="14" t="str">
        <f>TEXT(Tabla2[[#This Row],[Fecha]],"DDDD")</f>
        <v>miércoles</v>
      </c>
      <c r="D33" s="9">
        <v>4717.8500000000004</v>
      </c>
      <c r="E33" s="9">
        <v>4360.6400000000003</v>
      </c>
      <c r="F33" s="9">
        <v>357.21</v>
      </c>
      <c r="G33" s="9">
        <v>0</v>
      </c>
      <c r="H33" s="9">
        <v>2616.06</v>
      </c>
      <c r="I33" s="9">
        <v>47</v>
      </c>
      <c r="J33" s="8" t="str">
        <f>IF(Tabla2[[#This Row],[Ventas totales]] &lt; 2500, "Ventas Muy Bajas", IF(Tabla2[[#This Row],[Ventas totales]] &lt;= 3999, "Ventas Aceptables", "Ventas Cumplidas"))</f>
        <v>Ventas Cumplidas</v>
      </c>
    </row>
    <row r="34" spans="1:10" x14ac:dyDescent="0.2">
      <c r="A34" s="14">
        <v>44959</v>
      </c>
      <c r="B34" s="14" t="str">
        <f t="shared" ref="B34:B65" si="5">TEXT(A:A,"MMMM")</f>
        <v>febrero</v>
      </c>
      <c r="C34" s="14" t="str">
        <f>TEXT(Tabla2[[#This Row],[Fecha]],"DDDD")</f>
        <v>jueves</v>
      </c>
      <c r="D34" s="9">
        <v>4845.28</v>
      </c>
      <c r="E34" s="9">
        <v>4845.28</v>
      </c>
      <c r="F34" s="9">
        <v>0</v>
      </c>
      <c r="G34" s="9">
        <v>0</v>
      </c>
      <c r="H34" s="9">
        <v>2699.69</v>
      </c>
      <c r="I34" s="9">
        <v>42</v>
      </c>
      <c r="J34" s="8" t="str">
        <f>IF(Tabla2[[#This Row],[Ventas totales]] &lt; 2500, "Ventas Muy Bajas", IF(Tabla2[[#This Row],[Ventas totales]] &lt;= 3999, "Ventas Aceptables", "Ventas Cumplidas"))</f>
        <v>Ventas Cumplidas</v>
      </c>
    </row>
    <row r="35" spans="1:10" x14ac:dyDescent="0.2">
      <c r="A35" s="14">
        <v>44960</v>
      </c>
      <c r="B35" s="14" t="str">
        <f t="shared" si="5"/>
        <v>febrero</v>
      </c>
      <c r="C35" s="14" t="str">
        <f>TEXT(Tabla2[[#This Row],[Fecha]],"DDDD")</f>
        <v>viernes</v>
      </c>
      <c r="D35" s="9">
        <v>3418.45</v>
      </c>
      <c r="E35" s="9">
        <v>3305.74</v>
      </c>
      <c r="F35" s="9">
        <v>112.71</v>
      </c>
      <c r="G35" s="9">
        <v>0</v>
      </c>
      <c r="H35" s="9">
        <v>1962.65</v>
      </c>
      <c r="I35" s="9">
        <v>33</v>
      </c>
      <c r="J35" s="8" t="str">
        <f>IF(Tabla2[[#This Row],[Ventas totales]] &lt; 2500, "Ventas Muy Bajas", IF(Tabla2[[#This Row],[Ventas totales]] &lt;= 3999, "Ventas Aceptables", "Ventas Cumplidas"))</f>
        <v>Ventas Aceptables</v>
      </c>
    </row>
    <row r="36" spans="1:10" x14ac:dyDescent="0.2">
      <c r="A36" s="14">
        <v>44961</v>
      </c>
      <c r="B36" s="14" t="str">
        <f t="shared" si="5"/>
        <v>febrero</v>
      </c>
      <c r="C36" s="14" t="str">
        <f>TEXT(Tabla2[[#This Row],[Fecha]],"DDDD")</f>
        <v>sábado</v>
      </c>
      <c r="D36" s="9">
        <v>3483.92</v>
      </c>
      <c r="E36" s="9">
        <v>2786.75</v>
      </c>
      <c r="F36" s="9">
        <v>697.17</v>
      </c>
      <c r="G36" s="9">
        <v>0</v>
      </c>
      <c r="H36" s="9">
        <v>1975.94</v>
      </c>
      <c r="I36" s="9">
        <v>39</v>
      </c>
      <c r="J36" s="8" t="str">
        <f>IF(Tabla2[[#This Row],[Ventas totales]] &lt; 2500, "Ventas Muy Bajas", IF(Tabla2[[#This Row],[Ventas totales]] &lt;= 3999, "Ventas Aceptables", "Ventas Cumplidas"))</f>
        <v>Ventas Aceptables</v>
      </c>
    </row>
    <row r="37" spans="1:10" x14ac:dyDescent="0.2">
      <c r="A37" s="14">
        <v>44962</v>
      </c>
      <c r="B37" s="14" t="str">
        <f t="shared" si="5"/>
        <v>febrero</v>
      </c>
      <c r="C37" s="14" t="str">
        <f>TEXT(Tabla2[[#This Row],[Fecha]],"DDDD")</f>
        <v>domingo</v>
      </c>
      <c r="D37" s="9">
        <v>4180.18</v>
      </c>
      <c r="E37" s="9">
        <v>3462.69</v>
      </c>
      <c r="F37" s="9">
        <v>717.49</v>
      </c>
      <c r="G37" s="9">
        <v>0</v>
      </c>
      <c r="H37" s="9">
        <v>2371.66</v>
      </c>
      <c r="I37" s="9">
        <v>38</v>
      </c>
      <c r="J37" s="8" t="str">
        <f>IF(Tabla2[[#This Row],[Ventas totales]] &lt; 2500, "Ventas Muy Bajas", IF(Tabla2[[#This Row],[Ventas totales]] &lt;= 3999, "Ventas Aceptables", "Ventas Cumplidas"))</f>
        <v>Ventas Cumplidas</v>
      </c>
    </row>
    <row r="38" spans="1:10" x14ac:dyDescent="0.2">
      <c r="A38" s="14">
        <v>44963</v>
      </c>
      <c r="B38" s="14" t="str">
        <f t="shared" si="5"/>
        <v>febrero</v>
      </c>
      <c r="C38" s="14" t="str">
        <f>TEXT(Tabla2[[#This Row],[Fecha]],"DDDD")</f>
        <v>lunes</v>
      </c>
      <c r="D38" s="9">
        <v>2630.46</v>
      </c>
      <c r="E38" s="9">
        <v>1803.43</v>
      </c>
      <c r="F38" s="9">
        <v>827.03</v>
      </c>
      <c r="G38" s="9">
        <v>0</v>
      </c>
      <c r="H38" s="9">
        <v>1669.58</v>
      </c>
      <c r="I38" s="9">
        <v>22</v>
      </c>
      <c r="J38" s="8" t="str">
        <f>IF(Tabla2[[#This Row],[Ventas totales]] &lt; 2500, "Ventas Muy Bajas", IF(Tabla2[[#This Row],[Ventas totales]] &lt;= 3999, "Ventas Aceptables", "Ventas Cumplidas"))</f>
        <v>Ventas Aceptables</v>
      </c>
    </row>
    <row r="39" spans="1:10" x14ac:dyDescent="0.2">
      <c r="A39" s="14">
        <v>44964</v>
      </c>
      <c r="B39" s="14" t="str">
        <f t="shared" si="5"/>
        <v>febrero</v>
      </c>
      <c r="C39" s="14" t="str">
        <f>TEXT(Tabla2[[#This Row],[Fecha]],"DDDD")</f>
        <v>martes</v>
      </c>
      <c r="D39" s="9">
        <v>2654.27</v>
      </c>
      <c r="E39" s="9">
        <v>2012.41</v>
      </c>
      <c r="F39" s="9">
        <v>641.86</v>
      </c>
      <c r="G39" s="9">
        <v>0</v>
      </c>
      <c r="H39" s="9">
        <v>1524.11</v>
      </c>
      <c r="I39" s="9">
        <v>31</v>
      </c>
      <c r="J39" s="8" t="str">
        <f>IF(Tabla2[[#This Row],[Ventas totales]] &lt; 2500, "Ventas Muy Bajas", IF(Tabla2[[#This Row],[Ventas totales]] &lt;= 3999, "Ventas Aceptables", "Ventas Cumplidas"))</f>
        <v>Ventas Aceptables</v>
      </c>
    </row>
    <row r="40" spans="1:10" x14ac:dyDescent="0.2">
      <c r="A40" s="14">
        <v>44965</v>
      </c>
      <c r="B40" s="14" t="str">
        <f t="shared" si="5"/>
        <v>febrero</v>
      </c>
      <c r="C40" s="14" t="str">
        <f>TEXT(Tabla2[[#This Row],[Fecha]],"DDDD")</f>
        <v>miércoles</v>
      </c>
      <c r="D40" s="9">
        <v>1405.34</v>
      </c>
      <c r="E40" s="9">
        <v>1405.34</v>
      </c>
      <c r="F40" s="9">
        <v>0</v>
      </c>
      <c r="G40" s="9">
        <v>0</v>
      </c>
      <c r="H40" s="9">
        <v>824.49</v>
      </c>
      <c r="I40" s="9">
        <v>14</v>
      </c>
      <c r="J40" s="8" t="str">
        <f>IF(Tabla2[[#This Row],[Ventas totales]] &lt; 2500, "Ventas Muy Bajas", IF(Tabla2[[#This Row],[Ventas totales]] &lt;= 3999, "Ventas Aceptables", "Ventas Cumplidas"))</f>
        <v>Ventas Muy Bajas</v>
      </c>
    </row>
    <row r="41" spans="1:10" x14ac:dyDescent="0.2">
      <c r="A41" s="14">
        <v>44966</v>
      </c>
      <c r="B41" s="14" t="str">
        <f t="shared" si="5"/>
        <v>febrero</v>
      </c>
      <c r="C41" s="14" t="str">
        <f>TEXT(Tabla2[[#This Row],[Fecha]],"DDDD")</f>
        <v>jueves</v>
      </c>
      <c r="D41" s="9">
        <v>3204.92</v>
      </c>
      <c r="E41" s="9">
        <v>2472.89</v>
      </c>
      <c r="F41" s="9">
        <v>732.03</v>
      </c>
      <c r="G41" s="9">
        <v>0</v>
      </c>
      <c r="H41" s="9">
        <v>1810.88</v>
      </c>
      <c r="I41" s="9">
        <v>27</v>
      </c>
      <c r="J41" s="8" t="str">
        <f>IF(Tabla2[[#This Row],[Ventas totales]] &lt; 2500, "Ventas Muy Bajas", IF(Tabla2[[#This Row],[Ventas totales]] &lt;= 3999, "Ventas Aceptables", "Ventas Cumplidas"))</f>
        <v>Ventas Aceptables</v>
      </c>
    </row>
    <row r="42" spans="1:10" x14ac:dyDescent="0.2">
      <c r="A42" s="14">
        <v>44967</v>
      </c>
      <c r="B42" s="14" t="str">
        <f t="shared" si="5"/>
        <v>febrero</v>
      </c>
      <c r="C42" s="14" t="str">
        <f>TEXT(Tabla2[[#This Row],[Fecha]],"DDDD")</f>
        <v>viernes</v>
      </c>
      <c r="D42" s="9">
        <v>3167.18</v>
      </c>
      <c r="E42" s="9">
        <v>2983.18</v>
      </c>
      <c r="F42" s="9">
        <v>184</v>
      </c>
      <c r="G42" s="9">
        <v>0</v>
      </c>
      <c r="H42" s="9">
        <v>1773.28</v>
      </c>
      <c r="I42" s="9">
        <v>30</v>
      </c>
      <c r="J42" s="8" t="str">
        <f>IF(Tabla2[[#This Row],[Ventas totales]] &lt; 2500, "Ventas Muy Bajas", IF(Tabla2[[#This Row],[Ventas totales]] &lt;= 3999, "Ventas Aceptables", "Ventas Cumplidas"))</f>
        <v>Ventas Aceptables</v>
      </c>
    </row>
    <row r="43" spans="1:10" x14ac:dyDescent="0.2">
      <c r="A43" s="14">
        <v>44968</v>
      </c>
      <c r="B43" s="14" t="str">
        <f t="shared" si="5"/>
        <v>febrero</v>
      </c>
      <c r="C43" s="14" t="str">
        <f>TEXT(Tabla2[[#This Row],[Fecha]],"DDDD")</f>
        <v>sábado</v>
      </c>
      <c r="D43" s="9">
        <v>2384.7800000000002</v>
      </c>
      <c r="E43" s="9">
        <v>2384.7800000000002</v>
      </c>
      <c r="F43" s="9">
        <v>0</v>
      </c>
      <c r="G43" s="9">
        <v>0</v>
      </c>
      <c r="H43" s="9">
        <v>1326.82</v>
      </c>
      <c r="I43" s="9">
        <v>24</v>
      </c>
      <c r="J43" s="8" t="str">
        <f>IF(Tabla2[[#This Row],[Ventas totales]] &lt; 2500, "Ventas Muy Bajas", IF(Tabla2[[#This Row],[Ventas totales]] &lt;= 3999, "Ventas Aceptables", "Ventas Cumplidas"))</f>
        <v>Ventas Muy Bajas</v>
      </c>
    </row>
    <row r="44" spans="1:10" x14ac:dyDescent="0.2">
      <c r="A44" s="14">
        <v>44969</v>
      </c>
      <c r="B44" s="14" t="str">
        <f t="shared" si="5"/>
        <v>febrero</v>
      </c>
      <c r="C44" s="14" t="str">
        <f>TEXT(Tabla2[[#This Row],[Fecha]],"DDDD")</f>
        <v>domingo</v>
      </c>
      <c r="D44" s="9">
        <v>4758.67</v>
      </c>
      <c r="E44" s="9">
        <v>4515.74</v>
      </c>
      <c r="F44" s="9">
        <v>242.93</v>
      </c>
      <c r="G44" s="9">
        <v>0</v>
      </c>
      <c r="H44" s="9">
        <v>2747.11</v>
      </c>
      <c r="I44" s="9">
        <v>40</v>
      </c>
      <c r="J44" s="8" t="str">
        <f>IF(Tabla2[[#This Row],[Ventas totales]] &lt; 2500, "Ventas Muy Bajas", IF(Tabla2[[#This Row],[Ventas totales]] &lt;= 3999, "Ventas Aceptables", "Ventas Cumplidas"))</f>
        <v>Ventas Cumplidas</v>
      </c>
    </row>
    <row r="45" spans="1:10" x14ac:dyDescent="0.2">
      <c r="A45" s="14">
        <v>44970</v>
      </c>
      <c r="B45" s="14" t="str">
        <f t="shared" si="5"/>
        <v>febrero</v>
      </c>
      <c r="C45" s="14" t="str">
        <f>TEXT(Tabla2[[#This Row],[Fecha]],"DDDD")</f>
        <v>lunes</v>
      </c>
      <c r="D45" s="9">
        <v>2562.7199999999998</v>
      </c>
      <c r="E45" s="9">
        <v>2031.79</v>
      </c>
      <c r="F45" s="9">
        <v>530.92999999999995</v>
      </c>
      <c r="G45" s="9">
        <v>0</v>
      </c>
      <c r="H45" s="9">
        <v>1417.57</v>
      </c>
      <c r="I45" s="9">
        <v>22</v>
      </c>
      <c r="J45" s="8" t="str">
        <f>IF(Tabla2[[#This Row],[Ventas totales]] &lt; 2500, "Ventas Muy Bajas", IF(Tabla2[[#This Row],[Ventas totales]] &lt;= 3999, "Ventas Aceptables", "Ventas Cumplidas"))</f>
        <v>Ventas Aceptables</v>
      </c>
    </row>
    <row r="46" spans="1:10" x14ac:dyDescent="0.2">
      <c r="A46" s="14">
        <v>44971</v>
      </c>
      <c r="B46" s="14" t="str">
        <f t="shared" si="5"/>
        <v>febrero</v>
      </c>
      <c r="C46" s="14" t="str">
        <f>TEXT(Tabla2[[#This Row],[Fecha]],"DDDD")</f>
        <v>martes</v>
      </c>
      <c r="D46" s="9">
        <v>2791.7</v>
      </c>
      <c r="E46" s="9">
        <v>2753.01</v>
      </c>
      <c r="F46" s="9">
        <v>38.69</v>
      </c>
      <c r="G46" s="9">
        <v>0</v>
      </c>
      <c r="H46" s="9">
        <v>1599.99</v>
      </c>
      <c r="I46" s="9">
        <v>26</v>
      </c>
      <c r="J46" s="8" t="str">
        <f>IF(Tabla2[[#This Row],[Ventas totales]] &lt; 2500, "Ventas Muy Bajas", IF(Tabla2[[#This Row],[Ventas totales]] &lt;= 3999, "Ventas Aceptables", "Ventas Cumplidas"))</f>
        <v>Ventas Aceptables</v>
      </c>
    </row>
    <row r="47" spans="1:10" x14ac:dyDescent="0.2">
      <c r="A47" s="14">
        <v>44972</v>
      </c>
      <c r="B47" s="14" t="str">
        <f t="shared" si="5"/>
        <v>febrero</v>
      </c>
      <c r="C47" s="14" t="str">
        <f>TEXT(Tabla2[[#This Row],[Fecha]],"DDDD")</f>
        <v>miércoles</v>
      </c>
      <c r="D47" s="9">
        <v>6054.22</v>
      </c>
      <c r="E47" s="9">
        <v>5314.25</v>
      </c>
      <c r="F47" s="9">
        <v>739.97</v>
      </c>
      <c r="G47" s="9">
        <v>0</v>
      </c>
      <c r="H47" s="9">
        <v>3472.59</v>
      </c>
      <c r="I47" s="9">
        <v>56</v>
      </c>
      <c r="J47" s="8" t="str">
        <f>IF(Tabla2[[#This Row],[Ventas totales]] &lt; 2500, "Ventas Muy Bajas", IF(Tabla2[[#This Row],[Ventas totales]] &lt;= 3999, "Ventas Aceptables", "Ventas Cumplidas"))</f>
        <v>Ventas Cumplidas</v>
      </c>
    </row>
    <row r="48" spans="1:10" x14ac:dyDescent="0.2">
      <c r="A48" s="14">
        <v>44973</v>
      </c>
      <c r="B48" s="14" t="str">
        <f t="shared" si="5"/>
        <v>febrero</v>
      </c>
      <c r="C48" s="14" t="str">
        <f>TEXT(Tabla2[[#This Row],[Fecha]],"DDDD")</f>
        <v>jueves</v>
      </c>
      <c r="D48" s="9">
        <v>4255.83</v>
      </c>
      <c r="E48" s="9">
        <v>4245.07</v>
      </c>
      <c r="F48" s="9">
        <v>10.76</v>
      </c>
      <c r="G48" s="9">
        <v>0</v>
      </c>
      <c r="H48" s="9">
        <v>2387.1799999999998</v>
      </c>
      <c r="I48" s="9">
        <v>44</v>
      </c>
      <c r="J48" s="8" t="str">
        <f>IF(Tabla2[[#This Row],[Ventas totales]] &lt; 2500, "Ventas Muy Bajas", IF(Tabla2[[#This Row],[Ventas totales]] &lt;= 3999, "Ventas Aceptables", "Ventas Cumplidas"))</f>
        <v>Ventas Cumplidas</v>
      </c>
    </row>
    <row r="49" spans="1:10" x14ac:dyDescent="0.2">
      <c r="A49" s="14">
        <v>44974</v>
      </c>
      <c r="B49" s="14" t="str">
        <f t="shared" si="5"/>
        <v>febrero</v>
      </c>
      <c r="C49" s="14" t="str">
        <f>TEXT(Tabla2[[#This Row],[Fecha]],"DDDD")</f>
        <v>viernes</v>
      </c>
      <c r="D49" s="9">
        <v>4820.66</v>
      </c>
      <c r="E49" s="9">
        <v>3842.05</v>
      </c>
      <c r="F49" s="9">
        <v>978.61</v>
      </c>
      <c r="G49" s="9">
        <v>0</v>
      </c>
      <c r="H49" s="9">
        <v>2765.3</v>
      </c>
      <c r="I49" s="9">
        <v>55</v>
      </c>
      <c r="J49" s="8" t="str">
        <f>IF(Tabla2[[#This Row],[Ventas totales]] &lt; 2500, "Ventas Muy Bajas", IF(Tabla2[[#This Row],[Ventas totales]] &lt;= 3999, "Ventas Aceptables", "Ventas Cumplidas"))</f>
        <v>Ventas Cumplidas</v>
      </c>
    </row>
    <row r="50" spans="1:10" x14ac:dyDescent="0.2">
      <c r="A50" s="14">
        <v>44975</v>
      </c>
      <c r="B50" s="14" t="str">
        <f t="shared" si="5"/>
        <v>febrero</v>
      </c>
      <c r="C50" s="14" t="str">
        <f>TEXT(Tabla2[[#This Row],[Fecha]],"DDDD")</f>
        <v>sábado</v>
      </c>
      <c r="D50" s="9">
        <v>2980.8</v>
      </c>
      <c r="E50" s="9">
        <v>2980.8</v>
      </c>
      <c r="F50" s="9">
        <v>0</v>
      </c>
      <c r="G50" s="9">
        <v>0</v>
      </c>
      <c r="H50" s="9">
        <v>1736.15</v>
      </c>
      <c r="I50" s="9">
        <v>37</v>
      </c>
      <c r="J50" s="8" t="str">
        <f>IF(Tabla2[[#This Row],[Ventas totales]] &lt; 2500, "Ventas Muy Bajas", IF(Tabla2[[#This Row],[Ventas totales]] &lt;= 3999, "Ventas Aceptables", "Ventas Cumplidas"))</f>
        <v>Ventas Aceptables</v>
      </c>
    </row>
    <row r="51" spans="1:10" x14ac:dyDescent="0.2">
      <c r="A51" s="14">
        <v>44976</v>
      </c>
      <c r="B51" s="14" t="str">
        <f t="shared" si="5"/>
        <v>febrero</v>
      </c>
      <c r="C51" s="14" t="str">
        <f>TEXT(Tabla2[[#This Row],[Fecha]],"DDDD")</f>
        <v>domingo</v>
      </c>
      <c r="D51" s="9">
        <v>5728.46</v>
      </c>
      <c r="E51" s="9">
        <v>4623.34</v>
      </c>
      <c r="F51" s="9">
        <v>1105.1199999999999</v>
      </c>
      <c r="G51" s="9">
        <v>0</v>
      </c>
      <c r="H51" s="9">
        <v>3210.62</v>
      </c>
      <c r="I51" s="9">
        <v>44</v>
      </c>
      <c r="J51" s="8" t="str">
        <f>IF(Tabla2[[#This Row],[Ventas totales]] &lt; 2500, "Ventas Muy Bajas", IF(Tabla2[[#This Row],[Ventas totales]] &lt;= 3999, "Ventas Aceptables", "Ventas Cumplidas"))</f>
        <v>Ventas Cumplidas</v>
      </c>
    </row>
    <row r="52" spans="1:10" x14ac:dyDescent="0.2">
      <c r="A52" s="14">
        <v>44977</v>
      </c>
      <c r="B52" s="14" t="str">
        <f t="shared" si="5"/>
        <v>febrero</v>
      </c>
      <c r="C52" s="14" t="str">
        <f>TEXT(Tabla2[[#This Row],[Fecha]],"DDDD")</f>
        <v>lunes</v>
      </c>
      <c r="D52" s="9">
        <v>5559.94</v>
      </c>
      <c r="E52" s="9">
        <v>2744.5</v>
      </c>
      <c r="F52" s="9">
        <v>2815.44</v>
      </c>
      <c r="G52" s="9">
        <v>0</v>
      </c>
      <c r="H52" s="9">
        <v>1440.61</v>
      </c>
      <c r="I52" s="9">
        <v>33</v>
      </c>
      <c r="J52" s="8" t="str">
        <f>IF(Tabla2[[#This Row],[Ventas totales]] &lt; 2500, "Ventas Muy Bajas", IF(Tabla2[[#This Row],[Ventas totales]] &lt;= 3999, "Ventas Aceptables", "Ventas Cumplidas"))</f>
        <v>Ventas Cumplidas</v>
      </c>
    </row>
    <row r="53" spans="1:10" x14ac:dyDescent="0.2">
      <c r="A53" s="14">
        <v>44978</v>
      </c>
      <c r="B53" s="14" t="str">
        <f t="shared" si="5"/>
        <v>febrero</v>
      </c>
      <c r="C53" s="14" t="str">
        <f>TEXT(Tabla2[[#This Row],[Fecha]],"DDDD")</f>
        <v>martes</v>
      </c>
      <c r="D53" s="9">
        <v>4966.54</v>
      </c>
      <c r="E53" s="9">
        <v>4085.99</v>
      </c>
      <c r="F53" s="9">
        <v>880.55</v>
      </c>
      <c r="G53" s="9">
        <v>0</v>
      </c>
      <c r="H53" s="9">
        <v>2924.42</v>
      </c>
      <c r="I53" s="9">
        <v>35</v>
      </c>
      <c r="J53" s="8" t="str">
        <f>IF(Tabla2[[#This Row],[Ventas totales]] &lt; 2500, "Ventas Muy Bajas", IF(Tabla2[[#This Row],[Ventas totales]] &lt;= 3999, "Ventas Aceptables", "Ventas Cumplidas"))</f>
        <v>Ventas Cumplidas</v>
      </c>
    </row>
    <row r="54" spans="1:10" x14ac:dyDescent="0.2">
      <c r="A54" s="14">
        <v>44979</v>
      </c>
      <c r="B54" s="14" t="str">
        <f t="shared" si="5"/>
        <v>febrero</v>
      </c>
      <c r="C54" s="14" t="str">
        <f>TEXT(Tabla2[[#This Row],[Fecha]],"DDDD")</f>
        <v>miércoles</v>
      </c>
      <c r="D54" s="9">
        <v>4648.99</v>
      </c>
      <c r="E54" s="9">
        <v>4545.76</v>
      </c>
      <c r="F54" s="9">
        <v>103.23</v>
      </c>
      <c r="G54" s="9">
        <v>0</v>
      </c>
      <c r="H54" s="9">
        <v>2535.5100000000002</v>
      </c>
      <c r="I54" s="9">
        <v>49</v>
      </c>
      <c r="J54" s="8" t="str">
        <f>IF(Tabla2[[#This Row],[Ventas totales]] &lt; 2500, "Ventas Muy Bajas", IF(Tabla2[[#This Row],[Ventas totales]] &lt;= 3999, "Ventas Aceptables", "Ventas Cumplidas"))</f>
        <v>Ventas Cumplidas</v>
      </c>
    </row>
    <row r="55" spans="1:10" x14ac:dyDescent="0.2">
      <c r="A55" s="14">
        <v>44980</v>
      </c>
      <c r="B55" s="14" t="str">
        <f t="shared" si="5"/>
        <v>febrero</v>
      </c>
      <c r="C55" s="14" t="str">
        <f>TEXT(Tabla2[[#This Row],[Fecha]],"DDDD")</f>
        <v>jueves</v>
      </c>
      <c r="D55" s="9">
        <v>3440.66</v>
      </c>
      <c r="E55" s="9">
        <v>2997.29</v>
      </c>
      <c r="F55" s="9">
        <v>443.37</v>
      </c>
      <c r="G55" s="9">
        <v>0</v>
      </c>
      <c r="H55" s="9">
        <v>1976.46</v>
      </c>
      <c r="I55" s="9">
        <v>43</v>
      </c>
      <c r="J55" s="8" t="str">
        <f>IF(Tabla2[[#This Row],[Ventas totales]] &lt; 2500, "Ventas Muy Bajas", IF(Tabla2[[#This Row],[Ventas totales]] &lt;= 3999, "Ventas Aceptables", "Ventas Cumplidas"))</f>
        <v>Ventas Aceptables</v>
      </c>
    </row>
    <row r="56" spans="1:10" x14ac:dyDescent="0.2">
      <c r="A56" s="14">
        <v>44981</v>
      </c>
      <c r="B56" s="14" t="str">
        <f t="shared" si="5"/>
        <v>febrero</v>
      </c>
      <c r="C56" s="14" t="str">
        <f>TEXT(Tabla2[[#This Row],[Fecha]],"DDDD")</f>
        <v>viernes</v>
      </c>
      <c r="D56" s="9">
        <v>4088.09</v>
      </c>
      <c r="E56" s="9">
        <v>3492.17</v>
      </c>
      <c r="F56" s="9">
        <v>595.91999999999996</v>
      </c>
      <c r="G56" s="9">
        <v>0</v>
      </c>
      <c r="H56" s="9">
        <v>2317.0700000000002</v>
      </c>
      <c r="I56" s="9">
        <v>40</v>
      </c>
      <c r="J56" s="8" t="str">
        <f>IF(Tabla2[[#This Row],[Ventas totales]] &lt; 2500, "Ventas Muy Bajas", IF(Tabla2[[#This Row],[Ventas totales]] &lt;= 3999, "Ventas Aceptables", "Ventas Cumplidas"))</f>
        <v>Ventas Cumplidas</v>
      </c>
    </row>
    <row r="57" spans="1:10" x14ac:dyDescent="0.2">
      <c r="A57" s="14">
        <v>44982</v>
      </c>
      <c r="B57" s="14" t="str">
        <f t="shared" si="5"/>
        <v>febrero</v>
      </c>
      <c r="C57" s="14" t="str">
        <f>TEXT(Tabla2[[#This Row],[Fecha]],"DDDD")</f>
        <v>sábado</v>
      </c>
      <c r="D57" s="9">
        <v>2918.34</v>
      </c>
      <c r="E57" s="9">
        <v>2489.85</v>
      </c>
      <c r="F57" s="9">
        <v>428.49</v>
      </c>
      <c r="G57" s="9">
        <v>0</v>
      </c>
      <c r="H57" s="9">
        <v>1668.94</v>
      </c>
      <c r="I57" s="9">
        <v>34</v>
      </c>
      <c r="J57" s="8" t="str">
        <f>IF(Tabla2[[#This Row],[Ventas totales]] &lt; 2500, "Ventas Muy Bajas", IF(Tabla2[[#This Row],[Ventas totales]] &lt;= 3999, "Ventas Aceptables", "Ventas Cumplidas"))</f>
        <v>Ventas Aceptables</v>
      </c>
    </row>
    <row r="58" spans="1:10" x14ac:dyDescent="0.2">
      <c r="A58" s="14">
        <v>44983</v>
      </c>
      <c r="B58" s="14" t="str">
        <f t="shared" si="5"/>
        <v>febrero</v>
      </c>
      <c r="C58" s="14" t="str">
        <f>TEXT(Tabla2[[#This Row],[Fecha]],"DDDD")</f>
        <v>domingo</v>
      </c>
      <c r="D58" s="9">
        <v>7506.01</v>
      </c>
      <c r="E58" s="9">
        <v>4240.6499999999996</v>
      </c>
      <c r="F58" s="9">
        <v>3265.36</v>
      </c>
      <c r="G58" s="9">
        <v>0</v>
      </c>
      <c r="H58" s="9">
        <v>4222.74</v>
      </c>
      <c r="I58" s="9">
        <v>49</v>
      </c>
      <c r="J58" s="8" t="str">
        <f>IF(Tabla2[[#This Row],[Ventas totales]] &lt; 2500, "Ventas Muy Bajas", IF(Tabla2[[#This Row],[Ventas totales]] &lt;= 3999, "Ventas Aceptables", "Ventas Cumplidas"))</f>
        <v>Ventas Cumplidas</v>
      </c>
    </row>
    <row r="59" spans="1:10" x14ac:dyDescent="0.2">
      <c r="A59" s="14">
        <v>44984</v>
      </c>
      <c r="B59" s="14" t="str">
        <f t="shared" si="5"/>
        <v>febrero</v>
      </c>
      <c r="C59" s="14" t="str">
        <f>TEXT(Tabla2[[#This Row],[Fecha]],"DDDD")</f>
        <v>lunes</v>
      </c>
      <c r="D59" s="9">
        <v>3184.52</v>
      </c>
      <c r="E59" s="9">
        <v>2716.03</v>
      </c>
      <c r="F59" s="9">
        <v>468.49</v>
      </c>
      <c r="G59" s="9">
        <v>0</v>
      </c>
      <c r="H59" s="9">
        <v>3015.9</v>
      </c>
      <c r="I59" s="9">
        <v>31</v>
      </c>
      <c r="J59" s="8" t="str">
        <f>IF(Tabla2[[#This Row],[Ventas totales]] &lt; 2500, "Ventas Muy Bajas", IF(Tabla2[[#This Row],[Ventas totales]] &lt;= 3999, "Ventas Aceptables", "Ventas Cumplidas"))</f>
        <v>Ventas Aceptables</v>
      </c>
    </row>
    <row r="60" spans="1:10" x14ac:dyDescent="0.2">
      <c r="A60" s="14">
        <v>44985</v>
      </c>
      <c r="B60" s="14" t="str">
        <f t="shared" si="5"/>
        <v>febrero</v>
      </c>
      <c r="C60" s="14" t="str">
        <f>TEXT(Tabla2[[#This Row],[Fecha]],"DDDD")</f>
        <v>martes</v>
      </c>
      <c r="D60" s="9">
        <v>4329.66</v>
      </c>
      <c r="E60" s="9">
        <v>3982.75</v>
      </c>
      <c r="F60" s="9">
        <v>346.91</v>
      </c>
      <c r="G60" s="9">
        <v>0</v>
      </c>
      <c r="H60" s="9">
        <v>0</v>
      </c>
      <c r="I60" s="9">
        <v>40</v>
      </c>
      <c r="J60" s="8" t="str">
        <f>IF(Tabla2[[#This Row],[Ventas totales]] &lt; 2500, "Ventas Muy Bajas", IF(Tabla2[[#This Row],[Ventas totales]] &lt;= 3999, "Ventas Aceptables", "Ventas Cumplidas"))</f>
        <v>Ventas Cumplidas</v>
      </c>
    </row>
    <row r="61" spans="1:10" x14ac:dyDescent="0.2">
      <c r="A61" s="14">
        <v>44986</v>
      </c>
      <c r="B61" s="14" t="str">
        <f t="shared" si="5"/>
        <v>marzo</v>
      </c>
      <c r="C61" s="14" t="str">
        <f>TEXT(Tabla2[[#This Row],[Fecha]],"DDDD")</f>
        <v>miércoles</v>
      </c>
      <c r="D61" s="9">
        <v>6669.52</v>
      </c>
      <c r="E61" s="9">
        <v>5792.44</v>
      </c>
      <c r="F61" s="9">
        <v>877.08</v>
      </c>
      <c r="G61" s="9">
        <v>0</v>
      </c>
      <c r="H61" s="9">
        <v>0</v>
      </c>
      <c r="I61" s="9">
        <v>60</v>
      </c>
      <c r="J61" s="8" t="str">
        <f>IF(Tabla2[[#This Row],[Ventas totales]] &lt; 2500, "Ventas Muy Bajas", IF(Tabla2[[#This Row],[Ventas totales]] &lt;= 3999, "Ventas Aceptables", "Ventas Cumplidas"))</f>
        <v>Ventas Cumplidas</v>
      </c>
    </row>
    <row r="62" spans="1:10" x14ac:dyDescent="0.2">
      <c r="A62" s="14">
        <v>44987</v>
      </c>
      <c r="B62" s="14" t="str">
        <f t="shared" si="5"/>
        <v>marzo</v>
      </c>
      <c r="C62" s="14" t="str">
        <f>TEXT(Tabla2[[#This Row],[Fecha]],"DDDD")</f>
        <v>jueves</v>
      </c>
      <c r="D62" s="9">
        <v>2966.54</v>
      </c>
      <c r="E62" s="9">
        <v>2898.01</v>
      </c>
      <c r="F62" s="9">
        <v>68.53</v>
      </c>
      <c r="G62" s="9">
        <v>0</v>
      </c>
      <c r="H62" s="9">
        <v>0</v>
      </c>
      <c r="I62" s="9">
        <v>29</v>
      </c>
      <c r="J62" s="8" t="str">
        <f>IF(Tabla2[[#This Row],[Ventas totales]] &lt; 2500, "Ventas Muy Bajas", IF(Tabla2[[#This Row],[Ventas totales]] &lt;= 3999, "Ventas Aceptables", "Ventas Cumplidas"))</f>
        <v>Ventas Aceptables</v>
      </c>
    </row>
    <row r="63" spans="1:10" x14ac:dyDescent="0.2">
      <c r="A63" s="14">
        <v>44988</v>
      </c>
      <c r="B63" s="14" t="str">
        <f t="shared" si="5"/>
        <v>marzo</v>
      </c>
      <c r="C63" s="14" t="str">
        <f>TEXT(Tabla2[[#This Row],[Fecha]],"DDDD")</f>
        <v>viernes</v>
      </c>
      <c r="D63" s="9">
        <v>6080.77</v>
      </c>
      <c r="E63" s="9">
        <v>4636.5600000000004</v>
      </c>
      <c r="F63" s="9">
        <v>1444.21</v>
      </c>
      <c r="G63" s="9">
        <v>0</v>
      </c>
      <c r="H63" s="9">
        <v>0</v>
      </c>
      <c r="I63" s="9">
        <v>50</v>
      </c>
      <c r="J63" s="8" t="str">
        <f>IF(Tabla2[[#This Row],[Ventas totales]] &lt; 2500, "Ventas Muy Bajas", IF(Tabla2[[#This Row],[Ventas totales]] &lt;= 3999, "Ventas Aceptables", "Ventas Cumplidas"))</f>
        <v>Ventas Cumplidas</v>
      </c>
    </row>
    <row r="64" spans="1:10" x14ac:dyDescent="0.2">
      <c r="A64" s="14">
        <v>44989</v>
      </c>
      <c r="B64" s="14" t="str">
        <f t="shared" si="5"/>
        <v>marzo</v>
      </c>
      <c r="C64" s="14" t="str">
        <f>TEXT(Tabla2[[#This Row],[Fecha]],"DDDD")</f>
        <v>sábado</v>
      </c>
      <c r="D64" s="9">
        <v>3690.55</v>
      </c>
      <c r="E64" s="9">
        <v>3490.55</v>
      </c>
      <c r="F64" s="9">
        <v>200</v>
      </c>
      <c r="G64" s="9">
        <v>0</v>
      </c>
      <c r="H64" s="9">
        <v>0</v>
      </c>
      <c r="I64" s="9">
        <v>38</v>
      </c>
      <c r="J64" s="8" t="str">
        <f>IF(Tabla2[[#This Row],[Ventas totales]] &lt; 2500, "Ventas Muy Bajas", IF(Tabla2[[#This Row],[Ventas totales]] &lt;= 3999, "Ventas Aceptables", "Ventas Cumplidas"))</f>
        <v>Ventas Aceptables</v>
      </c>
    </row>
    <row r="65" spans="1:10" x14ac:dyDescent="0.2">
      <c r="A65" s="14">
        <v>44990</v>
      </c>
      <c r="B65" s="14" t="str">
        <f t="shared" si="5"/>
        <v>marzo</v>
      </c>
      <c r="C65" s="14" t="str">
        <f>TEXT(Tabla2[[#This Row],[Fecha]],"DDDD")</f>
        <v>domingo</v>
      </c>
      <c r="D65" s="9">
        <v>5746.1</v>
      </c>
      <c r="E65" s="9">
        <v>4348.95</v>
      </c>
      <c r="F65" s="9">
        <v>1397.15</v>
      </c>
      <c r="G65" s="9">
        <v>0</v>
      </c>
      <c r="H65" s="9">
        <v>0</v>
      </c>
      <c r="I65" s="9">
        <v>48</v>
      </c>
      <c r="J65" s="8" t="str">
        <f>IF(Tabla2[[#This Row],[Ventas totales]] &lt; 2500, "Ventas Muy Bajas", IF(Tabla2[[#This Row],[Ventas totales]] &lt;= 3999, "Ventas Aceptables", "Ventas Cumplidas"))</f>
        <v>Ventas Cumplidas</v>
      </c>
    </row>
    <row r="66" spans="1:10" x14ac:dyDescent="0.2">
      <c r="A66" s="14">
        <v>44991</v>
      </c>
      <c r="B66" s="14" t="str">
        <f t="shared" ref="B66:B97" si="6">TEXT(A:A,"MMMM")</f>
        <v>marzo</v>
      </c>
      <c r="C66" s="14" t="str">
        <f>TEXT(Tabla2[[#This Row],[Fecha]],"DDDD")</f>
        <v>lunes</v>
      </c>
      <c r="D66" s="9">
        <v>3095.82</v>
      </c>
      <c r="E66" s="9">
        <v>2103.2800000000002</v>
      </c>
      <c r="F66" s="9">
        <v>992.54</v>
      </c>
      <c r="G66" s="9">
        <v>0</v>
      </c>
      <c r="H66" s="9">
        <v>1751.75</v>
      </c>
      <c r="I66" s="9">
        <v>28</v>
      </c>
      <c r="J66" s="8" t="str">
        <f>IF(Tabla2[[#This Row],[Ventas totales]] &lt; 2500, "Ventas Muy Bajas", IF(Tabla2[[#This Row],[Ventas totales]] &lt;= 3999, "Ventas Aceptables", "Ventas Cumplidas"))</f>
        <v>Ventas Aceptables</v>
      </c>
    </row>
    <row r="67" spans="1:10" x14ac:dyDescent="0.2">
      <c r="A67" s="14">
        <v>44992</v>
      </c>
      <c r="B67" s="14" t="str">
        <f t="shared" si="6"/>
        <v>marzo</v>
      </c>
      <c r="C67" s="14" t="str">
        <f>TEXT(Tabla2[[#This Row],[Fecha]],"DDDD")</f>
        <v>martes</v>
      </c>
      <c r="D67" s="9">
        <v>3740.32</v>
      </c>
      <c r="E67" s="9">
        <v>3377.27</v>
      </c>
      <c r="F67" s="9">
        <v>363.05</v>
      </c>
      <c r="G67" s="9">
        <v>0</v>
      </c>
      <c r="H67" s="9">
        <v>2132.7800000000002</v>
      </c>
      <c r="I67" s="9">
        <v>40</v>
      </c>
      <c r="J67" s="8" t="str">
        <f>IF(Tabla2[[#This Row],[Ventas totales]] &lt; 2500, "Ventas Muy Bajas", IF(Tabla2[[#This Row],[Ventas totales]] &lt;= 3999, "Ventas Aceptables", "Ventas Cumplidas"))</f>
        <v>Ventas Aceptables</v>
      </c>
    </row>
    <row r="68" spans="1:10" x14ac:dyDescent="0.2">
      <c r="A68" s="14">
        <v>44993</v>
      </c>
      <c r="B68" s="14" t="str">
        <f t="shared" si="6"/>
        <v>marzo</v>
      </c>
      <c r="C68" s="14" t="str">
        <f>TEXT(Tabla2[[#This Row],[Fecha]],"DDDD")</f>
        <v>miércoles</v>
      </c>
      <c r="D68" s="9">
        <v>5725.4</v>
      </c>
      <c r="E68" s="9">
        <v>4397.01</v>
      </c>
      <c r="F68" s="9">
        <v>1328.39</v>
      </c>
      <c r="G68" s="9">
        <v>0</v>
      </c>
      <c r="H68" s="9">
        <v>3161.2</v>
      </c>
      <c r="I68" s="9">
        <v>40</v>
      </c>
      <c r="J68" s="8" t="str">
        <f>IF(Tabla2[[#This Row],[Ventas totales]] &lt; 2500, "Ventas Muy Bajas", IF(Tabla2[[#This Row],[Ventas totales]] &lt;= 3999, "Ventas Aceptables", "Ventas Cumplidas"))</f>
        <v>Ventas Cumplidas</v>
      </c>
    </row>
    <row r="69" spans="1:10" x14ac:dyDescent="0.2">
      <c r="A69" s="14">
        <v>44994</v>
      </c>
      <c r="B69" s="14" t="str">
        <f t="shared" si="6"/>
        <v>marzo</v>
      </c>
      <c r="C69" s="14" t="str">
        <f>TEXT(Tabla2[[#This Row],[Fecha]],"DDDD")</f>
        <v>jueves</v>
      </c>
      <c r="D69" s="9">
        <v>2361.6999999999998</v>
      </c>
      <c r="E69" s="9">
        <v>2361.6999999999998</v>
      </c>
      <c r="F69" s="9">
        <v>0</v>
      </c>
      <c r="G69" s="9">
        <v>0</v>
      </c>
      <c r="H69" s="9">
        <v>1436.16</v>
      </c>
      <c r="I69" s="9">
        <v>29</v>
      </c>
      <c r="J69" s="8" t="str">
        <f>IF(Tabla2[[#This Row],[Ventas totales]] &lt; 2500, "Ventas Muy Bajas", IF(Tabla2[[#This Row],[Ventas totales]] &lt;= 3999, "Ventas Aceptables", "Ventas Cumplidas"))</f>
        <v>Ventas Muy Bajas</v>
      </c>
    </row>
    <row r="70" spans="1:10" x14ac:dyDescent="0.2">
      <c r="A70" s="14">
        <v>44995</v>
      </c>
      <c r="B70" s="14" t="str">
        <f t="shared" si="6"/>
        <v>marzo</v>
      </c>
      <c r="C70" s="14" t="str">
        <f>TEXT(Tabla2[[#This Row],[Fecha]],"DDDD")</f>
        <v>viernes</v>
      </c>
      <c r="D70" s="9">
        <v>3606.48</v>
      </c>
      <c r="E70" s="9">
        <v>3297.16</v>
      </c>
      <c r="F70" s="9">
        <v>309.32</v>
      </c>
      <c r="G70" s="9">
        <v>0</v>
      </c>
      <c r="H70" s="9">
        <v>2165.2199999999998</v>
      </c>
      <c r="I70" s="9">
        <v>44</v>
      </c>
      <c r="J70" s="8" t="str">
        <f>IF(Tabla2[[#This Row],[Ventas totales]] &lt; 2500, "Ventas Muy Bajas", IF(Tabla2[[#This Row],[Ventas totales]] &lt;= 3999, "Ventas Aceptables", "Ventas Cumplidas"))</f>
        <v>Ventas Aceptables</v>
      </c>
    </row>
    <row r="71" spans="1:10" x14ac:dyDescent="0.2">
      <c r="A71" s="14">
        <v>44996</v>
      </c>
      <c r="B71" s="14" t="str">
        <f t="shared" si="6"/>
        <v>marzo</v>
      </c>
      <c r="C71" s="14" t="str">
        <f>TEXT(Tabla2[[#This Row],[Fecha]],"DDDD")</f>
        <v>sábado</v>
      </c>
      <c r="D71" s="9">
        <v>4566.46</v>
      </c>
      <c r="E71" s="9">
        <v>3666.12</v>
      </c>
      <c r="F71" s="9">
        <v>725.34</v>
      </c>
      <c r="G71" s="9">
        <v>175</v>
      </c>
      <c r="H71" s="9">
        <v>2708.65</v>
      </c>
      <c r="I71" s="9">
        <v>41</v>
      </c>
      <c r="J71" s="8" t="str">
        <f>IF(Tabla2[[#This Row],[Ventas totales]] &lt; 2500, "Ventas Muy Bajas", IF(Tabla2[[#This Row],[Ventas totales]] &lt;= 3999, "Ventas Aceptables", "Ventas Cumplidas"))</f>
        <v>Ventas Cumplidas</v>
      </c>
    </row>
    <row r="72" spans="1:10" x14ac:dyDescent="0.2">
      <c r="A72" s="14">
        <v>44997</v>
      </c>
      <c r="B72" s="14" t="str">
        <f t="shared" si="6"/>
        <v>marzo</v>
      </c>
      <c r="C72" s="14" t="str">
        <f>TEXT(Tabla2[[#This Row],[Fecha]],"DDDD")</f>
        <v>domingo</v>
      </c>
      <c r="D72" s="9">
        <v>2883.33</v>
      </c>
      <c r="E72" s="9">
        <v>2424.5</v>
      </c>
      <c r="F72" s="9">
        <v>458.83</v>
      </c>
      <c r="G72" s="9">
        <v>0</v>
      </c>
      <c r="H72" s="9">
        <v>1764.21</v>
      </c>
      <c r="I72" s="9">
        <v>28</v>
      </c>
      <c r="J72" s="8" t="str">
        <f>IF(Tabla2[[#This Row],[Ventas totales]] &lt; 2500, "Ventas Muy Bajas", IF(Tabla2[[#This Row],[Ventas totales]] &lt;= 3999, "Ventas Aceptables", "Ventas Cumplidas"))</f>
        <v>Ventas Aceptables</v>
      </c>
    </row>
    <row r="73" spans="1:10" x14ac:dyDescent="0.2">
      <c r="A73" s="14">
        <v>44998</v>
      </c>
      <c r="B73" s="14" t="str">
        <f t="shared" si="6"/>
        <v>marzo</v>
      </c>
      <c r="C73" s="14" t="str">
        <f>TEXT(Tabla2[[#This Row],[Fecha]],"DDDD")</f>
        <v>lunes</v>
      </c>
      <c r="D73" s="9">
        <v>1853.87</v>
      </c>
      <c r="E73" s="9">
        <v>1323.77</v>
      </c>
      <c r="F73" s="9">
        <v>530.1</v>
      </c>
      <c r="G73" s="9">
        <v>0</v>
      </c>
      <c r="H73" s="9">
        <v>1137.25</v>
      </c>
      <c r="I73" s="9">
        <v>17</v>
      </c>
      <c r="J73" s="8" t="str">
        <f>IF(Tabla2[[#This Row],[Ventas totales]] &lt; 2500, "Ventas Muy Bajas", IF(Tabla2[[#This Row],[Ventas totales]] &lt;= 3999, "Ventas Aceptables", "Ventas Cumplidas"))</f>
        <v>Ventas Muy Bajas</v>
      </c>
    </row>
    <row r="74" spans="1:10" x14ac:dyDescent="0.2">
      <c r="A74" s="14">
        <v>44999</v>
      </c>
      <c r="B74" s="14" t="str">
        <f t="shared" si="6"/>
        <v>marzo</v>
      </c>
      <c r="C74" s="14" t="str">
        <f>TEXT(Tabla2[[#This Row],[Fecha]],"DDDD")</f>
        <v>martes</v>
      </c>
      <c r="D74" s="9">
        <v>5483.77</v>
      </c>
      <c r="E74" s="9">
        <v>3538.24</v>
      </c>
      <c r="F74" s="9">
        <v>1945.53</v>
      </c>
      <c r="G74" s="9">
        <v>0</v>
      </c>
      <c r="H74" s="9">
        <v>3209.25</v>
      </c>
      <c r="I74" s="9">
        <v>45</v>
      </c>
      <c r="J74" s="8" t="str">
        <f>IF(Tabla2[[#This Row],[Ventas totales]] &lt; 2500, "Ventas Muy Bajas", IF(Tabla2[[#This Row],[Ventas totales]] &lt;= 3999, "Ventas Aceptables", "Ventas Cumplidas"))</f>
        <v>Ventas Cumplidas</v>
      </c>
    </row>
    <row r="75" spans="1:10" x14ac:dyDescent="0.2">
      <c r="A75" s="14">
        <v>45000</v>
      </c>
      <c r="B75" s="14" t="str">
        <f t="shared" si="6"/>
        <v>marzo</v>
      </c>
      <c r="C75" s="14" t="str">
        <f>TEXT(Tabla2[[#This Row],[Fecha]],"DDDD")</f>
        <v>miércoles</v>
      </c>
      <c r="D75" s="9">
        <v>5135.18</v>
      </c>
      <c r="E75" s="9">
        <v>4967.13</v>
      </c>
      <c r="F75" s="9">
        <v>168.05</v>
      </c>
      <c r="G75" s="9">
        <v>0</v>
      </c>
      <c r="H75" s="9">
        <v>3103.21</v>
      </c>
      <c r="I75" s="9">
        <v>40</v>
      </c>
      <c r="J75" s="8" t="str">
        <f>IF(Tabla2[[#This Row],[Ventas totales]] &lt; 2500, "Ventas Muy Bajas", IF(Tabla2[[#This Row],[Ventas totales]] &lt;= 3999, "Ventas Aceptables", "Ventas Cumplidas"))</f>
        <v>Ventas Cumplidas</v>
      </c>
    </row>
    <row r="76" spans="1:10" x14ac:dyDescent="0.2">
      <c r="A76" s="14">
        <v>45001</v>
      </c>
      <c r="B76" s="14" t="str">
        <f t="shared" si="6"/>
        <v>marzo</v>
      </c>
      <c r="C76" s="14" t="str">
        <f>TEXT(Tabla2[[#This Row],[Fecha]],"DDDD")</f>
        <v>jueves</v>
      </c>
      <c r="D76" s="9">
        <v>3445.95</v>
      </c>
      <c r="E76" s="9">
        <v>3445.95</v>
      </c>
      <c r="F76" s="9">
        <v>0</v>
      </c>
      <c r="G76" s="9">
        <v>0</v>
      </c>
      <c r="H76" s="9">
        <v>2116.91</v>
      </c>
      <c r="I76" s="9">
        <v>28</v>
      </c>
      <c r="J76" s="8" t="str">
        <f>IF(Tabla2[[#This Row],[Ventas totales]] &lt; 2500, "Ventas Muy Bajas", IF(Tabla2[[#This Row],[Ventas totales]] &lt;= 3999, "Ventas Aceptables", "Ventas Cumplidas"))</f>
        <v>Ventas Aceptables</v>
      </c>
    </row>
    <row r="77" spans="1:10" x14ac:dyDescent="0.2">
      <c r="A77" s="14">
        <v>45002</v>
      </c>
      <c r="B77" s="14" t="str">
        <f t="shared" si="6"/>
        <v>marzo</v>
      </c>
      <c r="C77" s="14" t="str">
        <f>TEXT(Tabla2[[#This Row],[Fecha]],"DDDD")</f>
        <v>viernes</v>
      </c>
      <c r="D77" s="9">
        <v>4681.26</v>
      </c>
      <c r="E77" s="9">
        <v>3801.2</v>
      </c>
      <c r="F77" s="9">
        <v>880.06</v>
      </c>
      <c r="G77" s="9">
        <v>0</v>
      </c>
      <c r="H77" s="9">
        <v>2789.94</v>
      </c>
      <c r="I77" s="9">
        <v>33</v>
      </c>
      <c r="J77" s="8" t="str">
        <f>IF(Tabla2[[#This Row],[Ventas totales]] &lt; 2500, "Ventas Muy Bajas", IF(Tabla2[[#This Row],[Ventas totales]] &lt;= 3999, "Ventas Aceptables", "Ventas Cumplidas"))</f>
        <v>Ventas Cumplidas</v>
      </c>
    </row>
    <row r="78" spans="1:10" x14ac:dyDescent="0.2">
      <c r="A78" s="14">
        <v>45003</v>
      </c>
      <c r="B78" s="14" t="str">
        <f t="shared" si="6"/>
        <v>marzo</v>
      </c>
      <c r="C78" s="14" t="str">
        <f>TEXT(Tabla2[[#This Row],[Fecha]],"DDDD")</f>
        <v>sábado</v>
      </c>
      <c r="D78" s="9">
        <v>4252.0200000000004</v>
      </c>
      <c r="E78" s="9">
        <v>3042.13</v>
      </c>
      <c r="F78" s="9">
        <v>1209.8900000000001</v>
      </c>
      <c r="G78" s="9">
        <v>0</v>
      </c>
      <c r="H78" s="9">
        <v>2512.66</v>
      </c>
      <c r="I78" s="9">
        <v>40</v>
      </c>
      <c r="J78" s="8" t="str">
        <f>IF(Tabla2[[#This Row],[Ventas totales]] &lt; 2500, "Ventas Muy Bajas", IF(Tabla2[[#This Row],[Ventas totales]] &lt;= 3999, "Ventas Aceptables", "Ventas Cumplidas"))</f>
        <v>Ventas Cumplidas</v>
      </c>
    </row>
    <row r="79" spans="1:10" x14ac:dyDescent="0.2">
      <c r="A79" s="14">
        <v>45004</v>
      </c>
      <c r="B79" s="14" t="str">
        <f t="shared" si="6"/>
        <v>marzo</v>
      </c>
      <c r="C79" s="14" t="str">
        <f>TEXT(Tabla2[[#This Row],[Fecha]],"DDDD")</f>
        <v>domingo</v>
      </c>
      <c r="D79" s="9">
        <v>3686.54</v>
      </c>
      <c r="E79" s="9">
        <v>3434.56</v>
      </c>
      <c r="F79" s="9">
        <v>251.98</v>
      </c>
      <c r="G79" s="9">
        <v>0</v>
      </c>
      <c r="H79" s="9">
        <v>2280.5</v>
      </c>
      <c r="I79" s="9">
        <v>38</v>
      </c>
      <c r="J79" s="8" t="str">
        <f>IF(Tabla2[[#This Row],[Ventas totales]] &lt; 2500, "Ventas Muy Bajas", IF(Tabla2[[#This Row],[Ventas totales]] &lt;= 3999, "Ventas Aceptables", "Ventas Cumplidas"))</f>
        <v>Ventas Aceptables</v>
      </c>
    </row>
    <row r="80" spans="1:10" x14ac:dyDescent="0.2">
      <c r="A80" s="14">
        <v>45005</v>
      </c>
      <c r="B80" s="14" t="str">
        <f t="shared" si="6"/>
        <v>marzo</v>
      </c>
      <c r="C80" s="14" t="str">
        <f>TEXT(Tabla2[[#This Row],[Fecha]],"DDDD")</f>
        <v>lunes</v>
      </c>
      <c r="D80" s="9">
        <v>3334.67</v>
      </c>
      <c r="E80" s="9">
        <v>2580.8000000000002</v>
      </c>
      <c r="F80" s="9">
        <v>753.87</v>
      </c>
      <c r="G80" s="9">
        <v>0</v>
      </c>
      <c r="H80" s="9">
        <v>2009.86</v>
      </c>
      <c r="I80" s="9">
        <v>32</v>
      </c>
      <c r="J80" s="8" t="str">
        <f>IF(Tabla2[[#This Row],[Ventas totales]] &lt; 2500, "Ventas Muy Bajas", IF(Tabla2[[#This Row],[Ventas totales]] &lt;= 3999, "Ventas Aceptables", "Ventas Cumplidas"))</f>
        <v>Ventas Aceptables</v>
      </c>
    </row>
    <row r="81" spans="1:10" x14ac:dyDescent="0.2">
      <c r="A81" s="14">
        <v>45006</v>
      </c>
      <c r="B81" s="14" t="str">
        <f t="shared" si="6"/>
        <v>marzo</v>
      </c>
      <c r="C81" s="14" t="str">
        <f>TEXT(Tabla2[[#This Row],[Fecha]],"DDDD")</f>
        <v>martes</v>
      </c>
      <c r="D81" s="9">
        <v>3020.49</v>
      </c>
      <c r="E81" s="9">
        <v>3020.49</v>
      </c>
      <c r="F81" s="9">
        <v>0</v>
      </c>
      <c r="G81" s="9">
        <v>0</v>
      </c>
      <c r="H81" s="9">
        <v>1712.65</v>
      </c>
      <c r="I81" s="9">
        <v>31</v>
      </c>
      <c r="J81" s="8" t="str">
        <f>IF(Tabla2[[#This Row],[Ventas totales]] &lt; 2500, "Ventas Muy Bajas", IF(Tabla2[[#This Row],[Ventas totales]] &lt;= 3999, "Ventas Aceptables", "Ventas Cumplidas"))</f>
        <v>Ventas Aceptables</v>
      </c>
    </row>
    <row r="82" spans="1:10" x14ac:dyDescent="0.2">
      <c r="A82" s="14">
        <v>45007</v>
      </c>
      <c r="B82" s="14" t="str">
        <f t="shared" si="6"/>
        <v>marzo</v>
      </c>
      <c r="C82" s="14" t="str">
        <f>TEXT(Tabla2[[#This Row],[Fecha]],"DDDD")</f>
        <v>miércoles</v>
      </c>
      <c r="D82" s="9">
        <v>1648.64</v>
      </c>
      <c r="E82" s="9">
        <v>1615.65</v>
      </c>
      <c r="F82" s="9">
        <v>32.99</v>
      </c>
      <c r="G82" s="9">
        <v>0</v>
      </c>
      <c r="H82" s="9">
        <v>1045.55</v>
      </c>
      <c r="I82" s="9">
        <v>27</v>
      </c>
      <c r="J82" s="8" t="str">
        <f>IF(Tabla2[[#This Row],[Ventas totales]] &lt; 2500, "Ventas Muy Bajas", IF(Tabla2[[#This Row],[Ventas totales]] &lt;= 3999, "Ventas Aceptables", "Ventas Cumplidas"))</f>
        <v>Ventas Muy Bajas</v>
      </c>
    </row>
    <row r="83" spans="1:10" x14ac:dyDescent="0.2">
      <c r="A83" s="14">
        <v>45008</v>
      </c>
      <c r="B83" s="14" t="str">
        <f t="shared" si="6"/>
        <v>marzo</v>
      </c>
      <c r="C83" s="14" t="str">
        <f>TEXT(Tabla2[[#This Row],[Fecha]],"DDDD")</f>
        <v>jueves</v>
      </c>
      <c r="D83" s="9">
        <v>2574.2399999999998</v>
      </c>
      <c r="E83" s="9">
        <v>2371.16</v>
      </c>
      <c r="F83" s="9">
        <v>203.08</v>
      </c>
      <c r="G83" s="9">
        <v>0</v>
      </c>
      <c r="H83" s="9">
        <v>1536.1</v>
      </c>
      <c r="I83" s="9">
        <v>27</v>
      </c>
      <c r="J83" s="8" t="str">
        <f>IF(Tabla2[[#This Row],[Ventas totales]] &lt; 2500, "Ventas Muy Bajas", IF(Tabla2[[#This Row],[Ventas totales]] &lt;= 3999, "Ventas Aceptables", "Ventas Cumplidas"))</f>
        <v>Ventas Aceptables</v>
      </c>
    </row>
    <row r="84" spans="1:10" x14ac:dyDescent="0.2">
      <c r="A84" s="14">
        <v>45009</v>
      </c>
      <c r="B84" s="14" t="str">
        <f t="shared" si="6"/>
        <v>marzo</v>
      </c>
      <c r="C84" s="14" t="str">
        <f>TEXT(Tabla2[[#This Row],[Fecha]],"DDDD")</f>
        <v>viernes</v>
      </c>
      <c r="D84" s="9">
        <v>2477.08</v>
      </c>
      <c r="E84" s="9">
        <v>2477.08</v>
      </c>
      <c r="F84" s="9">
        <v>0</v>
      </c>
      <c r="G84" s="9">
        <v>0</v>
      </c>
      <c r="H84" s="9">
        <v>1449.1</v>
      </c>
      <c r="I84" s="9">
        <v>25</v>
      </c>
      <c r="J84" s="8" t="str">
        <f>IF(Tabla2[[#This Row],[Ventas totales]] &lt; 2500, "Ventas Muy Bajas", IF(Tabla2[[#This Row],[Ventas totales]] &lt;= 3999, "Ventas Aceptables", "Ventas Cumplidas"))</f>
        <v>Ventas Muy Bajas</v>
      </c>
    </row>
    <row r="85" spans="1:10" x14ac:dyDescent="0.2">
      <c r="A85" s="14">
        <v>45010</v>
      </c>
      <c r="B85" s="14" t="str">
        <f t="shared" si="6"/>
        <v>marzo</v>
      </c>
      <c r="C85" s="14" t="str">
        <f>TEXT(Tabla2[[#This Row],[Fecha]],"DDDD")</f>
        <v>sábado</v>
      </c>
      <c r="D85" s="9">
        <v>4972.6000000000004</v>
      </c>
      <c r="E85" s="9">
        <v>4293.55</v>
      </c>
      <c r="F85" s="9">
        <v>679.05</v>
      </c>
      <c r="G85" s="9">
        <v>0</v>
      </c>
      <c r="H85" s="9">
        <v>3010.9</v>
      </c>
      <c r="I85" s="9">
        <v>46</v>
      </c>
      <c r="J85" s="8" t="str">
        <f>IF(Tabla2[[#This Row],[Ventas totales]] &lt; 2500, "Ventas Muy Bajas", IF(Tabla2[[#This Row],[Ventas totales]] &lt;= 3999, "Ventas Aceptables", "Ventas Cumplidas"))</f>
        <v>Ventas Cumplidas</v>
      </c>
    </row>
    <row r="86" spans="1:10" x14ac:dyDescent="0.2">
      <c r="A86" s="14">
        <v>45011</v>
      </c>
      <c r="B86" s="14" t="str">
        <f t="shared" si="6"/>
        <v>marzo</v>
      </c>
      <c r="C86" s="14" t="str">
        <f>TEXT(Tabla2[[#This Row],[Fecha]],"DDDD")</f>
        <v>domingo</v>
      </c>
      <c r="D86" s="9">
        <v>5208.8999999999996</v>
      </c>
      <c r="E86" s="9">
        <v>4718.82</v>
      </c>
      <c r="F86" s="9">
        <v>490.08</v>
      </c>
      <c r="G86" s="9">
        <v>0</v>
      </c>
      <c r="H86" s="9">
        <v>3079.53</v>
      </c>
      <c r="I86" s="9">
        <v>44</v>
      </c>
      <c r="J86" s="8" t="str">
        <f>IF(Tabla2[[#This Row],[Ventas totales]] &lt; 2500, "Ventas Muy Bajas", IF(Tabla2[[#This Row],[Ventas totales]] &lt;= 3999, "Ventas Aceptables", "Ventas Cumplidas"))</f>
        <v>Ventas Cumplidas</v>
      </c>
    </row>
    <row r="87" spans="1:10" x14ac:dyDescent="0.2">
      <c r="A87" s="14">
        <v>45012</v>
      </c>
      <c r="B87" s="14" t="str">
        <f t="shared" si="6"/>
        <v>marzo</v>
      </c>
      <c r="C87" s="14" t="str">
        <f>TEXT(Tabla2[[#This Row],[Fecha]],"DDDD")</f>
        <v>lunes</v>
      </c>
      <c r="D87" s="9">
        <v>1700.68</v>
      </c>
      <c r="E87" s="9">
        <v>1371.44</v>
      </c>
      <c r="F87" s="9">
        <v>329.24</v>
      </c>
      <c r="G87" s="9">
        <v>0</v>
      </c>
      <c r="H87" s="9">
        <v>996.19</v>
      </c>
      <c r="I87" s="9">
        <v>16</v>
      </c>
      <c r="J87" s="8" t="str">
        <f>IF(Tabla2[[#This Row],[Ventas totales]] &lt; 2500, "Ventas Muy Bajas", IF(Tabla2[[#This Row],[Ventas totales]] &lt;= 3999, "Ventas Aceptables", "Ventas Cumplidas"))</f>
        <v>Ventas Muy Bajas</v>
      </c>
    </row>
    <row r="88" spans="1:10" x14ac:dyDescent="0.2">
      <c r="A88" s="14">
        <v>45013</v>
      </c>
      <c r="B88" s="14" t="str">
        <f t="shared" si="6"/>
        <v>marzo</v>
      </c>
      <c r="C88" s="14" t="str">
        <f>TEXT(Tabla2[[#This Row],[Fecha]],"DDDD")</f>
        <v>martes</v>
      </c>
      <c r="D88" s="9">
        <v>4589.2700000000004</v>
      </c>
      <c r="E88" s="9">
        <v>3800.38</v>
      </c>
      <c r="F88" s="9">
        <v>788.89</v>
      </c>
      <c r="G88" s="9">
        <v>0</v>
      </c>
      <c r="H88" s="9">
        <v>2821.77</v>
      </c>
      <c r="I88" s="9">
        <v>44</v>
      </c>
      <c r="J88" s="8" t="str">
        <f>IF(Tabla2[[#This Row],[Ventas totales]] &lt; 2500, "Ventas Muy Bajas", IF(Tabla2[[#This Row],[Ventas totales]] &lt;= 3999, "Ventas Aceptables", "Ventas Cumplidas"))</f>
        <v>Ventas Cumplidas</v>
      </c>
    </row>
    <row r="89" spans="1:10" x14ac:dyDescent="0.2">
      <c r="A89" s="14">
        <v>45014</v>
      </c>
      <c r="B89" s="14" t="str">
        <f t="shared" si="6"/>
        <v>marzo</v>
      </c>
      <c r="C89" s="14" t="str">
        <f>TEXT(Tabla2[[#This Row],[Fecha]],"DDDD")</f>
        <v>miércoles</v>
      </c>
      <c r="D89" s="9">
        <v>3952.03</v>
      </c>
      <c r="E89" s="9">
        <v>3196.76</v>
      </c>
      <c r="F89" s="9">
        <v>755.27</v>
      </c>
      <c r="G89" s="9">
        <v>0</v>
      </c>
      <c r="H89" s="9">
        <v>2391.38</v>
      </c>
      <c r="I89" s="9">
        <v>39</v>
      </c>
      <c r="J89" s="8" t="str">
        <f>IF(Tabla2[[#This Row],[Ventas totales]] &lt; 2500, "Ventas Muy Bajas", IF(Tabla2[[#This Row],[Ventas totales]] &lt;= 3999, "Ventas Aceptables", "Ventas Cumplidas"))</f>
        <v>Ventas Aceptables</v>
      </c>
    </row>
    <row r="90" spans="1:10" x14ac:dyDescent="0.2">
      <c r="A90" s="14">
        <v>45015</v>
      </c>
      <c r="B90" s="14" t="str">
        <f t="shared" si="6"/>
        <v>marzo</v>
      </c>
      <c r="C90" s="14" t="str">
        <f>TEXT(Tabla2[[#This Row],[Fecha]],"DDDD")</f>
        <v>jueves</v>
      </c>
      <c r="D90" s="9">
        <v>2922.44</v>
      </c>
      <c r="E90" s="9">
        <v>2621.94</v>
      </c>
      <c r="F90" s="9">
        <v>300.5</v>
      </c>
      <c r="G90" s="9">
        <v>0</v>
      </c>
      <c r="H90" s="9">
        <v>1680.93</v>
      </c>
      <c r="I90" s="9">
        <v>29</v>
      </c>
      <c r="J90" s="8" t="str">
        <f>IF(Tabla2[[#This Row],[Ventas totales]] &lt; 2500, "Ventas Muy Bajas", IF(Tabla2[[#This Row],[Ventas totales]] &lt;= 3999, "Ventas Aceptables", "Ventas Cumplidas"))</f>
        <v>Ventas Aceptables</v>
      </c>
    </row>
    <row r="91" spans="1:10" x14ac:dyDescent="0.2">
      <c r="A91" s="14">
        <v>45016</v>
      </c>
      <c r="B91" s="14" t="str">
        <f t="shared" si="6"/>
        <v>marzo</v>
      </c>
      <c r="C91" s="14" t="str">
        <f>TEXT(Tabla2[[#This Row],[Fecha]],"DDDD")</f>
        <v>viernes</v>
      </c>
      <c r="D91" s="9">
        <v>5354.57</v>
      </c>
      <c r="E91" s="9">
        <v>4756.67</v>
      </c>
      <c r="F91" s="9">
        <v>597.9</v>
      </c>
      <c r="G91" s="9">
        <v>0</v>
      </c>
      <c r="H91" s="9">
        <v>3130.67</v>
      </c>
      <c r="I91" s="9">
        <v>48</v>
      </c>
      <c r="J91" s="8" t="str">
        <f>IF(Tabla2[[#This Row],[Ventas totales]] &lt; 2500, "Ventas Muy Bajas", IF(Tabla2[[#This Row],[Ventas totales]] &lt;= 3999, "Ventas Aceptables", "Ventas Cumplidas"))</f>
        <v>Ventas Cumplidas</v>
      </c>
    </row>
    <row r="92" spans="1:10" x14ac:dyDescent="0.2">
      <c r="A92" s="14">
        <v>45017</v>
      </c>
      <c r="B92" s="14" t="str">
        <f t="shared" si="6"/>
        <v>abril</v>
      </c>
      <c r="C92" s="14" t="str">
        <f>TEXT(Tabla2[[#This Row],[Fecha]],"DDDD")</f>
        <v>sábado</v>
      </c>
      <c r="D92" s="9">
        <v>10255.379999999999</v>
      </c>
      <c r="E92" s="9">
        <v>8344.65</v>
      </c>
      <c r="F92" s="9">
        <v>1910.73</v>
      </c>
      <c r="G92" s="9">
        <v>0</v>
      </c>
      <c r="H92" s="9">
        <v>6062.86</v>
      </c>
      <c r="I92" s="9">
        <v>73</v>
      </c>
      <c r="J92" s="8" t="str">
        <f>IF(Tabla2[[#This Row],[Ventas totales]] &lt; 2500, "Ventas Muy Bajas", IF(Tabla2[[#This Row],[Ventas totales]] &lt;= 3999, "Ventas Aceptables", "Ventas Cumplidas"))</f>
        <v>Ventas Cumplidas</v>
      </c>
    </row>
    <row r="93" spans="1:10" x14ac:dyDescent="0.2">
      <c r="A93" s="14">
        <v>45018</v>
      </c>
      <c r="B93" s="14" t="str">
        <f t="shared" si="6"/>
        <v>abril</v>
      </c>
      <c r="C93" s="14" t="str">
        <f>TEXT(Tabla2[[#This Row],[Fecha]],"DDDD")</f>
        <v>domingo</v>
      </c>
      <c r="D93" s="9">
        <v>3892.35</v>
      </c>
      <c r="E93" s="9">
        <v>3256.02</v>
      </c>
      <c r="F93" s="9">
        <v>636.33000000000004</v>
      </c>
      <c r="G93" s="9">
        <v>0</v>
      </c>
      <c r="H93" s="9">
        <v>2363.4</v>
      </c>
      <c r="I93" s="9">
        <v>31</v>
      </c>
      <c r="J93" s="8" t="str">
        <f>IF(Tabla2[[#This Row],[Ventas totales]] &lt; 2500, "Ventas Muy Bajas", IF(Tabla2[[#This Row],[Ventas totales]] &lt;= 3999, "Ventas Aceptables", "Ventas Cumplidas"))</f>
        <v>Ventas Aceptables</v>
      </c>
    </row>
    <row r="94" spans="1:10" x14ac:dyDescent="0.2">
      <c r="A94" s="14">
        <v>45019</v>
      </c>
      <c r="B94" s="14" t="str">
        <f t="shared" si="6"/>
        <v>abril</v>
      </c>
      <c r="C94" s="14" t="str">
        <f>TEXT(Tabla2[[#This Row],[Fecha]],"DDDD")</f>
        <v>lunes</v>
      </c>
      <c r="D94" s="9">
        <v>1394.7</v>
      </c>
      <c r="E94" s="9">
        <v>1257.75</v>
      </c>
      <c r="F94" s="9">
        <v>136.94999999999999</v>
      </c>
      <c r="G94" s="9">
        <v>0</v>
      </c>
      <c r="H94" s="9">
        <v>849.14</v>
      </c>
      <c r="I94" s="9">
        <v>19</v>
      </c>
      <c r="J94" s="8" t="str">
        <f>IF(Tabla2[[#This Row],[Ventas totales]] &lt; 2500, "Ventas Muy Bajas", IF(Tabla2[[#This Row],[Ventas totales]] &lt;= 3999, "Ventas Aceptables", "Ventas Cumplidas"))</f>
        <v>Ventas Muy Bajas</v>
      </c>
    </row>
    <row r="95" spans="1:10" x14ac:dyDescent="0.2">
      <c r="A95" s="14">
        <v>45020</v>
      </c>
      <c r="B95" s="14" t="str">
        <f t="shared" si="6"/>
        <v>abril</v>
      </c>
      <c r="C95" s="14" t="str">
        <f>TEXT(Tabla2[[#This Row],[Fecha]],"DDDD")</f>
        <v>martes</v>
      </c>
      <c r="D95" s="9">
        <v>2904.19</v>
      </c>
      <c r="E95" s="9">
        <v>2723.13</v>
      </c>
      <c r="F95" s="9">
        <v>181.06</v>
      </c>
      <c r="G95" s="9">
        <v>0</v>
      </c>
      <c r="H95" s="9">
        <v>1778.45</v>
      </c>
      <c r="I95" s="9">
        <v>35</v>
      </c>
      <c r="J95" s="8" t="str">
        <f>IF(Tabla2[[#This Row],[Ventas totales]] &lt; 2500, "Ventas Muy Bajas", IF(Tabla2[[#This Row],[Ventas totales]] &lt;= 3999, "Ventas Aceptables", "Ventas Cumplidas"))</f>
        <v>Ventas Aceptables</v>
      </c>
    </row>
    <row r="96" spans="1:10" x14ac:dyDescent="0.2">
      <c r="A96" s="14">
        <v>45021</v>
      </c>
      <c r="B96" s="14" t="str">
        <f t="shared" si="6"/>
        <v>abril</v>
      </c>
      <c r="C96" s="14" t="str">
        <f>TEXT(Tabla2[[#This Row],[Fecha]],"DDDD")</f>
        <v>miércoles</v>
      </c>
      <c r="D96" s="9">
        <v>3574.76</v>
      </c>
      <c r="E96" s="9">
        <v>3106.79</v>
      </c>
      <c r="F96" s="9">
        <v>467.97</v>
      </c>
      <c r="G96" s="9">
        <v>0</v>
      </c>
      <c r="H96" s="9">
        <v>2169.77</v>
      </c>
      <c r="I96" s="9">
        <v>46</v>
      </c>
      <c r="J96" s="8" t="str">
        <f>IF(Tabla2[[#This Row],[Ventas totales]] &lt; 2500, "Ventas Muy Bajas", IF(Tabla2[[#This Row],[Ventas totales]] &lt;= 3999, "Ventas Aceptables", "Ventas Cumplidas"))</f>
        <v>Ventas Aceptables</v>
      </c>
    </row>
    <row r="97" spans="1:10" x14ac:dyDescent="0.2">
      <c r="A97" s="14">
        <v>45022</v>
      </c>
      <c r="B97" s="14" t="str">
        <f t="shared" si="6"/>
        <v>abril</v>
      </c>
      <c r="C97" s="14" t="str">
        <f>TEXT(Tabla2[[#This Row],[Fecha]],"DDDD")</f>
        <v>jueves</v>
      </c>
      <c r="D97" s="9">
        <v>3552.24</v>
      </c>
      <c r="E97" s="9">
        <v>3143.27</v>
      </c>
      <c r="F97" s="9">
        <v>408.97</v>
      </c>
      <c r="G97" s="9">
        <v>0</v>
      </c>
      <c r="H97" s="9">
        <v>2140.11</v>
      </c>
      <c r="I97" s="9">
        <v>32</v>
      </c>
      <c r="J97" s="8" t="str">
        <f>IF(Tabla2[[#This Row],[Ventas totales]] &lt; 2500, "Ventas Muy Bajas", IF(Tabla2[[#This Row],[Ventas totales]] &lt;= 3999, "Ventas Aceptables", "Ventas Cumplidas"))</f>
        <v>Ventas Aceptables</v>
      </c>
    </row>
    <row r="98" spans="1:10" x14ac:dyDescent="0.2">
      <c r="A98" s="14">
        <v>45023</v>
      </c>
      <c r="B98" s="14" t="str">
        <f t="shared" ref="B98:B129" si="7">TEXT(A:A,"MMMM")</f>
        <v>abril</v>
      </c>
      <c r="C98" s="14" t="str">
        <f>TEXT(Tabla2[[#This Row],[Fecha]],"DDDD")</f>
        <v>viernes</v>
      </c>
      <c r="D98" s="9">
        <v>4385.3500000000004</v>
      </c>
      <c r="E98" s="9">
        <v>4385.3500000000004</v>
      </c>
      <c r="F98" s="9">
        <v>0</v>
      </c>
      <c r="G98" s="9">
        <v>0</v>
      </c>
      <c r="H98" s="9">
        <v>2619.86</v>
      </c>
      <c r="I98" s="9">
        <v>36</v>
      </c>
      <c r="J98" s="8" t="str">
        <f>IF(Tabla2[[#This Row],[Ventas totales]] &lt; 2500, "Ventas Muy Bajas", IF(Tabla2[[#This Row],[Ventas totales]] &lt;= 3999, "Ventas Aceptables", "Ventas Cumplidas"))</f>
        <v>Ventas Cumplidas</v>
      </c>
    </row>
    <row r="99" spans="1:10" x14ac:dyDescent="0.2">
      <c r="A99" s="14">
        <v>45024</v>
      </c>
      <c r="B99" s="14" t="str">
        <f t="shared" si="7"/>
        <v>abril</v>
      </c>
      <c r="C99" s="14" t="str">
        <f>TEXT(Tabla2[[#This Row],[Fecha]],"DDDD")</f>
        <v>sábado</v>
      </c>
      <c r="D99" s="9">
        <v>4999.97</v>
      </c>
      <c r="E99" s="9">
        <v>3970.51</v>
      </c>
      <c r="F99" s="9">
        <v>1029.46</v>
      </c>
      <c r="G99" s="9">
        <v>0</v>
      </c>
      <c r="H99" s="9">
        <v>2937.99</v>
      </c>
      <c r="I99" s="9">
        <v>39</v>
      </c>
      <c r="J99" s="8" t="str">
        <f>IF(Tabla2[[#This Row],[Ventas totales]] &lt; 2500, "Ventas Muy Bajas", IF(Tabla2[[#This Row],[Ventas totales]] &lt;= 3999, "Ventas Aceptables", "Ventas Cumplidas"))</f>
        <v>Ventas Cumplidas</v>
      </c>
    </row>
    <row r="100" spans="1:10" x14ac:dyDescent="0.2">
      <c r="A100" s="14">
        <v>45025</v>
      </c>
      <c r="B100" s="14" t="str">
        <f t="shared" si="7"/>
        <v>abril</v>
      </c>
      <c r="C100" s="14" t="str">
        <f>TEXT(Tabla2[[#This Row],[Fecha]],"DDDD")</f>
        <v>domingo</v>
      </c>
      <c r="D100" s="9">
        <v>4886.8999999999996</v>
      </c>
      <c r="E100" s="9">
        <v>3893.99</v>
      </c>
      <c r="F100" s="9">
        <v>992.91</v>
      </c>
      <c r="G100" s="9">
        <v>0</v>
      </c>
      <c r="H100" s="9">
        <v>2862.35</v>
      </c>
      <c r="I100" s="9">
        <v>44</v>
      </c>
      <c r="J100" s="8" t="str">
        <f>IF(Tabla2[[#This Row],[Ventas totales]] &lt; 2500, "Ventas Muy Bajas", IF(Tabla2[[#This Row],[Ventas totales]] &lt;= 3999, "Ventas Aceptables", "Ventas Cumplidas"))</f>
        <v>Ventas Cumplidas</v>
      </c>
    </row>
    <row r="101" spans="1:10" x14ac:dyDescent="0.2">
      <c r="A101" s="14">
        <v>45026</v>
      </c>
      <c r="B101" s="14" t="str">
        <f t="shared" si="7"/>
        <v>abril</v>
      </c>
      <c r="C101" s="14" t="str">
        <f>TEXT(Tabla2[[#This Row],[Fecha]],"DDDD")</f>
        <v>lunes</v>
      </c>
      <c r="D101" s="9">
        <v>2396.5700000000002</v>
      </c>
      <c r="E101" s="9">
        <v>1637.17</v>
      </c>
      <c r="F101" s="9">
        <v>759.4</v>
      </c>
      <c r="G101" s="9">
        <v>0</v>
      </c>
      <c r="H101" s="9">
        <v>1412</v>
      </c>
      <c r="I101" s="9">
        <v>21</v>
      </c>
      <c r="J101" s="8" t="str">
        <f>IF(Tabla2[[#This Row],[Ventas totales]] &lt; 2500, "Ventas Muy Bajas", IF(Tabla2[[#This Row],[Ventas totales]] &lt;= 3999, "Ventas Aceptables", "Ventas Cumplidas"))</f>
        <v>Ventas Muy Bajas</v>
      </c>
    </row>
    <row r="102" spans="1:10" x14ac:dyDescent="0.2">
      <c r="A102" s="14">
        <v>45027</v>
      </c>
      <c r="B102" s="14" t="str">
        <f t="shared" si="7"/>
        <v>abril</v>
      </c>
      <c r="C102" s="14" t="str">
        <f>TEXT(Tabla2[[#This Row],[Fecha]],"DDDD")</f>
        <v>martes</v>
      </c>
      <c r="D102" s="9">
        <v>3934.62</v>
      </c>
      <c r="E102" s="9">
        <v>3762.78</v>
      </c>
      <c r="F102" s="9">
        <v>171.84</v>
      </c>
      <c r="G102" s="9">
        <v>0</v>
      </c>
      <c r="H102" s="9">
        <v>2347.96</v>
      </c>
      <c r="I102" s="9">
        <v>45</v>
      </c>
      <c r="J102" s="8" t="str">
        <f>IF(Tabla2[[#This Row],[Ventas totales]] &lt; 2500, "Ventas Muy Bajas", IF(Tabla2[[#This Row],[Ventas totales]] &lt;= 3999, "Ventas Aceptables", "Ventas Cumplidas"))</f>
        <v>Ventas Aceptables</v>
      </c>
    </row>
    <row r="103" spans="1:10" x14ac:dyDescent="0.2">
      <c r="A103" s="14">
        <v>45028</v>
      </c>
      <c r="B103" s="14" t="str">
        <f t="shared" si="7"/>
        <v>abril</v>
      </c>
      <c r="C103" s="14" t="str">
        <f>TEXT(Tabla2[[#This Row],[Fecha]],"DDDD")</f>
        <v>miércoles</v>
      </c>
      <c r="D103" s="9">
        <v>7285.53</v>
      </c>
      <c r="E103" s="9">
        <v>6415.1</v>
      </c>
      <c r="F103" s="9">
        <v>870.43</v>
      </c>
      <c r="G103" s="9">
        <v>0</v>
      </c>
      <c r="H103" s="9">
        <v>4354.87</v>
      </c>
      <c r="I103" s="9">
        <v>61</v>
      </c>
      <c r="J103" s="8" t="str">
        <f>IF(Tabla2[[#This Row],[Ventas totales]] &lt; 2500, "Ventas Muy Bajas", IF(Tabla2[[#This Row],[Ventas totales]] &lt;= 3999, "Ventas Aceptables", "Ventas Cumplidas"))</f>
        <v>Ventas Cumplidas</v>
      </c>
    </row>
    <row r="104" spans="1:10" x14ac:dyDescent="0.2">
      <c r="A104" s="14">
        <v>45029</v>
      </c>
      <c r="B104" s="14" t="str">
        <f t="shared" si="7"/>
        <v>abril</v>
      </c>
      <c r="C104" s="14" t="str">
        <f>TEXT(Tabla2[[#This Row],[Fecha]],"DDDD")</f>
        <v>jueves</v>
      </c>
      <c r="D104" s="9">
        <v>7784.47</v>
      </c>
      <c r="E104" s="9">
        <v>7167.97</v>
      </c>
      <c r="F104" s="9">
        <v>616.5</v>
      </c>
      <c r="G104" s="9">
        <v>0</v>
      </c>
      <c r="H104" s="9">
        <v>4730.93</v>
      </c>
      <c r="I104" s="9">
        <v>66</v>
      </c>
      <c r="J104" s="8" t="str">
        <f>IF(Tabla2[[#This Row],[Ventas totales]] &lt; 2500, "Ventas Muy Bajas", IF(Tabla2[[#This Row],[Ventas totales]] &lt;= 3999, "Ventas Aceptables", "Ventas Cumplidas"))</f>
        <v>Ventas Cumplidas</v>
      </c>
    </row>
    <row r="105" spans="1:10" x14ac:dyDescent="0.2">
      <c r="A105" s="14">
        <v>45030</v>
      </c>
      <c r="B105" s="14" t="str">
        <f t="shared" si="7"/>
        <v>abril</v>
      </c>
      <c r="C105" s="14" t="str">
        <f>TEXT(Tabla2[[#This Row],[Fecha]],"DDDD")</f>
        <v>viernes</v>
      </c>
      <c r="D105" s="9">
        <v>2113.21</v>
      </c>
      <c r="E105" s="9">
        <v>1467.32</v>
      </c>
      <c r="F105" s="9">
        <v>645.89</v>
      </c>
      <c r="G105" s="9">
        <v>0</v>
      </c>
      <c r="H105" s="9">
        <v>1275.03</v>
      </c>
      <c r="I105" s="9">
        <v>22</v>
      </c>
      <c r="J105" s="8" t="str">
        <f>IF(Tabla2[[#This Row],[Ventas totales]] &lt; 2500, "Ventas Muy Bajas", IF(Tabla2[[#This Row],[Ventas totales]] &lt;= 3999, "Ventas Aceptables", "Ventas Cumplidas"))</f>
        <v>Ventas Muy Bajas</v>
      </c>
    </row>
    <row r="106" spans="1:10" x14ac:dyDescent="0.2">
      <c r="A106" s="14">
        <v>45031</v>
      </c>
      <c r="B106" s="14" t="str">
        <f t="shared" si="7"/>
        <v>abril</v>
      </c>
      <c r="C106" s="14" t="str">
        <f>TEXT(Tabla2[[#This Row],[Fecha]],"DDDD")</f>
        <v>sábado</v>
      </c>
      <c r="D106" s="9">
        <v>2323.02</v>
      </c>
      <c r="E106" s="9">
        <v>2107.75</v>
      </c>
      <c r="F106" s="9">
        <v>215.27</v>
      </c>
      <c r="G106" s="9">
        <v>0</v>
      </c>
      <c r="H106" s="9">
        <v>1364.52</v>
      </c>
      <c r="I106" s="9">
        <v>19</v>
      </c>
      <c r="J106" s="8" t="str">
        <f>IF(Tabla2[[#This Row],[Ventas totales]] &lt; 2500, "Ventas Muy Bajas", IF(Tabla2[[#This Row],[Ventas totales]] &lt;= 3999, "Ventas Aceptables", "Ventas Cumplidas"))</f>
        <v>Ventas Muy Bajas</v>
      </c>
    </row>
    <row r="107" spans="1:10" x14ac:dyDescent="0.2">
      <c r="A107" s="14">
        <v>45032</v>
      </c>
      <c r="B107" s="14" t="str">
        <f t="shared" si="7"/>
        <v>abril</v>
      </c>
      <c r="C107" s="14" t="str">
        <f>TEXT(Tabla2[[#This Row],[Fecha]],"DDDD")</f>
        <v>domingo</v>
      </c>
      <c r="D107" s="9">
        <v>2517.63</v>
      </c>
      <c r="E107" s="9">
        <v>1915.96</v>
      </c>
      <c r="F107" s="9">
        <v>601.66999999999996</v>
      </c>
      <c r="G107" s="9">
        <v>0</v>
      </c>
      <c r="H107" s="9">
        <v>1519.54</v>
      </c>
      <c r="I107" s="9">
        <v>30</v>
      </c>
      <c r="J107" s="8" t="str">
        <f>IF(Tabla2[[#This Row],[Ventas totales]] &lt; 2500, "Ventas Muy Bajas", IF(Tabla2[[#This Row],[Ventas totales]] &lt;= 3999, "Ventas Aceptables", "Ventas Cumplidas"))</f>
        <v>Ventas Aceptables</v>
      </c>
    </row>
    <row r="108" spans="1:10" x14ac:dyDescent="0.2">
      <c r="A108" s="14">
        <v>45033</v>
      </c>
      <c r="B108" s="14" t="str">
        <f t="shared" si="7"/>
        <v>abril</v>
      </c>
      <c r="C108" s="14" t="str">
        <f>TEXT(Tabla2[[#This Row],[Fecha]],"DDDD")</f>
        <v>lunes</v>
      </c>
      <c r="D108" s="9">
        <v>3773.66</v>
      </c>
      <c r="E108" s="9">
        <v>3511.46</v>
      </c>
      <c r="F108" s="9">
        <v>262.2</v>
      </c>
      <c r="G108" s="9">
        <v>0</v>
      </c>
      <c r="H108" s="9">
        <v>2285.61</v>
      </c>
      <c r="I108" s="9">
        <v>22</v>
      </c>
      <c r="J108" s="8" t="str">
        <f>IF(Tabla2[[#This Row],[Ventas totales]] &lt; 2500, "Ventas Muy Bajas", IF(Tabla2[[#This Row],[Ventas totales]] &lt;= 3999, "Ventas Aceptables", "Ventas Cumplidas"))</f>
        <v>Ventas Aceptables</v>
      </c>
    </row>
    <row r="109" spans="1:10" x14ac:dyDescent="0.2">
      <c r="A109" s="14">
        <v>45034</v>
      </c>
      <c r="B109" s="14" t="str">
        <f t="shared" si="7"/>
        <v>abril</v>
      </c>
      <c r="C109" s="14" t="str">
        <f>TEXT(Tabla2[[#This Row],[Fecha]],"DDDD")</f>
        <v>martes</v>
      </c>
      <c r="D109" s="9">
        <v>4332.58</v>
      </c>
      <c r="E109" s="9">
        <v>3719.02</v>
      </c>
      <c r="F109" s="9">
        <v>613.55999999999995</v>
      </c>
      <c r="G109" s="9">
        <v>0</v>
      </c>
      <c r="H109" s="9">
        <v>2577.2800000000002</v>
      </c>
      <c r="I109" s="9">
        <v>47</v>
      </c>
      <c r="J109" s="8" t="str">
        <f>IF(Tabla2[[#This Row],[Ventas totales]] &lt; 2500, "Ventas Muy Bajas", IF(Tabla2[[#This Row],[Ventas totales]] &lt;= 3999, "Ventas Aceptables", "Ventas Cumplidas"))</f>
        <v>Ventas Cumplidas</v>
      </c>
    </row>
    <row r="110" spans="1:10" x14ac:dyDescent="0.2">
      <c r="A110" s="14">
        <v>45035</v>
      </c>
      <c r="B110" s="14" t="str">
        <f t="shared" si="7"/>
        <v>abril</v>
      </c>
      <c r="C110" s="14" t="str">
        <f>TEXT(Tabla2[[#This Row],[Fecha]],"DDDD")</f>
        <v>miércoles</v>
      </c>
      <c r="D110" s="9">
        <v>4677.13</v>
      </c>
      <c r="E110" s="9">
        <v>4677.13</v>
      </c>
      <c r="F110" s="9">
        <v>0</v>
      </c>
      <c r="G110" s="9">
        <v>0</v>
      </c>
      <c r="H110" s="9">
        <v>2738.63</v>
      </c>
      <c r="I110" s="9">
        <v>57</v>
      </c>
      <c r="J110" s="8" t="str">
        <f>IF(Tabla2[[#This Row],[Ventas totales]] &lt; 2500, "Ventas Muy Bajas", IF(Tabla2[[#This Row],[Ventas totales]] &lt;= 3999, "Ventas Aceptables", "Ventas Cumplidas"))</f>
        <v>Ventas Cumplidas</v>
      </c>
    </row>
    <row r="111" spans="1:10" x14ac:dyDescent="0.2">
      <c r="A111" s="14">
        <v>45036</v>
      </c>
      <c r="B111" s="14" t="str">
        <f t="shared" si="7"/>
        <v>abril</v>
      </c>
      <c r="C111" s="14" t="str">
        <f>TEXT(Tabla2[[#This Row],[Fecha]],"DDDD")</f>
        <v>jueves</v>
      </c>
      <c r="D111" s="9">
        <v>7803.19</v>
      </c>
      <c r="E111" s="9">
        <v>7326.64</v>
      </c>
      <c r="F111" s="9">
        <v>476.55</v>
      </c>
      <c r="G111" s="9">
        <v>0</v>
      </c>
      <c r="H111" s="9">
        <v>4624.54</v>
      </c>
      <c r="I111" s="9">
        <v>44</v>
      </c>
      <c r="J111" s="8" t="str">
        <f>IF(Tabla2[[#This Row],[Ventas totales]] &lt; 2500, "Ventas Muy Bajas", IF(Tabla2[[#This Row],[Ventas totales]] &lt;= 3999, "Ventas Aceptables", "Ventas Cumplidas"))</f>
        <v>Ventas Cumplidas</v>
      </c>
    </row>
    <row r="112" spans="1:10" x14ac:dyDescent="0.2">
      <c r="A112" s="14">
        <v>45037</v>
      </c>
      <c r="B112" s="14" t="str">
        <f t="shared" si="7"/>
        <v>abril</v>
      </c>
      <c r="C112" s="14" t="str">
        <f>TEXT(Tabla2[[#This Row],[Fecha]],"DDDD")</f>
        <v>viernes</v>
      </c>
      <c r="D112" s="9">
        <v>4054.63</v>
      </c>
      <c r="E112" s="9">
        <v>3408.61</v>
      </c>
      <c r="F112" s="9">
        <v>646.02</v>
      </c>
      <c r="G112" s="9">
        <v>0</v>
      </c>
      <c r="H112" s="9">
        <v>2478.44</v>
      </c>
      <c r="I112" s="9">
        <v>42</v>
      </c>
      <c r="J112" s="8" t="str">
        <f>IF(Tabla2[[#This Row],[Ventas totales]] &lt; 2500, "Ventas Muy Bajas", IF(Tabla2[[#This Row],[Ventas totales]] &lt;= 3999, "Ventas Aceptables", "Ventas Cumplidas"))</f>
        <v>Ventas Cumplidas</v>
      </c>
    </row>
    <row r="113" spans="1:10" x14ac:dyDescent="0.2">
      <c r="A113" s="14">
        <v>45038</v>
      </c>
      <c r="B113" s="14" t="str">
        <f t="shared" si="7"/>
        <v>abril</v>
      </c>
      <c r="C113" s="14" t="str">
        <f>TEXT(Tabla2[[#This Row],[Fecha]],"DDDD")</f>
        <v>sábado</v>
      </c>
      <c r="D113" s="9">
        <v>3629.81</v>
      </c>
      <c r="E113" s="9">
        <v>3038.84</v>
      </c>
      <c r="F113" s="9">
        <v>590.97</v>
      </c>
      <c r="G113" s="9">
        <v>0</v>
      </c>
      <c r="H113" s="9">
        <v>2063.79</v>
      </c>
      <c r="I113" s="9">
        <v>32</v>
      </c>
      <c r="J113" s="8" t="str">
        <f>IF(Tabla2[[#This Row],[Ventas totales]] &lt; 2500, "Ventas Muy Bajas", IF(Tabla2[[#This Row],[Ventas totales]] &lt;= 3999, "Ventas Aceptables", "Ventas Cumplidas"))</f>
        <v>Ventas Aceptables</v>
      </c>
    </row>
    <row r="114" spans="1:10" x14ac:dyDescent="0.2">
      <c r="A114" s="14">
        <v>45039</v>
      </c>
      <c r="B114" s="14" t="str">
        <f t="shared" si="7"/>
        <v>abril</v>
      </c>
      <c r="C114" s="14" t="str">
        <f>TEXT(Tabla2[[#This Row],[Fecha]],"DDDD")</f>
        <v>domingo</v>
      </c>
      <c r="D114" s="9">
        <v>2972.21</v>
      </c>
      <c r="E114" s="9">
        <v>2714.06</v>
      </c>
      <c r="F114" s="9">
        <v>258.14999999999998</v>
      </c>
      <c r="G114" s="9">
        <v>0</v>
      </c>
      <c r="H114" s="9">
        <v>1788.48</v>
      </c>
      <c r="I114" s="9">
        <v>37</v>
      </c>
      <c r="J114" s="8" t="str">
        <f>IF(Tabla2[[#This Row],[Ventas totales]] &lt; 2500, "Ventas Muy Bajas", IF(Tabla2[[#This Row],[Ventas totales]] &lt;= 3999, "Ventas Aceptables", "Ventas Cumplidas"))</f>
        <v>Ventas Aceptables</v>
      </c>
    </row>
    <row r="115" spans="1:10" x14ac:dyDescent="0.2">
      <c r="A115" s="14">
        <v>45040</v>
      </c>
      <c r="B115" s="14" t="str">
        <f t="shared" si="7"/>
        <v>abril</v>
      </c>
      <c r="C115" s="14" t="str">
        <f>TEXT(Tabla2[[#This Row],[Fecha]],"DDDD")</f>
        <v>lunes</v>
      </c>
      <c r="D115" s="9">
        <v>1497.54</v>
      </c>
      <c r="E115" s="9">
        <v>1497.54</v>
      </c>
      <c r="F115" s="9">
        <v>0</v>
      </c>
      <c r="G115" s="9">
        <v>0</v>
      </c>
      <c r="H115" s="9">
        <v>882.46</v>
      </c>
      <c r="I115" s="9">
        <v>15</v>
      </c>
      <c r="J115" s="8" t="str">
        <f>IF(Tabla2[[#This Row],[Ventas totales]] &lt; 2500, "Ventas Muy Bajas", IF(Tabla2[[#This Row],[Ventas totales]] &lt;= 3999, "Ventas Aceptables", "Ventas Cumplidas"))</f>
        <v>Ventas Muy Bajas</v>
      </c>
    </row>
    <row r="116" spans="1:10" x14ac:dyDescent="0.2">
      <c r="A116" s="14">
        <v>45041</v>
      </c>
      <c r="B116" s="14" t="str">
        <f t="shared" si="7"/>
        <v>abril</v>
      </c>
      <c r="C116" s="14" t="str">
        <f>TEXT(Tabla2[[#This Row],[Fecha]],"DDDD")</f>
        <v>martes</v>
      </c>
      <c r="D116" s="9">
        <v>3894.87</v>
      </c>
      <c r="E116" s="9">
        <v>3577.5</v>
      </c>
      <c r="F116" s="9">
        <v>317.37</v>
      </c>
      <c r="G116" s="9">
        <v>0</v>
      </c>
      <c r="H116" s="9">
        <v>2377.1</v>
      </c>
      <c r="I116" s="9">
        <v>33</v>
      </c>
      <c r="J116" s="8" t="str">
        <f>IF(Tabla2[[#This Row],[Ventas totales]] &lt; 2500, "Ventas Muy Bajas", IF(Tabla2[[#This Row],[Ventas totales]] &lt;= 3999, "Ventas Aceptables", "Ventas Cumplidas"))</f>
        <v>Ventas Aceptables</v>
      </c>
    </row>
    <row r="117" spans="1:10" x14ac:dyDescent="0.2">
      <c r="A117" s="14">
        <v>45042</v>
      </c>
      <c r="B117" s="14" t="str">
        <f t="shared" si="7"/>
        <v>abril</v>
      </c>
      <c r="C117" s="14" t="str">
        <f>TEXT(Tabla2[[#This Row],[Fecha]],"DDDD")</f>
        <v>miércoles</v>
      </c>
      <c r="D117" s="9">
        <v>2496.5700000000002</v>
      </c>
      <c r="E117" s="9">
        <v>2496.5700000000002</v>
      </c>
      <c r="F117" s="9">
        <v>0</v>
      </c>
      <c r="G117" s="9">
        <v>0</v>
      </c>
      <c r="H117" s="9">
        <v>1464.89</v>
      </c>
      <c r="I117" s="9">
        <v>25</v>
      </c>
      <c r="J117" s="8" t="str">
        <f>IF(Tabla2[[#This Row],[Ventas totales]] &lt; 2500, "Ventas Muy Bajas", IF(Tabla2[[#This Row],[Ventas totales]] &lt;= 3999, "Ventas Aceptables", "Ventas Cumplidas"))</f>
        <v>Ventas Muy Bajas</v>
      </c>
    </row>
    <row r="118" spans="1:10" x14ac:dyDescent="0.2">
      <c r="A118" s="14">
        <v>45043</v>
      </c>
      <c r="B118" s="14" t="str">
        <f t="shared" si="7"/>
        <v>abril</v>
      </c>
      <c r="C118" s="14" t="str">
        <f>TEXT(Tabla2[[#This Row],[Fecha]],"DDDD")</f>
        <v>jueves</v>
      </c>
      <c r="D118" s="9">
        <v>2155.31</v>
      </c>
      <c r="E118" s="9">
        <v>2126.83</v>
      </c>
      <c r="F118" s="9">
        <v>28.48</v>
      </c>
      <c r="G118" s="9">
        <v>0</v>
      </c>
      <c r="H118" s="9">
        <v>1304.44</v>
      </c>
      <c r="I118" s="9">
        <v>28</v>
      </c>
      <c r="J118" s="8" t="str">
        <f>IF(Tabla2[[#This Row],[Ventas totales]] &lt; 2500, "Ventas Muy Bajas", IF(Tabla2[[#This Row],[Ventas totales]] &lt;= 3999, "Ventas Aceptables", "Ventas Cumplidas"))</f>
        <v>Ventas Muy Bajas</v>
      </c>
    </row>
    <row r="119" spans="1:10" x14ac:dyDescent="0.2">
      <c r="A119" s="14">
        <v>45044</v>
      </c>
      <c r="B119" s="14" t="str">
        <f t="shared" si="7"/>
        <v>abril</v>
      </c>
      <c r="C119" s="14" t="str">
        <f>TEXT(Tabla2[[#This Row],[Fecha]],"DDDD")</f>
        <v>viernes</v>
      </c>
      <c r="D119" s="9">
        <v>3407.9</v>
      </c>
      <c r="E119" s="9">
        <v>2741.14</v>
      </c>
      <c r="F119" s="9">
        <v>666.76</v>
      </c>
      <c r="G119" s="9">
        <v>0</v>
      </c>
      <c r="H119" s="9">
        <v>2015.66</v>
      </c>
      <c r="I119" s="9">
        <v>36</v>
      </c>
      <c r="J119" s="8" t="str">
        <f>IF(Tabla2[[#This Row],[Ventas totales]] &lt; 2500, "Ventas Muy Bajas", IF(Tabla2[[#This Row],[Ventas totales]] &lt;= 3999, "Ventas Aceptables", "Ventas Cumplidas"))</f>
        <v>Ventas Aceptables</v>
      </c>
    </row>
    <row r="120" spans="1:10" x14ac:dyDescent="0.2">
      <c r="A120" s="14">
        <v>45045</v>
      </c>
      <c r="B120" s="14" t="str">
        <f t="shared" si="7"/>
        <v>abril</v>
      </c>
      <c r="C120" s="14" t="str">
        <f>TEXT(Tabla2[[#This Row],[Fecha]],"DDDD")</f>
        <v>sábado</v>
      </c>
      <c r="D120" s="9">
        <v>2724.02</v>
      </c>
      <c r="E120" s="9">
        <v>2616.0300000000002</v>
      </c>
      <c r="F120" s="9">
        <v>107.99</v>
      </c>
      <c r="G120" s="9">
        <v>0</v>
      </c>
      <c r="H120" s="9">
        <v>1600.48</v>
      </c>
      <c r="I120" s="9">
        <v>32</v>
      </c>
      <c r="J120" s="8" t="str">
        <f>IF(Tabla2[[#This Row],[Ventas totales]] &lt; 2500, "Ventas Muy Bajas", IF(Tabla2[[#This Row],[Ventas totales]] &lt;= 3999, "Ventas Aceptables", "Ventas Cumplidas"))</f>
        <v>Ventas Aceptables</v>
      </c>
    </row>
    <row r="121" spans="1:10" x14ac:dyDescent="0.2">
      <c r="A121" s="14">
        <v>45046</v>
      </c>
      <c r="B121" s="14" t="str">
        <f t="shared" si="7"/>
        <v>abril</v>
      </c>
      <c r="C121" s="14" t="str">
        <f>TEXT(Tabla2[[#This Row],[Fecha]],"DDDD")</f>
        <v>domingo</v>
      </c>
      <c r="D121" s="9">
        <v>2936.9</v>
      </c>
      <c r="E121" s="9">
        <v>2120.46</v>
      </c>
      <c r="F121" s="9">
        <v>816.44</v>
      </c>
      <c r="G121" s="9">
        <v>0</v>
      </c>
      <c r="H121" s="9">
        <v>1733.86</v>
      </c>
      <c r="I121" s="9">
        <v>31</v>
      </c>
      <c r="J121" s="8" t="str">
        <f>IF(Tabla2[[#This Row],[Ventas totales]] &lt; 2500, "Ventas Muy Bajas", IF(Tabla2[[#This Row],[Ventas totales]] &lt;= 3999, "Ventas Aceptables", "Ventas Cumplidas"))</f>
        <v>Ventas Aceptables</v>
      </c>
    </row>
    <row r="122" spans="1:10" x14ac:dyDescent="0.2">
      <c r="A122" s="14">
        <v>45047</v>
      </c>
      <c r="B122" s="14" t="str">
        <f t="shared" si="7"/>
        <v>mayo</v>
      </c>
      <c r="C122" s="14" t="str">
        <f>TEXT(Tabla2[[#This Row],[Fecha]],"DDDD")</f>
        <v>lunes</v>
      </c>
      <c r="D122" s="9">
        <v>2299.4899999999998</v>
      </c>
      <c r="E122" s="9">
        <v>1844.27</v>
      </c>
      <c r="F122" s="9">
        <v>455.22</v>
      </c>
      <c r="G122" s="9">
        <v>0</v>
      </c>
      <c r="H122" s="9">
        <v>1358.02</v>
      </c>
      <c r="I122" s="9">
        <v>25</v>
      </c>
      <c r="J122" s="8" t="str">
        <f>IF(Tabla2[[#This Row],[Ventas totales]] &lt; 2500, "Ventas Muy Bajas", IF(Tabla2[[#This Row],[Ventas totales]] &lt;= 3999, "Ventas Aceptables", "Ventas Cumplidas"))</f>
        <v>Ventas Muy Bajas</v>
      </c>
    </row>
    <row r="123" spans="1:10" x14ac:dyDescent="0.2">
      <c r="A123" s="14">
        <v>45048</v>
      </c>
      <c r="B123" s="14" t="str">
        <f t="shared" si="7"/>
        <v>mayo</v>
      </c>
      <c r="C123" s="14" t="str">
        <f>TEXT(Tabla2[[#This Row],[Fecha]],"DDDD")</f>
        <v>martes</v>
      </c>
      <c r="D123" s="9">
        <v>5005.97</v>
      </c>
      <c r="E123" s="9">
        <v>4914.97</v>
      </c>
      <c r="F123" s="9">
        <v>91</v>
      </c>
      <c r="G123" s="9">
        <v>0</v>
      </c>
      <c r="H123" s="9">
        <v>2991.38</v>
      </c>
      <c r="I123" s="9">
        <v>44</v>
      </c>
      <c r="J123" s="8" t="str">
        <f>IF(Tabla2[[#This Row],[Ventas totales]] &lt; 2500, "Ventas Muy Bajas", IF(Tabla2[[#This Row],[Ventas totales]] &lt;= 3999, "Ventas Aceptables", "Ventas Cumplidas"))</f>
        <v>Ventas Cumplidas</v>
      </c>
    </row>
    <row r="124" spans="1:10" x14ac:dyDescent="0.2">
      <c r="A124" s="14">
        <v>45049</v>
      </c>
      <c r="B124" s="14" t="str">
        <f t="shared" si="7"/>
        <v>mayo</v>
      </c>
      <c r="C124" s="14" t="str">
        <f>TEXT(Tabla2[[#This Row],[Fecha]],"DDDD")</f>
        <v>miércoles</v>
      </c>
      <c r="D124" s="9">
        <v>3559.06</v>
      </c>
      <c r="E124" s="9">
        <v>3026.82</v>
      </c>
      <c r="F124" s="9">
        <v>532.24</v>
      </c>
      <c r="G124" s="9">
        <v>0</v>
      </c>
      <c r="H124" s="9">
        <v>2125.69</v>
      </c>
      <c r="I124" s="9">
        <v>35</v>
      </c>
      <c r="J124" s="8" t="str">
        <f>IF(Tabla2[[#This Row],[Ventas totales]] &lt; 2500, "Ventas Muy Bajas", IF(Tabla2[[#This Row],[Ventas totales]] &lt;= 3999, "Ventas Aceptables", "Ventas Cumplidas"))</f>
        <v>Ventas Aceptables</v>
      </c>
    </row>
    <row r="125" spans="1:10" x14ac:dyDescent="0.2">
      <c r="A125" s="14">
        <v>45050</v>
      </c>
      <c r="B125" s="14" t="str">
        <f t="shared" si="7"/>
        <v>mayo</v>
      </c>
      <c r="C125" s="14" t="str">
        <f>TEXT(Tabla2[[#This Row],[Fecha]],"DDDD")</f>
        <v>jueves</v>
      </c>
      <c r="D125" s="9">
        <v>3769.1</v>
      </c>
      <c r="E125" s="9">
        <v>3769.1</v>
      </c>
      <c r="F125" s="9">
        <v>0</v>
      </c>
      <c r="G125" s="9">
        <v>0</v>
      </c>
      <c r="H125" s="9">
        <v>2195.29</v>
      </c>
      <c r="I125" s="9">
        <v>31</v>
      </c>
      <c r="J125" s="8" t="str">
        <f>IF(Tabla2[[#This Row],[Ventas totales]] &lt; 2500, "Ventas Muy Bajas", IF(Tabla2[[#This Row],[Ventas totales]] &lt;= 3999, "Ventas Aceptables", "Ventas Cumplidas"))</f>
        <v>Ventas Aceptables</v>
      </c>
    </row>
    <row r="126" spans="1:10" x14ac:dyDescent="0.2">
      <c r="A126" s="14">
        <v>45051</v>
      </c>
      <c r="B126" s="14" t="str">
        <f t="shared" si="7"/>
        <v>mayo</v>
      </c>
      <c r="C126" s="14" t="str">
        <f>TEXT(Tabla2[[#This Row],[Fecha]],"DDDD")</f>
        <v>viernes</v>
      </c>
      <c r="D126" s="9">
        <v>4005.34</v>
      </c>
      <c r="E126" s="9">
        <v>3073.37</v>
      </c>
      <c r="F126" s="9">
        <v>931.97</v>
      </c>
      <c r="G126" s="9">
        <v>0</v>
      </c>
      <c r="H126" s="9">
        <v>2362.7600000000002</v>
      </c>
      <c r="I126" s="9">
        <v>45</v>
      </c>
      <c r="J126" s="8" t="str">
        <f>IF(Tabla2[[#This Row],[Ventas totales]] &lt; 2500, "Ventas Muy Bajas", IF(Tabla2[[#This Row],[Ventas totales]] &lt;= 3999, "Ventas Aceptables", "Ventas Cumplidas"))</f>
        <v>Ventas Cumplidas</v>
      </c>
    </row>
    <row r="127" spans="1:10" x14ac:dyDescent="0.2">
      <c r="A127" s="14">
        <v>45052</v>
      </c>
      <c r="B127" s="14" t="str">
        <f t="shared" si="7"/>
        <v>mayo</v>
      </c>
      <c r="C127" s="14" t="str">
        <f>TEXT(Tabla2[[#This Row],[Fecha]],"DDDD")</f>
        <v>sábado</v>
      </c>
      <c r="D127" s="9">
        <v>3641.77</v>
      </c>
      <c r="E127" s="9">
        <v>3097.47</v>
      </c>
      <c r="F127" s="9">
        <v>544.29999999999995</v>
      </c>
      <c r="G127" s="9">
        <v>0</v>
      </c>
      <c r="H127" s="9">
        <v>2215.27</v>
      </c>
      <c r="I127" s="9">
        <v>36</v>
      </c>
      <c r="J127" s="8" t="str">
        <f>IF(Tabla2[[#This Row],[Ventas totales]] &lt; 2500, "Ventas Muy Bajas", IF(Tabla2[[#This Row],[Ventas totales]] &lt;= 3999, "Ventas Aceptables", "Ventas Cumplidas"))</f>
        <v>Ventas Aceptables</v>
      </c>
    </row>
    <row r="128" spans="1:10" x14ac:dyDescent="0.2">
      <c r="A128" s="14">
        <v>45053</v>
      </c>
      <c r="B128" s="14" t="str">
        <f t="shared" si="7"/>
        <v>mayo</v>
      </c>
      <c r="C128" s="14" t="str">
        <f>TEXT(Tabla2[[#This Row],[Fecha]],"DDDD")</f>
        <v>domingo</v>
      </c>
      <c r="D128" s="9">
        <v>3771.87</v>
      </c>
      <c r="E128" s="9">
        <v>3606.46</v>
      </c>
      <c r="F128" s="9">
        <v>165.41</v>
      </c>
      <c r="G128" s="9">
        <v>0</v>
      </c>
      <c r="H128" s="9">
        <v>2210.9</v>
      </c>
      <c r="I128" s="9">
        <v>37</v>
      </c>
      <c r="J128" s="8" t="str">
        <f>IF(Tabla2[[#This Row],[Ventas totales]] &lt; 2500, "Ventas Muy Bajas", IF(Tabla2[[#This Row],[Ventas totales]] &lt;= 3999, "Ventas Aceptables", "Ventas Cumplidas"))</f>
        <v>Ventas Aceptables</v>
      </c>
    </row>
    <row r="129" spans="1:10" x14ac:dyDescent="0.2">
      <c r="A129" s="14">
        <v>45054</v>
      </c>
      <c r="B129" s="14" t="str">
        <f t="shared" si="7"/>
        <v>mayo</v>
      </c>
      <c r="C129" s="14" t="str">
        <f>TEXT(Tabla2[[#This Row],[Fecha]],"DDDD")</f>
        <v>lunes</v>
      </c>
      <c r="D129" s="9">
        <v>4323.88</v>
      </c>
      <c r="E129" s="9">
        <v>4121.76</v>
      </c>
      <c r="F129" s="9">
        <v>202.12</v>
      </c>
      <c r="G129" s="9">
        <v>0</v>
      </c>
      <c r="H129" s="9">
        <v>2500.27</v>
      </c>
      <c r="I129" s="9">
        <v>34</v>
      </c>
      <c r="J129" s="8" t="str">
        <f>IF(Tabla2[[#This Row],[Ventas totales]] &lt; 2500, "Ventas Muy Bajas", IF(Tabla2[[#This Row],[Ventas totales]] &lt;= 3999, "Ventas Aceptables", "Ventas Cumplidas"))</f>
        <v>Ventas Cumplidas</v>
      </c>
    </row>
    <row r="130" spans="1:10" x14ac:dyDescent="0.2">
      <c r="A130" s="14">
        <v>45055</v>
      </c>
      <c r="B130" s="14" t="str">
        <f t="shared" ref="B130:B150" si="8">TEXT(A:A,"MMMM")</f>
        <v>mayo</v>
      </c>
      <c r="C130" s="14" t="str">
        <f>TEXT(Tabla2[[#This Row],[Fecha]],"DDDD")</f>
        <v>martes</v>
      </c>
      <c r="D130" s="9">
        <v>6576.87</v>
      </c>
      <c r="E130" s="9">
        <v>4606.3999999999996</v>
      </c>
      <c r="F130" s="9">
        <v>1970.47</v>
      </c>
      <c r="G130" s="9">
        <v>0</v>
      </c>
      <c r="H130" s="9">
        <v>3815.44</v>
      </c>
      <c r="I130" s="9">
        <v>47</v>
      </c>
      <c r="J130" s="8" t="str">
        <f>IF(Tabla2[[#This Row],[Ventas totales]] &lt; 2500, "Ventas Muy Bajas", IF(Tabla2[[#This Row],[Ventas totales]] &lt;= 3999, "Ventas Aceptables", "Ventas Cumplidas"))</f>
        <v>Ventas Cumplidas</v>
      </c>
    </row>
    <row r="131" spans="1:10" x14ac:dyDescent="0.2">
      <c r="A131" s="14">
        <v>45056</v>
      </c>
      <c r="B131" s="14" t="str">
        <f t="shared" si="8"/>
        <v>mayo</v>
      </c>
      <c r="C131" s="14" t="str">
        <f>TEXT(Tabla2[[#This Row],[Fecha]],"DDDD")</f>
        <v>miércoles</v>
      </c>
      <c r="D131" s="9">
        <v>4187.87</v>
      </c>
      <c r="E131" s="9">
        <v>3274.09</v>
      </c>
      <c r="F131" s="9">
        <v>546.08000000000004</v>
      </c>
      <c r="G131" s="9">
        <v>367.7</v>
      </c>
      <c r="H131" s="9">
        <v>2428.3000000000002</v>
      </c>
      <c r="I131" s="9">
        <v>34</v>
      </c>
      <c r="J131" s="8" t="str">
        <f>IF(Tabla2[[#This Row],[Ventas totales]] &lt; 2500, "Ventas Muy Bajas", IF(Tabla2[[#This Row],[Ventas totales]] &lt;= 3999, "Ventas Aceptables", "Ventas Cumplidas"))</f>
        <v>Ventas Cumplidas</v>
      </c>
    </row>
    <row r="132" spans="1:10" x14ac:dyDescent="0.2">
      <c r="A132" s="14">
        <v>45057</v>
      </c>
      <c r="B132" s="14" t="str">
        <f t="shared" si="8"/>
        <v>mayo</v>
      </c>
      <c r="C132" s="14" t="str">
        <f>TEXT(Tabla2[[#This Row],[Fecha]],"DDDD")</f>
        <v>jueves</v>
      </c>
      <c r="D132" s="8">
        <v>2697</v>
      </c>
      <c r="E132" s="8" t="s">
        <v>13</v>
      </c>
      <c r="F132" s="8" t="s">
        <v>14</v>
      </c>
      <c r="G132" s="8">
        <v>0</v>
      </c>
      <c r="H132" s="8" t="s">
        <v>15</v>
      </c>
      <c r="I132" s="8">
        <v>33</v>
      </c>
      <c r="J132" s="8" t="str">
        <f>IF(Tabla2[[#This Row],[Ventas totales]] &lt; 2500, "Ventas Muy Bajas", IF(Tabla2[[#This Row],[Ventas totales]] &lt;= 3999, "Ventas Aceptables", "Ventas Cumplidas"))</f>
        <v>Ventas Aceptables</v>
      </c>
    </row>
    <row r="133" spans="1:10" x14ac:dyDescent="0.2">
      <c r="A133" s="14">
        <v>45058</v>
      </c>
      <c r="B133" s="14" t="str">
        <f t="shared" si="8"/>
        <v>mayo</v>
      </c>
      <c r="C133" s="14" t="str">
        <f>TEXT(Tabla2[[#This Row],[Fecha]],"DDDD")</f>
        <v>viernes</v>
      </c>
      <c r="D133" s="9">
        <v>5016.97</v>
      </c>
      <c r="E133" s="9">
        <v>3192.75</v>
      </c>
      <c r="F133" s="9">
        <v>1824.22</v>
      </c>
      <c r="G133" s="9">
        <v>0</v>
      </c>
      <c r="H133" s="9">
        <v>2935.17</v>
      </c>
      <c r="I133" s="9">
        <v>48</v>
      </c>
      <c r="J133" s="8" t="str">
        <f>IF(Tabla2[[#This Row],[Ventas totales]] &lt; 2500, "Ventas Muy Bajas", IF(Tabla2[[#This Row],[Ventas totales]] &lt;= 3999, "Ventas Aceptables", "Ventas Cumplidas"))</f>
        <v>Ventas Cumplidas</v>
      </c>
    </row>
    <row r="134" spans="1:10" x14ac:dyDescent="0.2">
      <c r="A134" s="14">
        <v>45059</v>
      </c>
      <c r="B134" s="14" t="str">
        <f t="shared" si="8"/>
        <v>mayo</v>
      </c>
      <c r="C134" s="14" t="str">
        <f>TEXT(Tabla2[[#This Row],[Fecha]],"DDDD")</f>
        <v>sábado</v>
      </c>
      <c r="D134" s="9">
        <v>6800.97</v>
      </c>
      <c r="E134" s="9">
        <v>5259.85</v>
      </c>
      <c r="F134" s="9">
        <v>1541.12</v>
      </c>
      <c r="G134" s="9">
        <v>0</v>
      </c>
      <c r="H134" s="9">
        <v>4028.82</v>
      </c>
      <c r="I134" s="9">
        <v>42</v>
      </c>
      <c r="J134" s="8" t="str">
        <f>IF(Tabla2[[#This Row],[Ventas totales]] &lt; 2500, "Ventas Muy Bajas", IF(Tabla2[[#This Row],[Ventas totales]] &lt;= 3999, "Ventas Aceptables", "Ventas Cumplidas"))</f>
        <v>Ventas Cumplidas</v>
      </c>
    </row>
    <row r="135" spans="1:10" x14ac:dyDescent="0.2">
      <c r="A135" s="14">
        <v>45060</v>
      </c>
      <c r="B135" s="14" t="str">
        <f t="shared" si="8"/>
        <v>mayo</v>
      </c>
      <c r="C135" s="14" t="str">
        <f>TEXT(Tabla2[[#This Row],[Fecha]],"DDDD")</f>
        <v>domingo</v>
      </c>
      <c r="D135" s="9">
        <v>6474.39</v>
      </c>
      <c r="E135" s="9">
        <v>4850.71</v>
      </c>
      <c r="F135" s="9">
        <v>1400.68</v>
      </c>
      <c r="G135" s="9">
        <v>223</v>
      </c>
      <c r="H135" s="9">
        <v>3760.14</v>
      </c>
      <c r="I135" s="9">
        <v>45</v>
      </c>
      <c r="J135" s="8" t="str">
        <f>IF(Tabla2[[#This Row],[Ventas totales]] &lt; 2500, "Ventas Muy Bajas", IF(Tabla2[[#This Row],[Ventas totales]] &lt;= 3999, "Ventas Aceptables", "Ventas Cumplidas"))</f>
        <v>Ventas Cumplidas</v>
      </c>
    </row>
    <row r="136" spans="1:10" x14ac:dyDescent="0.2">
      <c r="A136" s="14">
        <v>45061</v>
      </c>
      <c r="B136" s="14" t="str">
        <f t="shared" si="8"/>
        <v>mayo</v>
      </c>
      <c r="C136" s="14" t="str">
        <f>TEXT(Tabla2[[#This Row],[Fecha]],"DDDD")</f>
        <v>lunes</v>
      </c>
      <c r="D136" s="9">
        <v>2278.7600000000002</v>
      </c>
      <c r="E136" s="9">
        <v>2011.17</v>
      </c>
      <c r="F136" s="9">
        <v>267.58999999999997</v>
      </c>
      <c r="G136" s="9">
        <v>0</v>
      </c>
      <c r="H136" s="9">
        <v>1349.34</v>
      </c>
      <c r="I136" s="9">
        <v>26</v>
      </c>
      <c r="J136" s="8" t="str">
        <f>IF(Tabla2[[#This Row],[Ventas totales]] &lt; 2500, "Ventas Muy Bajas", IF(Tabla2[[#This Row],[Ventas totales]] &lt;= 3999, "Ventas Aceptables", "Ventas Cumplidas"))</f>
        <v>Ventas Muy Bajas</v>
      </c>
    </row>
    <row r="137" spans="1:10" x14ac:dyDescent="0.2">
      <c r="A137" s="14">
        <v>45062</v>
      </c>
      <c r="B137" s="14" t="str">
        <f t="shared" si="8"/>
        <v>mayo</v>
      </c>
      <c r="C137" s="14" t="str">
        <f>TEXT(Tabla2[[#This Row],[Fecha]],"DDDD")</f>
        <v>martes</v>
      </c>
      <c r="D137" s="9">
        <v>6836.33</v>
      </c>
      <c r="E137" s="9">
        <v>5687.98</v>
      </c>
      <c r="F137" s="9">
        <v>1148.3499999999999</v>
      </c>
      <c r="G137" s="9">
        <v>0</v>
      </c>
      <c r="H137" s="9">
        <v>4091.26</v>
      </c>
      <c r="I137" s="9">
        <v>60</v>
      </c>
      <c r="J137" s="8" t="str">
        <f>IF(Tabla2[[#This Row],[Ventas totales]] &lt; 2500, "Ventas Muy Bajas", IF(Tabla2[[#This Row],[Ventas totales]] &lt;= 3999, "Ventas Aceptables", "Ventas Cumplidas"))</f>
        <v>Ventas Cumplidas</v>
      </c>
    </row>
    <row r="138" spans="1:10" x14ac:dyDescent="0.2">
      <c r="A138" s="14">
        <v>45063</v>
      </c>
      <c r="B138" s="14" t="str">
        <f t="shared" si="8"/>
        <v>mayo</v>
      </c>
      <c r="C138" s="14" t="str">
        <f>TEXT(Tabla2[[#This Row],[Fecha]],"DDDD")</f>
        <v>miércoles</v>
      </c>
      <c r="D138" s="9">
        <v>2978.96</v>
      </c>
      <c r="E138" s="9">
        <v>2784.96</v>
      </c>
      <c r="F138" s="9">
        <v>194</v>
      </c>
      <c r="G138" s="9">
        <v>0</v>
      </c>
      <c r="H138" s="9">
        <v>1801.97</v>
      </c>
      <c r="I138" s="9">
        <v>36</v>
      </c>
      <c r="J138" s="8" t="str">
        <f>IF(Tabla2[[#This Row],[Ventas totales]] &lt; 2500, "Ventas Muy Bajas", IF(Tabla2[[#This Row],[Ventas totales]] &lt;= 3999, "Ventas Aceptables", "Ventas Cumplidas"))</f>
        <v>Ventas Aceptables</v>
      </c>
    </row>
    <row r="139" spans="1:10" x14ac:dyDescent="0.2">
      <c r="A139" s="14">
        <v>45064</v>
      </c>
      <c r="B139" s="14" t="str">
        <f t="shared" si="8"/>
        <v>mayo</v>
      </c>
      <c r="C139" s="14" t="str">
        <f>TEXT(Tabla2[[#This Row],[Fecha]],"DDDD")</f>
        <v>jueves</v>
      </c>
      <c r="D139" s="9">
        <v>3994.34</v>
      </c>
      <c r="E139" s="9">
        <v>2886.69</v>
      </c>
      <c r="F139" s="9">
        <v>1107.6500000000001</v>
      </c>
      <c r="G139" s="9">
        <v>0</v>
      </c>
      <c r="H139" s="9">
        <v>2329.9499999999998</v>
      </c>
      <c r="I139" s="9">
        <v>42</v>
      </c>
      <c r="J139" s="8" t="str">
        <f>IF(Tabla2[[#This Row],[Ventas totales]] &lt; 2500, "Ventas Muy Bajas", IF(Tabla2[[#This Row],[Ventas totales]] &lt;= 3999, "Ventas Aceptables", "Ventas Cumplidas"))</f>
        <v>Ventas Aceptables</v>
      </c>
    </row>
    <row r="140" spans="1:10" x14ac:dyDescent="0.2">
      <c r="A140" s="14">
        <v>45065</v>
      </c>
      <c r="B140" s="14" t="str">
        <f t="shared" si="8"/>
        <v>mayo</v>
      </c>
      <c r="C140" s="14" t="str">
        <f>TEXT(Tabla2[[#This Row],[Fecha]],"DDDD")</f>
        <v>viernes</v>
      </c>
      <c r="D140" s="9">
        <v>3841.43</v>
      </c>
      <c r="E140" s="9">
        <v>3668.32</v>
      </c>
      <c r="F140" s="9">
        <v>173.11</v>
      </c>
      <c r="G140" s="9">
        <v>0</v>
      </c>
      <c r="H140" s="9">
        <v>2337.63</v>
      </c>
      <c r="I140" s="9">
        <v>40</v>
      </c>
      <c r="J140" s="8" t="str">
        <f>IF(Tabla2[[#This Row],[Ventas totales]] &lt; 2500, "Ventas Muy Bajas", IF(Tabla2[[#This Row],[Ventas totales]] &lt;= 3999, "Ventas Aceptables", "Ventas Cumplidas"))</f>
        <v>Ventas Aceptables</v>
      </c>
    </row>
    <row r="141" spans="1:10" x14ac:dyDescent="0.2">
      <c r="A141" s="14">
        <v>45066</v>
      </c>
      <c r="B141" s="14" t="str">
        <f t="shared" si="8"/>
        <v>mayo</v>
      </c>
      <c r="C141" s="14" t="str">
        <f>TEXT(Tabla2[[#This Row],[Fecha]],"DDDD")</f>
        <v>sábado</v>
      </c>
      <c r="D141" s="9">
        <v>5256.21</v>
      </c>
      <c r="E141" s="9">
        <v>4466.4799999999996</v>
      </c>
      <c r="F141" s="9">
        <v>318.81</v>
      </c>
      <c r="G141" s="9">
        <v>470.92</v>
      </c>
      <c r="H141" s="9">
        <v>3190.74</v>
      </c>
      <c r="I141" s="9">
        <v>46</v>
      </c>
      <c r="J141" s="8" t="str">
        <f>IF(Tabla2[[#This Row],[Ventas totales]] &lt; 2500, "Ventas Muy Bajas", IF(Tabla2[[#This Row],[Ventas totales]] &lt;= 3999, "Ventas Aceptables", "Ventas Cumplidas"))</f>
        <v>Ventas Cumplidas</v>
      </c>
    </row>
    <row r="142" spans="1:10" x14ac:dyDescent="0.2">
      <c r="A142" s="14">
        <v>45067</v>
      </c>
      <c r="B142" s="14" t="str">
        <f t="shared" si="8"/>
        <v>mayo</v>
      </c>
      <c r="C142" s="14" t="str">
        <f>TEXT(Tabla2[[#This Row],[Fecha]],"DDDD")</f>
        <v>domingo</v>
      </c>
      <c r="D142" s="9">
        <v>4876.71</v>
      </c>
      <c r="E142" s="9">
        <v>4139.45</v>
      </c>
      <c r="F142" s="9">
        <v>737.26</v>
      </c>
      <c r="G142" s="9">
        <v>0</v>
      </c>
      <c r="H142" s="9">
        <v>2880.41</v>
      </c>
      <c r="I142" s="9">
        <v>31</v>
      </c>
      <c r="J142" s="8" t="str">
        <f>IF(Tabla2[[#This Row],[Ventas totales]] &lt; 2500, "Ventas Muy Bajas", IF(Tabla2[[#This Row],[Ventas totales]] &lt;= 3999, "Ventas Aceptables", "Ventas Cumplidas"))</f>
        <v>Ventas Cumplidas</v>
      </c>
    </row>
    <row r="143" spans="1:10" x14ac:dyDescent="0.2">
      <c r="A143" s="14">
        <v>45068</v>
      </c>
      <c r="B143" s="14" t="str">
        <f t="shared" si="8"/>
        <v>mayo</v>
      </c>
      <c r="C143" s="14" t="str">
        <f>TEXT(Tabla2[[#This Row],[Fecha]],"DDDD")</f>
        <v>lunes</v>
      </c>
      <c r="D143" s="9">
        <v>3625.34</v>
      </c>
      <c r="E143" s="9">
        <v>2363.54</v>
      </c>
      <c r="F143" s="9">
        <v>1261.8</v>
      </c>
      <c r="G143" s="9">
        <v>0</v>
      </c>
      <c r="H143" s="9">
        <v>2172.88</v>
      </c>
      <c r="I143" s="9">
        <v>24</v>
      </c>
      <c r="J143" s="8" t="str">
        <f>IF(Tabla2[[#This Row],[Ventas totales]] &lt; 2500, "Ventas Muy Bajas", IF(Tabla2[[#This Row],[Ventas totales]] &lt;= 3999, "Ventas Aceptables", "Ventas Cumplidas"))</f>
        <v>Ventas Aceptables</v>
      </c>
    </row>
    <row r="144" spans="1:10" x14ac:dyDescent="0.2">
      <c r="A144" s="14">
        <v>45069</v>
      </c>
      <c r="B144" s="14" t="str">
        <f t="shared" si="8"/>
        <v>mayo</v>
      </c>
      <c r="C144" s="14" t="str">
        <f>TEXT(Tabla2[[#This Row],[Fecha]],"DDDD")</f>
        <v>martes</v>
      </c>
      <c r="D144" s="9">
        <v>2353.56</v>
      </c>
      <c r="E144" s="9">
        <v>1970.94</v>
      </c>
      <c r="F144" s="9">
        <v>382.62</v>
      </c>
      <c r="G144" s="9">
        <v>0</v>
      </c>
      <c r="H144" s="9">
        <v>1398.95</v>
      </c>
      <c r="I144" s="9">
        <v>34</v>
      </c>
      <c r="J144" s="8" t="str">
        <f>IF(Tabla2[[#This Row],[Ventas totales]] &lt; 2500, "Ventas Muy Bajas", IF(Tabla2[[#This Row],[Ventas totales]] &lt;= 3999, "Ventas Aceptables", "Ventas Cumplidas"))</f>
        <v>Ventas Muy Bajas</v>
      </c>
    </row>
    <row r="145" spans="1:10" x14ac:dyDescent="0.2">
      <c r="A145" s="14">
        <v>45070</v>
      </c>
      <c r="B145" s="14" t="str">
        <f t="shared" si="8"/>
        <v>mayo</v>
      </c>
      <c r="C145" s="14" t="str">
        <f>TEXT(Tabla2[[#This Row],[Fecha]],"DDDD")</f>
        <v>miércoles</v>
      </c>
      <c r="D145" s="9">
        <v>2837.77</v>
      </c>
      <c r="E145" s="9">
        <v>2560.34</v>
      </c>
      <c r="F145" s="9">
        <v>277.43</v>
      </c>
      <c r="G145" s="9">
        <v>0</v>
      </c>
      <c r="H145" s="9">
        <v>1671.61</v>
      </c>
      <c r="I145" s="9">
        <v>33</v>
      </c>
      <c r="J145" s="8" t="str">
        <f>IF(Tabla2[[#This Row],[Ventas totales]] &lt; 2500, "Ventas Muy Bajas", IF(Tabla2[[#This Row],[Ventas totales]] &lt;= 3999, "Ventas Aceptables", "Ventas Cumplidas"))</f>
        <v>Ventas Aceptables</v>
      </c>
    </row>
    <row r="146" spans="1:10" x14ac:dyDescent="0.2">
      <c r="A146" s="14">
        <v>45071</v>
      </c>
      <c r="B146" s="14" t="str">
        <f t="shared" si="8"/>
        <v>mayo</v>
      </c>
      <c r="C146" s="14" t="str">
        <f>TEXT(Tabla2[[#This Row],[Fecha]],"DDDD")</f>
        <v>jueves</v>
      </c>
      <c r="D146" s="9">
        <v>6485.35</v>
      </c>
      <c r="E146" s="9">
        <v>5601.1</v>
      </c>
      <c r="F146" s="9">
        <v>884.25</v>
      </c>
      <c r="G146" s="9">
        <v>0</v>
      </c>
      <c r="H146" s="9">
        <v>3843.54</v>
      </c>
      <c r="I146" s="9">
        <v>53</v>
      </c>
      <c r="J146" s="8" t="str">
        <f>IF(Tabla2[[#This Row],[Ventas totales]] &lt; 2500, "Ventas Muy Bajas", IF(Tabla2[[#This Row],[Ventas totales]] &lt;= 3999, "Ventas Aceptables", "Ventas Cumplidas"))</f>
        <v>Ventas Cumplidas</v>
      </c>
    </row>
    <row r="147" spans="1:10" x14ac:dyDescent="0.2">
      <c r="A147" s="14">
        <v>45072</v>
      </c>
      <c r="B147" s="14" t="str">
        <f t="shared" si="8"/>
        <v>mayo</v>
      </c>
      <c r="C147" s="14" t="str">
        <f>TEXT(Tabla2[[#This Row],[Fecha]],"DDDD")</f>
        <v>viernes</v>
      </c>
      <c r="D147" s="9">
        <v>4079.26</v>
      </c>
      <c r="E147" s="9">
        <v>3574.25</v>
      </c>
      <c r="F147" s="9">
        <v>505.01</v>
      </c>
      <c r="G147" s="9">
        <v>0</v>
      </c>
      <c r="H147" s="9">
        <v>2365.6</v>
      </c>
      <c r="I147" s="9">
        <v>35</v>
      </c>
      <c r="J147" s="8" t="str">
        <f>IF(Tabla2[[#This Row],[Ventas totales]] &lt; 2500, "Ventas Muy Bajas", IF(Tabla2[[#This Row],[Ventas totales]] &lt;= 3999, "Ventas Aceptables", "Ventas Cumplidas"))</f>
        <v>Ventas Cumplidas</v>
      </c>
    </row>
    <row r="148" spans="1:10" x14ac:dyDescent="0.2">
      <c r="A148" s="14">
        <v>45073</v>
      </c>
      <c r="B148" s="14" t="str">
        <f t="shared" si="8"/>
        <v>mayo</v>
      </c>
      <c r="C148" s="14" t="str">
        <f>TEXT(Tabla2[[#This Row],[Fecha]],"DDDD")</f>
        <v>sábado</v>
      </c>
      <c r="D148" s="9">
        <v>6378.39</v>
      </c>
      <c r="E148" s="9">
        <v>4568.8100000000004</v>
      </c>
      <c r="F148" s="9">
        <v>903.56</v>
      </c>
      <c r="G148" s="9">
        <v>906.02</v>
      </c>
      <c r="H148" s="9">
        <v>3894.37</v>
      </c>
      <c r="I148" s="9">
        <v>60</v>
      </c>
      <c r="J148" s="8" t="str">
        <f>IF(Tabla2[[#This Row],[Ventas totales]] &lt; 2500, "Ventas Muy Bajas", IF(Tabla2[[#This Row],[Ventas totales]] &lt;= 3999, "Ventas Aceptables", "Ventas Cumplidas"))</f>
        <v>Ventas Cumplidas</v>
      </c>
    </row>
    <row r="149" spans="1:10" x14ac:dyDescent="0.2">
      <c r="A149" s="14">
        <v>45074</v>
      </c>
      <c r="B149" s="14" t="str">
        <f t="shared" si="8"/>
        <v>mayo</v>
      </c>
      <c r="C149" s="14" t="str">
        <f>TEXT(Tabla2[[#This Row],[Fecha]],"DDDD")</f>
        <v>domingo</v>
      </c>
      <c r="D149" s="9">
        <v>3786.59</v>
      </c>
      <c r="E149" s="9">
        <v>3228.34</v>
      </c>
      <c r="F149" s="9">
        <v>376.56</v>
      </c>
      <c r="G149" s="9">
        <v>181.69</v>
      </c>
      <c r="H149" s="9">
        <v>2274.87</v>
      </c>
      <c r="I149" s="9">
        <v>42</v>
      </c>
      <c r="J149" s="8" t="str">
        <f>IF(Tabla2[[#This Row],[Ventas totales]] &lt; 2500, "Ventas Muy Bajas", IF(Tabla2[[#This Row],[Ventas totales]] &lt;= 3999, "Ventas Aceptables", "Ventas Cumplidas"))</f>
        <v>Ventas Aceptables</v>
      </c>
    </row>
    <row r="150" spans="1:10" x14ac:dyDescent="0.2">
      <c r="A150" s="14">
        <v>45075</v>
      </c>
      <c r="B150" s="14" t="str">
        <f t="shared" si="8"/>
        <v>mayo</v>
      </c>
      <c r="C150" s="14" t="str">
        <f>TEXT(Tabla2[[#This Row],[Fecha]],"DDDD")</f>
        <v>lunes</v>
      </c>
      <c r="D150" s="9">
        <v>3963.06</v>
      </c>
      <c r="E150" s="9">
        <v>3963.06</v>
      </c>
      <c r="F150" s="9">
        <v>0</v>
      </c>
      <c r="G150" s="9">
        <v>0</v>
      </c>
      <c r="H150" s="9">
        <v>2283.02</v>
      </c>
      <c r="I150" s="9">
        <v>34</v>
      </c>
      <c r="J150" s="8" t="str">
        <f>IF(Tabla2[[#This Row],[Ventas totales]] &lt; 2500, "Ventas Muy Bajas", IF(Tabla2[[#This Row],[Ventas totales]] &lt;= 3999, "Ventas Aceptables", "Ventas Cumplidas"))</f>
        <v>Ventas Aceptables</v>
      </c>
    </row>
  </sheetData>
  <mergeCells count="1">
    <mergeCell ref="N6:R6"/>
  </mergeCells>
  <phoneticPr fontId="7" type="noConversion"/>
  <conditionalFormatting sqref="D1:D150">
    <cfRule type="iconSet" priority="10">
      <iconSet iconSet="3Arrows">
        <cfvo type="percent" val="0"/>
        <cfvo type="num" val="2500"/>
        <cfvo type="num" val="4000"/>
      </iconSet>
    </cfRule>
    <cfRule type="colorScale" priority="11">
      <colorScale>
        <cfvo type="num" val="2500"/>
        <cfvo type="num" val="3999"/>
        <cfvo type="num" val="4000"/>
        <color theme="8" tint="0.79998168889431442"/>
        <color theme="8" tint="0.39997558519241921"/>
        <color rgb="FF00B0F0"/>
      </colorScale>
    </cfRule>
  </conditionalFormatting>
  <conditionalFormatting sqref="F1:F150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G1:G1048576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H1:H1048576">
    <cfRule type="dataBar" priority="4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{2E774A04-C05A-1D42-B74D-AB3157B3B589}</x14:id>
        </ext>
      </extLst>
    </cfRule>
  </conditionalFormatting>
  <conditionalFormatting sqref="J1:J1048576">
    <cfRule type="containsText" dxfId="53" priority="1" operator="containsText" text="Ventas Muy Bajas">
      <formula>NOT(ISERROR(SEARCH("Ventas Muy Bajas",J1)))</formula>
    </cfRule>
    <cfRule type="containsText" dxfId="52" priority="2" operator="containsText" text="Ventas Aceptables">
      <formula>NOT(ISERROR(SEARCH("Ventas Aceptables",J1)))</formula>
    </cfRule>
    <cfRule type="containsText" dxfId="51" priority="3" operator="containsText" text="Ventas Cumplidas">
      <formula>NOT(ISERROR(SEARCH("Ventas Cumplidas",J1)))</formula>
    </cfRule>
  </conditionalFormatting>
  <dataValidations count="2">
    <dataValidation type="list" allowBlank="1" showInputMessage="1" showErrorMessage="1" sqref="N7:N1048576" xr:uid="{11B8D214-3869-1244-B61F-18F18C5F69B6}">
      <formula1>$B:$B</formula1>
    </dataValidation>
    <dataValidation type="list" allowBlank="1" showInputMessage="1" showErrorMessage="1" sqref="O7:O1048576" xr:uid="{B065BB3E-459C-6B47-96DE-4DABEB165572}">
      <formula1>$C:$C</formula1>
    </dataValidation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774A04-C05A-1D42-B74D-AB3157B3B58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iconSet" priority="6" id="{C81B7935-0EE1-9C42-A547-5768634BAA2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G1:G1048576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39"/>
  <sheetViews>
    <sheetView showGridLines="0" workbookViewId="0">
      <selection activeCell="I1" sqref="I1"/>
    </sheetView>
  </sheetViews>
  <sheetFormatPr baseColWidth="10" defaultColWidth="10.83203125" defaultRowHeight="15" outlineLevelCol="1" x14ac:dyDescent="0.2"/>
  <cols>
    <col min="1" max="1" width="18.83203125" customWidth="1"/>
    <col min="2" max="2" width="10.83203125" hidden="1" customWidth="1" outlineLevel="1"/>
    <col min="3" max="4" width="16.83203125" hidden="1" customWidth="1" outlineLevel="1"/>
    <col min="5" max="5" width="10.83203125" hidden="1" customWidth="1" outlineLevel="1"/>
    <col min="6" max="6" width="21.1640625" bestFit="1" customWidth="1" collapsed="1"/>
    <col min="7" max="7" width="12" bestFit="1" customWidth="1"/>
    <col min="8" max="8" width="15.33203125" bestFit="1" customWidth="1"/>
    <col min="9" max="9" width="20.5" bestFit="1" customWidth="1"/>
    <col min="10" max="10" width="10.33203125" bestFit="1" customWidth="1"/>
    <col min="12" max="12" width="11.1640625" bestFit="1" customWidth="1"/>
  </cols>
  <sheetData>
    <row r="1" spans="1:14" x14ac:dyDescent="0.2">
      <c r="A1" s="1" t="s">
        <v>0</v>
      </c>
      <c r="B1" s="1" t="s">
        <v>26</v>
      </c>
      <c r="C1" s="1" t="s">
        <v>121</v>
      </c>
      <c r="D1" s="26" t="s">
        <v>122</v>
      </c>
      <c r="E1" s="1" t="s">
        <v>27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</row>
    <row r="2" spans="1:14" x14ac:dyDescent="0.2">
      <c r="A2" t="s">
        <v>21</v>
      </c>
      <c r="B2" t="str">
        <f>MID(A2,1,6)</f>
        <v>V-0001</v>
      </c>
      <c r="C2" t="str">
        <f>MID(A2,8,90)</f>
        <v>JuanLopez</v>
      </c>
      <c r="D2" t="s">
        <v>123</v>
      </c>
      <c r="E2" t="s">
        <v>28</v>
      </c>
      <c r="F2" s="7">
        <v>28333.934600000001</v>
      </c>
      <c r="G2" s="7">
        <v>21584.245800000001</v>
      </c>
      <c r="H2" s="7">
        <v>24285.437999999998</v>
      </c>
      <c r="I2" s="7">
        <v>22525.869900000002</v>
      </c>
      <c r="J2" s="7">
        <v>20469.93</v>
      </c>
      <c r="L2" s="10" t="s">
        <v>51</v>
      </c>
      <c r="M2" s="10" t="s">
        <v>96</v>
      </c>
      <c r="N2" s="10"/>
    </row>
    <row r="3" spans="1:14" x14ac:dyDescent="0.2">
      <c r="A3" t="s">
        <v>22</v>
      </c>
      <c r="B3" t="str">
        <f t="shared" ref="B3:B6" si="0">MID(A3,1,6)</f>
        <v>V-0002</v>
      </c>
      <c r="C3" t="str">
        <f t="shared" ref="C3:C6" si="1">MID(A3,8,90)</f>
        <v>MariaGonzález</v>
      </c>
      <c r="D3" t="s">
        <v>124</v>
      </c>
      <c r="E3" t="s">
        <v>29</v>
      </c>
      <c r="F3" s="7">
        <v>14782.922399999999</v>
      </c>
      <c r="G3" s="7">
        <v>19923.9192</v>
      </c>
      <c r="H3" s="7">
        <v>26713.981800000001</v>
      </c>
      <c r="I3" s="7">
        <v>20154.725699999999</v>
      </c>
      <c r="J3" s="7">
        <v>26641.184000000001</v>
      </c>
      <c r="L3" s="11" t="s">
        <v>50</v>
      </c>
      <c r="M3" s="11" t="s">
        <v>97</v>
      </c>
      <c r="N3" s="11"/>
    </row>
    <row r="4" spans="1:14" x14ac:dyDescent="0.2">
      <c r="A4" t="s">
        <v>23</v>
      </c>
      <c r="B4" t="str">
        <f t="shared" si="0"/>
        <v>V-0003</v>
      </c>
      <c r="C4" t="str">
        <f t="shared" si="1"/>
        <v>SandraBlanco</v>
      </c>
      <c r="D4" t="s">
        <v>125</v>
      </c>
      <c r="E4" t="s">
        <v>30</v>
      </c>
      <c r="F4" s="7">
        <v>27102.024399999998</v>
      </c>
      <c r="G4" s="7">
        <v>25458.341199999999</v>
      </c>
      <c r="H4" s="7">
        <v>23071.166099999999</v>
      </c>
      <c r="I4" s="7">
        <v>23711.441999999999</v>
      </c>
      <c r="J4" s="7">
        <v>30637.3616</v>
      </c>
      <c r="L4" s="24" t="s">
        <v>52</v>
      </c>
      <c r="M4" s="24" t="s">
        <v>98</v>
      </c>
      <c r="N4" s="24"/>
    </row>
    <row r="5" spans="1:14" x14ac:dyDescent="0.2">
      <c r="A5" t="s">
        <v>24</v>
      </c>
      <c r="B5" t="str">
        <f t="shared" si="0"/>
        <v>V-0004</v>
      </c>
      <c r="C5" t="str">
        <f t="shared" si="1"/>
        <v>JoseRomero</v>
      </c>
      <c r="D5" t="s">
        <v>126</v>
      </c>
      <c r="E5" t="s">
        <v>31</v>
      </c>
      <c r="F5" s="7">
        <v>22174.383600000001</v>
      </c>
      <c r="G5" s="7">
        <v>23244.572400000001</v>
      </c>
      <c r="H5" s="7">
        <v>20642.622299999999</v>
      </c>
      <c r="I5" s="7">
        <v>24897.0141</v>
      </c>
      <c r="J5" s="7">
        <v>25309.124800000001</v>
      </c>
    </row>
    <row r="6" spans="1:14" x14ac:dyDescent="0.2">
      <c r="A6" t="s">
        <v>25</v>
      </c>
      <c r="B6" t="str">
        <f t="shared" si="0"/>
        <v>V-0005</v>
      </c>
      <c r="C6" t="str">
        <f t="shared" si="1"/>
        <v>RobertoMartinez</v>
      </c>
      <c r="D6" t="s">
        <v>127</v>
      </c>
      <c r="E6" t="s">
        <v>49</v>
      </c>
      <c r="F6" s="7">
        <v>30797.755000000001</v>
      </c>
      <c r="G6" s="7">
        <v>20477.361400000002</v>
      </c>
      <c r="H6" s="7">
        <v>26713.981800000001</v>
      </c>
      <c r="I6" s="7">
        <v>27268.158299999999</v>
      </c>
      <c r="J6" s="7">
        <v>22645.006399999998</v>
      </c>
    </row>
    <row r="9" spans="1:14" x14ac:dyDescent="0.2">
      <c r="F9" s="108" t="s">
        <v>159</v>
      </c>
      <c r="G9" s="108"/>
      <c r="H9" s="108"/>
      <c r="I9" s="108"/>
    </row>
    <row r="10" spans="1:14" x14ac:dyDescent="0.2">
      <c r="F10" s="25" t="s">
        <v>0</v>
      </c>
      <c r="G10" s="25" t="s">
        <v>32</v>
      </c>
      <c r="H10" s="25" t="s">
        <v>131</v>
      </c>
      <c r="I10" s="25" t="s">
        <v>132</v>
      </c>
    </row>
    <row r="11" spans="1:14" x14ac:dyDescent="0.2">
      <c r="F11" t="s">
        <v>80</v>
      </c>
      <c r="G11" t="s">
        <v>17</v>
      </c>
      <c r="H11" s="4">
        <f>INDEX(Tabla3[[enero]:[mayo]], MATCH(Tabla1[[#This Row],[Vendedor]],Tabla3[Nombre completo],0), MATCH(Tabla1[[#This Row],[Mes]],Tabla3[[#Headers],[enero]:[mayo]],0))</f>
        <v>19923.9192</v>
      </c>
      <c r="I11" t="str">
        <f>IF(Tabla1[[#This Row],[Total ventas]] &lt; 20000, "Ventas Muy Bajas", IF(Tabla1[[#This Row],[Total ventas]] &lt; 25000, "Ventas Regular", "Ventas Cumplidas"))</f>
        <v>Ventas Muy Bajas</v>
      </c>
    </row>
    <row r="12" spans="1:14" x14ac:dyDescent="0.2">
      <c r="F12" t="s">
        <v>81</v>
      </c>
      <c r="G12" t="s">
        <v>20</v>
      </c>
      <c r="H12" s="4">
        <f>INDEX(Tabla3[[enero]:[mayo]], MATCH(Tabla1[[#This Row],[Vendedor]],Tabla3[Nombre completo],0), MATCH(Tabla1[[#This Row],[Mes]],Tabla3[[#Headers],[enero]:[mayo]],0))</f>
        <v>30637.3616</v>
      </c>
      <c r="I12" t="str">
        <f>IF(Tabla1[[#This Row],[Total ventas]] &lt; 20000, "Ventas Muy Bajas", IF(Tabla1[[#This Row],[Total ventas]] &lt; 25000, "Ventas Regular", "Ventas Cumplidas"))</f>
        <v>Ventas Cumplidas</v>
      </c>
    </row>
    <row r="13" spans="1:14" x14ac:dyDescent="0.2">
      <c r="F13" t="s">
        <v>80</v>
      </c>
      <c r="G13" t="s">
        <v>20</v>
      </c>
      <c r="H13" s="4">
        <f>INDEX(Tabla3[[enero]:[mayo]], MATCH(Tabla1[[#This Row],[Vendedor]],Tabla3[Nombre completo],0), MATCH(Tabla1[[#This Row],[Mes]],Tabla3[[#Headers],[enero]:[mayo]],0))</f>
        <v>26641.184000000001</v>
      </c>
      <c r="I13" t="str">
        <f>IF(Tabla1[[#This Row],[Total ventas]] &lt; 20000, "Ventas Muy Bajas", IF(Tabla1[[#This Row],[Total ventas]] &lt; 25000, "Ventas Regular", "Ventas Cumplidas"))</f>
        <v>Ventas Cumplidas</v>
      </c>
    </row>
    <row r="14" spans="1:14" x14ac:dyDescent="0.2">
      <c r="F14" t="s">
        <v>79</v>
      </c>
      <c r="G14" t="s">
        <v>19</v>
      </c>
      <c r="H14" s="4">
        <f>INDEX(Tabla3[[enero]:[mayo]], MATCH(Tabla1[[#This Row],[Vendedor]],Tabla3[Nombre completo],0), MATCH(Tabla1[[#This Row],[Mes]],Tabla3[[#Headers],[enero]:[mayo]],0))</f>
        <v>22525.869900000002</v>
      </c>
      <c r="I14" t="str">
        <f>IF(Tabla1[[#This Row],[Total ventas]] &lt; 20000, "Ventas Muy Bajas", IF(Tabla1[[#This Row],[Total ventas]] &lt; 25000, "Ventas Regular", "Ventas Cumplidas"))</f>
        <v>Ventas Regular</v>
      </c>
    </row>
    <row r="15" spans="1:14" x14ac:dyDescent="0.2">
      <c r="F15" t="s">
        <v>81</v>
      </c>
      <c r="G15" t="s">
        <v>20</v>
      </c>
      <c r="H15" s="4">
        <f>INDEX(Tabla3[[enero]:[mayo]], MATCH(Tabla1[[#This Row],[Vendedor]],Tabla3[Nombre completo],0), MATCH(Tabla1[[#This Row],[Mes]],Tabla3[[#Headers],[enero]:[mayo]],0))</f>
        <v>30637.3616</v>
      </c>
      <c r="I15" t="str">
        <f>IF(Tabla1[[#This Row],[Total ventas]] &lt; 20000, "Ventas Muy Bajas", IF(Tabla1[[#This Row],[Total ventas]] &lt; 25000, "Ventas Regular", "Ventas Cumplidas"))</f>
        <v>Ventas Cumplidas</v>
      </c>
    </row>
    <row r="16" spans="1:14" x14ac:dyDescent="0.2">
      <c r="H16" s="4" t="e">
        <f>INDEX(Tabla3[[enero]:[mayo]], MATCH(Tabla1[[#This Row],[Vendedor]],Tabla3[Nombre completo],0), MATCH(Tabla1[[#This Row],[Mes]],Tabla3[[#Headers],[enero]:[mayo]],0))</f>
        <v>#N/A</v>
      </c>
      <c r="I16" t="e">
        <f>IF(Tabla1[[#This Row],[Total ventas]] &lt; 20000, "Ventas Muy Bajas", IF(Tabla1[[#This Row],[Total ventas]] &lt; 25000, "Ventas Regular", "Ventas Cumplidas"))</f>
        <v>#N/A</v>
      </c>
    </row>
    <row r="17" spans="8:9" x14ac:dyDescent="0.2">
      <c r="H17" s="4" t="e">
        <f>INDEX(Tabla3[[enero]:[mayo]], MATCH(Tabla1[[#This Row],[Vendedor]],Tabla3[Nombre completo],0), MATCH(Tabla1[[#This Row],[Mes]],Tabla3[[#Headers],[enero]:[mayo]],0))</f>
        <v>#N/A</v>
      </c>
      <c r="I17" t="e">
        <f>IF(Tabla1[[#This Row],[Total ventas]] &lt; 20000, "Ventas Muy Bajas", IF(Tabla1[[#This Row],[Total ventas]] &lt; 25000, "Ventas Regular", "Ventas Cumplidas"))</f>
        <v>#N/A</v>
      </c>
    </row>
    <row r="18" spans="8:9" x14ac:dyDescent="0.2">
      <c r="H18" s="4" t="e">
        <f>INDEX(Tabla3[[enero]:[mayo]], MATCH(Tabla1[[#This Row],[Vendedor]],Tabla3[Nombre completo],0), MATCH(Tabla1[[#This Row],[Mes]],Tabla3[[#Headers],[enero]:[mayo]],0))</f>
        <v>#N/A</v>
      </c>
      <c r="I18" t="e">
        <f>IF(Tabla1[[#This Row],[Total ventas]] &lt; 20000, "Ventas Muy Bajas", IF(Tabla1[[#This Row],[Total ventas]] &lt; 25000, "Ventas Regular", "Ventas Cumplidas"))</f>
        <v>#N/A</v>
      </c>
    </row>
    <row r="19" spans="8:9" x14ac:dyDescent="0.2">
      <c r="H19" s="4" t="e">
        <f>INDEX(Tabla3[[enero]:[mayo]], MATCH(Tabla1[[#This Row],[Vendedor]],Tabla3[Nombre completo],0), MATCH(Tabla1[[#This Row],[Mes]],Tabla3[[#Headers],[enero]:[mayo]],0))</f>
        <v>#N/A</v>
      </c>
      <c r="I19" t="e">
        <f>IF(Tabla1[[#This Row],[Total ventas]] &lt; 20000, "Ventas Muy Bajas", IF(Tabla1[[#This Row],[Total ventas]] &lt; 25000, "Ventas Regular", "Ventas Cumplidas"))</f>
        <v>#N/A</v>
      </c>
    </row>
    <row r="20" spans="8:9" x14ac:dyDescent="0.2">
      <c r="H20" s="4" t="e">
        <f>INDEX(Tabla3[[enero]:[mayo]], MATCH(Tabla1[[#This Row],[Vendedor]],Tabla3[Nombre completo],0), MATCH(Tabla1[[#This Row],[Mes]],Tabla3[[#Headers],[enero]:[mayo]],0))</f>
        <v>#N/A</v>
      </c>
      <c r="I20" t="e">
        <f>IF(Tabla1[[#This Row],[Total ventas]] &lt; 20000, "Ventas Muy Bajas", IF(Tabla1[[#This Row],[Total ventas]] &lt; 25000, "Ventas Regular", "Ventas Cumplidas"))</f>
        <v>#N/A</v>
      </c>
    </row>
    <row r="21" spans="8:9" x14ac:dyDescent="0.2">
      <c r="H21" s="4" t="e">
        <f>INDEX(Tabla3[[enero]:[mayo]], MATCH(Tabla1[[#This Row],[Vendedor]],Tabla3[Nombre completo],0), MATCH(Tabla1[[#This Row],[Mes]],Tabla3[[#Headers],[enero]:[mayo]],0))</f>
        <v>#N/A</v>
      </c>
      <c r="I21" t="e">
        <f>IF(Tabla1[[#This Row],[Total ventas]] &lt; 20000, "Ventas Muy Bajas", IF(Tabla1[[#This Row],[Total ventas]] &lt; 25000, "Ventas Regular", "Ventas Cumplidas"))</f>
        <v>#N/A</v>
      </c>
    </row>
    <row r="22" spans="8:9" x14ac:dyDescent="0.2">
      <c r="H22" s="4" t="e">
        <f>INDEX(Tabla3[[enero]:[mayo]], MATCH(Tabla1[[#This Row],[Vendedor]],Tabla3[Nombre completo],0), MATCH(Tabla1[[#This Row],[Mes]],Tabla3[[#Headers],[enero]:[mayo]],0))</f>
        <v>#N/A</v>
      </c>
      <c r="I22" t="e">
        <f>IF(Tabla1[[#This Row],[Total ventas]] &lt; 20000, "Ventas Muy Bajas", IF(Tabla1[[#This Row],[Total ventas]] &lt; 25000, "Ventas Regular", "Ventas Cumplidas"))</f>
        <v>#N/A</v>
      </c>
    </row>
    <row r="23" spans="8:9" x14ac:dyDescent="0.2">
      <c r="H23" s="4" t="e">
        <f>INDEX(Tabla3[[enero]:[mayo]], MATCH(Tabla1[[#This Row],[Vendedor]],Tabla3[Nombre completo],0), MATCH(Tabla1[[#This Row],[Mes]],Tabla3[[#Headers],[enero]:[mayo]],0))</f>
        <v>#N/A</v>
      </c>
      <c r="I23" t="e">
        <f>IF(Tabla1[[#This Row],[Total ventas]] &lt; 20000, "Ventas Muy Bajas", IF(Tabla1[[#This Row],[Total ventas]] &lt; 25000, "Ventas Regular", "Ventas Cumplidas"))</f>
        <v>#N/A</v>
      </c>
    </row>
    <row r="24" spans="8:9" x14ac:dyDescent="0.2">
      <c r="H24" s="4" t="e">
        <f>INDEX(Tabla3[[enero]:[mayo]], MATCH(Tabla1[[#This Row],[Vendedor]],Tabla3[Nombre completo],0), MATCH(Tabla1[[#This Row],[Mes]],Tabla3[[#Headers],[enero]:[mayo]],0))</f>
        <v>#N/A</v>
      </c>
      <c r="I24" t="e">
        <f>IF(Tabla1[[#This Row],[Total ventas]] &lt; 20000, "Ventas Muy Bajas", IF(Tabla1[[#This Row],[Total ventas]] &lt; 25000, "Ventas Regular", "Ventas Cumplidas"))</f>
        <v>#N/A</v>
      </c>
    </row>
    <row r="25" spans="8:9" x14ac:dyDescent="0.2">
      <c r="H25" s="4" t="e">
        <f>INDEX(Tabla3[[enero]:[mayo]], MATCH(Tabla1[[#This Row],[Vendedor]],Tabla3[Nombre completo],0), MATCH(Tabla1[[#This Row],[Mes]],Tabla3[[#Headers],[enero]:[mayo]],0))</f>
        <v>#N/A</v>
      </c>
      <c r="I25" t="e">
        <f>IF(Tabla1[[#This Row],[Total ventas]] &lt; 20000, "Ventas Muy Bajas", IF(Tabla1[[#This Row],[Total ventas]] &lt; 25000, "Ventas Regular", "Ventas Cumplidas"))</f>
        <v>#N/A</v>
      </c>
    </row>
    <row r="26" spans="8:9" x14ac:dyDescent="0.2">
      <c r="H26" s="4" t="e">
        <f>INDEX(Tabla3[[enero]:[mayo]], MATCH(Tabla1[[#This Row],[Vendedor]],Tabla3[Nombre completo],0), MATCH(Tabla1[[#This Row],[Mes]],Tabla3[[#Headers],[enero]:[mayo]],0))</f>
        <v>#N/A</v>
      </c>
      <c r="I26" t="e">
        <f>IF(Tabla1[[#This Row],[Total ventas]] &lt; 20000, "Ventas Muy Bajas", IF(Tabla1[[#This Row],[Total ventas]] &lt; 25000, "Ventas Regular", "Ventas Cumplidas"))</f>
        <v>#N/A</v>
      </c>
    </row>
    <row r="27" spans="8:9" x14ac:dyDescent="0.2">
      <c r="H27" s="4" t="e">
        <f>INDEX(Tabla3[[enero]:[mayo]], MATCH(Tabla1[[#This Row],[Vendedor]],Tabla3[Nombre completo],0), MATCH(Tabla1[[#This Row],[Mes]],Tabla3[[#Headers],[enero]:[mayo]],0))</f>
        <v>#N/A</v>
      </c>
      <c r="I27" t="e">
        <f>IF(Tabla1[[#This Row],[Total ventas]] &lt; 20000, "Ventas Muy Bajas", IF(Tabla1[[#This Row],[Total ventas]] &lt; 25000, "Ventas Regular", "Ventas Cumplidas"))</f>
        <v>#N/A</v>
      </c>
    </row>
    <row r="28" spans="8:9" x14ac:dyDescent="0.2">
      <c r="H28" s="4" t="e">
        <f>INDEX(Tabla3[[enero]:[mayo]], MATCH(Tabla1[[#This Row],[Vendedor]],Tabla3[Nombre completo],0), MATCH(Tabla1[[#This Row],[Mes]],Tabla3[[#Headers],[enero]:[mayo]],0))</f>
        <v>#N/A</v>
      </c>
      <c r="I28" t="e">
        <f>IF(Tabla1[[#This Row],[Total ventas]] &lt; 20000, "Ventas Muy Bajas", IF(Tabla1[[#This Row],[Total ventas]] &lt; 25000, "Ventas Regular", "Ventas Cumplidas"))</f>
        <v>#N/A</v>
      </c>
    </row>
    <row r="29" spans="8:9" x14ac:dyDescent="0.2">
      <c r="H29" s="4" t="e">
        <f>INDEX(Tabla3[[enero]:[mayo]], MATCH(Tabla1[[#This Row],[Vendedor]],Tabla3[Nombre completo],0), MATCH(Tabla1[[#This Row],[Mes]],Tabla3[[#Headers],[enero]:[mayo]],0))</f>
        <v>#N/A</v>
      </c>
      <c r="I29" t="e">
        <f>IF(Tabla1[[#This Row],[Total ventas]] &lt; 20000, "Ventas Muy Bajas", IF(Tabla1[[#This Row],[Total ventas]] &lt; 25000, "Ventas Regular", "Ventas Cumplidas"))</f>
        <v>#N/A</v>
      </c>
    </row>
    <row r="30" spans="8:9" x14ac:dyDescent="0.2">
      <c r="H30" s="4" t="e">
        <f>INDEX(Tabla3[[enero]:[mayo]], MATCH(Tabla1[[#This Row],[Vendedor]],Tabla3[Nombre completo],0), MATCH(Tabla1[[#This Row],[Mes]],Tabla3[[#Headers],[enero]:[mayo]],0))</f>
        <v>#N/A</v>
      </c>
      <c r="I30" t="e">
        <f>IF(Tabla1[[#This Row],[Total ventas]] &lt; 20000, "Ventas Muy Bajas", IF(Tabla1[[#This Row],[Total ventas]] &lt; 25000, "Ventas Regular", "Ventas Cumplidas"))</f>
        <v>#N/A</v>
      </c>
    </row>
    <row r="31" spans="8:9" x14ac:dyDescent="0.2">
      <c r="H31" s="4" t="e">
        <f>INDEX(Tabla3[[enero]:[mayo]], MATCH(Tabla1[[#This Row],[Vendedor]],Tabla3[Nombre completo],0), MATCH(Tabla1[[#This Row],[Mes]],Tabla3[[#Headers],[enero]:[mayo]],0))</f>
        <v>#N/A</v>
      </c>
      <c r="I31" t="e">
        <f>IF(Tabla1[[#This Row],[Total ventas]] &lt; 20000, "Ventas Muy Bajas", IF(Tabla1[[#This Row],[Total ventas]] &lt; 25000, "Ventas Regular", "Ventas Cumplidas"))</f>
        <v>#N/A</v>
      </c>
    </row>
    <row r="32" spans="8:9" x14ac:dyDescent="0.2">
      <c r="H32" s="4" t="e">
        <f>INDEX(Tabla3[[enero]:[mayo]], MATCH(Tabla1[[#This Row],[Vendedor]],Tabla3[Nombre completo],0), MATCH(Tabla1[[#This Row],[Mes]],Tabla3[[#Headers],[enero]:[mayo]],0))</f>
        <v>#N/A</v>
      </c>
      <c r="I32" t="e">
        <f>IF(Tabla1[[#This Row],[Total ventas]] &lt; 20000, "Ventas Muy Bajas", IF(Tabla1[[#This Row],[Total ventas]] &lt; 25000, "Ventas Regular", "Ventas Cumplidas"))</f>
        <v>#N/A</v>
      </c>
    </row>
    <row r="33" spans="8:9" x14ac:dyDescent="0.2">
      <c r="H33" s="4" t="e">
        <f>INDEX(Tabla3[[enero]:[mayo]], MATCH(Tabla1[[#This Row],[Vendedor]],Tabla3[Nombre completo],0), MATCH(Tabla1[[#This Row],[Mes]],Tabla3[[#Headers],[enero]:[mayo]],0))</f>
        <v>#N/A</v>
      </c>
      <c r="I33" t="e">
        <f>IF(Tabla1[[#This Row],[Total ventas]] &lt; 20000, "Ventas Muy Bajas", IF(Tabla1[[#This Row],[Total ventas]] &lt; 25000, "Ventas Regular", "Ventas Cumplidas"))</f>
        <v>#N/A</v>
      </c>
    </row>
    <row r="34" spans="8:9" x14ac:dyDescent="0.2">
      <c r="H34" s="4" t="e">
        <f>INDEX(Tabla3[[enero]:[mayo]], MATCH(Tabla1[[#This Row],[Vendedor]],Tabla3[Nombre completo],0), MATCH(Tabla1[[#This Row],[Mes]],Tabla3[[#Headers],[enero]:[mayo]],0))</f>
        <v>#N/A</v>
      </c>
      <c r="I34" t="e">
        <f>IF(Tabla1[[#This Row],[Total ventas]] &lt; 20000, "Ventas Muy Bajas", IF(Tabla1[[#This Row],[Total ventas]] &lt; 25000, "Ventas Regular", "Ventas Cumplidas"))</f>
        <v>#N/A</v>
      </c>
    </row>
    <row r="35" spans="8:9" x14ac:dyDescent="0.2">
      <c r="H35" s="4" t="e">
        <f>INDEX(Tabla3[[enero]:[mayo]], MATCH(Tabla1[[#This Row],[Vendedor]],Tabla3[Nombre completo],0), MATCH(Tabla1[[#This Row],[Mes]],Tabla3[[#Headers],[enero]:[mayo]],0))</f>
        <v>#N/A</v>
      </c>
      <c r="I35" t="e">
        <f>IF(Tabla1[[#This Row],[Total ventas]] &lt; 20000, "Ventas Muy Bajas", IF(Tabla1[[#This Row],[Total ventas]] &lt; 25000, "Ventas Regular", "Ventas Cumplidas"))</f>
        <v>#N/A</v>
      </c>
    </row>
    <row r="36" spans="8:9" x14ac:dyDescent="0.2">
      <c r="H36" s="4" t="e">
        <f>INDEX(Tabla3[[enero]:[mayo]], MATCH(Tabla1[[#This Row],[Vendedor]],Tabla3[Nombre completo],0), MATCH(Tabla1[[#This Row],[Mes]],Tabla3[[#Headers],[enero]:[mayo]],0))</f>
        <v>#N/A</v>
      </c>
      <c r="I36" t="e">
        <f>IF(Tabla1[[#This Row],[Total ventas]] &lt; 20000, "Ventas Muy Bajas", IF(Tabla1[[#This Row],[Total ventas]] &lt; 25000, "Ventas Regular", "Ventas Cumplidas"))</f>
        <v>#N/A</v>
      </c>
    </row>
    <row r="37" spans="8:9" x14ac:dyDescent="0.2">
      <c r="H37" s="4" t="e">
        <f>INDEX(Tabla3[[enero]:[mayo]], MATCH(Tabla1[[#This Row],[Vendedor]],Tabla3[Nombre completo],0), MATCH(Tabla1[[#This Row],[Mes]],Tabla3[[#Headers],[enero]:[mayo]],0))</f>
        <v>#N/A</v>
      </c>
      <c r="I37" t="e">
        <f>IF(Tabla1[[#This Row],[Total ventas]] &lt; 20000, "Ventas Muy Bajas", IF(Tabla1[[#This Row],[Total ventas]] &lt; 25000, "Ventas Regular", "Ventas Cumplidas"))</f>
        <v>#N/A</v>
      </c>
    </row>
    <row r="38" spans="8:9" x14ac:dyDescent="0.2">
      <c r="H38" s="4" t="e">
        <f>INDEX(Tabla3[[enero]:[mayo]], MATCH(Tabla1[[#This Row],[Vendedor]],Tabla3[Nombre completo],0), MATCH(Tabla1[[#This Row],[Mes]],Tabla3[[#Headers],[enero]:[mayo]],0))</f>
        <v>#N/A</v>
      </c>
      <c r="I38" t="e">
        <f>IF(Tabla1[[#This Row],[Total ventas]] &lt; 20000, "Ventas Muy Bajas", IF(Tabla1[[#This Row],[Total ventas]] &lt; 25000, "Ventas Regular", "Ventas Cumplidas"))</f>
        <v>#N/A</v>
      </c>
    </row>
    <row r="39" spans="8:9" x14ac:dyDescent="0.2">
      <c r="H39" s="4" t="e">
        <f>INDEX(Tabla3[[enero]:[mayo]], MATCH(Tabla1[[#This Row],[Vendedor]],Tabla3[Nombre completo],0), MATCH(Tabla1[[#This Row],[Mes]],Tabla3[[#Headers],[enero]:[mayo]],0))</f>
        <v>#N/A</v>
      </c>
      <c r="I39" t="e">
        <f>IF(Tabla1[[#This Row],[Total ventas]] &lt; 20000, "Ventas Muy Bajas", IF(Tabla1[[#This Row],[Total ventas]] &lt; 25000, "Ventas Regular", "Ventas Cumplidas"))</f>
        <v>#N/A</v>
      </c>
    </row>
  </sheetData>
  <mergeCells count="1">
    <mergeCell ref="F9:I9"/>
  </mergeCells>
  <conditionalFormatting sqref="F2:J6">
    <cfRule type="colorScale" priority="4">
      <colorScale>
        <cfvo type="num" val="20000"/>
        <cfvo type="num" val="20001"/>
        <cfvo type="num" val="25000"/>
        <color theme="8" tint="0.79998168889431442"/>
        <color theme="8" tint="0.39997558519241921"/>
        <color rgb="FF00B0F0"/>
      </colorScale>
    </cfRule>
  </conditionalFormatting>
  <conditionalFormatting sqref="I11:I39">
    <cfRule type="containsText" dxfId="37" priority="1" operator="containsText" text="Ventas Cumplidas">
      <formula>NOT(ISERROR(SEARCH("Ventas Cumplidas",I11)))</formula>
    </cfRule>
    <cfRule type="containsText" dxfId="36" priority="2" operator="containsText" text="Ventas Regular">
      <formula>NOT(ISERROR(SEARCH("Ventas Regular",I11)))</formula>
    </cfRule>
    <cfRule type="containsText" dxfId="35" priority="3" operator="containsText" text="Ventas Muy Bajas">
      <formula>NOT(ISERROR(SEARCH("Ventas Muy Bajas",I11)))</formula>
    </cfRule>
  </conditionalFormatting>
  <dataValidations count="2">
    <dataValidation type="list" showInputMessage="1" showErrorMessage="1" sqref="G11:G39" xr:uid="{5389F789-F9CF-204E-8C12-54F34AA8C18D}">
      <formula1>$F$1:$J$1</formula1>
    </dataValidation>
    <dataValidation type="list" showInputMessage="1" showErrorMessage="1" sqref="D40:D41 F11:F39" xr:uid="{3DEEA485-14C4-AF49-8F07-C9AF2D171583}">
      <formula1>$C$2:$C$6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K31"/>
  <sheetViews>
    <sheetView showGridLines="0" zoomScaleNormal="100" workbookViewId="0">
      <selection activeCell="D11" sqref="D11:G11"/>
    </sheetView>
  </sheetViews>
  <sheetFormatPr baseColWidth="10" defaultColWidth="10.83203125" defaultRowHeight="15" x14ac:dyDescent="0.2"/>
  <cols>
    <col min="1" max="1" width="10.83203125" style="3"/>
    <col min="3" max="3" width="12.1640625" bestFit="1" customWidth="1"/>
    <col min="4" max="6" width="11.1640625" bestFit="1" customWidth="1"/>
    <col min="7" max="7" width="14.33203125" customWidth="1"/>
    <col min="11" max="11" width="11.1640625" bestFit="1" customWidth="1"/>
  </cols>
  <sheetData>
    <row r="1" spans="1:11" x14ac:dyDescent="0.2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</row>
    <row r="2" spans="1:11" x14ac:dyDescent="0.2">
      <c r="A2" s="16" t="s">
        <v>16</v>
      </c>
      <c r="B2" s="15">
        <v>2023</v>
      </c>
      <c r="C2" s="17">
        <v>123191.02</v>
      </c>
      <c r="D2" s="17">
        <v>45580.68</v>
      </c>
      <c r="E2" s="17">
        <v>34493.49</v>
      </c>
      <c r="F2" s="17">
        <v>43116.86</v>
      </c>
      <c r="H2" s="10" t="s">
        <v>135</v>
      </c>
      <c r="I2" s="10"/>
      <c r="J2" s="10"/>
      <c r="K2" s="33">
        <v>44000</v>
      </c>
    </row>
    <row r="3" spans="1:11" x14ac:dyDescent="0.2">
      <c r="A3" s="16" t="s">
        <v>17</v>
      </c>
      <c r="B3" s="15">
        <v>2023</v>
      </c>
      <c r="C3" s="17">
        <v>110688.44</v>
      </c>
      <c r="D3" s="17">
        <v>41884.949999999997</v>
      </c>
      <c r="E3" s="17">
        <v>35725.4</v>
      </c>
      <c r="F3" s="17">
        <v>33078.1</v>
      </c>
      <c r="H3" s="11" t="s">
        <v>136</v>
      </c>
      <c r="I3" s="11"/>
      <c r="J3" s="11"/>
      <c r="K3" s="34">
        <v>40000</v>
      </c>
    </row>
    <row r="4" spans="1:11" x14ac:dyDescent="0.2">
      <c r="A4" s="16" t="s">
        <v>18</v>
      </c>
      <c r="B4" s="15">
        <v>2023</v>
      </c>
      <c r="C4" s="17">
        <v>121427.19</v>
      </c>
      <c r="D4" s="17">
        <v>44348.77</v>
      </c>
      <c r="E4" s="17">
        <v>36957.31</v>
      </c>
      <c r="F4" s="17">
        <v>40121.120000000003</v>
      </c>
      <c r="H4" s="24" t="s">
        <v>137</v>
      </c>
      <c r="I4" s="24"/>
      <c r="J4" s="24"/>
      <c r="K4" s="35">
        <v>40000</v>
      </c>
    </row>
    <row r="5" spans="1:11" x14ac:dyDescent="0.2">
      <c r="A5" s="16" t="s">
        <v>19</v>
      </c>
      <c r="B5" s="15">
        <v>2023</v>
      </c>
      <c r="C5" s="17">
        <v>118557.21</v>
      </c>
      <c r="D5" s="17">
        <v>43116.86</v>
      </c>
      <c r="E5" s="17">
        <v>36957.31</v>
      </c>
      <c r="F5" s="17">
        <v>38483.050000000003</v>
      </c>
    </row>
    <row r="6" spans="1:11" x14ac:dyDescent="0.2">
      <c r="A6" s="16" t="s">
        <v>20</v>
      </c>
      <c r="B6" s="15">
        <v>2023</v>
      </c>
      <c r="C6" s="17">
        <v>133205.92000000001</v>
      </c>
      <c r="D6" s="17">
        <v>43116.86</v>
      </c>
      <c r="E6" s="17">
        <v>34493.49</v>
      </c>
      <c r="F6" s="17">
        <v>48092.27</v>
      </c>
    </row>
    <row r="7" spans="1:11" x14ac:dyDescent="0.2">
      <c r="A7" s="16"/>
      <c r="B7" s="15"/>
      <c r="C7" s="15"/>
      <c r="D7" s="15"/>
      <c r="E7" s="15"/>
      <c r="F7" s="15"/>
    </row>
    <row r="11" spans="1:11" x14ac:dyDescent="0.2">
      <c r="D11" s="109" t="s">
        <v>160</v>
      </c>
      <c r="E11" s="110"/>
      <c r="F11" s="110"/>
      <c r="G11" s="111"/>
    </row>
    <row r="12" spans="1:11" x14ac:dyDescent="0.2">
      <c r="D12" t="s">
        <v>1</v>
      </c>
      <c r="E12" t="s">
        <v>32</v>
      </c>
      <c r="F12" t="s">
        <v>133</v>
      </c>
      <c r="G12" t="s">
        <v>134</v>
      </c>
    </row>
    <row r="13" spans="1:11" x14ac:dyDescent="0.2">
      <c r="D13" t="s">
        <v>35</v>
      </c>
      <c r="E13" t="s">
        <v>17</v>
      </c>
      <c r="F13" s="4">
        <f>INDEX(Tabla4[[Tienda 1]:[Tienda 3]],MATCH(Tabla8[[#This Row],[Mes]],Tabla4[Mes],0),MATCH(Tabla8[[#This Row],[Tienda]],Tabla4[[#Headers],[Tienda 1]:[Tienda 3]],0))</f>
        <v>41884.949999999997</v>
      </c>
      <c r="G13" t="str">
        <f>IF(Tabla8[[#This Row],[Ventas]] &lt; K4, "Ventas no aceptables", IF(Tabla8[[#This Row],[Ventas]] &lt; K2, "Ventas Aceptables", "Ventas Objetivo"))</f>
        <v>Ventas Aceptables</v>
      </c>
    </row>
    <row r="14" spans="1:11" x14ac:dyDescent="0.2">
      <c r="D14" t="s">
        <v>36</v>
      </c>
      <c r="E14" t="s">
        <v>18</v>
      </c>
      <c r="F14" s="4">
        <f>INDEX(Tabla4[[Tienda 1]:[Tienda 3]],MATCH(Tabla8[[#This Row],[Mes]],Tabla4[Mes],0),MATCH(Tabla8[[#This Row],[Tienda]],Tabla4[[#Headers],[Tienda 1]:[Tienda 3]],0))</f>
        <v>36957.31</v>
      </c>
      <c r="G14" t="str">
        <f>IF(Tabla8[[#This Row],[Ventas]] &lt; K5, "Ventas no aceptables", IF(Tabla8[[#This Row],[Ventas]] &lt; K3, "Ventas Aceptables", "Ventas Objetivo"))</f>
        <v>Ventas Aceptables</v>
      </c>
    </row>
    <row r="15" spans="1:11" x14ac:dyDescent="0.2">
      <c r="D15" t="s">
        <v>37</v>
      </c>
      <c r="E15" t="s">
        <v>20</v>
      </c>
      <c r="F15" s="4">
        <f>INDEX(Tabla4[[Tienda 1]:[Tienda 3]],MATCH(Tabla8[[#This Row],[Mes]],Tabla4[Mes],0),MATCH(Tabla8[[#This Row],[Tienda]],Tabla4[[#Headers],[Tienda 1]:[Tienda 3]],0))</f>
        <v>48092.27</v>
      </c>
      <c r="G15" t="str">
        <f>IF(Tabla8[[#This Row],[Ventas]] &lt; K6, "Ventas no aceptables", IF(Tabla8[[#This Row],[Ventas]] &lt; K4, "Ventas Aceptables", "Ventas Objetivo"))</f>
        <v>Ventas Objetivo</v>
      </c>
    </row>
    <row r="16" spans="1:11" x14ac:dyDescent="0.2">
      <c r="F16" s="4" t="e">
        <f>INDEX(Tabla4[[Tienda 1]:[Tienda 3]],MATCH(Tabla8[[#This Row],[Mes]],Tabla4[Mes],0),MATCH(Tabla8[[#This Row],[Tienda]],Tabla4[[#Headers],[Tienda 1]:[Tienda 3]],0))</f>
        <v>#N/A</v>
      </c>
      <c r="G16" t="e">
        <f>IF(Tabla8[[#This Row],[Ventas]] &lt; K7, "Ventas no aceptables", IF(Tabla8[[#This Row],[Ventas]] &lt; K5, "Ventas Aceptables", "Ventas Objetivo"))</f>
        <v>#N/A</v>
      </c>
    </row>
    <row r="17" spans="6:7" x14ac:dyDescent="0.2">
      <c r="F17" s="4" t="e">
        <f>INDEX(Tabla4[[Tienda 1]:[Tienda 3]],MATCH(Tabla8[[#This Row],[Mes]],Tabla4[Mes],0),MATCH(Tabla8[[#This Row],[Tienda]],Tabla4[[#Headers],[Tienda 1]:[Tienda 3]],0))</f>
        <v>#N/A</v>
      </c>
      <c r="G17" t="e">
        <f>IF(Tabla8[[#This Row],[Ventas]] &lt; K8, "Ventas no aceptables", IF(Tabla8[[#This Row],[Ventas]] &lt; K6, "Ventas Aceptables", "Ventas Objetivo"))</f>
        <v>#N/A</v>
      </c>
    </row>
    <row r="18" spans="6:7" x14ac:dyDescent="0.2">
      <c r="F18" s="4" t="e">
        <f>INDEX(Tabla4[[Tienda 1]:[Tienda 3]],MATCH(Tabla8[[#This Row],[Mes]],Tabla4[Mes],0),MATCH(Tabla8[[#This Row],[Tienda]],Tabla4[[#Headers],[Tienda 1]:[Tienda 3]],0))</f>
        <v>#N/A</v>
      </c>
      <c r="G18" t="e">
        <f>IF(Tabla8[[#This Row],[Ventas]] &lt; K9, "Ventas no aceptables", IF(Tabla8[[#This Row],[Ventas]] &lt; K7, "Ventas Aceptables", "Ventas Objetivo"))</f>
        <v>#N/A</v>
      </c>
    </row>
    <row r="19" spans="6:7" x14ac:dyDescent="0.2">
      <c r="F19" s="4" t="e">
        <f>INDEX(Tabla4[[Tienda 1]:[Tienda 3]],MATCH(Tabla8[[#This Row],[Mes]],Tabla4[Mes],0),MATCH(Tabla8[[#This Row],[Tienda]],Tabla4[[#Headers],[Tienda 1]:[Tienda 3]],0))</f>
        <v>#N/A</v>
      </c>
      <c r="G19" t="e">
        <f>IF(Tabla8[[#This Row],[Ventas]] &lt; K10, "Ventas no aceptables", IF(Tabla8[[#This Row],[Ventas]] &lt; K8, "Ventas Aceptables", "Ventas Objetivo"))</f>
        <v>#N/A</v>
      </c>
    </row>
    <row r="20" spans="6:7" x14ac:dyDescent="0.2">
      <c r="F20" s="4" t="e">
        <f>INDEX(Tabla4[[Tienda 1]:[Tienda 3]],MATCH(Tabla8[[#This Row],[Mes]],Tabla4[Mes],0),MATCH(Tabla8[[#This Row],[Tienda]],Tabla4[[#Headers],[Tienda 1]:[Tienda 3]],0))</f>
        <v>#N/A</v>
      </c>
      <c r="G20" t="e">
        <f>IF(Tabla8[[#This Row],[Ventas]] &lt; K11, "Ventas no aceptables", IF(Tabla8[[#This Row],[Ventas]] &lt; K9, "Ventas Aceptables", "Ventas Objetivo"))</f>
        <v>#N/A</v>
      </c>
    </row>
    <row r="21" spans="6:7" x14ac:dyDescent="0.2">
      <c r="F21" s="4" t="e">
        <f>INDEX(Tabla4[[Tienda 1]:[Tienda 3]],MATCH(Tabla8[[#This Row],[Mes]],Tabla4[Mes],0),MATCH(Tabla8[[#This Row],[Tienda]],Tabla4[[#Headers],[Tienda 1]:[Tienda 3]],0))</f>
        <v>#N/A</v>
      </c>
      <c r="G21" t="e">
        <f>IF(Tabla8[[#This Row],[Ventas]] &lt; K12, "Ventas no aceptables", IF(Tabla8[[#This Row],[Ventas]] &lt; K10, "Ventas Aceptables", "Ventas Objetivo"))</f>
        <v>#N/A</v>
      </c>
    </row>
    <row r="22" spans="6:7" x14ac:dyDescent="0.2">
      <c r="F22" s="4" t="e">
        <f>INDEX(Tabla4[[Tienda 1]:[Tienda 3]],MATCH(Tabla8[[#This Row],[Mes]],Tabla4[Mes],0),MATCH(Tabla8[[#This Row],[Tienda]],Tabla4[[#Headers],[Tienda 1]:[Tienda 3]],0))</f>
        <v>#N/A</v>
      </c>
      <c r="G22" t="e">
        <f>IF(Tabla8[[#This Row],[Ventas]] &lt; K13, "Ventas no aceptables", IF(Tabla8[[#This Row],[Ventas]] &lt; K11, "Ventas Aceptables", "Ventas Objetivo"))</f>
        <v>#N/A</v>
      </c>
    </row>
    <row r="23" spans="6:7" x14ac:dyDescent="0.2">
      <c r="F23" s="4" t="e">
        <f>INDEX(Tabla4[[Tienda 1]:[Tienda 3]],MATCH(Tabla8[[#This Row],[Mes]],Tabla4[Mes],0),MATCH(Tabla8[[#This Row],[Tienda]],Tabla4[[#Headers],[Tienda 1]:[Tienda 3]],0))</f>
        <v>#N/A</v>
      </c>
      <c r="G23" t="e">
        <f>IF(Tabla8[[#This Row],[Ventas]] &lt; K14, "Ventas no aceptables", IF(Tabla8[[#This Row],[Ventas]] &lt; K12, "Ventas Aceptables", "Ventas Objetivo"))</f>
        <v>#N/A</v>
      </c>
    </row>
    <row r="24" spans="6:7" x14ac:dyDescent="0.2">
      <c r="F24" s="4" t="e">
        <f>INDEX(Tabla4[[Tienda 1]:[Tienda 3]],MATCH(Tabla8[[#This Row],[Mes]],Tabla4[Mes],0),MATCH(Tabla8[[#This Row],[Tienda]],Tabla4[[#Headers],[Tienda 1]:[Tienda 3]],0))</f>
        <v>#N/A</v>
      </c>
      <c r="G24" t="e">
        <f>IF(Tabla8[[#This Row],[Ventas]] &lt; K15, "Ventas no aceptables", IF(Tabla8[[#This Row],[Ventas]] &lt; K13, "Ventas Aceptables", "Ventas Objetivo"))</f>
        <v>#N/A</v>
      </c>
    </row>
    <row r="25" spans="6:7" x14ac:dyDescent="0.2">
      <c r="F25" s="4" t="e">
        <f>INDEX(Tabla4[[Tienda 1]:[Tienda 3]],MATCH(Tabla8[[#This Row],[Mes]],Tabla4[Mes],0),MATCH(Tabla8[[#This Row],[Tienda]],Tabla4[[#Headers],[Tienda 1]:[Tienda 3]],0))</f>
        <v>#N/A</v>
      </c>
      <c r="G25" t="e">
        <f>IF(Tabla8[[#This Row],[Ventas]] &lt; K16, "Ventas no aceptables", IF(Tabla8[[#This Row],[Ventas]] &lt; K14, "Ventas Aceptables", "Ventas Objetivo"))</f>
        <v>#N/A</v>
      </c>
    </row>
    <row r="26" spans="6:7" x14ac:dyDescent="0.2">
      <c r="F26" s="4" t="e">
        <f>INDEX(Tabla4[[Tienda 1]:[Tienda 3]],MATCH(Tabla8[[#This Row],[Mes]],Tabla4[Mes],0),MATCH(Tabla8[[#This Row],[Tienda]],Tabla4[[#Headers],[Tienda 1]:[Tienda 3]],0))</f>
        <v>#N/A</v>
      </c>
      <c r="G26" t="e">
        <f>IF(Tabla8[[#This Row],[Ventas]] &lt; K17, "Ventas no aceptables", IF(Tabla8[[#This Row],[Ventas]] &lt; K15, "Ventas Aceptables", "Ventas Objetivo"))</f>
        <v>#N/A</v>
      </c>
    </row>
    <row r="27" spans="6:7" x14ac:dyDescent="0.2">
      <c r="F27" s="4" t="e">
        <f>INDEX(Tabla4[[Tienda 1]:[Tienda 3]],MATCH(Tabla8[[#This Row],[Mes]],Tabla4[Mes],0),MATCH(Tabla8[[#This Row],[Tienda]],Tabla4[[#Headers],[Tienda 1]:[Tienda 3]],0))</f>
        <v>#N/A</v>
      </c>
      <c r="G27" t="e">
        <f>IF(Tabla8[[#This Row],[Ventas]] &lt; K18, "Ventas no aceptables", IF(Tabla8[[#This Row],[Ventas]] &lt; K16, "Ventas Aceptables", "Ventas Objetivo"))</f>
        <v>#N/A</v>
      </c>
    </row>
    <row r="28" spans="6:7" x14ac:dyDescent="0.2">
      <c r="F28" s="4" t="e">
        <f>INDEX(Tabla4[[Tienda 1]:[Tienda 3]],MATCH(Tabla8[[#This Row],[Mes]],Tabla4[Mes],0),MATCH(Tabla8[[#This Row],[Tienda]],Tabla4[[#Headers],[Tienda 1]:[Tienda 3]],0))</f>
        <v>#N/A</v>
      </c>
      <c r="G28" t="e">
        <f>IF(Tabla8[[#This Row],[Ventas]] &lt; K19, "Ventas no aceptables", IF(Tabla8[[#This Row],[Ventas]] &lt; K17, "Ventas Aceptables", "Ventas Objetivo"))</f>
        <v>#N/A</v>
      </c>
    </row>
    <row r="29" spans="6:7" x14ac:dyDescent="0.2">
      <c r="F29" s="4" t="e">
        <f>INDEX(Tabla4[[Tienda 1]:[Tienda 3]],MATCH(Tabla8[[#This Row],[Mes]],Tabla4[Mes],0),MATCH(Tabla8[[#This Row],[Tienda]],Tabla4[[#Headers],[Tienda 1]:[Tienda 3]],0))</f>
        <v>#N/A</v>
      </c>
      <c r="G29" t="e">
        <f>IF(Tabla8[[#This Row],[Ventas]] &lt; K20, "Ventas no aceptables", IF(Tabla8[[#This Row],[Ventas]] &lt; K18, "Ventas Aceptables", "Ventas Objetivo"))</f>
        <v>#N/A</v>
      </c>
    </row>
    <row r="30" spans="6:7" x14ac:dyDescent="0.2">
      <c r="F30" s="4" t="e">
        <f>INDEX(Tabla4[[Tienda 1]:[Tienda 3]],MATCH(Tabla8[[#This Row],[Mes]],Tabla4[Mes],0),MATCH(Tabla8[[#This Row],[Tienda]],Tabla4[[#Headers],[Tienda 1]:[Tienda 3]],0))</f>
        <v>#N/A</v>
      </c>
      <c r="G30" t="e">
        <f>IF(Tabla8[[#This Row],[Ventas]] &lt; K21, "Ventas no aceptables", IF(Tabla8[[#This Row],[Ventas]] &lt; K19, "Ventas Aceptables", "Ventas Objetivo"))</f>
        <v>#N/A</v>
      </c>
    </row>
    <row r="31" spans="6:7" x14ac:dyDescent="0.2">
      <c r="F31" s="4"/>
    </row>
  </sheetData>
  <mergeCells count="1">
    <mergeCell ref="D11:G11"/>
  </mergeCells>
  <phoneticPr fontId="7" type="noConversion"/>
  <conditionalFormatting sqref="C2:C6">
    <cfRule type="colorScale" priority="5">
      <colorScale>
        <cfvo type="min"/>
        <cfvo type="percentile" val="50"/>
        <cfvo type="max"/>
        <color theme="8" tint="0.79998168889431442"/>
        <color theme="8" tint="0.39997558519241921"/>
        <color rgb="FF00B0F0"/>
      </colorScale>
    </cfRule>
  </conditionalFormatting>
  <conditionalFormatting sqref="D2:F6">
    <cfRule type="colorScale" priority="4">
      <colorScale>
        <cfvo type="num" val="40000"/>
        <cfvo type="num" val="40001"/>
        <cfvo type="num" val="44000"/>
        <color theme="8" tint="0.79998168889431442"/>
        <color theme="8" tint="0.39997558519241921"/>
        <color rgb="FF00B0F0"/>
      </colorScale>
    </cfRule>
  </conditionalFormatting>
  <conditionalFormatting sqref="G13:G30">
    <cfRule type="containsText" dxfId="25" priority="3" operator="containsText" text="Ventas Objetivo">
      <formula>NOT(ISERROR(SEARCH("Ventas Objetivo",G13)))</formula>
    </cfRule>
    <cfRule type="containsText" dxfId="24" priority="2" operator="containsText" text="Ventas no aceptables">
      <formula>NOT(ISERROR(SEARCH("Ventas no aceptables",G13)))</formula>
    </cfRule>
    <cfRule type="containsText" dxfId="23" priority="1" operator="containsText" text="Ventas Aceptables">
      <formula>NOT(ISERROR(SEARCH("Ventas Aceptables",G13)))</formula>
    </cfRule>
  </conditionalFormatting>
  <dataValidations count="2">
    <dataValidation type="list" allowBlank="1" showInputMessage="1" showErrorMessage="1" sqref="D13:D30" xr:uid="{A6D84428-0EFA-F749-94B6-9C99A0529439}">
      <formula1>$D$1:$F$1</formula1>
    </dataValidation>
    <dataValidation type="list" showInputMessage="1" showErrorMessage="1" sqref="E13:E30" xr:uid="{9F864BDF-FBCF-B948-9BE1-ADC776455489}">
      <formula1>$A$2:$A$6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J32"/>
  <sheetViews>
    <sheetView showGridLines="0" zoomScaleNormal="100" workbookViewId="0">
      <selection activeCell="B14" sqref="B14:D14"/>
    </sheetView>
  </sheetViews>
  <sheetFormatPr baseColWidth="10" defaultColWidth="8.6640625" defaultRowHeight="15" x14ac:dyDescent="0.2"/>
  <cols>
    <col min="1" max="1" width="13.5" customWidth="1"/>
    <col min="2" max="6" width="16.33203125" customWidth="1"/>
  </cols>
  <sheetData>
    <row r="1" spans="1:10" x14ac:dyDescent="0.2">
      <c r="A1" s="1" t="s">
        <v>140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</row>
    <row r="2" spans="1:10" x14ac:dyDescent="0.2">
      <c r="A2" t="s">
        <v>40</v>
      </c>
      <c r="B2" s="4">
        <v>9280</v>
      </c>
      <c r="C2" s="4">
        <v>9280</v>
      </c>
      <c r="D2" s="4">
        <v>9260</v>
      </c>
      <c r="E2" s="4">
        <v>9280</v>
      </c>
      <c r="F2" s="4">
        <v>9280</v>
      </c>
    </row>
    <row r="3" spans="1:10" x14ac:dyDescent="0.2">
      <c r="A3" t="s">
        <v>41</v>
      </c>
      <c r="B3" s="4">
        <v>2336.08</v>
      </c>
      <c r="C3" s="4">
        <v>0</v>
      </c>
      <c r="D3" s="4">
        <v>2397.6799999999998</v>
      </c>
      <c r="E3" s="4">
        <v>2908.12</v>
      </c>
      <c r="F3" s="4">
        <v>3887.16</v>
      </c>
      <c r="J3" t="s">
        <v>99</v>
      </c>
    </row>
    <row r="4" spans="1:10" x14ac:dyDescent="0.2">
      <c r="A4" t="s">
        <v>42</v>
      </c>
      <c r="B4" s="4">
        <v>550</v>
      </c>
      <c r="C4" s="4">
        <v>550</v>
      </c>
      <c r="D4" s="4">
        <v>550</v>
      </c>
      <c r="E4" s="4">
        <v>550</v>
      </c>
      <c r="F4" s="4">
        <v>550</v>
      </c>
    </row>
    <row r="5" spans="1:10" x14ac:dyDescent="0.2">
      <c r="A5" t="s">
        <v>43</v>
      </c>
      <c r="B5" s="4">
        <v>2433.36</v>
      </c>
      <c r="C5" s="4">
        <v>2684.08</v>
      </c>
      <c r="D5" s="4">
        <v>2240</v>
      </c>
      <c r="E5" s="4">
        <v>2628</v>
      </c>
      <c r="F5" s="4">
        <v>2623.5</v>
      </c>
    </row>
    <row r="6" spans="1:10" x14ac:dyDescent="0.2">
      <c r="A6" t="s">
        <v>44</v>
      </c>
      <c r="B6" s="4">
        <v>0</v>
      </c>
      <c r="C6" s="4">
        <v>2500</v>
      </c>
      <c r="D6" s="4">
        <v>2500</v>
      </c>
      <c r="E6" s="4">
        <v>2500</v>
      </c>
      <c r="F6" s="4">
        <v>2500</v>
      </c>
      <c r="J6" t="s">
        <v>100</v>
      </c>
    </row>
    <row r="7" spans="1:10" x14ac:dyDescent="0.2">
      <c r="A7" t="s">
        <v>45</v>
      </c>
      <c r="B7" s="4">
        <v>0</v>
      </c>
      <c r="C7" s="4">
        <v>0</v>
      </c>
      <c r="D7" s="4">
        <v>660.75</v>
      </c>
      <c r="E7" s="4">
        <v>660.75</v>
      </c>
      <c r="F7" s="4">
        <v>660.75</v>
      </c>
    </row>
    <row r="8" spans="1:10" x14ac:dyDescent="0.2">
      <c r="A8" t="s">
        <v>46</v>
      </c>
      <c r="B8" s="4">
        <v>13100</v>
      </c>
      <c r="C8" s="4">
        <v>13050</v>
      </c>
      <c r="D8" s="4">
        <v>15760</v>
      </c>
      <c r="E8" s="4">
        <v>17432</v>
      </c>
      <c r="F8" s="4">
        <v>15620</v>
      </c>
      <c r="J8" t="s">
        <v>101</v>
      </c>
    </row>
    <row r="9" spans="1:10" x14ac:dyDescent="0.2">
      <c r="A9" t="s">
        <v>47</v>
      </c>
      <c r="B9" s="4">
        <v>305</v>
      </c>
      <c r="C9" s="4">
        <v>381.56</v>
      </c>
      <c r="D9" s="4">
        <v>62.5</v>
      </c>
      <c r="E9" s="4">
        <v>818.5</v>
      </c>
      <c r="F9" s="4">
        <v>700</v>
      </c>
    </row>
    <row r="10" spans="1:10" x14ac:dyDescent="0.2">
      <c r="A10" t="s">
        <v>48</v>
      </c>
      <c r="B10" s="4">
        <v>152</v>
      </c>
      <c r="C10" s="4">
        <v>119.5</v>
      </c>
      <c r="D10" s="4">
        <v>290</v>
      </c>
      <c r="E10" s="4">
        <v>917</v>
      </c>
      <c r="F10" s="4">
        <v>354.5</v>
      </c>
    </row>
    <row r="14" spans="1:10" x14ac:dyDescent="0.2">
      <c r="B14" s="112" t="s">
        <v>160</v>
      </c>
      <c r="C14" s="112"/>
      <c r="D14" s="112"/>
    </row>
    <row r="15" spans="1:10" x14ac:dyDescent="0.2">
      <c r="B15" s="39" t="s">
        <v>140</v>
      </c>
      <c r="C15" s="39" t="s">
        <v>32</v>
      </c>
      <c r="D15" s="39" t="s">
        <v>138</v>
      </c>
    </row>
    <row r="16" spans="1:10" x14ac:dyDescent="0.2">
      <c r="B16" s="36" t="s">
        <v>44</v>
      </c>
      <c r="C16" s="36" t="s">
        <v>16</v>
      </c>
      <c r="D16" s="37">
        <f>INDEX(Tabla5[[enero]:[mayo]],MATCH('Gastos Mensuales'!$B16,Tabla5[Gastos],0),MATCH('Gastos Mensuales'!$C16,Tabla5[[#Headers],[enero]:[mayo]],0))</f>
        <v>0</v>
      </c>
    </row>
    <row r="17" spans="2:4" x14ac:dyDescent="0.2">
      <c r="B17" s="38" t="s">
        <v>47</v>
      </c>
      <c r="C17" s="38" t="s">
        <v>19</v>
      </c>
      <c r="D17" s="37">
        <f>INDEX(Tabla5[[enero]:[mayo]],MATCH('Gastos Mensuales'!$B17,Tabla5[Gastos],0),MATCH('Gastos Mensuales'!$C17,Tabla5[[#Headers],[enero]:[mayo]],0))</f>
        <v>818.5</v>
      </c>
    </row>
    <row r="18" spans="2:4" x14ac:dyDescent="0.2">
      <c r="B18" s="36" t="s">
        <v>43</v>
      </c>
      <c r="C18" s="36" t="s">
        <v>39</v>
      </c>
      <c r="D18" s="37">
        <f>INDEX(Tabla5[[enero]:[mayo]],MATCH('Gastos Mensuales'!$B18,Tabla5[Gastos],0),MATCH('Gastos Mensuales'!$C18,Tabla5[[#Headers],[enero]:[mayo]],0))</f>
        <v>2623.5</v>
      </c>
    </row>
    <row r="19" spans="2:4" x14ac:dyDescent="0.2">
      <c r="B19" s="38" t="s">
        <v>42</v>
      </c>
      <c r="C19" s="38" t="s">
        <v>38</v>
      </c>
      <c r="D19" s="37">
        <f>INDEX(Tabla5[[enero]:[mayo]],MATCH('Gastos Mensuales'!$B19,Tabla5[Gastos],0),MATCH('Gastos Mensuales'!$C19,Tabla5[[#Headers],[enero]:[mayo]],0))</f>
        <v>550</v>
      </c>
    </row>
    <row r="20" spans="2:4" x14ac:dyDescent="0.2">
      <c r="B20" s="36"/>
      <c r="C20" s="36"/>
      <c r="D20" s="37" t="e">
        <f>INDEX(Tabla5[[enero]:[mayo]],MATCH('Gastos Mensuales'!$B20,Tabla5[Gastos],0),MATCH('Gastos Mensuales'!$C20,Tabla5[[#Headers],[enero]:[mayo]],0))</f>
        <v>#N/A</v>
      </c>
    </row>
    <row r="21" spans="2:4" x14ac:dyDescent="0.2">
      <c r="B21" s="38"/>
      <c r="C21" s="38"/>
      <c r="D21" s="37" t="e">
        <f>INDEX(Tabla5[[enero]:[mayo]],MATCH('Gastos Mensuales'!$B21,Tabla5[Gastos],0),MATCH('Gastos Mensuales'!$C21,Tabla5[[#Headers],[enero]:[mayo]],0))</f>
        <v>#N/A</v>
      </c>
    </row>
    <row r="22" spans="2:4" x14ac:dyDescent="0.2">
      <c r="B22" s="36"/>
      <c r="C22" s="36"/>
      <c r="D22" s="37" t="e">
        <f>INDEX(Tabla5[[enero]:[mayo]],MATCH('Gastos Mensuales'!$B22,Tabla5[Gastos],0),MATCH('Gastos Mensuales'!$C22,Tabla5[[#Headers],[enero]:[mayo]],0))</f>
        <v>#N/A</v>
      </c>
    </row>
    <row r="23" spans="2:4" x14ac:dyDescent="0.2">
      <c r="B23" s="38"/>
      <c r="C23" s="38"/>
      <c r="D23" s="37" t="e">
        <f>INDEX(Tabla5[[enero]:[mayo]],MATCH('Gastos Mensuales'!$B23,Tabla5[Gastos],0),MATCH('Gastos Mensuales'!$C23,Tabla5[[#Headers],[enero]:[mayo]],0))</f>
        <v>#N/A</v>
      </c>
    </row>
    <row r="24" spans="2:4" x14ac:dyDescent="0.2">
      <c r="B24" s="36"/>
      <c r="C24" s="36"/>
      <c r="D24" s="37" t="e">
        <f>INDEX(Tabla5[[enero]:[mayo]],MATCH('Gastos Mensuales'!$B24,Tabla5[Gastos],0),MATCH('Gastos Mensuales'!$C24,Tabla5[[#Headers],[enero]:[mayo]],0))</f>
        <v>#N/A</v>
      </c>
    </row>
    <row r="25" spans="2:4" x14ac:dyDescent="0.2">
      <c r="B25" s="38"/>
      <c r="C25" s="38"/>
      <c r="D25" s="37" t="e">
        <f>INDEX(Tabla5[[enero]:[mayo]],MATCH('Gastos Mensuales'!$B25,Tabla5[Gastos],0),MATCH('Gastos Mensuales'!$C25,Tabla5[[#Headers],[enero]:[mayo]],0))</f>
        <v>#N/A</v>
      </c>
    </row>
    <row r="26" spans="2:4" x14ac:dyDescent="0.2">
      <c r="B26" s="36"/>
      <c r="C26" s="36"/>
      <c r="D26" s="37" t="e">
        <f>INDEX(Tabla5[[enero]:[mayo]],MATCH('Gastos Mensuales'!$B26,Tabla5[Gastos],0),MATCH('Gastos Mensuales'!$C26,Tabla5[[#Headers],[enero]:[mayo]],0))</f>
        <v>#N/A</v>
      </c>
    </row>
    <row r="27" spans="2:4" x14ac:dyDescent="0.2">
      <c r="B27" s="38"/>
      <c r="C27" s="38"/>
      <c r="D27" s="37" t="e">
        <f>INDEX(Tabla5[[enero]:[mayo]],MATCH('Gastos Mensuales'!$B27,Tabla5[Gastos],0),MATCH('Gastos Mensuales'!$C27,Tabla5[[#Headers],[enero]:[mayo]],0))</f>
        <v>#N/A</v>
      </c>
    </row>
    <row r="28" spans="2:4" x14ac:dyDescent="0.2">
      <c r="B28" s="36"/>
      <c r="C28" s="36"/>
      <c r="D28" s="37" t="e">
        <f>INDEX(Tabla5[[enero]:[mayo]],MATCH('Gastos Mensuales'!$B28,Tabla5[Gastos],0),MATCH('Gastos Mensuales'!$C28,Tabla5[[#Headers],[enero]:[mayo]],0))</f>
        <v>#N/A</v>
      </c>
    </row>
    <row r="29" spans="2:4" x14ac:dyDescent="0.2">
      <c r="B29" s="38"/>
      <c r="C29" s="38"/>
      <c r="D29" s="37" t="e">
        <f>INDEX(Tabla5[[enero]:[mayo]],MATCH('Gastos Mensuales'!$B29,Tabla5[Gastos],0),MATCH('Gastos Mensuales'!$C29,Tabla5[[#Headers],[enero]:[mayo]],0))</f>
        <v>#N/A</v>
      </c>
    </row>
    <row r="30" spans="2:4" x14ac:dyDescent="0.2">
      <c r="B30" s="36"/>
      <c r="C30" s="36"/>
      <c r="D30" s="37" t="e">
        <f>INDEX(Tabla5[[enero]:[mayo]],MATCH('Gastos Mensuales'!$B30,Tabla5[Gastos],0),MATCH('Gastos Mensuales'!$C30,Tabla5[[#Headers],[enero]:[mayo]],0))</f>
        <v>#N/A</v>
      </c>
    </row>
    <row r="31" spans="2:4" x14ac:dyDescent="0.2">
      <c r="B31" s="38"/>
      <c r="C31" s="38"/>
      <c r="D31" s="37" t="e">
        <f>INDEX(Tabla5[[enero]:[mayo]],MATCH('Gastos Mensuales'!$B31,Tabla5[Gastos],0),MATCH('Gastos Mensuales'!$C31,Tabla5[[#Headers],[enero]:[mayo]],0))</f>
        <v>#N/A</v>
      </c>
    </row>
    <row r="32" spans="2:4" x14ac:dyDescent="0.2">
      <c r="B32" s="36"/>
      <c r="C32" s="36"/>
      <c r="D32" s="37" t="e">
        <f>INDEX(Tabla5[[enero]:[mayo]],MATCH('Gastos Mensuales'!$B32,Tabla5[Gastos],0),MATCH('Gastos Mensuales'!$C32,Tabla5[[#Headers],[enero]:[mayo]],0))</f>
        <v>#N/A</v>
      </c>
    </row>
  </sheetData>
  <mergeCells count="1">
    <mergeCell ref="B14:D14"/>
  </mergeCells>
  <conditionalFormatting sqref="B2:F2">
    <cfRule type="iconSet" priority="7">
      <iconSet reverse="1">
        <cfvo type="percent" val="0"/>
        <cfvo type="percent" val="33"/>
        <cfvo type="percent" val="67"/>
      </iconSet>
    </cfRule>
  </conditionalFormatting>
  <conditionalFormatting sqref="B4:F4">
    <cfRule type="iconSet" priority="6">
      <iconSet>
        <cfvo type="percent" val="0"/>
        <cfvo type="percent" val="33"/>
        <cfvo type="percent" val="67"/>
      </iconSet>
    </cfRule>
  </conditionalFormatting>
  <conditionalFormatting sqref="B5:F5">
    <cfRule type="iconSet" priority="5">
      <iconSet reverse="1">
        <cfvo type="percent" val="0"/>
        <cfvo type="percent" val="33"/>
        <cfvo type="percent" val="67"/>
      </iconSet>
    </cfRule>
  </conditionalFormatting>
  <conditionalFormatting sqref="B8:F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{83A80524-D4DC-A247-9439-4704328253F8}</x14:id>
        </ext>
      </extLst>
    </cfRule>
  </conditionalFormatting>
  <conditionalFormatting sqref="B10:F10">
    <cfRule type="iconSet" priority="2">
      <iconSet reverse="1">
        <cfvo type="percent" val="0"/>
        <cfvo type="num" val="300"/>
        <cfvo type="num" val="500"/>
      </iconSet>
    </cfRule>
  </conditionalFormatting>
  <dataValidations count="2">
    <dataValidation type="list" allowBlank="1" showInputMessage="1" showErrorMessage="1" sqref="B16:B32" xr:uid="{1DAA1BA9-40BD-B043-B085-D00F604DE037}">
      <formula1>$A$2:$A$10</formula1>
    </dataValidation>
    <dataValidation type="list" showInputMessage="1" showErrorMessage="1" sqref="C16:C32" xr:uid="{F9112892-F05C-4C45-9EBE-444404E4A3C6}">
      <formula1>$B$1:$F$1</formula1>
    </dataValidation>
  </dataValidations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A80524-D4DC-A247-9439-470432825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B8:F8</xm:sqref>
        </x14:conditionalFormatting>
        <x14:conditionalFormatting xmlns:xm="http://schemas.microsoft.com/office/excel/2006/main">
          <x14:cfRule type="iconSet" priority="3" id="{D31BC09F-F81C-EF44-A4FA-08E5202C44EB}">
            <x14:iconSet custom="1">
              <x14:cfvo type="percent">
                <xm:f>0</xm:f>
              </x14:cfvo>
              <x14:cfvo type="num">
                <xm:f>$B$3</xm:f>
              </x14:cfvo>
              <x14:cfvo type="num" gte="0">
                <xm:f>$B$3</xm:f>
              </x14:cfvo>
              <x14:cfIcon iconSet="NoIcons" iconId="0"/>
              <x14:cfIcon iconSet="3TrafficLights1" iconId="2"/>
              <x14:cfIcon iconSet="3TrafficLights1" iconId="0"/>
            </x14:iconSet>
          </x14:cfRule>
          <xm:sqref>B3:F3</xm:sqref>
        </x14:conditionalFormatting>
        <x14:conditionalFormatting xmlns:xm="http://schemas.microsoft.com/office/excel/2006/main">
          <x14:cfRule type="iconSet" priority="1" id="{48858D44-8CF4-7A43-89D8-BCEB8F8F9177}">
            <x14:iconSet custom="1">
              <x14:cfvo type="percent">
                <xm:f>0</xm:f>
              </x14:cfvo>
              <x14:cfvo type="num">
                <xm:f>200</xm:f>
              </x14:cfvo>
              <x14:cfvo type="num">
                <xm:f>350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B9:F9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A1:K5"/>
  <sheetViews>
    <sheetView zoomScale="110" zoomScaleNormal="110" workbookViewId="0">
      <selection activeCell="J40" sqref="J40"/>
    </sheetView>
  </sheetViews>
  <sheetFormatPr baseColWidth="10" defaultColWidth="10.83203125" defaultRowHeight="15" x14ac:dyDescent="0.2"/>
  <cols>
    <col min="1" max="1" width="14.5" customWidth="1"/>
    <col min="2" max="2" width="14.5" style="27" customWidth="1"/>
    <col min="3" max="3" width="14.5" customWidth="1"/>
    <col min="4" max="4" width="14.5" style="29" customWidth="1"/>
    <col min="5" max="5" width="14.5" customWidth="1"/>
    <col min="6" max="6" width="17.83203125" customWidth="1"/>
    <col min="7" max="8" width="14.5" customWidth="1"/>
    <col min="11" max="11" width="28.83203125" customWidth="1"/>
  </cols>
  <sheetData>
    <row r="1" spans="1:11" x14ac:dyDescent="0.2">
      <c r="A1" s="107" t="s">
        <v>62</v>
      </c>
      <c r="B1" s="107"/>
      <c r="C1" s="107"/>
      <c r="D1" s="107"/>
      <c r="E1" s="107"/>
      <c r="F1" s="107"/>
      <c r="G1" s="107"/>
      <c r="H1" s="107"/>
    </row>
    <row r="2" spans="1:11" ht="15" customHeight="1" x14ac:dyDescent="0.2">
      <c r="A2" s="1" t="s">
        <v>64</v>
      </c>
      <c r="B2" s="1" t="s">
        <v>5</v>
      </c>
      <c r="C2" s="1" t="s">
        <v>65</v>
      </c>
      <c r="D2" s="1" t="s">
        <v>2</v>
      </c>
      <c r="E2" s="1" t="s">
        <v>1</v>
      </c>
      <c r="F2" s="1" t="s">
        <v>0</v>
      </c>
      <c r="G2" s="1" t="s">
        <v>3</v>
      </c>
      <c r="H2" s="1" t="s">
        <v>4</v>
      </c>
      <c r="K2" s="113" t="s">
        <v>66</v>
      </c>
    </row>
    <row r="3" spans="1:11" ht="15" hidden="1" customHeight="1" x14ac:dyDescent="0.2">
      <c r="A3" t="s">
        <v>55</v>
      </c>
      <c r="B3" s="12" t="s">
        <v>56</v>
      </c>
      <c r="C3" s="12" t="s">
        <v>57</v>
      </c>
      <c r="D3" s="2" t="s">
        <v>58</v>
      </c>
      <c r="E3" t="s">
        <v>59</v>
      </c>
      <c r="F3" t="s">
        <v>60</v>
      </c>
      <c r="G3" t="s">
        <v>61</v>
      </c>
      <c r="H3" t="s">
        <v>67</v>
      </c>
      <c r="K3" s="113"/>
    </row>
    <row r="4" spans="1:11" x14ac:dyDescent="0.2">
      <c r="A4" t="s">
        <v>113</v>
      </c>
      <c r="B4" s="27">
        <v>939213638</v>
      </c>
      <c r="C4" s="13" t="s">
        <v>68</v>
      </c>
      <c r="D4" s="2">
        <v>45351</v>
      </c>
      <c r="E4" t="s">
        <v>35</v>
      </c>
      <c r="F4" t="s">
        <v>22</v>
      </c>
      <c r="G4" t="s">
        <v>63</v>
      </c>
      <c r="H4" t="s">
        <v>8</v>
      </c>
      <c r="K4" s="113"/>
    </row>
    <row r="5" spans="1:11" x14ac:dyDescent="0.2">
      <c r="A5" t="s">
        <v>111</v>
      </c>
      <c r="B5" s="27">
        <v>999999999</v>
      </c>
      <c r="C5" s="28" t="s">
        <v>112</v>
      </c>
      <c r="D5" s="29">
        <f ca="1">TODAY()</f>
        <v>45354</v>
      </c>
      <c r="E5" t="s">
        <v>36</v>
      </c>
      <c r="F5" t="s">
        <v>25</v>
      </c>
      <c r="G5" t="s">
        <v>114</v>
      </c>
      <c r="H5" t="s">
        <v>9</v>
      </c>
    </row>
  </sheetData>
  <autoFilter ref="A2:H2" xr:uid="{1EF169ED-0A5B-4E85-A1DC-CF4116D4BB32}"/>
  <mergeCells count="2">
    <mergeCell ref="A1:H1"/>
    <mergeCell ref="K2:K4"/>
  </mergeCells>
  <dataValidations count="4">
    <dataValidation type="date" operator="equal" allowBlank="1" showInputMessage="1" showErrorMessage="1" errorTitle="Corrección" error="Ingresa la fecha de hoy día" promptTitle="Fecha" prompt="Ingresa la fecha de hoy" sqref="D1:D2 D4:D1048576" xr:uid="{A519B6A9-407A-1643-916C-EC80D63E8650}">
      <formula1>TODAY()</formula1>
    </dataValidation>
    <dataValidation type="custom" allowBlank="1" showInputMessage="1" showErrorMessage="1" errorTitle="Corrección" error="Verifique Mayúsculas y acentos. Ejemplo: Sí = permitido, si = no permitido" promptTitle="Facturas" prompt="Ingresar solo Sí o No" sqref="G1:G2 G4:G1048576" xr:uid="{C37B1840-1916-5243-9539-E8841D7827FC}">
      <formula1>OR(G1="Sí", G1="No")</formula1>
    </dataValidation>
    <dataValidation type="custom" showInputMessage="1" showErrorMessage="1" sqref="C1:C1048576" xr:uid="{2952F234-F187-DB43-952C-15B22C3A5F95}">
      <formula1>ISNUMBER(MATCH("*@*.?*",C1,0))</formula1>
    </dataValidation>
    <dataValidation type="custom" showInputMessage="1" showErrorMessage="1" errorTitle="Corrección" error="Verifica el correcto tipeo del número. Empezar con 09" promptTitle="Teléfono" prompt="Empezar con 09 más 8 dígitos" sqref="B1:B1048576" xr:uid="{0FFC1820-709B-ED41-9191-0364C8404706}">
      <formula1>AND(OR(LEFT(B1, 2)="09", LEN(B1)=9))</formula1>
    </dataValidation>
  </dataValidations>
  <hyperlinks>
    <hyperlink ref="C4" r:id="rId1" xr:uid="{F4FE8458-152C-7641-804E-0ED790086155}"/>
    <hyperlink ref="C5" r:id="rId2" xr:uid="{037C026D-FE74-3E4F-BFC6-2536108AEA5B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94378FCD-210E-DF41-917E-D6B698E240A8}">
          <x14:formula1>
            <xm:f>'Ventas x Tienda'!$D$1:$F$1</xm:f>
          </x14:formula1>
          <xm:sqref>E1:E2 E4:E1048576</xm:sqref>
        </x14:dataValidation>
        <x14:dataValidation type="list" allowBlank="1" showInputMessage="1" showErrorMessage="1" xr:uid="{E41A20FA-C4FC-2E4B-A0E1-3F5858845A75}">
          <x14:formula1>
            <xm:f>'Ventas x Vendedor'!$A$2:$A$6</xm:f>
          </x14:formula1>
          <xm:sqref>F1:F2 F4:F1048576</xm:sqref>
        </x14:dataValidation>
        <x14:dataValidation type="list" allowBlank="1" showInputMessage="1" showErrorMessage="1" xr:uid="{9A83C7A6-D24A-3246-A523-626198C41F46}">
          <x14:formula1>
            <xm:f>Ventas!$E$1:$G$1</xm:f>
          </x14:formula1>
          <xm:sqref>H1:H2 H4:H1048576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9</vt:i4>
      </vt:variant>
    </vt:vector>
  </HeadingPairs>
  <TitlesOfParts>
    <vt:vector size="16" baseType="lpstr">
      <vt:lpstr>Dashboard</vt:lpstr>
      <vt:lpstr>Dashboard Comparativo</vt:lpstr>
      <vt:lpstr>Ventas</vt:lpstr>
      <vt:lpstr>Ventas x Vendedor</vt:lpstr>
      <vt:lpstr>Ventas x Tienda</vt:lpstr>
      <vt:lpstr>Gastos Mensuales</vt:lpstr>
      <vt:lpstr>Registro Clientes</vt:lpstr>
      <vt:lpstr>Fecha</vt:lpstr>
      <vt:lpstr>Tickets</vt:lpstr>
      <vt:lpstr>Utilidad</vt:lpstr>
      <vt:lpstr>'Dashboard Comparativo'!Vendedor</vt:lpstr>
      <vt:lpstr>Vendedor</vt:lpstr>
      <vt:lpstr>Ventas_efectivo</vt:lpstr>
      <vt:lpstr>Ventas_tarjeta</vt:lpstr>
      <vt:lpstr>Ventas_totales</vt:lpstr>
      <vt:lpstr>Ventas_transferencia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Proyecto Excel Intermedio</dc:title>
  <dc:subject/>
  <dc:creator>Diego Cadena Velásquez</dc:creator>
  <cp:keywords/>
  <dc:description/>
  <cp:lastModifiedBy>Microsoft Office User</cp:lastModifiedBy>
  <dcterms:created xsi:type="dcterms:W3CDTF">2022-06-28T15:47:06Z</dcterms:created>
  <dcterms:modified xsi:type="dcterms:W3CDTF">2024-03-04T02:48:50Z</dcterms:modified>
  <cp:category/>
</cp:coreProperties>
</file>